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drawings/drawing3.xml" ContentType="application/vnd.openxmlformats-officedocument.drawing+xml"/>
  <Override PartName="/xl/charts/chart3.xml" ContentType="application/vnd.openxmlformats-officedocument.drawingml.chart+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BackupTuristic\OPSTINA SVE NEPOVEZANO\budzet\"/>
    </mc:Choice>
  </mc:AlternateContent>
  <bookViews>
    <workbookView xWindow="0" yWindow="0" windowWidth="20490" windowHeight="7755" firstSheet="2" activeTab="7"/>
  </bookViews>
  <sheets>
    <sheet name="Рачун финансирања" sheetId="16" r:id="rId1"/>
    <sheet name="Приџ,прим vs Расх,изд" sheetId="1" state="hidden" r:id="rId2"/>
    <sheet name="Оптшти део - (6)" sheetId="3" r:id="rId3"/>
    <sheet name="Капитални расходи" sheetId="4" r:id="rId4"/>
    <sheet name="По основ. нам." sheetId="5" r:id="rId5"/>
    <sheet name="Програмска" sheetId="7" r:id="rId6"/>
    <sheet name="Расх по функц. " sheetId="6" r:id="rId7"/>
    <sheet name="ПО КОРИСНИЦИМА" sheetId="8" r:id="rId8"/>
    <sheet name="Klasifikacije" sheetId="17" r:id="rId9"/>
  </sheets>
  <definedNames>
    <definedName name="_xlnm._FilterDatabase" localSheetId="8" hidden="1">Klasifikacije!$L$2:$M$4732</definedName>
    <definedName name="ljkl">'Расх по функц. '!$F$141</definedName>
    <definedName name="_xlnm.Print_Area" localSheetId="7">'ПО КОРИСНИЦИМА'!$A$1:$J$17434</definedName>
    <definedName name="Ukupno_funkcionalna">'Расх по функц. '!$F$141</definedName>
    <definedName name="Ukupno_izdaci">'По основ. нам.'!$F$87</definedName>
  </definedNames>
  <calcPr calcId="152511"/>
</workbook>
</file>

<file path=xl/calcChain.xml><?xml version="1.0" encoding="utf-8"?>
<calcChain xmlns="http://schemas.openxmlformats.org/spreadsheetml/2006/main">
  <c r="F208" i="4" l="1"/>
  <c r="E208" i="4"/>
  <c r="D208" i="4"/>
  <c r="D217" i="4"/>
  <c r="E217" i="4"/>
  <c r="F217" i="4"/>
  <c r="F199" i="4"/>
  <c r="E199" i="4"/>
  <c r="D199" i="4"/>
  <c r="F253" i="4"/>
  <c r="E253" i="4"/>
  <c r="D253" i="4"/>
  <c r="F244" i="4"/>
  <c r="E244" i="4"/>
  <c r="D244" i="4"/>
  <c r="F235" i="4"/>
  <c r="E235" i="4"/>
  <c r="D235" i="4"/>
  <c r="F226" i="4"/>
  <c r="E226" i="4"/>
  <c r="D226" i="4"/>
  <c r="F190" i="4" l="1"/>
  <c r="E190" i="4"/>
  <c r="D190" i="4"/>
  <c r="F181" i="4"/>
  <c r="E181" i="4"/>
  <c r="D181" i="4"/>
  <c r="F172" i="4"/>
  <c r="E172" i="4"/>
  <c r="D172" i="4"/>
  <c r="F163" i="4"/>
  <c r="E163" i="4"/>
  <c r="D163" i="4"/>
  <c r="F154" i="4"/>
  <c r="E154" i="4"/>
  <c r="D154" i="4"/>
  <c r="F145" i="4"/>
  <c r="E145" i="4"/>
  <c r="D145" i="4"/>
  <c r="G82" i="3"/>
  <c r="G84" i="3"/>
  <c r="G87" i="3"/>
  <c r="G88" i="3"/>
  <c r="G90" i="3"/>
  <c r="G93" i="3"/>
  <c r="G94" i="3"/>
  <c r="G96" i="3"/>
  <c r="G78" i="3"/>
  <c r="G79" i="3"/>
  <c r="G80" i="3"/>
  <c r="G72" i="3"/>
  <c r="G73" i="3"/>
  <c r="G65" i="3"/>
  <c r="G66" i="3"/>
  <c r="G67" i="3"/>
  <c r="G68" i="3"/>
  <c r="G69" i="3"/>
  <c r="G70" i="3"/>
  <c r="G64" i="3"/>
  <c r="G53" i="3"/>
  <c r="G54" i="3"/>
  <c r="G55" i="3"/>
  <c r="G56" i="3"/>
  <c r="G57" i="3"/>
  <c r="G58" i="3"/>
  <c r="G59" i="3"/>
  <c r="G60" i="3"/>
  <c r="G61" i="3"/>
  <c r="G62" i="3"/>
  <c r="G52" i="3"/>
  <c r="G48" i="3"/>
  <c r="G49" i="3"/>
  <c r="G47" i="3"/>
  <c r="G42" i="3"/>
  <c r="G34" i="3"/>
  <c r="G35" i="3"/>
  <c r="G36" i="3"/>
  <c r="G37" i="3"/>
  <c r="G38" i="3"/>
  <c r="G39" i="3"/>
  <c r="G40" i="3"/>
  <c r="G33" i="3"/>
  <c r="G24" i="3"/>
  <c r="G25" i="3"/>
  <c r="G26" i="3"/>
  <c r="G27" i="3"/>
  <c r="G28" i="3"/>
  <c r="G29" i="3"/>
  <c r="G30" i="3"/>
  <c r="G31" i="3"/>
  <c r="G23" i="3"/>
  <c r="G11" i="3"/>
  <c r="G12" i="3"/>
  <c r="G13" i="3"/>
  <c r="G14" i="3"/>
  <c r="G15" i="3"/>
  <c r="G16" i="3"/>
  <c r="G17" i="3"/>
  <c r="G18" i="3"/>
  <c r="G19" i="3"/>
  <c r="G20" i="3"/>
  <c r="G21" i="3"/>
  <c r="G10" i="3"/>
  <c r="I13867" i="8" l="1"/>
  <c r="I13607" i="8"/>
  <c r="H2668" i="8"/>
  <c r="H3376" i="8"/>
  <c r="H3392" i="8" s="1"/>
  <c r="H530" i="8"/>
  <c r="H546" i="8" s="1"/>
  <c r="H548" i="8" s="1"/>
  <c r="H564" i="8" s="1"/>
  <c r="I3410" i="8"/>
  <c r="J3409" i="8"/>
  <c r="J3408" i="8"/>
  <c r="J3407" i="8"/>
  <c r="J3406" i="8"/>
  <c r="J3405" i="8"/>
  <c r="J3404" i="8"/>
  <c r="J3403" i="8"/>
  <c r="J3402" i="8"/>
  <c r="J3401" i="8"/>
  <c r="J3400" i="8"/>
  <c r="J3399" i="8"/>
  <c r="J3398" i="8"/>
  <c r="J3397" i="8"/>
  <c r="J3396" i="8"/>
  <c r="J3395" i="8"/>
  <c r="H3394" i="8"/>
  <c r="H3410" i="8" s="1"/>
  <c r="I3392" i="8"/>
  <c r="J3391" i="8"/>
  <c r="J3390" i="8"/>
  <c r="J3389" i="8"/>
  <c r="J3388" i="8"/>
  <c r="J3387" i="8"/>
  <c r="J3386" i="8"/>
  <c r="J3385" i="8"/>
  <c r="J3384" i="8"/>
  <c r="J3383" i="8"/>
  <c r="J3382" i="8"/>
  <c r="J3381" i="8"/>
  <c r="J3380" i="8"/>
  <c r="J3379" i="8"/>
  <c r="J3378" i="8"/>
  <c r="J3377" i="8"/>
  <c r="J3374" i="8"/>
  <c r="J3373" i="8"/>
  <c r="J3372" i="8"/>
  <c r="J3371" i="8"/>
  <c r="J3370" i="8"/>
  <c r="J3369" i="8"/>
  <c r="J3368" i="8"/>
  <c r="J3367" i="8"/>
  <c r="J3366" i="8"/>
  <c r="J3365" i="8"/>
  <c r="J3364" i="8"/>
  <c r="J3363" i="8"/>
  <c r="J3362" i="8"/>
  <c r="J3361" i="8"/>
  <c r="J3360" i="8"/>
  <c r="J3359" i="8"/>
  <c r="J3358" i="8"/>
  <c r="J3357" i="8"/>
  <c r="J3356" i="8"/>
  <c r="J3355" i="8"/>
  <c r="J3354" i="8"/>
  <c r="J3353" i="8"/>
  <c r="J3352" i="8"/>
  <c r="J3351" i="8"/>
  <c r="J3350" i="8"/>
  <c r="J3349" i="8"/>
  <c r="J3348" i="8"/>
  <c r="J3347" i="8"/>
  <c r="J3346" i="8"/>
  <c r="J3345" i="8"/>
  <c r="J3344" i="8"/>
  <c r="J3343" i="8"/>
  <c r="J3342" i="8"/>
  <c r="J3341" i="8"/>
  <c r="J3340" i="8"/>
  <c r="J3339" i="8"/>
  <c r="J3338" i="8"/>
  <c r="J3337" i="8"/>
  <c r="J3336" i="8"/>
  <c r="J3335" i="8"/>
  <c r="J3334" i="8"/>
  <c r="J3333" i="8"/>
  <c r="J3332" i="8"/>
  <c r="J3331" i="8"/>
  <c r="J3330" i="8"/>
  <c r="J3329" i="8"/>
  <c r="J3328" i="8"/>
  <c r="J3327" i="8"/>
  <c r="J3326" i="8"/>
  <c r="J3325" i="8"/>
  <c r="J3324" i="8"/>
  <c r="J3323" i="8"/>
  <c r="J3322" i="8"/>
  <c r="J3321" i="8"/>
  <c r="J3320" i="8"/>
  <c r="J3319" i="8"/>
  <c r="J3318" i="8"/>
  <c r="J3317" i="8"/>
  <c r="J3316" i="8"/>
  <c r="J3315" i="8"/>
  <c r="I564" i="8"/>
  <c r="J563" i="8"/>
  <c r="J562" i="8"/>
  <c r="J561" i="8"/>
  <c r="J560" i="8"/>
  <c r="J559" i="8"/>
  <c r="J558" i="8"/>
  <c r="J557" i="8"/>
  <c r="J556" i="8"/>
  <c r="J555" i="8"/>
  <c r="J554" i="8"/>
  <c r="J553" i="8"/>
  <c r="J552" i="8"/>
  <c r="J551" i="8"/>
  <c r="J550" i="8"/>
  <c r="J549" i="8"/>
  <c r="I546" i="8"/>
  <c r="J545" i="8"/>
  <c r="J544" i="8"/>
  <c r="J543" i="8"/>
  <c r="J542" i="8"/>
  <c r="J541" i="8"/>
  <c r="J540" i="8"/>
  <c r="J539" i="8"/>
  <c r="J538" i="8"/>
  <c r="J537" i="8"/>
  <c r="J536" i="8"/>
  <c r="J535" i="8"/>
  <c r="J534" i="8"/>
  <c r="J533" i="8"/>
  <c r="J532" i="8"/>
  <c r="J531" i="8"/>
  <c r="J528" i="8"/>
  <c r="J527" i="8"/>
  <c r="J526" i="8"/>
  <c r="J525" i="8"/>
  <c r="J524" i="8"/>
  <c r="J523" i="8"/>
  <c r="J522" i="8"/>
  <c r="J521" i="8"/>
  <c r="J520" i="8"/>
  <c r="J519" i="8"/>
  <c r="J518" i="8"/>
  <c r="J517" i="8"/>
  <c r="J516" i="8"/>
  <c r="J515" i="8"/>
  <c r="J514" i="8"/>
  <c r="J513" i="8"/>
  <c r="J512" i="8"/>
  <c r="J511" i="8"/>
  <c r="J510" i="8"/>
  <c r="J509" i="8"/>
  <c r="J508" i="8"/>
  <c r="J507" i="8"/>
  <c r="J506" i="8"/>
  <c r="J505" i="8"/>
  <c r="J504" i="8"/>
  <c r="J503" i="8"/>
  <c r="J502" i="8"/>
  <c r="J501" i="8"/>
  <c r="J500" i="8"/>
  <c r="J499" i="8"/>
  <c r="J498" i="8"/>
  <c r="J497" i="8"/>
  <c r="J496" i="8"/>
  <c r="J495" i="8"/>
  <c r="J494" i="8"/>
  <c r="J493" i="8"/>
  <c r="J492" i="8"/>
  <c r="J491" i="8"/>
  <c r="J490" i="8"/>
  <c r="J489" i="8"/>
  <c r="J488" i="8"/>
  <c r="J487" i="8"/>
  <c r="J486" i="8"/>
  <c r="J485" i="8"/>
  <c r="J484" i="8"/>
  <c r="J483" i="8"/>
  <c r="J482" i="8"/>
  <c r="J481" i="8"/>
  <c r="J480" i="8"/>
  <c r="J479" i="8"/>
  <c r="J478" i="8"/>
  <c r="J477" i="8"/>
  <c r="J476" i="8"/>
  <c r="J475" i="8"/>
  <c r="J474" i="8"/>
  <c r="J473" i="8"/>
  <c r="J472" i="8"/>
  <c r="J471" i="8"/>
  <c r="J470" i="8"/>
  <c r="J469" i="8"/>
  <c r="J3394" i="8" l="1"/>
  <c r="J3410" i="8" s="1"/>
  <c r="J3376" i="8"/>
  <c r="J3392" i="8" s="1"/>
  <c r="J530" i="8"/>
  <c r="J546" i="8" s="1"/>
  <c r="J548" i="8"/>
  <c r="J564" i="8" s="1"/>
  <c r="I2455" i="8" l="1"/>
  <c r="J2454" i="8"/>
  <c r="J2453" i="8"/>
  <c r="J2452" i="8"/>
  <c r="J2451" i="8"/>
  <c r="J2450" i="8"/>
  <c r="J2449" i="8"/>
  <c r="J2448" i="8"/>
  <c r="J2447" i="8"/>
  <c r="J2446" i="8"/>
  <c r="J2445" i="8"/>
  <c r="J2444" i="8"/>
  <c r="J2443" i="8"/>
  <c r="J2442" i="8"/>
  <c r="J2441" i="8"/>
  <c r="J2440" i="8"/>
  <c r="H2439" i="8"/>
  <c r="H2455" i="8" s="1"/>
  <c r="I2437" i="8"/>
  <c r="J2436" i="8"/>
  <c r="J2435" i="8"/>
  <c r="J2434" i="8"/>
  <c r="J2433" i="8"/>
  <c r="J2432" i="8"/>
  <c r="J2431" i="8"/>
  <c r="J2430" i="8"/>
  <c r="J2429" i="8"/>
  <c r="J2428" i="8"/>
  <c r="J2427" i="8"/>
  <c r="J2426" i="8"/>
  <c r="J2425" i="8"/>
  <c r="J2424" i="8"/>
  <c r="J2423" i="8"/>
  <c r="J2422" i="8"/>
  <c r="H2421" i="8"/>
  <c r="H2437" i="8" s="1"/>
  <c r="J2409" i="8"/>
  <c r="J2408" i="8"/>
  <c r="J2407" i="8"/>
  <c r="J2406" i="8"/>
  <c r="J2405" i="8"/>
  <c r="J2404" i="8"/>
  <c r="J2403" i="8"/>
  <c r="J2402" i="8"/>
  <c r="J2401" i="8"/>
  <c r="J2400" i="8"/>
  <c r="J2399" i="8"/>
  <c r="J2398" i="8"/>
  <c r="J2397" i="8"/>
  <c r="J2396" i="8"/>
  <c r="J2395" i="8"/>
  <c r="J2394" i="8"/>
  <c r="J2393" i="8"/>
  <c r="J2392" i="8"/>
  <c r="J2391" i="8"/>
  <c r="J2390" i="8"/>
  <c r="J2389" i="8"/>
  <c r="J2388" i="8"/>
  <c r="J2387" i="8"/>
  <c r="J2386" i="8"/>
  <c r="J2385" i="8"/>
  <c r="J2384" i="8"/>
  <c r="J2383" i="8"/>
  <c r="J2382" i="8"/>
  <c r="J2381" i="8"/>
  <c r="J2380" i="8"/>
  <c r="J2379" i="8"/>
  <c r="J2378" i="8"/>
  <c r="J2377" i="8"/>
  <c r="J2376" i="8"/>
  <c r="J2375" i="8"/>
  <c r="J2374" i="8"/>
  <c r="J2373" i="8"/>
  <c r="J2372" i="8"/>
  <c r="J2371" i="8"/>
  <c r="J2370" i="8"/>
  <c r="J2369" i="8"/>
  <c r="J2368" i="8"/>
  <c r="J2367" i="8"/>
  <c r="J2366" i="8"/>
  <c r="J2365" i="8"/>
  <c r="J2364" i="8"/>
  <c r="J2363" i="8"/>
  <c r="J2362" i="8"/>
  <c r="J2361" i="8"/>
  <c r="J2360" i="8"/>
  <c r="J2359" i="8"/>
  <c r="J2358" i="8"/>
  <c r="J2357" i="8"/>
  <c r="J2356" i="8"/>
  <c r="J2355" i="8"/>
  <c r="J2354" i="8"/>
  <c r="J2353" i="8"/>
  <c r="J2352" i="8"/>
  <c r="J2351" i="8"/>
  <c r="J2350" i="8"/>
  <c r="I3438" i="8"/>
  <c r="J3437" i="8"/>
  <c r="J3436" i="8"/>
  <c r="J3435" i="8"/>
  <c r="J3434" i="8"/>
  <c r="J3433" i="8"/>
  <c r="J3432" i="8"/>
  <c r="J3431" i="8"/>
  <c r="J3430" i="8"/>
  <c r="J3429" i="8"/>
  <c r="J3428" i="8"/>
  <c r="J3427" i="8"/>
  <c r="J3426" i="8"/>
  <c r="J3425" i="8"/>
  <c r="J3424" i="8"/>
  <c r="J3423" i="8"/>
  <c r="I3311" i="8"/>
  <c r="J3310" i="8"/>
  <c r="J3309" i="8"/>
  <c r="J3308" i="8"/>
  <c r="J3307" i="8"/>
  <c r="J3306" i="8"/>
  <c r="J3305" i="8"/>
  <c r="J3304" i="8"/>
  <c r="J3303" i="8"/>
  <c r="J3302" i="8"/>
  <c r="J3301" i="8"/>
  <c r="J3300" i="8"/>
  <c r="J3299" i="8"/>
  <c r="J3298" i="8"/>
  <c r="J3297" i="8"/>
  <c r="J3296" i="8"/>
  <c r="H3295" i="8"/>
  <c r="H3311" i="8" s="1"/>
  <c r="I3293" i="8"/>
  <c r="J3292" i="8"/>
  <c r="J3291" i="8"/>
  <c r="J3290" i="8"/>
  <c r="J3289" i="8"/>
  <c r="J3288" i="8"/>
  <c r="J3287" i="8"/>
  <c r="J3286" i="8"/>
  <c r="J3285" i="8"/>
  <c r="J3284" i="8"/>
  <c r="J3283" i="8"/>
  <c r="J3282" i="8"/>
  <c r="J3281" i="8"/>
  <c r="J3280" i="8"/>
  <c r="J3279" i="8"/>
  <c r="J3278" i="8"/>
  <c r="H3277" i="8"/>
  <c r="H3293" i="8" s="1"/>
  <c r="J3275" i="8"/>
  <c r="J3274" i="8"/>
  <c r="J3273" i="8"/>
  <c r="J3272" i="8"/>
  <c r="J3271" i="8"/>
  <c r="J3270" i="8"/>
  <c r="J3269" i="8"/>
  <c r="J3268" i="8"/>
  <c r="J3267" i="8"/>
  <c r="J3266" i="8"/>
  <c r="J3265" i="8"/>
  <c r="J3264" i="8"/>
  <c r="J3263" i="8"/>
  <c r="J3262" i="8"/>
  <c r="J3261" i="8"/>
  <c r="J3260" i="8"/>
  <c r="J3259" i="8"/>
  <c r="J3258" i="8"/>
  <c r="J3257" i="8"/>
  <c r="J3256" i="8"/>
  <c r="J3255" i="8"/>
  <c r="J3254" i="8"/>
  <c r="J3253" i="8"/>
  <c r="J3252" i="8"/>
  <c r="J3251" i="8"/>
  <c r="J3250" i="8"/>
  <c r="J3249" i="8"/>
  <c r="J3248" i="8"/>
  <c r="J3247" i="8"/>
  <c r="J3246" i="8"/>
  <c r="J3245" i="8"/>
  <c r="J3244" i="8"/>
  <c r="J3243" i="8"/>
  <c r="J3242" i="8"/>
  <c r="J3241" i="8"/>
  <c r="J3240" i="8"/>
  <c r="J3239" i="8"/>
  <c r="J3238" i="8"/>
  <c r="J3237" i="8"/>
  <c r="J3236" i="8"/>
  <c r="J3235" i="8"/>
  <c r="J3234" i="8"/>
  <c r="J3233" i="8"/>
  <c r="J3232" i="8"/>
  <c r="J3231" i="8"/>
  <c r="J3230" i="8"/>
  <c r="J3229" i="8"/>
  <c r="J3228" i="8"/>
  <c r="J3227" i="8"/>
  <c r="J3226" i="8"/>
  <c r="J3225" i="8"/>
  <c r="J3224" i="8"/>
  <c r="J3223" i="8"/>
  <c r="J3222" i="8"/>
  <c r="J3221" i="8"/>
  <c r="J3220" i="8"/>
  <c r="J3219" i="8"/>
  <c r="J3218" i="8"/>
  <c r="J3217" i="8"/>
  <c r="J3216" i="8"/>
  <c r="J3485" i="8"/>
  <c r="J3486" i="8"/>
  <c r="J3487" i="8"/>
  <c r="J3488" i="8"/>
  <c r="J3489" i="8"/>
  <c r="J3490" i="8"/>
  <c r="J3491" i="8"/>
  <c r="J3492" i="8"/>
  <c r="J3493" i="8"/>
  <c r="J3494" i="8"/>
  <c r="J3495" i="8"/>
  <c r="J3496" i="8"/>
  <c r="J3497" i="8"/>
  <c r="J3498" i="8"/>
  <c r="I3212" i="8"/>
  <c r="J3211" i="8"/>
  <c r="J3210" i="8"/>
  <c r="J3209" i="8"/>
  <c r="J3208" i="8"/>
  <c r="J3207" i="8"/>
  <c r="J3206" i="8"/>
  <c r="J3205" i="8"/>
  <c r="J3204" i="8"/>
  <c r="J3203" i="8"/>
  <c r="J3202" i="8"/>
  <c r="J3201" i="8"/>
  <c r="J3200" i="8"/>
  <c r="J3199" i="8"/>
  <c r="J3198" i="8"/>
  <c r="J3197" i="8"/>
  <c r="H3196" i="8"/>
  <c r="H3212" i="8" s="1"/>
  <c r="I3194" i="8"/>
  <c r="J3193" i="8"/>
  <c r="J3192" i="8"/>
  <c r="J3191" i="8"/>
  <c r="J3190" i="8"/>
  <c r="J3189" i="8"/>
  <c r="J3188" i="8"/>
  <c r="J3187" i="8"/>
  <c r="J3186" i="8"/>
  <c r="J3185" i="8"/>
  <c r="J3184" i="8"/>
  <c r="J3183" i="8"/>
  <c r="J3182" i="8"/>
  <c r="J3181" i="8"/>
  <c r="J3180" i="8"/>
  <c r="J3179" i="8"/>
  <c r="H3178" i="8"/>
  <c r="H3194" i="8" s="1"/>
  <c r="J3176" i="8"/>
  <c r="J3175" i="8"/>
  <c r="J3174" i="8"/>
  <c r="J3173" i="8"/>
  <c r="J3172" i="8"/>
  <c r="J3171" i="8"/>
  <c r="J3170" i="8"/>
  <c r="J3169" i="8"/>
  <c r="J3168" i="8"/>
  <c r="J3167" i="8"/>
  <c r="J3166" i="8"/>
  <c r="J3165" i="8"/>
  <c r="J3164" i="8"/>
  <c r="J3163" i="8"/>
  <c r="J3162" i="8"/>
  <c r="J3161" i="8"/>
  <c r="J3160" i="8"/>
  <c r="J3159" i="8"/>
  <c r="J3158" i="8"/>
  <c r="J3157" i="8"/>
  <c r="J3156" i="8"/>
  <c r="J3155" i="8"/>
  <c r="J3154" i="8"/>
  <c r="J3153" i="8"/>
  <c r="J3152" i="8"/>
  <c r="J3151" i="8"/>
  <c r="J3150" i="8"/>
  <c r="J3149" i="8"/>
  <c r="J3148" i="8"/>
  <c r="J3147" i="8"/>
  <c r="J3146" i="8"/>
  <c r="J3145" i="8"/>
  <c r="J3144" i="8"/>
  <c r="J3143" i="8"/>
  <c r="J3142" i="8"/>
  <c r="J3141" i="8"/>
  <c r="J3140" i="8"/>
  <c r="J3139" i="8"/>
  <c r="J3138" i="8"/>
  <c r="J3137" i="8"/>
  <c r="J3136" i="8"/>
  <c r="J3135" i="8"/>
  <c r="J3134" i="8"/>
  <c r="J3133" i="8"/>
  <c r="J3132" i="8"/>
  <c r="J3131" i="8"/>
  <c r="J3130" i="8"/>
  <c r="J3129" i="8"/>
  <c r="J3128" i="8"/>
  <c r="J3127" i="8"/>
  <c r="J3126" i="8"/>
  <c r="J3125" i="8"/>
  <c r="J3124" i="8"/>
  <c r="J3123" i="8"/>
  <c r="J3122" i="8"/>
  <c r="J3121" i="8"/>
  <c r="J3120" i="8"/>
  <c r="J3119" i="8"/>
  <c r="J3118" i="8"/>
  <c r="J3117" i="8"/>
  <c r="I3112" i="8"/>
  <c r="J3111" i="8"/>
  <c r="J3110" i="8"/>
  <c r="J3109" i="8"/>
  <c r="J3108" i="8"/>
  <c r="J3107" i="8"/>
  <c r="J3106" i="8"/>
  <c r="J3105" i="8"/>
  <c r="J3104" i="8"/>
  <c r="J3103" i="8"/>
  <c r="J3102" i="8"/>
  <c r="J3101" i="8"/>
  <c r="J3100" i="8"/>
  <c r="J3099" i="8"/>
  <c r="J3098" i="8"/>
  <c r="J3097" i="8"/>
  <c r="H3096" i="8"/>
  <c r="H3112" i="8" s="1"/>
  <c r="I3094" i="8"/>
  <c r="J3093" i="8"/>
  <c r="J3092" i="8"/>
  <c r="J3091" i="8"/>
  <c r="J3090" i="8"/>
  <c r="J3089" i="8"/>
  <c r="J3088" i="8"/>
  <c r="J3087" i="8"/>
  <c r="J3086" i="8"/>
  <c r="J3085" i="8"/>
  <c r="J3084" i="8"/>
  <c r="J3083" i="8"/>
  <c r="J3082" i="8"/>
  <c r="J3081" i="8"/>
  <c r="J3080" i="8"/>
  <c r="J3079" i="8"/>
  <c r="H3078" i="8"/>
  <c r="H3094" i="8" s="1"/>
  <c r="J3076" i="8"/>
  <c r="J3075" i="8"/>
  <c r="J3074" i="8"/>
  <c r="J3073" i="8"/>
  <c r="J3072" i="8"/>
  <c r="J3071" i="8"/>
  <c r="J3070" i="8"/>
  <c r="J3069" i="8"/>
  <c r="J3068" i="8"/>
  <c r="J3067" i="8"/>
  <c r="J3066" i="8"/>
  <c r="J3065" i="8"/>
  <c r="J3064" i="8"/>
  <c r="J3063" i="8"/>
  <c r="J3062" i="8"/>
  <c r="J3061" i="8"/>
  <c r="J3060" i="8"/>
  <c r="J3059" i="8"/>
  <c r="J3058" i="8"/>
  <c r="J3057" i="8"/>
  <c r="J3056" i="8"/>
  <c r="J3055" i="8"/>
  <c r="J3054" i="8"/>
  <c r="J3053" i="8"/>
  <c r="J3052" i="8"/>
  <c r="J3051" i="8"/>
  <c r="J3050" i="8"/>
  <c r="J3049" i="8"/>
  <c r="J3048" i="8"/>
  <c r="J3047" i="8"/>
  <c r="J3046" i="8"/>
  <c r="J3045" i="8"/>
  <c r="J3044" i="8"/>
  <c r="J3043" i="8"/>
  <c r="J3042" i="8"/>
  <c r="J3041" i="8"/>
  <c r="J3040" i="8"/>
  <c r="J3039" i="8"/>
  <c r="J3038" i="8"/>
  <c r="J3037" i="8"/>
  <c r="J3036" i="8"/>
  <c r="J3035" i="8"/>
  <c r="J3034" i="8"/>
  <c r="J3033" i="8"/>
  <c r="J3032" i="8"/>
  <c r="J3031" i="8"/>
  <c r="J3030" i="8"/>
  <c r="J3029" i="8"/>
  <c r="J3028" i="8"/>
  <c r="J3027" i="8"/>
  <c r="J3026" i="8"/>
  <c r="J3025" i="8"/>
  <c r="J3024" i="8"/>
  <c r="J3023" i="8"/>
  <c r="J3022" i="8"/>
  <c r="J3021" i="8"/>
  <c r="J3020" i="8"/>
  <c r="J3019" i="8"/>
  <c r="J3018" i="8"/>
  <c r="J3017" i="8"/>
  <c r="I3013" i="8"/>
  <c r="J3012" i="8"/>
  <c r="J3011" i="8"/>
  <c r="J3010" i="8"/>
  <c r="J3009" i="8"/>
  <c r="J3008" i="8"/>
  <c r="J3007" i="8"/>
  <c r="J3006" i="8"/>
  <c r="J3005" i="8"/>
  <c r="J3004" i="8"/>
  <c r="J3003" i="8"/>
  <c r="J3002" i="8"/>
  <c r="J3001" i="8"/>
  <c r="J3000" i="8"/>
  <c r="J2999" i="8"/>
  <c r="J2998" i="8"/>
  <c r="H2997" i="8"/>
  <c r="H3013" i="8" s="1"/>
  <c r="I2995" i="8"/>
  <c r="J2994" i="8"/>
  <c r="J2993" i="8"/>
  <c r="J2992" i="8"/>
  <c r="J2991" i="8"/>
  <c r="J2990" i="8"/>
  <c r="J2989" i="8"/>
  <c r="J2988" i="8"/>
  <c r="J2987" i="8"/>
  <c r="J2986" i="8"/>
  <c r="J2985" i="8"/>
  <c r="J2984" i="8"/>
  <c r="J2983" i="8"/>
  <c r="J2982" i="8"/>
  <c r="J2981" i="8"/>
  <c r="J2980" i="8"/>
  <c r="H2979" i="8"/>
  <c r="H2995" i="8" s="1"/>
  <c r="J2977" i="8"/>
  <c r="J2976" i="8"/>
  <c r="J2975" i="8"/>
  <c r="J2974" i="8"/>
  <c r="J2973" i="8"/>
  <c r="J2972" i="8"/>
  <c r="J2971" i="8"/>
  <c r="J2970" i="8"/>
  <c r="J2969" i="8"/>
  <c r="J2968" i="8"/>
  <c r="J2967" i="8"/>
  <c r="J2966" i="8"/>
  <c r="J2965" i="8"/>
  <c r="J2964" i="8"/>
  <c r="J2963" i="8"/>
  <c r="J2962" i="8"/>
  <c r="J2961" i="8"/>
  <c r="J2960" i="8"/>
  <c r="J2959" i="8"/>
  <c r="J2958" i="8"/>
  <c r="J2957" i="8"/>
  <c r="J2956" i="8"/>
  <c r="J2955" i="8"/>
  <c r="J2954" i="8"/>
  <c r="J2953" i="8"/>
  <c r="J2952" i="8"/>
  <c r="J2951" i="8"/>
  <c r="J2950" i="8"/>
  <c r="J2949" i="8"/>
  <c r="J2948" i="8"/>
  <c r="J2947" i="8"/>
  <c r="J2946" i="8"/>
  <c r="J2945" i="8"/>
  <c r="J2944" i="8"/>
  <c r="J2943" i="8"/>
  <c r="J2942" i="8"/>
  <c r="J2941" i="8"/>
  <c r="J2940" i="8"/>
  <c r="J2939" i="8"/>
  <c r="J2938" i="8"/>
  <c r="J2937" i="8"/>
  <c r="J2936" i="8"/>
  <c r="J2935" i="8"/>
  <c r="J2934" i="8"/>
  <c r="J2933" i="8"/>
  <c r="J2932" i="8"/>
  <c r="J2931" i="8"/>
  <c r="J2930" i="8"/>
  <c r="J2929" i="8"/>
  <c r="J2928" i="8"/>
  <c r="J2927" i="8"/>
  <c r="J2926" i="8"/>
  <c r="J2925" i="8"/>
  <c r="J2924" i="8"/>
  <c r="J2923" i="8"/>
  <c r="J2922" i="8"/>
  <c r="J2921" i="8"/>
  <c r="J2920" i="8"/>
  <c r="J2919" i="8"/>
  <c r="J2918" i="8"/>
  <c r="I2914" i="8"/>
  <c r="J2913" i="8"/>
  <c r="J2912" i="8"/>
  <c r="J2911" i="8"/>
  <c r="J2910" i="8"/>
  <c r="J2909" i="8"/>
  <c r="J2908" i="8"/>
  <c r="J2907" i="8"/>
  <c r="J2906" i="8"/>
  <c r="J2905" i="8"/>
  <c r="J2904" i="8"/>
  <c r="J2903" i="8"/>
  <c r="J2902" i="8"/>
  <c r="J2901" i="8"/>
  <c r="J2900" i="8"/>
  <c r="J2899" i="8"/>
  <c r="H2898" i="8"/>
  <c r="H2914" i="8" s="1"/>
  <c r="I2896" i="8"/>
  <c r="J2895" i="8"/>
  <c r="J2894" i="8"/>
  <c r="J2893" i="8"/>
  <c r="J2892" i="8"/>
  <c r="J2891" i="8"/>
  <c r="J2890" i="8"/>
  <c r="J2889" i="8"/>
  <c r="J2888" i="8"/>
  <c r="J2887" i="8"/>
  <c r="J2886" i="8"/>
  <c r="J2885" i="8"/>
  <c r="J2884" i="8"/>
  <c r="J2883" i="8"/>
  <c r="J2882" i="8"/>
  <c r="J2881" i="8"/>
  <c r="H2880" i="8"/>
  <c r="H2896" i="8" s="1"/>
  <c r="J2878" i="8"/>
  <c r="J2877" i="8"/>
  <c r="J2876" i="8"/>
  <c r="J2875" i="8"/>
  <c r="J2874" i="8"/>
  <c r="J2873" i="8"/>
  <c r="J2872" i="8"/>
  <c r="J2871" i="8"/>
  <c r="J2870" i="8"/>
  <c r="J2869" i="8"/>
  <c r="J2868" i="8"/>
  <c r="J2867" i="8"/>
  <c r="J2866" i="8"/>
  <c r="J2865" i="8"/>
  <c r="J2864" i="8"/>
  <c r="J2863" i="8"/>
  <c r="J2862" i="8"/>
  <c r="J2861" i="8"/>
  <c r="J2860" i="8"/>
  <c r="J2859" i="8"/>
  <c r="J2858" i="8"/>
  <c r="J2857" i="8"/>
  <c r="J2856" i="8"/>
  <c r="J2855" i="8"/>
  <c r="J2854" i="8"/>
  <c r="J2853" i="8"/>
  <c r="J2852" i="8"/>
  <c r="J2851" i="8"/>
  <c r="J2850" i="8"/>
  <c r="J2849" i="8"/>
  <c r="J2848" i="8"/>
  <c r="J2847" i="8"/>
  <c r="J2846" i="8"/>
  <c r="J2845" i="8"/>
  <c r="J2844" i="8"/>
  <c r="J2843" i="8"/>
  <c r="J2842" i="8"/>
  <c r="J2841" i="8"/>
  <c r="J2840" i="8"/>
  <c r="J2839" i="8"/>
  <c r="J2838" i="8"/>
  <c r="J2837" i="8"/>
  <c r="J2836" i="8"/>
  <c r="J2835" i="8"/>
  <c r="J2834" i="8"/>
  <c r="J2833" i="8"/>
  <c r="J2832" i="8"/>
  <c r="J2831" i="8"/>
  <c r="J2830" i="8"/>
  <c r="J2829" i="8"/>
  <c r="J2828" i="8"/>
  <c r="J2827" i="8"/>
  <c r="J2826" i="8"/>
  <c r="J2825" i="8"/>
  <c r="J2824" i="8"/>
  <c r="J2823" i="8"/>
  <c r="J2822" i="8"/>
  <c r="J2821" i="8"/>
  <c r="J2820" i="8"/>
  <c r="J2819" i="8"/>
  <c r="I2815" i="8"/>
  <c r="J2814" i="8"/>
  <c r="J2813" i="8"/>
  <c r="J2812" i="8"/>
  <c r="J2811" i="8"/>
  <c r="J2810" i="8"/>
  <c r="J2809" i="8"/>
  <c r="J2808" i="8"/>
  <c r="J2807" i="8"/>
  <c r="J2806" i="8"/>
  <c r="J2805" i="8"/>
  <c r="J2804" i="8"/>
  <c r="J2803" i="8"/>
  <c r="J2802" i="8"/>
  <c r="J2801" i="8"/>
  <c r="J2800" i="8"/>
  <c r="H2799" i="8"/>
  <c r="H2815" i="8" s="1"/>
  <c r="I2702" i="8"/>
  <c r="J2701" i="8"/>
  <c r="J2700" i="8"/>
  <c r="J2699" i="8"/>
  <c r="J2698" i="8"/>
  <c r="J2697" i="8"/>
  <c r="J2696" i="8"/>
  <c r="J2695" i="8"/>
  <c r="J2694" i="8"/>
  <c r="J2693" i="8"/>
  <c r="J2692" i="8"/>
  <c r="J2691" i="8"/>
  <c r="J2690" i="8"/>
  <c r="J2689" i="8"/>
  <c r="J2688" i="8"/>
  <c r="J2687" i="8"/>
  <c r="I2797" i="8"/>
  <c r="J2796" i="8"/>
  <c r="J2795" i="8"/>
  <c r="J2794" i="8"/>
  <c r="J2793" i="8"/>
  <c r="J2792" i="8"/>
  <c r="J2791" i="8"/>
  <c r="J2790" i="8"/>
  <c r="J2789" i="8"/>
  <c r="J2788" i="8"/>
  <c r="J2787" i="8"/>
  <c r="J2786" i="8"/>
  <c r="J2785" i="8"/>
  <c r="J2784" i="8"/>
  <c r="J2783" i="8"/>
  <c r="J2782" i="8"/>
  <c r="H2781" i="8"/>
  <c r="H2797" i="8" s="1"/>
  <c r="J2779" i="8"/>
  <c r="J2778" i="8"/>
  <c r="J2777" i="8"/>
  <c r="J2776" i="8"/>
  <c r="J2775" i="8"/>
  <c r="J2774" i="8"/>
  <c r="J2773" i="8"/>
  <c r="J2772" i="8"/>
  <c r="J2771" i="8"/>
  <c r="J2770" i="8"/>
  <c r="J2769" i="8"/>
  <c r="J2768" i="8"/>
  <c r="J2767" i="8"/>
  <c r="J2766" i="8"/>
  <c r="J2765" i="8"/>
  <c r="J2764" i="8"/>
  <c r="J2763" i="8"/>
  <c r="J2762" i="8"/>
  <c r="J2761" i="8"/>
  <c r="J2760" i="8"/>
  <c r="J2759" i="8"/>
  <c r="J2758" i="8"/>
  <c r="J2757" i="8"/>
  <c r="J2756" i="8"/>
  <c r="J2755" i="8"/>
  <c r="J2754" i="8"/>
  <c r="J2753" i="8"/>
  <c r="J2752" i="8"/>
  <c r="J2751" i="8"/>
  <c r="J2750" i="8"/>
  <c r="J2749" i="8"/>
  <c r="J2748" i="8"/>
  <c r="J2747" i="8"/>
  <c r="J2746" i="8"/>
  <c r="J2745" i="8"/>
  <c r="J2744" i="8"/>
  <c r="J2743" i="8"/>
  <c r="J2742" i="8"/>
  <c r="J2741" i="8"/>
  <c r="J2740" i="8"/>
  <c r="J2739" i="8"/>
  <c r="J2738" i="8"/>
  <c r="J2737" i="8"/>
  <c r="J2736" i="8"/>
  <c r="J2735" i="8"/>
  <c r="J2734" i="8"/>
  <c r="J2733" i="8"/>
  <c r="J2732" i="8"/>
  <c r="J2731" i="8"/>
  <c r="J2730" i="8"/>
  <c r="J2729" i="8"/>
  <c r="J2728" i="8"/>
  <c r="J2727" i="8"/>
  <c r="J2726" i="8"/>
  <c r="J2725" i="8"/>
  <c r="J2724" i="8"/>
  <c r="J2723" i="8"/>
  <c r="J2722" i="8"/>
  <c r="J2721" i="8"/>
  <c r="J2720" i="8"/>
  <c r="I2684" i="8"/>
  <c r="J2683" i="8"/>
  <c r="J2682" i="8"/>
  <c r="J2681" i="8"/>
  <c r="J2680" i="8"/>
  <c r="J2679" i="8"/>
  <c r="J2678" i="8"/>
  <c r="J2677" i="8"/>
  <c r="J2676" i="8"/>
  <c r="J2675" i="8"/>
  <c r="J2674" i="8"/>
  <c r="J2673" i="8"/>
  <c r="J2672" i="8"/>
  <c r="J2671" i="8"/>
  <c r="J2670" i="8"/>
  <c r="J2669" i="8"/>
  <c r="H2684" i="8"/>
  <c r="H2686" i="8" s="1"/>
  <c r="H2702" i="8" s="1"/>
  <c r="J2666" i="8"/>
  <c r="J2665" i="8"/>
  <c r="J2664" i="8"/>
  <c r="J2663" i="8"/>
  <c r="J2662" i="8"/>
  <c r="J2661" i="8"/>
  <c r="J2660" i="8"/>
  <c r="J2659" i="8"/>
  <c r="J2658" i="8"/>
  <c r="J2657" i="8"/>
  <c r="J2656" i="8"/>
  <c r="J2655" i="8"/>
  <c r="J2654" i="8"/>
  <c r="J2653" i="8"/>
  <c r="J2652" i="8"/>
  <c r="J2651" i="8"/>
  <c r="J2650" i="8"/>
  <c r="J2649" i="8"/>
  <c r="J2648" i="8"/>
  <c r="J2647" i="8"/>
  <c r="J2646" i="8"/>
  <c r="J2645" i="8"/>
  <c r="J2644" i="8"/>
  <c r="J2643" i="8"/>
  <c r="J2642" i="8"/>
  <c r="J2641" i="8"/>
  <c r="J2640" i="8"/>
  <c r="J2639" i="8"/>
  <c r="J2638" i="8"/>
  <c r="J2637" i="8"/>
  <c r="J2636" i="8"/>
  <c r="J2635" i="8"/>
  <c r="J2634" i="8"/>
  <c r="J2633" i="8"/>
  <c r="J2632" i="8"/>
  <c r="J2631" i="8"/>
  <c r="J2630" i="8"/>
  <c r="J2629" i="8"/>
  <c r="J2628" i="8"/>
  <c r="J2627" i="8"/>
  <c r="J2626" i="8"/>
  <c r="J2625" i="8"/>
  <c r="J2624" i="8"/>
  <c r="J2623" i="8"/>
  <c r="J2622" i="8"/>
  <c r="J2621" i="8"/>
  <c r="J2620" i="8"/>
  <c r="J2619" i="8"/>
  <c r="J2618" i="8"/>
  <c r="J2617" i="8"/>
  <c r="J2616" i="8"/>
  <c r="J2615" i="8"/>
  <c r="J2614" i="8"/>
  <c r="J2613" i="8"/>
  <c r="J2612" i="8"/>
  <c r="J2611" i="8"/>
  <c r="J2610" i="8"/>
  <c r="J2609" i="8"/>
  <c r="J2608" i="8"/>
  <c r="J2607" i="8"/>
  <c r="I15441" i="8"/>
  <c r="J15440" i="8"/>
  <c r="J15439" i="8"/>
  <c r="J15438" i="8"/>
  <c r="J15437" i="8"/>
  <c r="J15436" i="8"/>
  <c r="J15435" i="8"/>
  <c r="J15434" i="8"/>
  <c r="J15433" i="8"/>
  <c r="J15432" i="8"/>
  <c r="J15431" i="8"/>
  <c r="J15430" i="8"/>
  <c r="J15429" i="8"/>
  <c r="J15428" i="8"/>
  <c r="J15427" i="8"/>
  <c r="J15426" i="8"/>
  <c r="H15425" i="8"/>
  <c r="H15441" i="8" s="1"/>
  <c r="I15423" i="8"/>
  <c r="J15422" i="8"/>
  <c r="J15421" i="8"/>
  <c r="J15420" i="8"/>
  <c r="J15419" i="8"/>
  <c r="J15418" i="8"/>
  <c r="J15417" i="8"/>
  <c r="J15416" i="8"/>
  <c r="J15415" i="8"/>
  <c r="J15414" i="8"/>
  <c r="J15413" i="8"/>
  <c r="J15412" i="8"/>
  <c r="J15411" i="8"/>
  <c r="J15410" i="8"/>
  <c r="J15409" i="8"/>
  <c r="J15408" i="8"/>
  <c r="H15407" i="8"/>
  <c r="H15423" i="8" s="1"/>
  <c r="J15405" i="8"/>
  <c r="J15404" i="8"/>
  <c r="J15403" i="8"/>
  <c r="J15402" i="8"/>
  <c r="J15401" i="8"/>
  <c r="J15400" i="8"/>
  <c r="J15399" i="8"/>
  <c r="J15398" i="8"/>
  <c r="J15397" i="8"/>
  <c r="J15396" i="8"/>
  <c r="J15395" i="8"/>
  <c r="J15394" i="8"/>
  <c r="J15393" i="8"/>
  <c r="J15392" i="8"/>
  <c r="J15391" i="8"/>
  <c r="J15390" i="8"/>
  <c r="J15389" i="8"/>
  <c r="J15388" i="8"/>
  <c r="J15387" i="8"/>
  <c r="J15386" i="8"/>
  <c r="J15385" i="8"/>
  <c r="J15384" i="8"/>
  <c r="J15383" i="8"/>
  <c r="J15382" i="8"/>
  <c r="J15381" i="8"/>
  <c r="J15380" i="8"/>
  <c r="J15379" i="8"/>
  <c r="J15378" i="8"/>
  <c r="J15377" i="8"/>
  <c r="J15376" i="8"/>
  <c r="J15375" i="8"/>
  <c r="J15374" i="8"/>
  <c r="J15373" i="8"/>
  <c r="J15372" i="8"/>
  <c r="J15371" i="8"/>
  <c r="J15370" i="8"/>
  <c r="J15369" i="8"/>
  <c r="J15368" i="8"/>
  <c r="J15367" i="8"/>
  <c r="J15366" i="8"/>
  <c r="J15365" i="8"/>
  <c r="J15364" i="8"/>
  <c r="J15363" i="8"/>
  <c r="J15362" i="8"/>
  <c r="J15361" i="8"/>
  <c r="J15360" i="8"/>
  <c r="J15359" i="8"/>
  <c r="J15358" i="8"/>
  <c r="J15357" i="8"/>
  <c r="J15356" i="8"/>
  <c r="J15355" i="8"/>
  <c r="J15354" i="8"/>
  <c r="J15353" i="8"/>
  <c r="J15352" i="8"/>
  <c r="J15351" i="8"/>
  <c r="J15350" i="8"/>
  <c r="J15349" i="8"/>
  <c r="J15348" i="8"/>
  <c r="J15347" i="8"/>
  <c r="J15346" i="8"/>
  <c r="I15342" i="8"/>
  <c r="J15341" i="8"/>
  <c r="J15340" i="8"/>
  <c r="J15339" i="8"/>
  <c r="J15338" i="8"/>
  <c r="J15337" i="8"/>
  <c r="J15336" i="8"/>
  <c r="J15335" i="8"/>
  <c r="J15334" i="8"/>
  <c r="J15333" i="8"/>
  <c r="J15332" i="8"/>
  <c r="J15331" i="8"/>
  <c r="J15330" i="8"/>
  <c r="J15329" i="8"/>
  <c r="J15328" i="8"/>
  <c r="J15327" i="8"/>
  <c r="H15326" i="8"/>
  <c r="H15342" i="8" s="1"/>
  <c r="I15324" i="8"/>
  <c r="J15323" i="8"/>
  <c r="J15322" i="8"/>
  <c r="J15321" i="8"/>
  <c r="J15320" i="8"/>
  <c r="J15319" i="8"/>
  <c r="J15318" i="8"/>
  <c r="J15317" i="8"/>
  <c r="J15316" i="8"/>
  <c r="J15315" i="8"/>
  <c r="J15314" i="8"/>
  <c r="J15313" i="8"/>
  <c r="J15312" i="8"/>
  <c r="J15311" i="8"/>
  <c r="J15310" i="8"/>
  <c r="J15309" i="8"/>
  <c r="H15308" i="8"/>
  <c r="H15324" i="8" s="1"/>
  <c r="J15306" i="8"/>
  <c r="J15305" i="8"/>
  <c r="J15304" i="8"/>
  <c r="J15303" i="8"/>
  <c r="J15302" i="8"/>
  <c r="J15301" i="8"/>
  <c r="J15300" i="8"/>
  <c r="J15299" i="8"/>
  <c r="J15298" i="8"/>
  <c r="J15297" i="8"/>
  <c r="J15296" i="8"/>
  <c r="J15295" i="8"/>
  <c r="J15294" i="8"/>
  <c r="J15293" i="8"/>
  <c r="J15292" i="8"/>
  <c r="J15291" i="8"/>
  <c r="J15290" i="8"/>
  <c r="J15289" i="8"/>
  <c r="J15288" i="8"/>
  <c r="J15287" i="8"/>
  <c r="J15286" i="8"/>
  <c r="J15285" i="8"/>
  <c r="J15284" i="8"/>
  <c r="J15283" i="8"/>
  <c r="J15282" i="8"/>
  <c r="J15281" i="8"/>
  <c r="J15280" i="8"/>
  <c r="J15279" i="8"/>
  <c r="J15278" i="8"/>
  <c r="J15277" i="8"/>
  <c r="J15276" i="8"/>
  <c r="J15275" i="8"/>
  <c r="J15274" i="8"/>
  <c r="J15273" i="8"/>
  <c r="J15272" i="8"/>
  <c r="J15271" i="8"/>
  <c r="J15270" i="8"/>
  <c r="J15269" i="8"/>
  <c r="J15268" i="8"/>
  <c r="J15267" i="8"/>
  <c r="J15266" i="8"/>
  <c r="J15265" i="8"/>
  <c r="J15264" i="8"/>
  <c r="J15263" i="8"/>
  <c r="J15262" i="8"/>
  <c r="J15261" i="8"/>
  <c r="J15260" i="8"/>
  <c r="J15259" i="8"/>
  <c r="J15258" i="8"/>
  <c r="J15257" i="8"/>
  <c r="J15256" i="8"/>
  <c r="J15255" i="8"/>
  <c r="J15254" i="8"/>
  <c r="J15253" i="8"/>
  <c r="J15252" i="8"/>
  <c r="J15251" i="8"/>
  <c r="J15250" i="8"/>
  <c r="J15249" i="8"/>
  <c r="J15248" i="8"/>
  <c r="J15247" i="8"/>
  <c r="I15243" i="8"/>
  <c r="J15242" i="8"/>
  <c r="J15241" i="8"/>
  <c r="J15240" i="8"/>
  <c r="J15239" i="8"/>
  <c r="J15238" i="8"/>
  <c r="J15237" i="8"/>
  <c r="J15236" i="8"/>
  <c r="J15235" i="8"/>
  <c r="J15234" i="8"/>
  <c r="J15233" i="8"/>
  <c r="J15232" i="8"/>
  <c r="J15231" i="8"/>
  <c r="J15230" i="8"/>
  <c r="J15229" i="8"/>
  <c r="J15228" i="8"/>
  <c r="H15227" i="8"/>
  <c r="H15243" i="8" s="1"/>
  <c r="I15225" i="8"/>
  <c r="J15224" i="8"/>
  <c r="J15223" i="8"/>
  <c r="J15222" i="8"/>
  <c r="J15221" i="8"/>
  <c r="J15220" i="8"/>
  <c r="J15219" i="8"/>
  <c r="J15218" i="8"/>
  <c r="J15217" i="8"/>
  <c r="J15216" i="8"/>
  <c r="J15215" i="8"/>
  <c r="J15214" i="8"/>
  <c r="J15213" i="8"/>
  <c r="J15212" i="8"/>
  <c r="J15211" i="8"/>
  <c r="J15210" i="8"/>
  <c r="H15209" i="8"/>
  <c r="H15225" i="8" s="1"/>
  <c r="J15207" i="8"/>
  <c r="J15206" i="8"/>
  <c r="J15205" i="8"/>
  <c r="J15204" i="8"/>
  <c r="J15203" i="8"/>
  <c r="J15202" i="8"/>
  <c r="J15201" i="8"/>
  <c r="J15200" i="8"/>
  <c r="J15199" i="8"/>
  <c r="J15198" i="8"/>
  <c r="J15197" i="8"/>
  <c r="J15196" i="8"/>
  <c r="J15195" i="8"/>
  <c r="J15194" i="8"/>
  <c r="J15193" i="8"/>
  <c r="J15192" i="8"/>
  <c r="J15191" i="8"/>
  <c r="J15190" i="8"/>
  <c r="J15189" i="8"/>
  <c r="J15188" i="8"/>
  <c r="J15187" i="8"/>
  <c r="J15186" i="8"/>
  <c r="J15185" i="8"/>
  <c r="J15184" i="8"/>
  <c r="J15183" i="8"/>
  <c r="J15182" i="8"/>
  <c r="J15181" i="8"/>
  <c r="J15180" i="8"/>
  <c r="J15179" i="8"/>
  <c r="J15178" i="8"/>
  <c r="J15177" i="8"/>
  <c r="J15176" i="8"/>
  <c r="J15175" i="8"/>
  <c r="J15174" i="8"/>
  <c r="J15173" i="8"/>
  <c r="J15172" i="8"/>
  <c r="J15171" i="8"/>
  <c r="J15170" i="8"/>
  <c r="J15169" i="8"/>
  <c r="J15168" i="8"/>
  <c r="J15167" i="8"/>
  <c r="J15166" i="8"/>
  <c r="J15165" i="8"/>
  <c r="J15164" i="8"/>
  <c r="J15163" i="8"/>
  <c r="J15162" i="8"/>
  <c r="J15161" i="8"/>
  <c r="J15160" i="8"/>
  <c r="J15159" i="8"/>
  <c r="J15158" i="8"/>
  <c r="J15157" i="8"/>
  <c r="J15156" i="8"/>
  <c r="J15155" i="8"/>
  <c r="J15154" i="8"/>
  <c r="J15153" i="8"/>
  <c r="J15152" i="8"/>
  <c r="J15151" i="8"/>
  <c r="J15150" i="8"/>
  <c r="J15149" i="8"/>
  <c r="J15148" i="8"/>
  <c r="I15144" i="8"/>
  <c r="J15143" i="8"/>
  <c r="J15142" i="8"/>
  <c r="J15141" i="8"/>
  <c r="J15140" i="8"/>
  <c r="J15139" i="8"/>
  <c r="J15138" i="8"/>
  <c r="J15137" i="8"/>
  <c r="J15136" i="8"/>
  <c r="J15135" i="8"/>
  <c r="J15134" i="8"/>
  <c r="J15133" i="8"/>
  <c r="J15132" i="8"/>
  <c r="J15131" i="8"/>
  <c r="J15130" i="8"/>
  <c r="J15129" i="8"/>
  <c r="H15128" i="8"/>
  <c r="H15144" i="8" s="1"/>
  <c r="I15126" i="8"/>
  <c r="J15125" i="8"/>
  <c r="J15124" i="8"/>
  <c r="J15123" i="8"/>
  <c r="J15122" i="8"/>
  <c r="J15121" i="8"/>
  <c r="J15120" i="8"/>
  <c r="J15119" i="8"/>
  <c r="J15118" i="8"/>
  <c r="J15117" i="8"/>
  <c r="J15116" i="8"/>
  <c r="J15115" i="8"/>
  <c r="J15114" i="8"/>
  <c r="J15113" i="8"/>
  <c r="J15112" i="8"/>
  <c r="J15111" i="8"/>
  <c r="H15110" i="8"/>
  <c r="H15126" i="8" s="1"/>
  <c r="J15108" i="8"/>
  <c r="J15107" i="8"/>
  <c r="J15106" i="8"/>
  <c r="J15105" i="8"/>
  <c r="J15104" i="8"/>
  <c r="J15103" i="8"/>
  <c r="J15102" i="8"/>
  <c r="J15101" i="8"/>
  <c r="J15100" i="8"/>
  <c r="J15099" i="8"/>
  <c r="J15098" i="8"/>
  <c r="J15097" i="8"/>
  <c r="J15096" i="8"/>
  <c r="J15095" i="8"/>
  <c r="J15094" i="8"/>
  <c r="J15093" i="8"/>
  <c r="J15092" i="8"/>
  <c r="J15091" i="8"/>
  <c r="J15090" i="8"/>
  <c r="J15089" i="8"/>
  <c r="J15088" i="8"/>
  <c r="J15087" i="8"/>
  <c r="J15086" i="8"/>
  <c r="J15085" i="8"/>
  <c r="J15084" i="8"/>
  <c r="J15083" i="8"/>
  <c r="J15082" i="8"/>
  <c r="J15081" i="8"/>
  <c r="J15080" i="8"/>
  <c r="J15079" i="8"/>
  <c r="J15078" i="8"/>
  <c r="J15077" i="8"/>
  <c r="J15076" i="8"/>
  <c r="J15075" i="8"/>
  <c r="J15074" i="8"/>
  <c r="J15073" i="8"/>
  <c r="J15072" i="8"/>
  <c r="J15071" i="8"/>
  <c r="J15070" i="8"/>
  <c r="J15069" i="8"/>
  <c r="J15068" i="8"/>
  <c r="J15067" i="8"/>
  <c r="J15066" i="8"/>
  <c r="J15065" i="8"/>
  <c r="J15064" i="8"/>
  <c r="J15063" i="8"/>
  <c r="J15062" i="8"/>
  <c r="J15061" i="8"/>
  <c r="J15060" i="8"/>
  <c r="J15059" i="8"/>
  <c r="J15058" i="8"/>
  <c r="J15057" i="8"/>
  <c r="J15056" i="8"/>
  <c r="J15055" i="8"/>
  <c r="J15054" i="8"/>
  <c r="J15053" i="8"/>
  <c r="J15052" i="8"/>
  <c r="J15051" i="8"/>
  <c r="J15050" i="8"/>
  <c r="J15049" i="8"/>
  <c r="I15045" i="8"/>
  <c r="J15044" i="8"/>
  <c r="J15043" i="8"/>
  <c r="J15042" i="8"/>
  <c r="J15041" i="8"/>
  <c r="J15040" i="8"/>
  <c r="J15039" i="8"/>
  <c r="J15038" i="8"/>
  <c r="J15037" i="8"/>
  <c r="J15036" i="8"/>
  <c r="J15035" i="8"/>
  <c r="J15034" i="8"/>
  <c r="J15033" i="8"/>
  <c r="J15032" i="8"/>
  <c r="J15031" i="8"/>
  <c r="J15030" i="8"/>
  <c r="H15029" i="8"/>
  <c r="H15045" i="8" s="1"/>
  <c r="I15027" i="8"/>
  <c r="J15026" i="8"/>
  <c r="J15025" i="8"/>
  <c r="J15024" i="8"/>
  <c r="J15023" i="8"/>
  <c r="J15022" i="8"/>
  <c r="J15021" i="8"/>
  <c r="J15020" i="8"/>
  <c r="J15019" i="8"/>
  <c r="J15018" i="8"/>
  <c r="J15017" i="8"/>
  <c r="J15016" i="8"/>
  <c r="J15015" i="8"/>
  <c r="J15014" i="8"/>
  <c r="J15013" i="8"/>
  <c r="J15012" i="8"/>
  <c r="H15011" i="8"/>
  <c r="H15027" i="8" s="1"/>
  <c r="J15009" i="8"/>
  <c r="J15008" i="8"/>
  <c r="J15007" i="8"/>
  <c r="J15006" i="8"/>
  <c r="J15005" i="8"/>
  <c r="J15004" i="8"/>
  <c r="J15003" i="8"/>
  <c r="J15002" i="8"/>
  <c r="J15001" i="8"/>
  <c r="J15000" i="8"/>
  <c r="J14999" i="8"/>
  <c r="J14998" i="8"/>
  <c r="J14997" i="8"/>
  <c r="J14996" i="8"/>
  <c r="J14995" i="8"/>
  <c r="J14994" i="8"/>
  <c r="J14993" i="8"/>
  <c r="J14992" i="8"/>
  <c r="J14991" i="8"/>
  <c r="J14990" i="8"/>
  <c r="J14989" i="8"/>
  <c r="J14988" i="8"/>
  <c r="J14987" i="8"/>
  <c r="J14986" i="8"/>
  <c r="J14985" i="8"/>
  <c r="J14984" i="8"/>
  <c r="J14983" i="8"/>
  <c r="J14982" i="8"/>
  <c r="J14981" i="8"/>
  <c r="J14980" i="8"/>
  <c r="J14979" i="8"/>
  <c r="J14978" i="8"/>
  <c r="J14977" i="8"/>
  <c r="J14976" i="8"/>
  <c r="J14975" i="8"/>
  <c r="J14974" i="8"/>
  <c r="J14973" i="8"/>
  <c r="J14972" i="8"/>
  <c r="J14971" i="8"/>
  <c r="J14970" i="8"/>
  <c r="J14969" i="8"/>
  <c r="J14968" i="8"/>
  <c r="J14967" i="8"/>
  <c r="J14966" i="8"/>
  <c r="J14965" i="8"/>
  <c r="J14964" i="8"/>
  <c r="J14963" i="8"/>
  <c r="J14962" i="8"/>
  <c r="J14961" i="8"/>
  <c r="J14960" i="8"/>
  <c r="J14959" i="8"/>
  <c r="J14958" i="8"/>
  <c r="J14957" i="8"/>
  <c r="J14956" i="8"/>
  <c r="J14955" i="8"/>
  <c r="J14954" i="8"/>
  <c r="J14953" i="8"/>
  <c r="J14952" i="8"/>
  <c r="J14951" i="8"/>
  <c r="J14950" i="8"/>
  <c r="I14946" i="8"/>
  <c r="J14945" i="8"/>
  <c r="J14944" i="8"/>
  <c r="J14943" i="8"/>
  <c r="J14942" i="8"/>
  <c r="J14941" i="8"/>
  <c r="J14940" i="8"/>
  <c r="J14939" i="8"/>
  <c r="J14938" i="8"/>
  <c r="J14937" i="8"/>
  <c r="J14936" i="8"/>
  <c r="J14935" i="8"/>
  <c r="J14934" i="8"/>
  <c r="J14933" i="8"/>
  <c r="J14932" i="8"/>
  <c r="J14931" i="8"/>
  <c r="H14930" i="8"/>
  <c r="H14946" i="8" s="1"/>
  <c r="I14928" i="8"/>
  <c r="J14927" i="8"/>
  <c r="J14926" i="8"/>
  <c r="J14925" i="8"/>
  <c r="J14924" i="8"/>
  <c r="J14923" i="8"/>
  <c r="J14922" i="8"/>
  <c r="J14921" i="8"/>
  <c r="J14920" i="8"/>
  <c r="J14919" i="8"/>
  <c r="J14918" i="8"/>
  <c r="J14917" i="8"/>
  <c r="J14916" i="8"/>
  <c r="J14915" i="8"/>
  <c r="J14914" i="8"/>
  <c r="J14913" i="8"/>
  <c r="H14912" i="8"/>
  <c r="H14928" i="8" s="1"/>
  <c r="J14910" i="8"/>
  <c r="J14909" i="8"/>
  <c r="J14908" i="8"/>
  <c r="J14907" i="8"/>
  <c r="J14906" i="8"/>
  <c r="J14905" i="8"/>
  <c r="J14904" i="8"/>
  <c r="J14903" i="8"/>
  <c r="J14902" i="8"/>
  <c r="J14901" i="8"/>
  <c r="J14900" i="8"/>
  <c r="J14899" i="8"/>
  <c r="J14898" i="8"/>
  <c r="J14897" i="8"/>
  <c r="J14896" i="8"/>
  <c r="J14895" i="8"/>
  <c r="J14894" i="8"/>
  <c r="J14893" i="8"/>
  <c r="J14892" i="8"/>
  <c r="J14891" i="8"/>
  <c r="J14890" i="8"/>
  <c r="J14889" i="8"/>
  <c r="J14888" i="8"/>
  <c r="J14887" i="8"/>
  <c r="J14886" i="8"/>
  <c r="J14885" i="8"/>
  <c r="J14884" i="8"/>
  <c r="J14883" i="8"/>
  <c r="J14882" i="8"/>
  <c r="J14881" i="8"/>
  <c r="J14880" i="8"/>
  <c r="J14879" i="8"/>
  <c r="J14878" i="8"/>
  <c r="J14877" i="8"/>
  <c r="J14876" i="8"/>
  <c r="J14875" i="8"/>
  <c r="J14874" i="8"/>
  <c r="J14873" i="8"/>
  <c r="J14872" i="8"/>
  <c r="J14871" i="8"/>
  <c r="J14870" i="8"/>
  <c r="J14869" i="8"/>
  <c r="J14868" i="8"/>
  <c r="J14867" i="8"/>
  <c r="J14866" i="8"/>
  <c r="J14865" i="8"/>
  <c r="J14864" i="8"/>
  <c r="J14863" i="8"/>
  <c r="J14862" i="8"/>
  <c r="J14861" i="8"/>
  <c r="J14860" i="8"/>
  <c r="J14859" i="8"/>
  <c r="J14858" i="8"/>
  <c r="J14857" i="8"/>
  <c r="J14856" i="8"/>
  <c r="J14855" i="8"/>
  <c r="J14854" i="8"/>
  <c r="J14853" i="8"/>
  <c r="J14852" i="8"/>
  <c r="J14851" i="8"/>
  <c r="H3422" i="8" l="1"/>
  <c r="H3438" i="8" s="1"/>
  <c r="J15407" i="8"/>
  <c r="J15423" i="8" s="1"/>
  <c r="J2979" i="8"/>
  <c r="J2995" i="8" s="1"/>
  <c r="J2997" i="8"/>
  <c r="J3013" i="8" s="1"/>
  <c r="J3178" i="8"/>
  <c r="J3194" i="8" s="1"/>
  <c r="J2421" i="8"/>
  <c r="J2437" i="8" s="1"/>
  <c r="J2439" i="8"/>
  <c r="J2455" i="8" s="1"/>
  <c r="J3277" i="8"/>
  <c r="J3293" i="8" s="1"/>
  <c r="J3295" i="8"/>
  <c r="J3311" i="8" s="1"/>
  <c r="J3196" i="8"/>
  <c r="J3212" i="8" s="1"/>
  <c r="J3078" i="8"/>
  <c r="J3094" i="8" s="1"/>
  <c r="J3096" i="8"/>
  <c r="J3112" i="8" s="1"/>
  <c r="J2880" i="8"/>
  <c r="J2896" i="8" s="1"/>
  <c r="J2898" i="8"/>
  <c r="J2914" i="8" s="1"/>
  <c r="J2799" i="8"/>
  <c r="J2815" i="8" s="1"/>
  <c r="J2686" i="8"/>
  <c r="J2702" i="8" s="1"/>
  <c r="J2781" i="8"/>
  <c r="J2797" i="8" s="1"/>
  <c r="J2668" i="8"/>
  <c r="J2684" i="8" s="1"/>
  <c r="J15425" i="8"/>
  <c r="J15441" i="8" s="1"/>
  <c r="J15308" i="8"/>
  <c r="J15324" i="8" s="1"/>
  <c r="J15326" i="8"/>
  <c r="J15342" i="8" s="1"/>
  <c r="J15209" i="8"/>
  <c r="J15225" i="8" s="1"/>
  <c r="J15227" i="8"/>
  <c r="J15243" i="8" s="1"/>
  <c r="J15110" i="8"/>
  <c r="J15126" i="8" s="1"/>
  <c r="J15128" i="8"/>
  <c r="J15144" i="8" s="1"/>
  <c r="J15011" i="8"/>
  <c r="J15027" i="8" s="1"/>
  <c r="J15029" i="8"/>
  <c r="J15045" i="8" s="1"/>
  <c r="J14912" i="8"/>
  <c r="J14928" i="8" s="1"/>
  <c r="J14930" i="8"/>
  <c r="J14946" i="8" s="1"/>
  <c r="I13861" i="8"/>
  <c r="J3422" i="8" l="1"/>
  <c r="J3438" i="8" s="1"/>
  <c r="J15539" i="8"/>
  <c r="J15540" i="8"/>
  <c r="J15541" i="8"/>
  <c r="J15542" i="8"/>
  <c r="J15543" i="8"/>
  <c r="J15544" i="8"/>
  <c r="J15545" i="8"/>
  <c r="J15546" i="8"/>
  <c r="J15547" i="8"/>
  <c r="J15548" i="8"/>
  <c r="I14847" i="8"/>
  <c r="J14846" i="8"/>
  <c r="J14845" i="8"/>
  <c r="J14844" i="8"/>
  <c r="J14843" i="8"/>
  <c r="J14842" i="8"/>
  <c r="J14841" i="8"/>
  <c r="J14840" i="8"/>
  <c r="J14839" i="8"/>
  <c r="J14838" i="8"/>
  <c r="J14837" i="8"/>
  <c r="J14836" i="8"/>
  <c r="J14835" i="8"/>
  <c r="J14834" i="8"/>
  <c r="J14833" i="8"/>
  <c r="J14832" i="8"/>
  <c r="H14831" i="8"/>
  <c r="H14847" i="8" s="1"/>
  <c r="I14829" i="8"/>
  <c r="J14828" i="8"/>
  <c r="J14827" i="8"/>
  <c r="J14826" i="8"/>
  <c r="J14825" i="8"/>
  <c r="J14824" i="8"/>
  <c r="J14823" i="8"/>
  <c r="J14822" i="8"/>
  <c r="J14821" i="8"/>
  <c r="J14820" i="8"/>
  <c r="J14819" i="8"/>
  <c r="J14818" i="8"/>
  <c r="J14817" i="8"/>
  <c r="J14816" i="8"/>
  <c r="J14815" i="8"/>
  <c r="J14814" i="8"/>
  <c r="H14813" i="8"/>
  <c r="H14829" i="8" s="1"/>
  <c r="J14811" i="8"/>
  <c r="J14810" i="8"/>
  <c r="J14809" i="8"/>
  <c r="J14808" i="8"/>
  <c r="J14807" i="8"/>
  <c r="J14806" i="8"/>
  <c r="J14805" i="8"/>
  <c r="J14804" i="8"/>
  <c r="J14803" i="8"/>
  <c r="J14802" i="8"/>
  <c r="J14801" i="8"/>
  <c r="J14800" i="8"/>
  <c r="J14799" i="8"/>
  <c r="J14798" i="8"/>
  <c r="J14797" i="8"/>
  <c r="J14796" i="8"/>
  <c r="J14795" i="8"/>
  <c r="J14794" i="8"/>
  <c r="J14793" i="8"/>
  <c r="J14792" i="8"/>
  <c r="J14791" i="8"/>
  <c r="J14790" i="8"/>
  <c r="J14789" i="8"/>
  <c r="J14788" i="8"/>
  <c r="J14787" i="8"/>
  <c r="J14786" i="8"/>
  <c r="J14785" i="8"/>
  <c r="J14784" i="8"/>
  <c r="J14783" i="8"/>
  <c r="J14782" i="8"/>
  <c r="J14781" i="8"/>
  <c r="J14780" i="8"/>
  <c r="J14779" i="8"/>
  <c r="J14778" i="8"/>
  <c r="J14777" i="8"/>
  <c r="J14776" i="8"/>
  <c r="J14775" i="8"/>
  <c r="J14774" i="8"/>
  <c r="J14773" i="8"/>
  <c r="J14772" i="8"/>
  <c r="J14771" i="8"/>
  <c r="J14770" i="8"/>
  <c r="J14769" i="8"/>
  <c r="J14768" i="8"/>
  <c r="J14767" i="8"/>
  <c r="J14766" i="8"/>
  <c r="J14765" i="8"/>
  <c r="J14764" i="8"/>
  <c r="J14763" i="8"/>
  <c r="J14762" i="8"/>
  <c r="J14761" i="8"/>
  <c r="J14760" i="8"/>
  <c r="J14759" i="8"/>
  <c r="J14758" i="8"/>
  <c r="J14757" i="8"/>
  <c r="J14756" i="8"/>
  <c r="J14755" i="8"/>
  <c r="J14754" i="8"/>
  <c r="J14753" i="8"/>
  <c r="J14752" i="8"/>
  <c r="I15554" i="8"/>
  <c r="J15553" i="8"/>
  <c r="J15552" i="8"/>
  <c r="J15551" i="8"/>
  <c r="J15550" i="8"/>
  <c r="J15549" i="8"/>
  <c r="I5284" i="8"/>
  <c r="J5283" i="8"/>
  <c r="J5282" i="8"/>
  <c r="J5281" i="8"/>
  <c r="J5280" i="8"/>
  <c r="J5279" i="8"/>
  <c r="J5278" i="8"/>
  <c r="J5277" i="8"/>
  <c r="J5276" i="8"/>
  <c r="J5275" i="8"/>
  <c r="J5274" i="8"/>
  <c r="J5273" i="8"/>
  <c r="J5272" i="8"/>
  <c r="J5271" i="8"/>
  <c r="J5270" i="8"/>
  <c r="J5269" i="8"/>
  <c r="J14813" i="8" l="1"/>
  <c r="J14829" i="8" s="1"/>
  <c r="J14831" i="8"/>
  <c r="J14847" i="8" s="1"/>
  <c r="I13886" i="8"/>
  <c r="J13898" i="8"/>
  <c r="J13897" i="8"/>
  <c r="J13896" i="8"/>
  <c r="J13895" i="8"/>
  <c r="J13894" i="8"/>
  <c r="J13893" i="8"/>
  <c r="J13892" i="8"/>
  <c r="J13891" i="8"/>
  <c r="J13890" i="8"/>
  <c r="J13888" i="8"/>
  <c r="J13887" i="8"/>
  <c r="J13885" i="8"/>
  <c r="J13884" i="8"/>
  <c r="J13879" i="8"/>
  <c r="J13878" i="8"/>
  <c r="J13877" i="8"/>
  <c r="J13876" i="8"/>
  <c r="J13875" i="8"/>
  <c r="J13874" i="8"/>
  <c r="J13873" i="8"/>
  <c r="J13872" i="8"/>
  <c r="J13871" i="8"/>
  <c r="J13869" i="8"/>
  <c r="J13868" i="8"/>
  <c r="J13867" i="8"/>
  <c r="J13866" i="8"/>
  <c r="J13865" i="8"/>
  <c r="J13860" i="8"/>
  <c r="J13859" i="8"/>
  <c r="J13858" i="8"/>
  <c r="J13857" i="8"/>
  <c r="J13856" i="8"/>
  <c r="J13855" i="8"/>
  <c r="J13854" i="8"/>
  <c r="J13853" i="8"/>
  <c r="J13852" i="8"/>
  <c r="J13851" i="8"/>
  <c r="J13850" i="8"/>
  <c r="J13849" i="8"/>
  <c r="J13848" i="8"/>
  <c r="J13847" i="8"/>
  <c r="J13846" i="8"/>
  <c r="H13845" i="8"/>
  <c r="H13861" i="8" s="1"/>
  <c r="J13842" i="8"/>
  <c r="J13841" i="8"/>
  <c r="J13840" i="8"/>
  <c r="J13839" i="8"/>
  <c r="J13838" i="8"/>
  <c r="J13837" i="8"/>
  <c r="J13836" i="8"/>
  <c r="J13835" i="8"/>
  <c r="J13834" i="8"/>
  <c r="J13833" i="8"/>
  <c r="J13832" i="8"/>
  <c r="J13831" i="8"/>
  <c r="J13830" i="8"/>
  <c r="J13829" i="8"/>
  <c r="J13828" i="8"/>
  <c r="H13827" i="8"/>
  <c r="H13843" i="8" s="1"/>
  <c r="J13825" i="8"/>
  <c r="J13824" i="8"/>
  <c r="J13823" i="8"/>
  <c r="J13822" i="8"/>
  <c r="J13821" i="8"/>
  <c r="J13820" i="8"/>
  <c r="J13819" i="8"/>
  <c r="J13818" i="8"/>
  <c r="J13817" i="8"/>
  <c r="J13816" i="8"/>
  <c r="J13815" i="8"/>
  <c r="J13814" i="8"/>
  <c r="J13813" i="8"/>
  <c r="J13812" i="8"/>
  <c r="J13811" i="8"/>
  <c r="J13810" i="8"/>
  <c r="J13809" i="8"/>
  <c r="J13808" i="8"/>
  <c r="J13807" i="8"/>
  <c r="J13806" i="8"/>
  <c r="J13805" i="8"/>
  <c r="J13804" i="8"/>
  <c r="J13803" i="8"/>
  <c r="J13802" i="8"/>
  <c r="J13801" i="8"/>
  <c r="J13800" i="8"/>
  <c r="J13799" i="8"/>
  <c r="J13798" i="8"/>
  <c r="J13797" i="8"/>
  <c r="J13796" i="8"/>
  <c r="J13795" i="8"/>
  <c r="J13794" i="8"/>
  <c r="J13793" i="8"/>
  <c r="J13792" i="8"/>
  <c r="J13791" i="8"/>
  <c r="J13790" i="8"/>
  <c r="J13789" i="8"/>
  <c r="J13788" i="8"/>
  <c r="J13787" i="8"/>
  <c r="J13786" i="8"/>
  <c r="J13785" i="8"/>
  <c r="J13784" i="8"/>
  <c r="J13783" i="8"/>
  <c r="J13782" i="8"/>
  <c r="J13781" i="8"/>
  <c r="J13780" i="8"/>
  <c r="J13779" i="8"/>
  <c r="J13778" i="8"/>
  <c r="J13777" i="8"/>
  <c r="J13776" i="8"/>
  <c r="J13775" i="8"/>
  <c r="J13774" i="8"/>
  <c r="J13773" i="8"/>
  <c r="J13772" i="8"/>
  <c r="J13771" i="8"/>
  <c r="J13770" i="8"/>
  <c r="J13769" i="8"/>
  <c r="J13768" i="8"/>
  <c r="J13767" i="8"/>
  <c r="J13921" i="8"/>
  <c r="J13922" i="8"/>
  <c r="J13923" i="8"/>
  <c r="J13924" i="8"/>
  <c r="J13925" i="8"/>
  <c r="J13926" i="8"/>
  <c r="J13927" i="8"/>
  <c r="J13928" i="8"/>
  <c r="J13929" i="8"/>
  <c r="J13930" i="8"/>
  <c r="J13931" i="8"/>
  <c r="J13932" i="8"/>
  <c r="J13933" i="8"/>
  <c r="J13674" i="8"/>
  <c r="I13696" i="8"/>
  <c r="H13690" i="8"/>
  <c r="I13724" i="8" l="1"/>
  <c r="I13870" i="8"/>
  <c r="J13886" i="8"/>
  <c r="J13827" i="8"/>
  <c r="J13870" i="8"/>
  <c r="J13843" i="8"/>
  <c r="I13843" i="8"/>
  <c r="J13845" i="8"/>
  <c r="J13861" i="8" s="1"/>
  <c r="I15529" i="8"/>
  <c r="J15528" i="8"/>
  <c r="J15527" i="8"/>
  <c r="J15526" i="8"/>
  <c r="J15525" i="8"/>
  <c r="J15524" i="8"/>
  <c r="J15523" i="8"/>
  <c r="J15522" i="8"/>
  <c r="J15521" i="8"/>
  <c r="J15520" i="8"/>
  <c r="J15519" i="8"/>
  <c r="J15518" i="8"/>
  <c r="J15517" i="8"/>
  <c r="J15516" i="8"/>
  <c r="J15515" i="8"/>
  <c r="J15514" i="8"/>
  <c r="I14709" i="8"/>
  <c r="J14708" i="8"/>
  <c r="J14707" i="8"/>
  <c r="J14706" i="8"/>
  <c r="J14705" i="8"/>
  <c r="J14704" i="8"/>
  <c r="J14703" i="8"/>
  <c r="J14702" i="8"/>
  <c r="J14701" i="8"/>
  <c r="J14700" i="8"/>
  <c r="J14699" i="8"/>
  <c r="J14698" i="8"/>
  <c r="J14697" i="8"/>
  <c r="J14696" i="8"/>
  <c r="J14695" i="8"/>
  <c r="J14694" i="8"/>
  <c r="H14693" i="8"/>
  <c r="H14709" i="8" s="1"/>
  <c r="I14691" i="8"/>
  <c r="J14690" i="8"/>
  <c r="J14689" i="8"/>
  <c r="J14688" i="8"/>
  <c r="J14687" i="8"/>
  <c r="J14686" i="8"/>
  <c r="J14685" i="8"/>
  <c r="J14684" i="8"/>
  <c r="J14683" i="8"/>
  <c r="J14682" i="8"/>
  <c r="J14681" i="8"/>
  <c r="J14680" i="8"/>
  <c r="J14679" i="8"/>
  <c r="J14678" i="8"/>
  <c r="J14677" i="8"/>
  <c r="J14676" i="8"/>
  <c r="H14675" i="8"/>
  <c r="H14691" i="8" s="1"/>
  <c r="J14673" i="8"/>
  <c r="J14672" i="8"/>
  <c r="J14671" i="8"/>
  <c r="J14670" i="8"/>
  <c r="J14669" i="8"/>
  <c r="J14668" i="8"/>
  <c r="J14667" i="8"/>
  <c r="J14666" i="8"/>
  <c r="J14665" i="8"/>
  <c r="J14664" i="8"/>
  <c r="J14663" i="8"/>
  <c r="J14662" i="8"/>
  <c r="J14661" i="8"/>
  <c r="J14660" i="8"/>
  <c r="J14659" i="8"/>
  <c r="J14658" i="8"/>
  <c r="J14657" i="8"/>
  <c r="J14656" i="8"/>
  <c r="J14655" i="8"/>
  <c r="J14654" i="8"/>
  <c r="J14653" i="8"/>
  <c r="J14652" i="8"/>
  <c r="J14651" i="8"/>
  <c r="J14650" i="8"/>
  <c r="J14649" i="8"/>
  <c r="J14648" i="8"/>
  <c r="J14647" i="8"/>
  <c r="J14646" i="8"/>
  <c r="J14645" i="8"/>
  <c r="J14644" i="8"/>
  <c r="J14643" i="8"/>
  <c r="J14642" i="8"/>
  <c r="J14641" i="8"/>
  <c r="J14640" i="8"/>
  <c r="J14639" i="8"/>
  <c r="J14638" i="8"/>
  <c r="J14637" i="8"/>
  <c r="J14636" i="8"/>
  <c r="J14635" i="8"/>
  <c r="J14634" i="8"/>
  <c r="J14633" i="8"/>
  <c r="J14632" i="8"/>
  <c r="J14631" i="8"/>
  <c r="J14630" i="8"/>
  <c r="J14629" i="8"/>
  <c r="J14628" i="8"/>
  <c r="J14627" i="8"/>
  <c r="J14626" i="8"/>
  <c r="J14625" i="8"/>
  <c r="J14624" i="8"/>
  <c r="J14623" i="8"/>
  <c r="J14622" i="8"/>
  <c r="J14621" i="8"/>
  <c r="J14620" i="8"/>
  <c r="J14619" i="8"/>
  <c r="J14618" i="8"/>
  <c r="J14617" i="8"/>
  <c r="J14616" i="8"/>
  <c r="J14615" i="8"/>
  <c r="J14614" i="8"/>
  <c r="I14610" i="8"/>
  <c r="J14609" i="8"/>
  <c r="J14608" i="8"/>
  <c r="J14607" i="8"/>
  <c r="J14606" i="8"/>
  <c r="J14605" i="8"/>
  <c r="J14604" i="8"/>
  <c r="J14603" i="8"/>
  <c r="J14602" i="8"/>
  <c r="J14601" i="8"/>
  <c r="J14600" i="8"/>
  <c r="J14599" i="8"/>
  <c r="J14598" i="8"/>
  <c r="J14597" i="8"/>
  <c r="J14596" i="8"/>
  <c r="J14595" i="8"/>
  <c r="H14594" i="8"/>
  <c r="H14610" i="8" s="1"/>
  <c r="I14592" i="8"/>
  <c r="J14591" i="8"/>
  <c r="J14590" i="8"/>
  <c r="J14589" i="8"/>
  <c r="J14588" i="8"/>
  <c r="J14587" i="8"/>
  <c r="J14586" i="8"/>
  <c r="J14585" i="8"/>
  <c r="J14584" i="8"/>
  <c r="J14583" i="8"/>
  <c r="J14582" i="8"/>
  <c r="J14581" i="8"/>
  <c r="J14580" i="8"/>
  <c r="J14579" i="8"/>
  <c r="J14578" i="8"/>
  <c r="J14577" i="8"/>
  <c r="H14576" i="8"/>
  <c r="H14592" i="8" s="1"/>
  <c r="J14574" i="8"/>
  <c r="J14573" i="8"/>
  <c r="J14572" i="8"/>
  <c r="J14571" i="8"/>
  <c r="J14570" i="8"/>
  <c r="J14569" i="8"/>
  <c r="J14568" i="8"/>
  <c r="J14567" i="8"/>
  <c r="J14566" i="8"/>
  <c r="J14565" i="8"/>
  <c r="J14564" i="8"/>
  <c r="J14563" i="8"/>
  <c r="J14562" i="8"/>
  <c r="J14561" i="8"/>
  <c r="J14560" i="8"/>
  <c r="J14559" i="8"/>
  <c r="J14558" i="8"/>
  <c r="J14557" i="8"/>
  <c r="J14556" i="8"/>
  <c r="J14555" i="8"/>
  <c r="J14554" i="8"/>
  <c r="J14553" i="8"/>
  <c r="J14552" i="8"/>
  <c r="J14551" i="8"/>
  <c r="J14550" i="8"/>
  <c r="J14549" i="8"/>
  <c r="J14548" i="8"/>
  <c r="J14547" i="8"/>
  <c r="J14546" i="8"/>
  <c r="J14545" i="8"/>
  <c r="J14544" i="8"/>
  <c r="J14543" i="8"/>
  <c r="J14542" i="8"/>
  <c r="J14541" i="8"/>
  <c r="J14540" i="8"/>
  <c r="J14539" i="8"/>
  <c r="J14538" i="8"/>
  <c r="J14537" i="8"/>
  <c r="J14536" i="8"/>
  <c r="J14535" i="8"/>
  <c r="J14534" i="8"/>
  <c r="J14533" i="8"/>
  <c r="J14532" i="8"/>
  <c r="J14531" i="8"/>
  <c r="J14530" i="8"/>
  <c r="J14529" i="8"/>
  <c r="J14528" i="8"/>
  <c r="J14527" i="8"/>
  <c r="J14526" i="8"/>
  <c r="J14525" i="8"/>
  <c r="J14524" i="8"/>
  <c r="J14523" i="8"/>
  <c r="J14522" i="8"/>
  <c r="J14521" i="8"/>
  <c r="J14520" i="8"/>
  <c r="J14519" i="8"/>
  <c r="J14518" i="8"/>
  <c r="J14517" i="8"/>
  <c r="J14516" i="8"/>
  <c r="J14515" i="8"/>
  <c r="I14511" i="8"/>
  <c r="J14510" i="8"/>
  <c r="J14509" i="8"/>
  <c r="J14508" i="8"/>
  <c r="J14507" i="8"/>
  <c r="J14506" i="8"/>
  <c r="J14505" i="8"/>
  <c r="J14504" i="8"/>
  <c r="J14503" i="8"/>
  <c r="J14502" i="8"/>
  <c r="J14501" i="8"/>
  <c r="J14500" i="8"/>
  <c r="J14499" i="8"/>
  <c r="J14498" i="8"/>
  <c r="J14497" i="8"/>
  <c r="J14496" i="8"/>
  <c r="H14495" i="8"/>
  <c r="H14511" i="8" s="1"/>
  <c r="I14493" i="8"/>
  <c r="J14492" i="8"/>
  <c r="J14491" i="8"/>
  <c r="J14490" i="8"/>
  <c r="J14489" i="8"/>
  <c r="J14488" i="8"/>
  <c r="J14487" i="8"/>
  <c r="J14486" i="8"/>
  <c r="J14485" i="8"/>
  <c r="J14484" i="8"/>
  <c r="J14483" i="8"/>
  <c r="J14482" i="8"/>
  <c r="J14481" i="8"/>
  <c r="J14480" i="8"/>
  <c r="J14479" i="8"/>
  <c r="J14478" i="8"/>
  <c r="H14477" i="8"/>
  <c r="H14493" i="8" s="1"/>
  <c r="J14475" i="8"/>
  <c r="J14474" i="8"/>
  <c r="J14473" i="8"/>
  <c r="J14472" i="8"/>
  <c r="J14471" i="8"/>
  <c r="J14470" i="8"/>
  <c r="J14469" i="8"/>
  <c r="J14468" i="8"/>
  <c r="J14467" i="8"/>
  <c r="J14466" i="8"/>
  <c r="J14465" i="8"/>
  <c r="J14464" i="8"/>
  <c r="J14463" i="8"/>
  <c r="J14462" i="8"/>
  <c r="J14461" i="8"/>
  <c r="J14460" i="8"/>
  <c r="J14459" i="8"/>
  <c r="J14458" i="8"/>
  <c r="J14457" i="8"/>
  <c r="J14456" i="8"/>
  <c r="J14455" i="8"/>
  <c r="J14454" i="8"/>
  <c r="J14453" i="8"/>
  <c r="J14452" i="8"/>
  <c r="J14451" i="8"/>
  <c r="J14450" i="8"/>
  <c r="J14449" i="8"/>
  <c r="J14448" i="8"/>
  <c r="J14447" i="8"/>
  <c r="J14446" i="8"/>
  <c r="J14445" i="8"/>
  <c r="J14444" i="8"/>
  <c r="J14443" i="8"/>
  <c r="J14442" i="8"/>
  <c r="J14441" i="8"/>
  <c r="J14440" i="8"/>
  <c r="J14439" i="8"/>
  <c r="J14438" i="8"/>
  <c r="J14437" i="8"/>
  <c r="J14436" i="8"/>
  <c r="J14435" i="8"/>
  <c r="J14434" i="8"/>
  <c r="J14433" i="8"/>
  <c r="J14432" i="8"/>
  <c r="J14431" i="8"/>
  <c r="J14430" i="8"/>
  <c r="J14429" i="8"/>
  <c r="J14428" i="8"/>
  <c r="J14427" i="8"/>
  <c r="J14426" i="8"/>
  <c r="J14425" i="8"/>
  <c r="J14424" i="8"/>
  <c r="J14423" i="8"/>
  <c r="J14422" i="8"/>
  <c r="J14421" i="8"/>
  <c r="J14420" i="8"/>
  <c r="J14419" i="8"/>
  <c r="J14418" i="8"/>
  <c r="J14417" i="8"/>
  <c r="J14416" i="8"/>
  <c r="I14412" i="8"/>
  <c r="J14411" i="8"/>
  <c r="J14410" i="8"/>
  <c r="J14409" i="8"/>
  <c r="J14408" i="8"/>
  <c r="J14407" i="8"/>
  <c r="J14406" i="8"/>
  <c r="J14405" i="8"/>
  <c r="J14404" i="8"/>
  <c r="J14403" i="8"/>
  <c r="J14402" i="8"/>
  <c r="J14401" i="8"/>
  <c r="J14400" i="8"/>
  <c r="J14399" i="8"/>
  <c r="J14398" i="8"/>
  <c r="J14397" i="8"/>
  <c r="H14396" i="8"/>
  <c r="H14412" i="8" s="1"/>
  <c r="I14394" i="8"/>
  <c r="J14393" i="8"/>
  <c r="J14392" i="8"/>
  <c r="J14391" i="8"/>
  <c r="J14390" i="8"/>
  <c r="J14389" i="8"/>
  <c r="J14388" i="8"/>
  <c r="J14387" i="8"/>
  <c r="J14386" i="8"/>
  <c r="J14385" i="8"/>
  <c r="J14384" i="8"/>
  <c r="J14383" i="8"/>
  <c r="J14382" i="8"/>
  <c r="J14381" i="8"/>
  <c r="J14380" i="8"/>
  <c r="J14379" i="8"/>
  <c r="H14378" i="8"/>
  <c r="H14394" i="8" s="1"/>
  <c r="J14376" i="8"/>
  <c r="J14375" i="8"/>
  <c r="J14374" i="8"/>
  <c r="J14373" i="8"/>
  <c r="J14372" i="8"/>
  <c r="J14371" i="8"/>
  <c r="J14370" i="8"/>
  <c r="J14369" i="8"/>
  <c r="J14368" i="8"/>
  <c r="J14367" i="8"/>
  <c r="J14366" i="8"/>
  <c r="J14365" i="8"/>
  <c r="J14364" i="8"/>
  <c r="J14363" i="8"/>
  <c r="J14362" i="8"/>
  <c r="J14361" i="8"/>
  <c r="J14360" i="8"/>
  <c r="J14359" i="8"/>
  <c r="J14358" i="8"/>
  <c r="J14357" i="8"/>
  <c r="J14356" i="8"/>
  <c r="J14355" i="8"/>
  <c r="J14354" i="8"/>
  <c r="J14353" i="8"/>
  <c r="J14352" i="8"/>
  <c r="J14351" i="8"/>
  <c r="J14350" i="8"/>
  <c r="J14349" i="8"/>
  <c r="J14348" i="8"/>
  <c r="J14347" i="8"/>
  <c r="J14346" i="8"/>
  <c r="J14345" i="8"/>
  <c r="J14344" i="8"/>
  <c r="J14343" i="8"/>
  <c r="J14342" i="8"/>
  <c r="J14341" i="8"/>
  <c r="J14340" i="8"/>
  <c r="J14339" i="8"/>
  <c r="J14338" i="8"/>
  <c r="J14337" i="8"/>
  <c r="J14336" i="8"/>
  <c r="J14335" i="8"/>
  <c r="J14334" i="8"/>
  <c r="J14333" i="8"/>
  <c r="J14332" i="8"/>
  <c r="J14331" i="8"/>
  <c r="J14330" i="8"/>
  <c r="J14329" i="8"/>
  <c r="J14328" i="8"/>
  <c r="J14327" i="8"/>
  <c r="J14326" i="8"/>
  <c r="J14325" i="8"/>
  <c r="J14324" i="8"/>
  <c r="J14323" i="8"/>
  <c r="J14322" i="8"/>
  <c r="J14321" i="8"/>
  <c r="J14320" i="8"/>
  <c r="J14319" i="8"/>
  <c r="J14318" i="8"/>
  <c r="J14317" i="8"/>
  <c r="I14313" i="8"/>
  <c r="J14312" i="8"/>
  <c r="J14311" i="8"/>
  <c r="J14310" i="8"/>
  <c r="J14309" i="8"/>
  <c r="J14308" i="8"/>
  <c r="J14307" i="8"/>
  <c r="J14306" i="8"/>
  <c r="J14305" i="8"/>
  <c r="J14304" i="8"/>
  <c r="J14303" i="8"/>
  <c r="J14302" i="8"/>
  <c r="J14301" i="8"/>
  <c r="J14300" i="8"/>
  <c r="J14299" i="8"/>
  <c r="J14298" i="8"/>
  <c r="H14297" i="8"/>
  <c r="H14313" i="8" s="1"/>
  <c r="I14295" i="8"/>
  <c r="J14294" i="8"/>
  <c r="J14293" i="8"/>
  <c r="J14292" i="8"/>
  <c r="J14291" i="8"/>
  <c r="J14290" i="8"/>
  <c r="J14289" i="8"/>
  <c r="J14288" i="8"/>
  <c r="J14287" i="8"/>
  <c r="J14286" i="8"/>
  <c r="J14285" i="8"/>
  <c r="J14284" i="8"/>
  <c r="J14283" i="8"/>
  <c r="J14282" i="8"/>
  <c r="J14281" i="8"/>
  <c r="J14280" i="8"/>
  <c r="H14279" i="8"/>
  <c r="H14295" i="8" s="1"/>
  <c r="J14277" i="8"/>
  <c r="J14276" i="8"/>
  <c r="J14275" i="8"/>
  <c r="J14274" i="8"/>
  <c r="J14273" i="8"/>
  <c r="J14272" i="8"/>
  <c r="J14271" i="8"/>
  <c r="J14270" i="8"/>
  <c r="J14269" i="8"/>
  <c r="J14268" i="8"/>
  <c r="J14267" i="8"/>
  <c r="J14266" i="8"/>
  <c r="J14265" i="8"/>
  <c r="J14264" i="8"/>
  <c r="J14263" i="8"/>
  <c r="J14262" i="8"/>
  <c r="J14261" i="8"/>
  <c r="J14260" i="8"/>
  <c r="J14259" i="8"/>
  <c r="J14258" i="8"/>
  <c r="J14257" i="8"/>
  <c r="J14256" i="8"/>
  <c r="J14255" i="8"/>
  <c r="J14254" i="8"/>
  <c r="J14253" i="8"/>
  <c r="J14252" i="8"/>
  <c r="J14251" i="8"/>
  <c r="J14250" i="8"/>
  <c r="J14249" i="8"/>
  <c r="J14248" i="8"/>
  <c r="J14247" i="8"/>
  <c r="J14246" i="8"/>
  <c r="J14245" i="8"/>
  <c r="J14244" i="8"/>
  <c r="J14243" i="8"/>
  <c r="J14242" i="8"/>
  <c r="J14241" i="8"/>
  <c r="J14240" i="8"/>
  <c r="J14239" i="8"/>
  <c r="J14238" i="8"/>
  <c r="J14237" i="8"/>
  <c r="J14236" i="8"/>
  <c r="J14235" i="8"/>
  <c r="J14234" i="8"/>
  <c r="J14233" i="8"/>
  <c r="J14232" i="8"/>
  <c r="J14231" i="8"/>
  <c r="J14230" i="8"/>
  <c r="J14229" i="8"/>
  <c r="J14228" i="8"/>
  <c r="J14227" i="8"/>
  <c r="J14226" i="8"/>
  <c r="J14225" i="8"/>
  <c r="J14224" i="8"/>
  <c r="J14223" i="8"/>
  <c r="J14222" i="8"/>
  <c r="J14221" i="8"/>
  <c r="J14220" i="8"/>
  <c r="J14219" i="8"/>
  <c r="J14218" i="8"/>
  <c r="I14214" i="8"/>
  <c r="J14213" i="8"/>
  <c r="J14212" i="8"/>
  <c r="J14211" i="8"/>
  <c r="J14210" i="8"/>
  <c r="J14209" i="8"/>
  <c r="J14208" i="8"/>
  <c r="J14207" i="8"/>
  <c r="J14206" i="8"/>
  <c r="J14205" i="8"/>
  <c r="J14204" i="8"/>
  <c r="J14203" i="8"/>
  <c r="J14202" i="8"/>
  <c r="J14201" i="8"/>
  <c r="J14200" i="8"/>
  <c r="J14199" i="8"/>
  <c r="H14198" i="8"/>
  <c r="H14214" i="8" s="1"/>
  <c r="I14196" i="8"/>
  <c r="J14195" i="8"/>
  <c r="J14194" i="8"/>
  <c r="J14193" i="8"/>
  <c r="J14192" i="8"/>
  <c r="J14191" i="8"/>
  <c r="J14190" i="8"/>
  <c r="J14189" i="8"/>
  <c r="J14188" i="8"/>
  <c r="J14187" i="8"/>
  <c r="J14186" i="8"/>
  <c r="J14185" i="8"/>
  <c r="J14184" i="8"/>
  <c r="J14183" i="8"/>
  <c r="J14182" i="8"/>
  <c r="J14181" i="8"/>
  <c r="H14180" i="8"/>
  <c r="H14196" i="8" s="1"/>
  <c r="J14178" i="8"/>
  <c r="J14177" i="8"/>
  <c r="J14176" i="8"/>
  <c r="J14175" i="8"/>
  <c r="J14174" i="8"/>
  <c r="J14173" i="8"/>
  <c r="J14172" i="8"/>
  <c r="J14171" i="8"/>
  <c r="J14170" i="8"/>
  <c r="J14169" i="8"/>
  <c r="J14168" i="8"/>
  <c r="J14167" i="8"/>
  <c r="J14166" i="8"/>
  <c r="J14165" i="8"/>
  <c r="J14164" i="8"/>
  <c r="J14163" i="8"/>
  <c r="J14162" i="8"/>
  <c r="J14161" i="8"/>
  <c r="J14160" i="8"/>
  <c r="J14159" i="8"/>
  <c r="J14158" i="8"/>
  <c r="J14157" i="8"/>
  <c r="J14156" i="8"/>
  <c r="J14155" i="8"/>
  <c r="J14154" i="8"/>
  <c r="J14153" i="8"/>
  <c r="J14152" i="8"/>
  <c r="J14151" i="8"/>
  <c r="J14150" i="8"/>
  <c r="J14149" i="8"/>
  <c r="J14148" i="8"/>
  <c r="J14147" i="8"/>
  <c r="J14146" i="8"/>
  <c r="J14145" i="8"/>
  <c r="J14144" i="8"/>
  <c r="J14143" i="8"/>
  <c r="J14142" i="8"/>
  <c r="J14141" i="8"/>
  <c r="J14140" i="8"/>
  <c r="J14139" i="8"/>
  <c r="J14138" i="8"/>
  <c r="J14137" i="8"/>
  <c r="J14136" i="8"/>
  <c r="J14135" i="8"/>
  <c r="J14134" i="8"/>
  <c r="J14133" i="8"/>
  <c r="J14132" i="8"/>
  <c r="J14131" i="8"/>
  <c r="J14130" i="8"/>
  <c r="J14129" i="8"/>
  <c r="J14128" i="8"/>
  <c r="J14127" i="8"/>
  <c r="J14126" i="8"/>
  <c r="J14125" i="8"/>
  <c r="J14124" i="8"/>
  <c r="J14123" i="8"/>
  <c r="J14122" i="8"/>
  <c r="J14121" i="8"/>
  <c r="J14120" i="8"/>
  <c r="J14119" i="8"/>
  <c r="I14115" i="8"/>
  <c r="J14114" i="8"/>
  <c r="J14113" i="8"/>
  <c r="J14112" i="8"/>
  <c r="J14111" i="8"/>
  <c r="J14110" i="8"/>
  <c r="J14109" i="8"/>
  <c r="J14108" i="8"/>
  <c r="J14107" i="8"/>
  <c r="J14106" i="8"/>
  <c r="J14105" i="8"/>
  <c r="J14104" i="8"/>
  <c r="J14103" i="8"/>
  <c r="J14102" i="8"/>
  <c r="J14101" i="8"/>
  <c r="J14100" i="8"/>
  <c r="H14099" i="8"/>
  <c r="H14115" i="8" s="1"/>
  <c r="I14097" i="8"/>
  <c r="J14096" i="8"/>
  <c r="J14095" i="8"/>
  <c r="J14094" i="8"/>
  <c r="J14093" i="8"/>
  <c r="J14092" i="8"/>
  <c r="J14091" i="8"/>
  <c r="J14090" i="8"/>
  <c r="J14089" i="8"/>
  <c r="J14088" i="8"/>
  <c r="J14087" i="8"/>
  <c r="J14086" i="8"/>
  <c r="J14085" i="8"/>
  <c r="J14084" i="8"/>
  <c r="J14083" i="8"/>
  <c r="J14082" i="8"/>
  <c r="H14081" i="8"/>
  <c r="H14097" i="8" s="1"/>
  <c r="J14079" i="8"/>
  <c r="J14078" i="8"/>
  <c r="J14077" i="8"/>
  <c r="J14076" i="8"/>
  <c r="J14075" i="8"/>
  <c r="J14074" i="8"/>
  <c r="J14073" i="8"/>
  <c r="J14072" i="8"/>
  <c r="J14071" i="8"/>
  <c r="J14070" i="8"/>
  <c r="J14069" i="8"/>
  <c r="J14068" i="8"/>
  <c r="J14067" i="8"/>
  <c r="J14066" i="8"/>
  <c r="J14065" i="8"/>
  <c r="J14064" i="8"/>
  <c r="J14063" i="8"/>
  <c r="J14062" i="8"/>
  <c r="J14061" i="8"/>
  <c r="J14060" i="8"/>
  <c r="J14059" i="8"/>
  <c r="J14058" i="8"/>
  <c r="J14057" i="8"/>
  <c r="J14056" i="8"/>
  <c r="J14055" i="8"/>
  <c r="J14054" i="8"/>
  <c r="J14053" i="8"/>
  <c r="J14052" i="8"/>
  <c r="J14051" i="8"/>
  <c r="J14050" i="8"/>
  <c r="J14049" i="8"/>
  <c r="J14048" i="8"/>
  <c r="J14047" i="8"/>
  <c r="J14046" i="8"/>
  <c r="J14045" i="8"/>
  <c r="J14044" i="8"/>
  <c r="J14043" i="8"/>
  <c r="J14042" i="8"/>
  <c r="J14041" i="8"/>
  <c r="J14040" i="8"/>
  <c r="J14039" i="8"/>
  <c r="J14038" i="8"/>
  <c r="J14037" i="8"/>
  <c r="J14036" i="8"/>
  <c r="J14035" i="8"/>
  <c r="J14034" i="8"/>
  <c r="J14033" i="8"/>
  <c r="J14032" i="8"/>
  <c r="J14031" i="8"/>
  <c r="J14030" i="8"/>
  <c r="J14029" i="8"/>
  <c r="J14028" i="8"/>
  <c r="J14027" i="8"/>
  <c r="J14026" i="8"/>
  <c r="J14025" i="8"/>
  <c r="J14024" i="8"/>
  <c r="J14023" i="8"/>
  <c r="J14022" i="8"/>
  <c r="J14021" i="8"/>
  <c r="J14020" i="8"/>
  <c r="I14016" i="8"/>
  <c r="J14015" i="8"/>
  <c r="J14014" i="8"/>
  <c r="J14013" i="8"/>
  <c r="J14012" i="8"/>
  <c r="J14011" i="8"/>
  <c r="J14010" i="8"/>
  <c r="J14009" i="8"/>
  <c r="J14008" i="8"/>
  <c r="J14007" i="8"/>
  <c r="J14006" i="8"/>
  <c r="J14005" i="8"/>
  <c r="J14004" i="8"/>
  <c r="J14003" i="8"/>
  <c r="J14002" i="8"/>
  <c r="J14001" i="8"/>
  <c r="I13998" i="8"/>
  <c r="J13997" i="8"/>
  <c r="J13996" i="8"/>
  <c r="J13995" i="8"/>
  <c r="J13994" i="8"/>
  <c r="J13993" i="8"/>
  <c r="J13992" i="8"/>
  <c r="J13991" i="8"/>
  <c r="J13990" i="8"/>
  <c r="J13989" i="8"/>
  <c r="J13988" i="8"/>
  <c r="J13987" i="8"/>
  <c r="J13986" i="8"/>
  <c r="J13985" i="8"/>
  <c r="J13984" i="8"/>
  <c r="J13983" i="8"/>
  <c r="J13980" i="8"/>
  <c r="J13979" i="8"/>
  <c r="J13978" i="8"/>
  <c r="J13977" i="8"/>
  <c r="J13976" i="8"/>
  <c r="J13975" i="8"/>
  <c r="J13974" i="8"/>
  <c r="J13973" i="8"/>
  <c r="J13972" i="8"/>
  <c r="J13971" i="8"/>
  <c r="J13970" i="8"/>
  <c r="J13969" i="8"/>
  <c r="J13968" i="8"/>
  <c r="J13967" i="8"/>
  <c r="J13966" i="8"/>
  <c r="J13965" i="8"/>
  <c r="J13964" i="8"/>
  <c r="J13963" i="8"/>
  <c r="J13962" i="8"/>
  <c r="J13961" i="8"/>
  <c r="J13960" i="8"/>
  <c r="J13959" i="8"/>
  <c r="J13958" i="8"/>
  <c r="J13957" i="8"/>
  <c r="J13956" i="8"/>
  <c r="J13955" i="8"/>
  <c r="J13954" i="8"/>
  <c r="J13953" i="8"/>
  <c r="J13952" i="8"/>
  <c r="J13951" i="8"/>
  <c r="J13950" i="8"/>
  <c r="J13949" i="8"/>
  <c r="J13948" i="8"/>
  <c r="J13947" i="8"/>
  <c r="J13946" i="8"/>
  <c r="J13945" i="8"/>
  <c r="J13944" i="8"/>
  <c r="J13943" i="8"/>
  <c r="J13942" i="8"/>
  <c r="J13941" i="8"/>
  <c r="J13940" i="8"/>
  <c r="J13939" i="8"/>
  <c r="J13938" i="8"/>
  <c r="J13937" i="8"/>
  <c r="J13936" i="8"/>
  <c r="J13935" i="8"/>
  <c r="J13934" i="8"/>
  <c r="J16076" i="8"/>
  <c r="J16077" i="8"/>
  <c r="J16078" i="8"/>
  <c r="J16079" i="8"/>
  <c r="J16080" i="8"/>
  <c r="J16081" i="8"/>
  <c r="J16082" i="8"/>
  <c r="J16083" i="8"/>
  <c r="J16084" i="8"/>
  <c r="J16085" i="8"/>
  <c r="J16086" i="8"/>
  <c r="J16087" i="8"/>
  <c r="J16088" i="8"/>
  <c r="J16089" i="8"/>
  <c r="J16090" i="8"/>
  <c r="J16091" i="8"/>
  <c r="J16092" i="8"/>
  <c r="J16093" i="8"/>
  <c r="J16094" i="8"/>
  <c r="J16095" i="8"/>
  <c r="J16096" i="8"/>
  <c r="J16097" i="8"/>
  <c r="J16098" i="8"/>
  <c r="J16099" i="8"/>
  <c r="J16100" i="8"/>
  <c r="J16101" i="8"/>
  <c r="J16102" i="8"/>
  <c r="J16103" i="8"/>
  <c r="J16104" i="8"/>
  <c r="J16105" i="8"/>
  <c r="J16106" i="8"/>
  <c r="J16107" i="8"/>
  <c r="J16108" i="8"/>
  <c r="J16109" i="8"/>
  <c r="J16110" i="8"/>
  <c r="J16111" i="8"/>
  <c r="J16112" i="8"/>
  <c r="J16113" i="8"/>
  <c r="J16114" i="8"/>
  <c r="J16115" i="8"/>
  <c r="J16116" i="8"/>
  <c r="J16117" i="8"/>
  <c r="J16118" i="8"/>
  <c r="J16119" i="8"/>
  <c r="J16120" i="8"/>
  <c r="J16121" i="8"/>
  <c r="J16122" i="8"/>
  <c r="J16123" i="8"/>
  <c r="J16124" i="8"/>
  <c r="J16125" i="8"/>
  <c r="J16126" i="8"/>
  <c r="J16127" i="8"/>
  <c r="J16128" i="8"/>
  <c r="J16129" i="8"/>
  <c r="J16130" i="8"/>
  <c r="J16131" i="8"/>
  <c r="J16132" i="8"/>
  <c r="J16133" i="8"/>
  <c r="J16134" i="8"/>
  <c r="J16135" i="8"/>
  <c r="H16137" i="8"/>
  <c r="J16137" i="8" s="1"/>
  <c r="J16138" i="8"/>
  <c r="J16139" i="8"/>
  <c r="J16140" i="8"/>
  <c r="J16141" i="8"/>
  <c r="J16142" i="8"/>
  <c r="J16143" i="8"/>
  <c r="J16144" i="8"/>
  <c r="J16145" i="8"/>
  <c r="J16146" i="8"/>
  <c r="J16147" i="8"/>
  <c r="J16148" i="8"/>
  <c r="J16149" i="8"/>
  <c r="J16150" i="8"/>
  <c r="J16151" i="8"/>
  <c r="J16152" i="8"/>
  <c r="I16153" i="8"/>
  <c r="J16156" i="8"/>
  <c r="J16157" i="8"/>
  <c r="J16158" i="8"/>
  <c r="J16159" i="8"/>
  <c r="J16160" i="8"/>
  <c r="J16161" i="8"/>
  <c r="J16162" i="8"/>
  <c r="J16163" i="8"/>
  <c r="J16164" i="8"/>
  <c r="J16165" i="8"/>
  <c r="J16166" i="8"/>
  <c r="J16167" i="8"/>
  <c r="J16168" i="8"/>
  <c r="J16169" i="8"/>
  <c r="J16170" i="8"/>
  <c r="I16171" i="8"/>
  <c r="J16176" i="8"/>
  <c r="J16177" i="8"/>
  <c r="J16178" i="8"/>
  <c r="J16179" i="8"/>
  <c r="J16180" i="8"/>
  <c r="J16181" i="8"/>
  <c r="J16182" i="8"/>
  <c r="J16183" i="8"/>
  <c r="J16184" i="8"/>
  <c r="J16185" i="8"/>
  <c r="J16186" i="8"/>
  <c r="J16187" i="8"/>
  <c r="I5099" i="8"/>
  <c r="J5098" i="8"/>
  <c r="J5097" i="8"/>
  <c r="J5096" i="8"/>
  <c r="J5095" i="8"/>
  <c r="J5094" i="8"/>
  <c r="J5093" i="8"/>
  <c r="J5092" i="8"/>
  <c r="J5091" i="8"/>
  <c r="J5090" i="8"/>
  <c r="J5089" i="8"/>
  <c r="J5088" i="8"/>
  <c r="J5087" i="8"/>
  <c r="J5086" i="8"/>
  <c r="J5085" i="8"/>
  <c r="J5084" i="8"/>
  <c r="I5080" i="8"/>
  <c r="J5079" i="8"/>
  <c r="J5078" i="8"/>
  <c r="J5077" i="8"/>
  <c r="J5076" i="8"/>
  <c r="J5075" i="8"/>
  <c r="J5074" i="8"/>
  <c r="J5073" i="8"/>
  <c r="J5072" i="8"/>
  <c r="J5071" i="8"/>
  <c r="J5070" i="8"/>
  <c r="J5069" i="8"/>
  <c r="J5068" i="8"/>
  <c r="J5067" i="8"/>
  <c r="J5066" i="8"/>
  <c r="J5065" i="8"/>
  <c r="H5064" i="8"/>
  <c r="H5080" i="8" s="1"/>
  <c r="I5062" i="8"/>
  <c r="J5061" i="8"/>
  <c r="J5060" i="8"/>
  <c r="J5059" i="8"/>
  <c r="J5058" i="8"/>
  <c r="J5057" i="8"/>
  <c r="J5056" i="8"/>
  <c r="J5055" i="8"/>
  <c r="J5054" i="8"/>
  <c r="J5053" i="8"/>
  <c r="J5052" i="8"/>
  <c r="J5051" i="8"/>
  <c r="J5050" i="8"/>
  <c r="J5049" i="8"/>
  <c r="J5048" i="8"/>
  <c r="J5047" i="8"/>
  <c r="H5046" i="8"/>
  <c r="H5062" i="8" s="1"/>
  <c r="J5044" i="8"/>
  <c r="J5043" i="8"/>
  <c r="J5042" i="8"/>
  <c r="J5041" i="8"/>
  <c r="J5040" i="8"/>
  <c r="J5039" i="8"/>
  <c r="J5038" i="8"/>
  <c r="J5037" i="8"/>
  <c r="J5036" i="8"/>
  <c r="J5035" i="8"/>
  <c r="J5034" i="8"/>
  <c r="J5033" i="8"/>
  <c r="J5032" i="8"/>
  <c r="J5031" i="8"/>
  <c r="J5030" i="8"/>
  <c r="J5029" i="8"/>
  <c r="J5028" i="8"/>
  <c r="J5027" i="8"/>
  <c r="J5026" i="8"/>
  <c r="J5025" i="8"/>
  <c r="J5024" i="8"/>
  <c r="J5023" i="8"/>
  <c r="J5022" i="8"/>
  <c r="J5021" i="8"/>
  <c r="J5020" i="8"/>
  <c r="J5019" i="8"/>
  <c r="J5018" i="8"/>
  <c r="J5017" i="8"/>
  <c r="J5016" i="8"/>
  <c r="J5015" i="8"/>
  <c r="J5014" i="8"/>
  <c r="J5013" i="8"/>
  <c r="J5012" i="8"/>
  <c r="J5011" i="8"/>
  <c r="J5010" i="8"/>
  <c r="J5009" i="8"/>
  <c r="J5008" i="8"/>
  <c r="J5007" i="8"/>
  <c r="J5006" i="8"/>
  <c r="J5005" i="8"/>
  <c r="J5004" i="8"/>
  <c r="J5003" i="8"/>
  <c r="J5002" i="8"/>
  <c r="J5001" i="8"/>
  <c r="J5000" i="8"/>
  <c r="J4999" i="8"/>
  <c r="J4998" i="8"/>
  <c r="J4997" i="8"/>
  <c r="J4996" i="8"/>
  <c r="J4995" i="8"/>
  <c r="J4994" i="8"/>
  <c r="J4993" i="8"/>
  <c r="J4992" i="8"/>
  <c r="J4991" i="8"/>
  <c r="J4990" i="8"/>
  <c r="J4989" i="8"/>
  <c r="J4988" i="8"/>
  <c r="J4987" i="8"/>
  <c r="J4986" i="8"/>
  <c r="J4985" i="8"/>
  <c r="I4981" i="8"/>
  <c r="J4980" i="8"/>
  <c r="J4979" i="8"/>
  <c r="J4978" i="8"/>
  <c r="J4977" i="8"/>
  <c r="J4976" i="8"/>
  <c r="J4975" i="8"/>
  <c r="J4974" i="8"/>
  <c r="J4973" i="8"/>
  <c r="J4972" i="8"/>
  <c r="J4971" i="8"/>
  <c r="J4970" i="8"/>
  <c r="J4969" i="8"/>
  <c r="J4968" i="8"/>
  <c r="J4967" i="8"/>
  <c r="J4966" i="8"/>
  <c r="H4965" i="8"/>
  <c r="H4981" i="8" s="1"/>
  <c r="I4963" i="8"/>
  <c r="J4962" i="8"/>
  <c r="J4961" i="8"/>
  <c r="J4960" i="8"/>
  <c r="J4959" i="8"/>
  <c r="J4958" i="8"/>
  <c r="J4957" i="8"/>
  <c r="J4956" i="8"/>
  <c r="J4955" i="8"/>
  <c r="J4954" i="8"/>
  <c r="J4953" i="8"/>
  <c r="J4952" i="8"/>
  <c r="J4951" i="8"/>
  <c r="J4950" i="8"/>
  <c r="J4949" i="8"/>
  <c r="J4948" i="8"/>
  <c r="H4947" i="8"/>
  <c r="H4963" i="8" s="1"/>
  <c r="J4945" i="8"/>
  <c r="J4944" i="8"/>
  <c r="J4943" i="8"/>
  <c r="J4942" i="8"/>
  <c r="J4941" i="8"/>
  <c r="J4940" i="8"/>
  <c r="J4939" i="8"/>
  <c r="J4938" i="8"/>
  <c r="J4937" i="8"/>
  <c r="J4936" i="8"/>
  <c r="J4935" i="8"/>
  <c r="J4934" i="8"/>
  <c r="J4933" i="8"/>
  <c r="J4932" i="8"/>
  <c r="J4931" i="8"/>
  <c r="J4930" i="8"/>
  <c r="J4929" i="8"/>
  <c r="J4928" i="8"/>
  <c r="J4927" i="8"/>
  <c r="J4926" i="8"/>
  <c r="J4925" i="8"/>
  <c r="J4924" i="8"/>
  <c r="J4923" i="8"/>
  <c r="J4922" i="8"/>
  <c r="J4921" i="8"/>
  <c r="J4920" i="8"/>
  <c r="J4919" i="8"/>
  <c r="J4918" i="8"/>
  <c r="J4917" i="8"/>
  <c r="J4916" i="8"/>
  <c r="J4915" i="8"/>
  <c r="J4914" i="8"/>
  <c r="J4913" i="8"/>
  <c r="J4912" i="8"/>
  <c r="J4911" i="8"/>
  <c r="J4910" i="8"/>
  <c r="J4909" i="8"/>
  <c r="J4908" i="8"/>
  <c r="J4907" i="8"/>
  <c r="J4906" i="8"/>
  <c r="J4905" i="8"/>
  <c r="J4904" i="8"/>
  <c r="J4903" i="8"/>
  <c r="J4902" i="8"/>
  <c r="J4901" i="8"/>
  <c r="J4900" i="8"/>
  <c r="J4899" i="8"/>
  <c r="J4898" i="8"/>
  <c r="J4897" i="8"/>
  <c r="J4896" i="8"/>
  <c r="J4895" i="8"/>
  <c r="J4894" i="8"/>
  <c r="J4893" i="8"/>
  <c r="J4892" i="8"/>
  <c r="J4891" i="8"/>
  <c r="J4890" i="8"/>
  <c r="J4889" i="8"/>
  <c r="J4888" i="8"/>
  <c r="J4887" i="8"/>
  <c r="J4886" i="8"/>
  <c r="I4882" i="8"/>
  <c r="J4881" i="8"/>
  <c r="J4880" i="8"/>
  <c r="J4879" i="8"/>
  <c r="J4878" i="8"/>
  <c r="J4877" i="8"/>
  <c r="J4876" i="8"/>
  <c r="J4875" i="8"/>
  <c r="J4874" i="8"/>
  <c r="J4873" i="8"/>
  <c r="J4872" i="8"/>
  <c r="J4871" i="8"/>
  <c r="J4870" i="8"/>
  <c r="J4869" i="8"/>
  <c r="J4868" i="8"/>
  <c r="J4867" i="8"/>
  <c r="H4866" i="8"/>
  <c r="H4882" i="8" s="1"/>
  <c r="I4864" i="8"/>
  <c r="J4863" i="8"/>
  <c r="J4862" i="8"/>
  <c r="J4861" i="8"/>
  <c r="J4860" i="8"/>
  <c r="J4859" i="8"/>
  <c r="J4858" i="8"/>
  <c r="J4857" i="8"/>
  <c r="J4856" i="8"/>
  <c r="J4855" i="8"/>
  <c r="J4854" i="8"/>
  <c r="J4853" i="8"/>
  <c r="J4852" i="8"/>
  <c r="J4851" i="8"/>
  <c r="J4850" i="8"/>
  <c r="J4849" i="8"/>
  <c r="H4848" i="8"/>
  <c r="H4864" i="8" s="1"/>
  <c r="J4846" i="8"/>
  <c r="J4845" i="8"/>
  <c r="J4844" i="8"/>
  <c r="J4843" i="8"/>
  <c r="J4842" i="8"/>
  <c r="J4841" i="8"/>
  <c r="J4840" i="8"/>
  <c r="J4839" i="8"/>
  <c r="J4838" i="8"/>
  <c r="J4837" i="8"/>
  <c r="J4836" i="8"/>
  <c r="J4835" i="8"/>
  <c r="J4834" i="8"/>
  <c r="J4833" i="8"/>
  <c r="J4832" i="8"/>
  <c r="J4831" i="8"/>
  <c r="J4830" i="8"/>
  <c r="J4829" i="8"/>
  <c r="J4828" i="8"/>
  <c r="J4827" i="8"/>
  <c r="J4826" i="8"/>
  <c r="J4825" i="8"/>
  <c r="J4824" i="8"/>
  <c r="J4823" i="8"/>
  <c r="J4822" i="8"/>
  <c r="J4821" i="8"/>
  <c r="J4820" i="8"/>
  <c r="J4819" i="8"/>
  <c r="J4818" i="8"/>
  <c r="J4817" i="8"/>
  <c r="J4816" i="8"/>
  <c r="J4815" i="8"/>
  <c r="J4814" i="8"/>
  <c r="J4813" i="8"/>
  <c r="J4812" i="8"/>
  <c r="J4811" i="8"/>
  <c r="J4810" i="8"/>
  <c r="J4809" i="8"/>
  <c r="J4808" i="8"/>
  <c r="J4807" i="8"/>
  <c r="J4806" i="8"/>
  <c r="J4805" i="8"/>
  <c r="J4804" i="8"/>
  <c r="J4803" i="8"/>
  <c r="J4802" i="8"/>
  <c r="J4801" i="8"/>
  <c r="J4800" i="8"/>
  <c r="J4799" i="8"/>
  <c r="J4798" i="8"/>
  <c r="J4797" i="8"/>
  <c r="J4796" i="8"/>
  <c r="J4795" i="8"/>
  <c r="J4794" i="8"/>
  <c r="J4793" i="8"/>
  <c r="J4792" i="8"/>
  <c r="J4791" i="8"/>
  <c r="J4790" i="8"/>
  <c r="J4789" i="8"/>
  <c r="J4788" i="8"/>
  <c r="J4787" i="8"/>
  <c r="J5170" i="8"/>
  <c r="J5171" i="8"/>
  <c r="J5172" i="8"/>
  <c r="J5173" i="8"/>
  <c r="J5174" i="8"/>
  <c r="J5175" i="8"/>
  <c r="J5176" i="8"/>
  <c r="J5177" i="8"/>
  <c r="J5178" i="8"/>
  <c r="J5179" i="8"/>
  <c r="J5180" i="8"/>
  <c r="J5181" i="8"/>
  <c r="J5182" i="8"/>
  <c r="J5183" i="8"/>
  <c r="J5184" i="8"/>
  <c r="J5185" i="8"/>
  <c r="J5186" i="8"/>
  <c r="J5187" i="8"/>
  <c r="J5188" i="8"/>
  <c r="J5189" i="8"/>
  <c r="J5190" i="8"/>
  <c r="J5191" i="8"/>
  <c r="J5192" i="8"/>
  <c r="J5193" i="8"/>
  <c r="J5194" i="8"/>
  <c r="J5195" i="8"/>
  <c r="J5196" i="8"/>
  <c r="J5197" i="8"/>
  <c r="J5198" i="8"/>
  <c r="J5199" i="8"/>
  <c r="J5200" i="8"/>
  <c r="J5201" i="8"/>
  <c r="J5202" i="8"/>
  <c r="J5203" i="8"/>
  <c r="J5204" i="8"/>
  <c r="J5205" i="8"/>
  <c r="J5206" i="8"/>
  <c r="J5207" i="8"/>
  <c r="J5208" i="8"/>
  <c r="J5209" i="8"/>
  <c r="J5210" i="8"/>
  <c r="J5211" i="8"/>
  <c r="J5212" i="8"/>
  <c r="J5213" i="8"/>
  <c r="J5214" i="8"/>
  <c r="J5215" i="8"/>
  <c r="J5216" i="8"/>
  <c r="J5217" i="8"/>
  <c r="J5218" i="8"/>
  <c r="J5219" i="8"/>
  <c r="J5220" i="8"/>
  <c r="J5221" i="8"/>
  <c r="J5222" i="8"/>
  <c r="J5223" i="8"/>
  <c r="J5224" i="8"/>
  <c r="J5225" i="8"/>
  <c r="J5226" i="8"/>
  <c r="J5227" i="8"/>
  <c r="J5228" i="8"/>
  <c r="J5229" i="8"/>
  <c r="H5231" i="8"/>
  <c r="J5231" i="8" s="1"/>
  <c r="J5232" i="8"/>
  <c r="J5233" i="8"/>
  <c r="J5234" i="8"/>
  <c r="J5235" i="8"/>
  <c r="J5236" i="8"/>
  <c r="J5237" i="8"/>
  <c r="J5238" i="8"/>
  <c r="J5239" i="8"/>
  <c r="J5240" i="8"/>
  <c r="J5241" i="8"/>
  <c r="J5242" i="8"/>
  <c r="J5243" i="8"/>
  <c r="J5244" i="8"/>
  <c r="J5245" i="8"/>
  <c r="J5246" i="8"/>
  <c r="I5247" i="8"/>
  <c r="H5249" i="8"/>
  <c r="H5265" i="8" s="1"/>
  <c r="J5250" i="8"/>
  <c r="J5251" i="8"/>
  <c r="J5252" i="8"/>
  <c r="J5253" i="8"/>
  <c r="J5254" i="8"/>
  <c r="J5255" i="8"/>
  <c r="J5256" i="8"/>
  <c r="J5257" i="8"/>
  <c r="J5258" i="8"/>
  <c r="J5259" i="8"/>
  <c r="J5260" i="8"/>
  <c r="J5261" i="8"/>
  <c r="J5262" i="8"/>
  <c r="J5263" i="8"/>
  <c r="J5264" i="8"/>
  <c r="I5265" i="8"/>
  <c r="J5313" i="8"/>
  <c r="J5314" i="8"/>
  <c r="J5315" i="8"/>
  <c r="J5316" i="8"/>
  <c r="J5317" i="8"/>
  <c r="J5318" i="8"/>
  <c r="J5319" i="8"/>
  <c r="J5320" i="8"/>
  <c r="J5321" i="8"/>
  <c r="J5322" i="8"/>
  <c r="J5323" i="8"/>
  <c r="J5324" i="8"/>
  <c r="J5325" i="8"/>
  <c r="J5326" i="8"/>
  <c r="J5327" i="8"/>
  <c r="J5328" i="8"/>
  <c r="J5329" i="8"/>
  <c r="J5330" i="8"/>
  <c r="J5331" i="8"/>
  <c r="J5332" i="8"/>
  <c r="J5333" i="8"/>
  <c r="J5334" i="8"/>
  <c r="J5335" i="8"/>
  <c r="J5336" i="8"/>
  <c r="J5337" i="8"/>
  <c r="J5338" i="8"/>
  <c r="J5339" i="8"/>
  <c r="J5340" i="8"/>
  <c r="J5341" i="8"/>
  <c r="J5342" i="8"/>
  <c r="J5343" i="8"/>
  <c r="J5344" i="8"/>
  <c r="J5345" i="8"/>
  <c r="J5346" i="8"/>
  <c r="J5347" i="8"/>
  <c r="J5348" i="8"/>
  <c r="J5349" i="8"/>
  <c r="J5350" i="8"/>
  <c r="J5351" i="8"/>
  <c r="J5352" i="8"/>
  <c r="J5353" i="8"/>
  <c r="J5354" i="8"/>
  <c r="J5355" i="8"/>
  <c r="J5356" i="8"/>
  <c r="J5357" i="8"/>
  <c r="J5358" i="8"/>
  <c r="J5359" i="8"/>
  <c r="J5360" i="8"/>
  <c r="J5361" i="8"/>
  <c r="J5362" i="8"/>
  <c r="J5363" i="8"/>
  <c r="J5364" i="8"/>
  <c r="J5365" i="8"/>
  <c r="J5366" i="8"/>
  <c r="J5367" i="8"/>
  <c r="J5368" i="8"/>
  <c r="J5369" i="8"/>
  <c r="J5370" i="8"/>
  <c r="J5371" i="8"/>
  <c r="J5372" i="8"/>
  <c r="H5374" i="8"/>
  <c r="J5374" i="8" s="1"/>
  <c r="J5375" i="8"/>
  <c r="J5376" i="8"/>
  <c r="J5377" i="8"/>
  <c r="J5378" i="8"/>
  <c r="J5379" i="8"/>
  <c r="J5380" i="8"/>
  <c r="J5381" i="8"/>
  <c r="J5382" i="8"/>
  <c r="J5383" i="8"/>
  <c r="J5384" i="8"/>
  <c r="J5385" i="8"/>
  <c r="J5386" i="8"/>
  <c r="J5387" i="8"/>
  <c r="J5388" i="8"/>
  <c r="J5389" i="8"/>
  <c r="I5390" i="8"/>
  <c r="H5392" i="8"/>
  <c r="J5392" i="8" s="1"/>
  <c r="J5393" i="8"/>
  <c r="J5394" i="8"/>
  <c r="J5395" i="8"/>
  <c r="J5396" i="8"/>
  <c r="J5397" i="8"/>
  <c r="J5398" i="8"/>
  <c r="J5399" i="8"/>
  <c r="J5400" i="8"/>
  <c r="J5401" i="8"/>
  <c r="J5402" i="8"/>
  <c r="J5403" i="8"/>
  <c r="J5404" i="8"/>
  <c r="J5405" i="8"/>
  <c r="J5406" i="8"/>
  <c r="J5407" i="8"/>
  <c r="I5408" i="8"/>
  <c r="J5412" i="8"/>
  <c r="J5413" i="8"/>
  <c r="J5414" i="8"/>
  <c r="J5415" i="8"/>
  <c r="J5416" i="8"/>
  <c r="J5417" i="8"/>
  <c r="J5418" i="8"/>
  <c r="J5419" i="8"/>
  <c r="J5420" i="8"/>
  <c r="J5421" i="8"/>
  <c r="J5422" i="8"/>
  <c r="J5423" i="8"/>
  <c r="J5424" i="8"/>
  <c r="J5425" i="8"/>
  <c r="J5426" i="8"/>
  <c r="J5427" i="8"/>
  <c r="J5428" i="8"/>
  <c r="J5429" i="8"/>
  <c r="J5430" i="8"/>
  <c r="J5431" i="8"/>
  <c r="J5432" i="8"/>
  <c r="J5433" i="8"/>
  <c r="J5434" i="8"/>
  <c r="J5435" i="8"/>
  <c r="J5436" i="8"/>
  <c r="J5437" i="8"/>
  <c r="J5438" i="8"/>
  <c r="J5439" i="8"/>
  <c r="J5440" i="8"/>
  <c r="J5441" i="8"/>
  <c r="J5442" i="8"/>
  <c r="J5443" i="8"/>
  <c r="J5444" i="8"/>
  <c r="J5445" i="8"/>
  <c r="H5247" i="8" l="1"/>
  <c r="I13880" i="8"/>
  <c r="I13889" i="8"/>
  <c r="J5249" i="8"/>
  <c r="J5265" i="8" s="1"/>
  <c r="H5268" i="8"/>
  <c r="H5408" i="8"/>
  <c r="H5390" i="8"/>
  <c r="J5408" i="8"/>
  <c r="J5390" i="8"/>
  <c r="J5247" i="8"/>
  <c r="J14081" i="8"/>
  <c r="J14097" i="8" s="1"/>
  <c r="J14099" i="8"/>
  <c r="J14115" i="8" s="1"/>
  <c r="J14180" i="8"/>
  <c r="J14196" i="8" s="1"/>
  <c r="J14198" i="8"/>
  <c r="J14214" i="8" s="1"/>
  <c r="J14279" i="8"/>
  <c r="J14295" i="8" s="1"/>
  <c r="J14297" i="8"/>
  <c r="J14313" i="8" s="1"/>
  <c r="J14378" i="8"/>
  <c r="J14394" i="8" s="1"/>
  <c r="J14396" i="8"/>
  <c r="J14412" i="8" s="1"/>
  <c r="J14477" i="8"/>
  <c r="J14493" i="8" s="1"/>
  <c r="J14495" i="8"/>
  <c r="J14511" i="8" s="1"/>
  <c r="J14576" i="8"/>
  <c r="J14592" i="8" s="1"/>
  <c r="J14594" i="8"/>
  <c r="J14610" i="8" s="1"/>
  <c r="J14675" i="8"/>
  <c r="J14691" i="8" s="1"/>
  <c r="J14693" i="8"/>
  <c r="J14709" i="8" s="1"/>
  <c r="H5083" i="8"/>
  <c r="J4848" i="8"/>
  <c r="J4864" i="8" s="1"/>
  <c r="J4866" i="8"/>
  <c r="J4882" i="8" s="1"/>
  <c r="J4947" i="8"/>
  <c r="J4963" i="8" s="1"/>
  <c r="J4965" i="8"/>
  <c r="J4981" i="8" s="1"/>
  <c r="J5046" i="8"/>
  <c r="J5062" i="8" s="1"/>
  <c r="J5064" i="8"/>
  <c r="J5080" i="8" s="1"/>
  <c r="I6261" i="8"/>
  <c r="J6260" i="8"/>
  <c r="J6259" i="8"/>
  <c r="J6258" i="8"/>
  <c r="J6257" i="8"/>
  <c r="J6256" i="8"/>
  <c r="J6255" i="8"/>
  <c r="J6254" i="8"/>
  <c r="J6253" i="8"/>
  <c r="J6252" i="8"/>
  <c r="J6251" i="8"/>
  <c r="J6250" i="8"/>
  <c r="J6249" i="8"/>
  <c r="J6248" i="8"/>
  <c r="J6247" i="8"/>
  <c r="J6246" i="8"/>
  <c r="I6242" i="8"/>
  <c r="J6241" i="8"/>
  <c r="J6240" i="8"/>
  <c r="J6239" i="8"/>
  <c r="J6238" i="8"/>
  <c r="J6237" i="8"/>
  <c r="J6236" i="8"/>
  <c r="J6235" i="8"/>
  <c r="J6234" i="8"/>
  <c r="J6233" i="8"/>
  <c r="J6232" i="8"/>
  <c r="J6231" i="8"/>
  <c r="J6230" i="8"/>
  <c r="J6229" i="8"/>
  <c r="J6228" i="8"/>
  <c r="J6227" i="8"/>
  <c r="I6223" i="8"/>
  <c r="J6222" i="8"/>
  <c r="J6221" i="8"/>
  <c r="J6220" i="8"/>
  <c r="J6219" i="8"/>
  <c r="J6218" i="8"/>
  <c r="J6217" i="8"/>
  <c r="J6216" i="8"/>
  <c r="J6215" i="8"/>
  <c r="J6214" i="8"/>
  <c r="J6213" i="8"/>
  <c r="J6212" i="8"/>
  <c r="J6211" i="8"/>
  <c r="J6210" i="8"/>
  <c r="J6209" i="8"/>
  <c r="J6208" i="8"/>
  <c r="H6207" i="8"/>
  <c r="H6223" i="8" s="1"/>
  <c r="I6205" i="8"/>
  <c r="J6204" i="8"/>
  <c r="J6203" i="8"/>
  <c r="J6202" i="8"/>
  <c r="J6201" i="8"/>
  <c r="J6200" i="8"/>
  <c r="J6199" i="8"/>
  <c r="J6198" i="8"/>
  <c r="J6197" i="8"/>
  <c r="J6196" i="8"/>
  <c r="J6195" i="8"/>
  <c r="J6194" i="8"/>
  <c r="J6193" i="8"/>
  <c r="J6192" i="8"/>
  <c r="J6191" i="8"/>
  <c r="J6190" i="8"/>
  <c r="H6189" i="8"/>
  <c r="H6205" i="8" s="1"/>
  <c r="J6187" i="8"/>
  <c r="J6186" i="8"/>
  <c r="J6185" i="8"/>
  <c r="J6184" i="8"/>
  <c r="J6183" i="8"/>
  <c r="J6182" i="8"/>
  <c r="J6181" i="8"/>
  <c r="J6180" i="8"/>
  <c r="J6179" i="8"/>
  <c r="J6178" i="8"/>
  <c r="J6177" i="8"/>
  <c r="J6176" i="8"/>
  <c r="J6175" i="8"/>
  <c r="J6174" i="8"/>
  <c r="J6173" i="8"/>
  <c r="J6172" i="8"/>
  <c r="J6171" i="8"/>
  <c r="J6170" i="8"/>
  <c r="J6169" i="8"/>
  <c r="J6168" i="8"/>
  <c r="J6167" i="8"/>
  <c r="J6166" i="8"/>
  <c r="J6165" i="8"/>
  <c r="J6164" i="8"/>
  <c r="J6163" i="8"/>
  <c r="J6162" i="8"/>
  <c r="J6161" i="8"/>
  <c r="J6160" i="8"/>
  <c r="J6159" i="8"/>
  <c r="J6158" i="8"/>
  <c r="J6157" i="8"/>
  <c r="J6156" i="8"/>
  <c r="J6155" i="8"/>
  <c r="J6154" i="8"/>
  <c r="J6153" i="8"/>
  <c r="J6152" i="8"/>
  <c r="J6151" i="8"/>
  <c r="J6150" i="8"/>
  <c r="J6149" i="8"/>
  <c r="J6148" i="8"/>
  <c r="J6147" i="8"/>
  <c r="J6146" i="8"/>
  <c r="J6145" i="8"/>
  <c r="J6144" i="8"/>
  <c r="J6143" i="8"/>
  <c r="J6142" i="8"/>
  <c r="J6141" i="8"/>
  <c r="J6140" i="8"/>
  <c r="J6139" i="8"/>
  <c r="J6138" i="8"/>
  <c r="J6137" i="8"/>
  <c r="J6136" i="8"/>
  <c r="J6135" i="8"/>
  <c r="J6134" i="8"/>
  <c r="J6133" i="8"/>
  <c r="J6132" i="8"/>
  <c r="J6131" i="8"/>
  <c r="J6130" i="8"/>
  <c r="J6129" i="8"/>
  <c r="J6128" i="8"/>
  <c r="J13889" i="8" l="1"/>
  <c r="I17093" i="8"/>
  <c r="I17271" i="8" s="1"/>
  <c r="I13899" i="8"/>
  <c r="H5284" i="8"/>
  <c r="J5268" i="8"/>
  <c r="J5284" i="8" s="1"/>
  <c r="H16153" i="8"/>
  <c r="J16153" i="8"/>
  <c r="H16155" i="8"/>
  <c r="H5099" i="8"/>
  <c r="J5083" i="8"/>
  <c r="J5099" i="8" s="1"/>
  <c r="H6226" i="8"/>
  <c r="H6245" i="8"/>
  <c r="J6189" i="8"/>
  <c r="J6205" i="8" s="1"/>
  <c r="J6207" i="8"/>
  <c r="J6223" i="8" s="1"/>
  <c r="H14000" i="8" l="1"/>
  <c r="H13982" i="8"/>
  <c r="J16155" i="8"/>
  <c r="J16171" i="8" s="1"/>
  <c r="H16171" i="8"/>
  <c r="H6261" i="8"/>
  <c r="J6245" i="8"/>
  <c r="J6261" i="8" s="1"/>
  <c r="H6242" i="8"/>
  <c r="J6226" i="8"/>
  <c r="J6242" i="8" s="1"/>
  <c r="H13998" i="8" l="1"/>
  <c r="J13982" i="8"/>
  <c r="J13998" i="8" s="1"/>
  <c r="H14016" i="8"/>
  <c r="H15513" i="8" s="1"/>
  <c r="H15538" i="8" s="1"/>
  <c r="J15538" i="8" s="1"/>
  <c r="J14000" i="8"/>
  <c r="J14016" i="8" s="1"/>
  <c r="J1877" i="8"/>
  <c r="J1878" i="8"/>
  <c r="J1879" i="8"/>
  <c r="J1880" i="8"/>
  <c r="J1881" i="8"/>
  <c r="J1882" i="8"/>
  <c r="J1883" i="8"/>
  <c r="J1884" i="8"/>
  <c r="J1885" i="8"/>
  <c r="J1886" i="8"/>
  <c r="J1887" i="8"/>
  <c r="J1888" i="8"/>
  <c r="J1889" i="8"/>
  <c r="J1890" i="8"/>
  <c r="J1891" i="8"/>
  <c r="J1892" i="8"/>
  <c r="J1893" i="8"/>
  <c r="J1894" i="8"/>
  <c r="J1895" i="8"/>
  <c r="J1896" i="8"/>
  <c r="J1897" i="8"/>
  <c r="J1898" i="8"/>
  <c r="J1899" i="8"/>
  <c r="J1900" i="8"/>
  <c r="J1901" i="8"/>
  <c r="J1902" i="8"/>
  <c r="J1903" i="8"/>
  <c r="J1904" i="8"/>
  <c r="J1905" i="8"/>
  <c r="J1906" i="8"/>
  <c r="J1907" i="8"/>
  <c r="J1908" i="8"/>
  <c r="J1909" i="8"/>
  <c r="J1910" i="8"/>
  <c r="J1911" i="8"/>
  <c r="J1912" i="8"/>
  <c r="J1913" i="8"/>
  <c r="J1914" i="8"/>
  <c r="J1915" i="8"/>
  <c r="J1916" i="8"/>
  <c r="J1917" i="8"/>
  <c r="J1918" i="8"/>
  <c r="J1919" i="8"/>
  <c r="J1920" i="8"/>
  <c r="J1921" i="8"/>
  <c r="J1922" i="8"/>
  <c r="J1923" i="8"/>
  <c r="J1924" i="8"/>
  <c r="J1925" i="8"/>
  <c r="J1926" i="8"/>
  <c r="H15554" i="8" l="1"/>
  <c r="J15554" i="8"/>
  <c r="J15513" i="8"/>
  <c r="J15529" i="8" s="1"/>
  <c r="H15529" i="8"/>
  <c r="J3499" i="8"/>
  <c r="J3500" i="8"/>
  <c r="J3501" i="8"/>
  <c r="J3502" i="8"/>
  <c r="J3503" i="8"/>
  <c r="J3504" i="8"/>
  <c r="J3505" i="8"/>
  <c r="J3506" i="8"/>
  <c r="J3507" i="8"/>
  <c r="J3508" i="8"/>
  <c r="J3509" i="8"/>
  <c r="J3510" i="8"/>
  <c r="J3511" i="8"/>
  <c r="J3512" i="8"/>
  <c r="J3513" i="8"/>
  <c r="J3514" i="8"/>
  <c r="J3515" i="8"/>
  <c r="J3516" i="8"/>
  <c r="J3517" i="8"/>
  <c r="J3518" i="8"/>
  <c r="J3519" i="8"/>
  <c r="J3520" i="8"/>
  <c r="J3521" i="8"/>
  <c r="J3522" i="8"/>
  <c r="J3523" i="8"/>
  <c r="J3524" i="8"/>
  <c r="J3525" i="8"/>
  <c r="J3526" i="8"/>
  <c r="J3527" i="8"/>
  <c r="J3528" i="8"/>
  <c r="J3529" i="8"/>
  <c r="J3530" i="8"/>
  <c r="J3531" i="8"/>
  <c r="J3532" i="8"/>
  <c r="J3533" i="8"/>
  <c r="J3534" i="8"/>
  <c r="J3535" i="8"/>
  <c r="J3536" i="8"/>
  <c r="J3537" i="8"/>
  <c r="J3538" i="8"/>
  <c r="J3539" i="8"/>
  <c r="J3540" i="8"/>
  <c r="J3541" i="8"/>
  <c r="J3542" i="8"/>
  <c r="J3543" i="8"/>
  <c r="J3544" i="8"/>
  <c r="H3546" i="8"/>
  <c r="J3546" i="8" s="1"/>
  <c r="J3547" i="8"/>
  <c r="J3548" i="8"/>
  <c r="J3549" i="8"/>
  <c r="J3550" i="8"/>
  <c r="J3551" i="8"/>
  <c r="J3552" i="8"/>
  <c r="J3553" i="8"/>
  <c r="J3554" i="8"/>
  <c r="J3555" i="8"/>
  <c r="J3556" i="8"/>
  <c r="J3557" i="8"/>
  <c r="J3558" i="8"/>
  <c r="J3559" i="8"/>
  <c r="J3560" i="8"/>
  <c r="J3561" i="8"/>
  <c r="I3562" i="8"/>
  <c r="H3564" i="8"/>
  <c r="J3564" i="8" s="1"/>
  <c r="J3565" i="8"/>
  <c r="J3566" i="8"/>
  <c r="J3567" i="8"/>
  <c r="J3568" i="8"/>
  <c r="J3569" i="8"/>
  <c r="J3570" i="8"/>
  <c r="J3571" i="8"/>
  <c r="J3572" i="8"/>
  <c r="J3573" i="8"/>
  <c r="J3574" i="8"/>
  <c r="J3575" i="8"/>
  <c r="J3576" i="8"/>
  <c r="J3577" i="8"/>
  <c r="J3578" i="8"/>
  <c r="J3579" i="8"/>
  <c r="I3580" i="8"/>
  <c r="J3585" i="8"/>
  <c r="J3586" i="8"/>
  <c r="J3587" i="8"/>
  <c r="J3588" i="8"/>
  <c r="J3589" i="8"/>
  <c r="J3590" i="8"/>
  <c r="J3591" i="8"/>
  <c r="J3592" i="8"/>
  <c r="J3593" i="8"/>
  <c r="J3594" i="8"/>
  <c r="J3595" i="8"/>
  <c r="J3596" i="8"/>
  <c r="J3597" i="8"/>
  <c r="J3598" i="8"/>
  <c r="J3599" i="8"/>
  <c r="J3600" i="8"/>
  <c r="J3601" i="8"/>
  <c r="J3602" i="8"/>
  <c r="J3603" i="8"/>
  <c r="J3604" i="8"/>
  <c r="J3605" i="8"/>
  <c r="J3606" i="8"/>
  <c r="J3607" i="8"/>
  <c r="J3608" i="8"/>
  <c r="J3609" i="8"/>
  <c r="J3610" i="8"/>
  <c r="J3611" i="8"/>
  <c r="J3612" i="8"/>
  <c r="J3613" i="8"/>
  <c r="J3614" i="8"/>
  <c r="J3615" i="8"/>
  <c r="J3616" i="8"/>
  <c r="J3617" i="8"/>
  <c r="J3618" i="8"/>
  <c r="J3619" i="8"/>
  <c r="J3620" i="8"/>
  <c r="J3621" i="8"/>
  <c r="J3622" i="8"/>
  <c r="J3623" i="8"/>
  <c r="J3624" i="8"/>
  <c r="J3625" i="8"/>
  <c r="J3626" i="8"/>
  <c r="J3627" i="8"/>
  <c r="J3628" i="8"/>
  <c r="J3629" i="8"/>
  <c r="J3630" i="8"/>
  <c r="J3631" i="8"/>
  <c r="J3632" i="8"/>
  <c r="J3633" i="8"/>
  <c r="J3634" i="8"/>
  <c r="J3635" i="8"/>
  <c r="J3636" i="8"/>
  <c r="J3637" i="8"/>
  <c r="J3638" i="8"/>
  <c r="J3639" i="8"/>
  <c r="J3640" i="8"/>
  <c r="J3641" i="8"/>
  <c r="J3642" i="8"/>
  <c r="J3643" i="8"/>
  <c r="J3644" i="8"/>
  <c r="H3646" i="8"/>
  <c r="J3646" i="8" s="1"/>
  <c r="J3647" i="8"/>
  <c r="J3648" i="8"/>
  <c r="J3649" i="8"/>
  <c r="J3650" i="8"/>
  <c r="J3651" i="8"/>
  <c r="J3652" i="8"/>
  <c r="J3653" i="8"/>
  <c r="J3654" i="8"/>
  <c r="J3655" i="8"/>
  <c r="J3656" i="8"/>
  <c r="J3657" i="8"/>
  <c r="J3658" i="8"/>
  <c r="J3659" i="8"/>
  <c r="J3660" i="8"/>
  <c r="J3661" i="8"/>
  <c r="I3662" i="8"/>
  <c r="H3664" i="8"/>
  <c r="J3664" i="8" s="1"/>
  <c r="J3665" i="8"/>
  <c r="J3666" i="8"/>
  <c r="J3667" i="8"/>
  <c r="J3668" i="8"/>
  <c r="J3669" i="8"/>
  <c r="J3670" i="8"/>
  <c r="J3671" i="8"/>
  <c r="J3672" i="8"/>
  <c r="J3580" i="8" l="1"/>
  <c r="J3662" i="8"/>
  <c r="J3562" i="8"/>
  <c r="H3662" i="8"/>
  <c r="H3580" i="8"/>
  <c r="H3562" i="8"/>
  <c r="I11215" i="8" l="1"/>
  <c r="I11228" i="8" s="1"/>
  <c r="I11233" i="8" s="1"/>
  <c r="I11351" i="8" l="1"/>
  <c r="I11246" i="8"/>
  <c r="C352" i="7"/>
  <c r="I4217" i="8" l="1"/>
  <c r="J4216" i="8"/>
  <c r="J4215" i="8"/>
  <c r="J4214" i="8"/>
  <c r="J4213" i="8"/>
  <c r="J4212" i="8"/>
  <c r="J4211" i="8"/>
  <c r="J4210" i="8"/>
  <c r="J4209" i="8"/>
  <c r="J4208" i="8"/>
  <c r="J4207" i="8"/>
  <c r="J4206" i="8"/>
  <c r="J4205" i="8"/>
  <c r="J4204" i="8"/>
  <c r="J4203" i="8"/>
  <c r="J4202" i="8"/>
  <c r="H4201" i="8"/>
  <c r="H4217" i="8" s="1"/>
  <c r="I4199" i="8"/>
  <c r="J4198" i="8"/>
  <c r="J4197" i="8"/>
  <c r="J4196" i="8"/>
  <c r="J4195" i="8"/>
  <c r="J4194" i="8"/>
  <c r="J4193" i="8"/>
  <c r="J4192" i="8"/>
  <c r="J4191" i="8"/>
  <c r="J4190" i="8"/>
  <c r="J4189" i="8"/>
  <c r="J4188" i="8"/>
  <c r="J4187" i="8"/>
  <c r="J4186" i="8"/>
  <c r="J4185" i="8"/>
  <c r="J4184" i="8"/>
  <c r="H4183" i="8"/>
  <c r="H4199" i="8" s="1"/>
  <c r="J4181" i="8"/>
  <c r="J4180" i="8"/>
  <c r="J4179" i="8"/>
  <c r="J4178" i="8"/>
  <c r="J4177" i="8"/>
  <c r="J4176" i="8"/>
  <c r="J4175" i="8"/>
  <c r="J4174" i="8"/>
  <c r="J4173" i="8"/>
  <c r="J4172" i="8"/>
  <c r="J4171" i="8"/>
  <c r="J4170" i="8"/>
  <c r="J4169" i="8"/>
  <c r="J4168" i="8"/>
  <c r="J4167" i="8"/>
  <c r="J4166" i="8"/>
  <c r="J4165" i="8"/>
  <c r="J4164" i="8"/>
  <c r="J4163" i="8"/>
  <c r="J4162" i="8"/>
  <c r="J4161" i="8"/>
  <c r="J4160" i="8"/>
  <c r="J4159" i="8"/>
  <c r="J4158" i="8"/>
  <c r="J4157" i="8"/>
  <c r="J4156" i="8"/>
  <c r="J4155" i="8"/>
  <c r="J4154" i="8"/>
  <c r="J4153" i="8"/>
  <c r="J4152" i="8"/>
  <c r="J4151" i="8"/>
  <c r="J4150" i="8"/>
  <c r="J4149" i="8"/>
  <c r="J4148" i="8"/>
  <c r="J4147" i="8"/>
  <c r="J4146" i="8"/>
  <c r="J4145" i="8"/>
  <c r="J4144" i="8"/>
  <c r="J4143" i="8"/>
  <c r="J4142" i="8"/>
  <c r="J4141" i="8"/>
  <c r="J4140" i="8"/>
  <c r="J4139" i="8"/>
  <c r="J4138" i="8"/>
  <c r="J4137" i="8"/>
  <c r="J4136" i="8"/>
  <c r="J4135" i="8"/>
  <c r="J4134" i="8"/>
  <c r="J4133" i="8"/>
  <c r="J4132" i="8"/>
  <c r="J4131" i="8"/>
  <c r="J4130" i="8"/>
  <c r="J4129" i="8"/>
  <c r="J4128" i="8"/>
  <c r="J4127" i="8"/>
  <c r="J4126" i="8"/>
  <c r="J4125" i="8"/>
  <c r="J4124" i="8"/>
  <c r="J4123" i="8"/>
  <c r="J4122" i="8"/>
  <c r="I4118" i="8"/>
  <c r="J4117" i="8"/>
  <c r="J4116" i="8"/>
  <c r="J4115" i="8"/>
  <c r="J4114" i="8"/>
  <c r="J4113" i="8"/>
  <c r="J4112" i="8"/>
  <c r="J4111" i="8"/>
  <c r="J4110" i="8"/>
  <c r="J4109" i="8"/>
  <c r="J4108" i="8"/>
  <c r="J4107" i="8"/>
  <c r="J4106" i="8"/>
  <c r="J4105" i="8"/>
  <c r="J4104" i="8"/>
  <c r="J4103" i="8"/>
  <c r="H4102" i="8"/>
  <c r="H4118" i="8" s="1"/>
  <c r="I4100" i="8"/>
  <c r="J4099" i="8"/>
  <c r="J4098" i="8"/>
  <c r="J4097" i="8"/>
  <c r="J4096" i="8"/>
  <c r="J4095" i="8"/>
  <c r="J4094" i="8"/>
  <c r="J4093" i="8"/>
  <c r="J4092" i="8"/>
  <c r="J4091" i="8"/>
  <c r="J4090" i="8"/>
  <c r="J4089" i="8"/>
  <c r="J4088" i="8"/>
  <c r="J4087" i="8"/>
  <c r="J4086" i="8"/>
  <c r="J4085" i="8"/>
  <c r="H4084" i="8"/>
  <c r="H4100" i="8" s="1"/>
  <c r="J4082" i="8"/>
  <c r="J4081" i="8"/>
  <c r="J4080" i="8"/>
  <c r="J4079" i="8"/>
  <c r="J4078" i="8"/>
  <c r="J4077" i="8"/>
  <c r="J4076" i="8"/>
  <c r="J4075" i="8"/>
  <c r="J4074" i="8"/>
  <c r="J4073" i="8"/>
  <c r="J4072" i="8"/>
  <c r="J4071" i="8"/>
  <c r="J4070" i="8"/>
  <c r="J4069" i="8"/>
  <c r="J4068" i="8"/>
  <c r="J4067" i="8"/>
  <c r="J4066" i="8"/>
  <c r="J4065" i="8"/>
  <c r="J4064" i="8"/>
  <c r="J4063" i="8"/>
  <c r="J4062" i="8"/>
  <c r="J4061" i="8"/>
  <c r="J4060" i="8"/>
  <c r="J4059" i="8"/>
  <c r="J4058" i="8"/>
  <c r="J4057" i="8"/>
  <c r="J4056" i="8"/>
  <c r="J4055" i="8"/>
  <c r="J4054" i="8"/>
  <c r="J4053" i="8"/>
  <c r="J4052" i="8"/>
  <c r="J4051" i="8"/>
  <c r="J4050" i="8"/>
  <c r="J4049" i="8"/>
  <c r="J4048" i="8"/>
  <c r="J4047" i="8"/>
  <c r="J4046" i="8"/>
  <c r="J4045" i="8"/>
  <c r="J4044" i="8"/>
  <c r="J4043" i="8"/>
  <c r="J4042" i="8"/>
  <c r="J4041" i="8"/>
  <c r="J4040" i="8"/>
  <c r="J4039" i="8"/>
  <c r="J4038" i="8"/>
  <c r="J4037" i="8"/>
  <c r="J4036" i="8"/>
  <c r="J4035" i="8"/>
  <c r="J4034" i="8"/>
  <c r="J4033" i="8"/>
  <c r="J4032" i="8"/>
  <c r="J4031" i="8"/>
  <c r="J4030" i="8"/>
  <c r="J4029" i="8"/>
  <c r="J4028" i="8"/>
  <c r="J4027" i="8"/>
  <c r="J4026" i="8"/>
  <c r="J4025" i="8"/>
  <c r="J4024" i="8"/>
  <c r="J4023" i="8"/>
  <c r="J4230" i="8"/>
  <c r="J4231" i="8"/>
  <c r="J4232" i="8"/>
  <c r="J4233" i="8"/>
  <c r="J4234" i="8"/>
  <c r="J4235" i="8"/>
  <c r="J4236" i="8"/>
  <c r="J4237" i="8"/>
  <c r="J4238" i="8"/>
  <c r="J4239" i="8"/>
  <c r="J4240" i="8"/>
  <c r="J4241" i="8"/>
  <c r="J4242" i="8"/>
  <c r="J4243" i="8"/>
  <c r="J4244" i="8"/>
  <c r="I4245" i="8"/>
  <c r="J4251" i="8"/>
  <c r="J4252" i="8"/>
  <c r="J4253" i="8"/>
  <c r="J4254" i="8"/>
  <c r="J4255" i="8"/>
  <c r="J4256" i="8"/>
  <c r="J4257" i="8"/>
  <c r="J4258" i="8"/>
  <c r="J4259" i="8"/>
  <c r="J4260" i="8"/>
  <c r="J4261" i="8"/>
  <c r="J4262" i="8"/>
  <c r="J4263" i="8"/>
  <c r="J4264" i="8"/>
  <c r="J4265" i="8"/>
  <c r="J4266" i="8"/>
  <c r="J4267" i="8"/>
  <c r="J4268" i="8"/>
  <c r="J4269" i="8"/>
  <c r="J4270" i="8"/>
  <c r="J4271" i="8"/>
  <c r="J4272" i="8"/>
  <c r="J4273" i="8"/>
  <c r="J4274" i="8"/>
  <c r="J4275" i="8"/>
  <c r="J4276" i="8"/>
  <c r="J4277" i="8"/>
  <c r="J4278" i="8"/>
  <c r="J4279" i="8"/>
  <c r="J4280" i="8"/>
  <c r="J4281" i="8"/>
  <c r="J4282" i="8"/>
  <c r="J3954" i="8"/>
  <c r="I4019" i="8"/>
  <c r="J4018" i="8"/>
  <c r="J4017" i="8"/>
  <c r="J4016" i="8"/>
  <c r="J4015" i="8"/>
  <c r="J4014" i="8"/>
  <c r="J4013" i="8"/>
  <c r="J4012" i="8"/>
  <c r="J4011" i="8"/>
  <c r="J4010" i="8"/>
  <c r="J4009" i="8"/>
  <c r="J4008" i="8"/>
  <c r="J4007" i="8"/>
  <c r="J4006" i="8"/>
  <c r="J4005" i="8"/>
  <c r="J4004" i="8"/>
  <c r="H4003" i="8"/>
  <c r="H4019" i="8" s="1"/>
  <c r="I4001" i="8"/>
  <c r="J4000" i="8"/>
  <c r="J3999" i="8"/>
  <c r="J3998" i="8"/>
  <c r="J3997" i="8"/>
  <c r="J3996" i="8"/>
  <c r="J3995" i="8"/>
  <c r="J3994" i="8"/>
  <c r="J3993" i="8"/>
  <c r="J3992" i="8"/>
  <c r="J3991" i="8"/>
  <c r="J3990" i="8"/>
  <c r="J3989" i="8"/>
  <c r="J3988" i="8"/>
  <c r="J3987" i="8"/>
  <c r="J3986" i="8"/>
  <c r="H3985" i="8"/>
  <c r="H4001" i="8" s="1"/>
  <c r="J3983" i="8"/>
  <c r="J3982" i="8"/>
  <c r="J3981" i="8"/>
  <c r="J3980" i="8"/>
  <c r="J3979" i="8"/>
  <c r="J3978" i="8"/>
  <c r="J3977" i="8"/>
  <c r="J3976" i="8"/>
  <c r="J3975" i="8"/>
  <c r="J3974" i="8"/>
  <c r="J3973" i="8"/>
  <c r="J3972" i="8"/>
  <c r="J3971" i="8"/>
  <c r="J3970" i="8"/>
  <c r="J3969" i="8"/>
  <c r="J3968" i="8"/>
  <c r="J3967" i="8"/>
  <c r="J3966" i="8"/>
  <c r="J3965" i="8"/>
  <c r="J3964" i="8"/>
  <c r="J3963" i="8"/>
  <c r="J3962" i="8"/>
  <c r="J3961" i="8"/>
  <c r="J3960" i="8"/>
  <c r="J3959" i="8"/>
  <c r="J3958" i="8"/>
  <c r="J3957" i="8"/>
  <c r="J3956" i="8"/>
  <c r="J3955" i="8"/>
  <c r="J3953" i="8"/>
  <c r="J3952" i="8"/>
  <c r="J3951" i="8"/>
  <c r="J3950" i="8"/>
  <c r="J3949" i="8"/>
  <c r="J3948" i="8"/>
  <c r="J3947" i="8"/>
  <c r="J3946" i="8"/>
  <c r="J3945" i="8"/>
  <c r="J3944" i="8"/>
  <c r="J3943" i="8"/>
  <c r="J3942" i="8"/>
  <c r="J3941" i="8"/>
  <c r="J3940" i="8"/>
  <c r="J3939" i="8"/>
  <c r="J3938" i="8"/>
  <c r="J3937" i="8"/>
  <c r="J3936" i="8"/>
  <c r="J3935" i="8"/>
  <c r="J3934" i="8"/>
  <c r="J3933" i="8"/>
  <c r="J3932" i="8"/>
  <c r="J3931" i="8"/>
  <c r="J3930" i="8"/>
  <c r="J3929" i="8"/>
  <c r="J3928" i="8"/>
  <c r="J3927" i="8"/>
  <c r="J3926" i="8"/>
  <c r="J3925" i="8"/>
  <c r="J3924" i="8"/>
  <c r="J1655" i="8"/>
  <c r="J1656" i="8"/>
  <c r="J1657" i="8"/>
  <c r="J1658" i="8"/>
  <c r="J1659" i="8"/>
  <c r="J1660" i="8"/>
  <c r="J1661" i="8"/>
  <c r="J1662" i="8"/>
  <c r="J1663" i="8"/>
  <c r="J1664" i="8"/>
  <c r="J1665" i="8"/>
  <c r="J1666" i="8"/>
  <c r="J1667" i="8"/>
  <c r="J1668" i="8"/>
  <c r="J1669" i="8"/>
  <c r="J1670" i="8"/>
  <c r="J1671" i="8"/>
  <c r="J1672" i="8"/>
  <c r="J1673" i="8"/>
  <c r="J1674" i="8"/>
  <c r="J1675" i="8"/>
  <c r="J1676" i="8"/>
  <c r="J1677" i="8"/>
  <c r="J1678" i="8"/>
  <c r="J1679" i="8"/>
  <c r="J1680" i="8"/>
  <c r="J1681" i="8"/>
  <c r="J1682" i="8"/>
  <c r="J1683" i="8"/>
  <c r="J1684" i="8"/>
  <c r="J1685" i="8"/>
  <c r="J1686" i="8"/>
  <c r="J1687" i="8"/>
  <c r="J1688" i="8"/>
  <c r="J1689" i="8"/>
  <c r="J1690" i="8"/>
  <c r="J1691" i="8"/>
  <c r="J1692" i="8"/>
  <c r="J1693" i="8"/>
  <c r="J1694" i="8"/>
  <c r="J1695" i="8"/>
  <c r="J1696" i="8"/>
  <c r="J1697" i="8"/>
  <c r="J1698" i="8"/>
  <c r="J1699" i="8"/>
  <c r="J1700" i="8"/>
  <c r="J1701" i="8"/>
  <c r="J1702" i="8"/>
  <c r="J1703" i="8"/>
  <c r="J1704" i="8"/>
  <c r="J1705" i="8"/>
  <c r="J1706" i="8"/>
  <c r="J1707" i="8"/>
  <c r="J1708" i="8"/>
  <c r="J1709" i="8"/>
  <c r="J1710" i="8"/>
  <c r="J1711" i="8"/>
  <c r="J1712" i="8"/>
  <c r="J1713" i="8"/>
  <c r="J1714" i="8"/>
  <c r="H1716" i="8"/>
  <c r="J1716" i="8" s="1"/>
  <c r="J1717" i="8"/>
  <c r="J1718" i="8"/>
  <c r="J1719" i="8"/>
  <c r="J1720" i="8"/>
  <c r="J1721" i="8"/>
  <c r="J1722" i="8"/>
  <c r="J1723" i="8"/>
  <c r="J1724" i="8"/>
  <c r="J1725" i="8"/>
  <c r="J1726" i="8"/>
  <c r="J1727" i="8"/>
  <c r="J1728" i="8"/>
  <c r="J1729" i="8"/>
  <c r="J1730" i="8"/>
  <c r="J1731" i="8"/>
  <c r="I1732" i="8"/>
  <c r="H1734" i="8"/>
  <c r="J1734" i="8" s="1"/>
  <c r="J1735" i="8"/>
  <c r="J1736" i="8"/>
  <c r="J1737" i="8"/>
  <c r="J1738" i="8"/>
  <c r="J1739" i="8"/>
  <c r="J1740" i="8"/>
  <c r="J1741" i="8"/>
  <c r="J1742" i="8"/>
  <c r="J1743" i="8"/>
  <c r="J1744" i="8"/>
  <c r="J1745" i="8"/>
  <c r="J1746" i="8"/>
  <c r="J1747" i="8"/>
  <c r="J1748" i="8"/>
  <c r="J1749" i="8"/>
  <c r="I1750" i="8"/>
  <c r="J1754" i="8"/>
  <c r="J1755" i="8"/>
  <c r="J1756" i="8"/>
  <c r="J1757" i="8"/>
  <c r="J1758" i="8"/>
  <c r="J1759" i="8"/>
  <c r="J1760" i="8"/>
  <c r="J1761" i="8"/>
  <c r="J1762" i="8"/>
  <c r="J1763" i="8"/>
  <c r="J1764" i="8"/>
  <c r="J1765" i="8"/>
  <c r="J1766" i="8"/>
  <c r="J1767" i="8"/>
  <c r="J1768" i="8"/>
  <c r="I1769" i="8"/>
  <c r="J4183" i="8" l="1"/>
  <c r="J4199" i="8" s="1"/>
  <c r="J4201" i="8"/>
  <c r="J4217" i="8" s="1"/>
  <c r="J4102" i="8"/>
  <c r="J4118" i="8" s="1"/>
  <c r="J4084" i="8"/>
  <c r="J4100" i="8" s="1"/>
  <c r="J1750" i="8"/>
  <c r="J1732" i="8"/>
  <c r="J4003" i="8"/>
  <c r="J4019" i="8" s="1"/>
  <c r="J3985" i="8"/>
  <c r="J4001" i="8" s="1"/>
  <c r="H1750" i="8"/>
  <c r="H1732" i="8"/>
  <c r="J3825" i="8" l="1"/>
  <c r="J3826" i="8"/>
  <c r="J3827" i="8"/>
  <c r="J3828" i="8"/>
  <c r="J3829" i="8"/>
  <c r="J3830" i="8"/>
  <c r="J3831" i="8"/>
  <c r="J3832" i="8"/>
  <c r="J3833" i="8"/>
  <c r="J3834" i="8"/>
  <c r="J3835" i="8"/>
  <c r="J3836" i="8"/>
  <c r="J3837" i="8"/>
  <c r="J3838" i="8"/>
  <c r="J3839" i="8"/>
  <c r="J3840" i="8"/>
  <c r="J3841" i="8"/>
  <c r="J3842" i="8"/>
  <c r="J3843" i="8"/>
  <c r="J3844" i="8"/>
  <c r="J3845" i="8"/>
  <c r="J3846" i="8"/>
  <c r="J3847" i="8"/>
  <c r="J3848" i="8"/>
  <c r="J3849" i="8"/>
  <c r="J3850" i="8"/>
  <c r="J3851" i="8"/>
  <c r="J3852" i="8"/>
  <c r="J3853" i="8"/>
  <c r="J3854" i="8"/>
  <c r="J3855" i="8"/>
  <c r="J3856" i="8"/>
  <c r="J3857" i="8"/>
  <c r="J3858" i="8"/>
  <c r="J3859" i="8"/>
  <c r="J3860" i="8"/>
  <c r="J3861" i="8"/>
  <c r="J3862" i="8"/>
  <c r="J3863" i="8"/>
  <c r="J3864" i="8"/>
  <c r="J3865" i="8"/>
  <c r="J3866" i="8"/>
  <c r="J3867" i="8"/>
  <c r="J3868" i="8"/>
  <c r="J3869" i="8"/>
  <c r="J3870" i="8"/>
  <c r="J3871" i="8"/>
  <c r="J3872" i="8"/>
  <c r="J3873" i="8"/>
  <c r="J3874" i="8"/>
  <c r="J3875" i="8"/>
  <c r="J3876" i="8"/>
  <c r="J3877" i="8"/>
  <c r="J3878" i="8"/>
  <c r="J3879" i="8"/>
  <c r="J3880" i="8"/>
  <c r="J3881" i="8"/>
  <c r="J3882" i="8"/>
  <c r="J3883" i="8"/>
  <c r="J3884" i="8"/>
  <c r="H3886" i="8"/>
  <c r="J3886" i="8" s="1"/>
  <c r="J3887" i="8"/>
  <c r="J3888" i="8"/>
  <c r="J3889" i="8"/>
  <c r="J3890" i="8"/>
  <c r="J3891" i="8"/>
  <c r="J3892" i="8"/>
  <c r="J3893" i="8"/>
  <c r="J3894" i="8"/>
  <c r="J3895" i="8"/>
  <c r="J3896" i="8"/>
  <c r="J3897" i="8"/>
  <c r="J3898" i="8"/>
  <c r="J3899" i="8"/>
  <c r="J3900" i="8"/>
  <c r="J3901" i="8"/>
  <c r="I3902" i="8"/>
  <c r="H3904" i="8"/>
  <c r="J3905" i="8"/>
  <c r="J3906" i="8"/>
  <c r="J3907" i="8"/>
  <c r="J3908" i="8"/>
  <c r="J3909" i="8"/>
  <c r="J3910" i="8"/>
  <c r="J3911" i="8"/>
  <c r="J3912" i="8"/>
  <c r="J3913" i="8"/>
  <c r="J3914" i="8"/>
  <c r="J3915" i="8"/>
  <c r="J3916" i="8"/>
  <c r="J3917" i="8"/>
  <c r="J3918" i="8"/>
  <c r="J3919" i="8"/>
  <c r="I3920" i="8"/>
  <c r="J3904" i="8" l="1"/>
  <c r="J3920" i="8" s="1"/>
  <c r="J3902" i="8"/>
  <c r="H3902" i="8"/>
  <c r="H3920" i="8"/>
  <c r="H90" i="8"/>
  <c r="H72" i="8"/>
  <c r="I24" i="16" l="1"/>
  <c r="I310" i="8"/>
  <c r="D65" i="7"/>
  <c r="F65" i="7"/>
  <c r="C84" i="5"/>
  <c r="F536" i="7"/>
  <c r="F535" i="7"/>
  <c r="D537" i="7"/>
  <c r="C138" i="6" l="1"/>
  <c r="D536" i="7"/>
  <c r="D538" i="7"/>
  <c r="D539" i="7"/>
  <c r="D540" i="7"/>
  <c r="I12991" i="8" l="1"/>
  <c r="J12990" i="8"/>
  <c r="J12989" i="8"/>
  <c r="J12988" i="8"/>
  <c r="J12987" i="8"/>
  <c r="J12986" i="8"/>
  <c r="J12985" i="8"/>
  <c r="J12984" i="8"/>
  <c r="J12983" i="8"/>
  <c r="J12982" i="8"/>
  <c r="J12981" i="8"/>
  <c r="J12980" i="8"/>
  <c r="J12979" i="8"/>
  <c r="J12978" i="8"/>
  <c r="J12977" i="8"/>
  <c r="J12976" i="8"/>
  <c r="H12975" i="8"/>
  <c r="H12991" i="8" s="1"/>
  <c r="I12973" i="8"/>
  <c r="J12972" i="8"/>
  <c r="J12971" i="8"/>
  <c r="J12970" i="8"/>
  <c r="J12969" i="8"/>
  <c r="J12968" i="8"/>
  <c r="J12967" i="8"/>
  <c r="J12966" i="8"/>
  <c r="J12965" i="8"/>
  <c r="J12964" i="8"/>
  <c r="J12963" i="8"/>
  <c r="J12962" i="8"/>
  <c r="J12961" i="8"/>
  <c r="J12960" i="8"/>
  <c r="J12959" i="8"/>
  <c r="J12958" i="8"/>
  <c r="H12957" i="8"/>
  <c r="H12973" i="8" s="1"/>
  <c r="J12955" i="8"/>
  <c r="J12954" i="8"/>
  <c r="J12953" i="8"/>
  <c r="J12952" i="8"/>
  <c r="J12951" i="8"/>
  <c r="J12950" i="8"/>
  <c r="J12949" i="8"/>
  <c r="J12948" i="8"/>
  <c r="J12947" i="8"/>
  <c r="J12946" i="8"/>
  <c r="J12945" i="8"/>
  <c r="J12944" i="8"/>
  <c r="J12943" i="8"/>
  <c r="J12942" i="8"/>
  <c r="J12941" i="8"/>
  <c r="J12940" i="8"/>
  <c r="J12939" i="8"/>
  <c r="J12938" i="8"/>
  <c r="J12937" i="8"/>
  <c r="J12936" i="8"/>
  <c r="J12935" i="8"/>
  <c r="J12934" i="8"/>
  <c r="J12933" i="8"/>
  <c r="J12932" i="8"/>
  <c r="J12931" i="8"/>
  <c r="J12930" i="8"/>
  <c r="J12929" i="8"/>
  <c r="J12928" i="8"/>
  <c r="J12927" i="8"/>
  <c r="J12926" i="8"/>
  <c r="J12925" i="8"/>
  <c r="J12924" i="8"/>
  <c r="J12923" i="8"/>
  <c r="J12922" i="8"/>
  <c r="J12921" i="8"/>
  <c r="J12920" i="8"/>
  <c r="J12919" i="8"/>
  <c r="J12918" i="8"/>
  <c r="J12917" i="8"/>
  <c r="J12916" i="8"/>
  <c r="J12915" i="8"/>
  <c r="J12914" i="8"/>
  <c r="J12913" i="8"/>
  <c r="J12912" i="8"/>
  <c r="J12911" i="8"/>
  <c r="J12910" i="8"/>
  <c r="J12909" i="8"/>
  <c r="J12908" i="8"/>
  <c r="J12907" i="8"/>
  <c r="J12906" i="8"/>
  <c r="J12905" i="8"/>
  <c r="J12904" i="8"/>
  <c r="J12903" i="8"/>
  <c r="J12902" i="8"/>
  <c r="J12901" i="8"/>
  <c r="J12900" i="8"/>
  <c r="J12899" i="8"/>
  <c r="J12898" i="8"/>
  <c r="J12897" i="8"/>
  <c r="J12896" i="8"/>
  <c r="I12892" i="8"/>
  <c r="J12891" i="8"/>
  <c r="J12890" i="8"/>
  <c r="J12889" i="8"/>
  <c r="J12888" i="8"/>
  <c r="J12887" i="8"/>
  <c r="J12886" i="8"/>
  <c r="J12885" i="8"/>
  <c r="J12884" i="8"/>
  <c r="J12883" i="8"/>
  <c r="J12882" i="8"/>
  <c r="J12881" i="8"/>
  <c r="J12880" i="8"/>
  <c r="J12879" i="8"/>
  <c r="J12878" i="8"/>
  <c r="J12877" i="8"/>
  <c r="H12876" i="8"/>
  <c r="H12892" i="8" s="1"/>
  <c r="I12874" i="8"/>
  <c r="J12873" i="8"/>
  <c r="J12872" i="8"/>
  <c r="J12871" i="8"/>
  <c r="J12870" i="8"/>
  <c r="J12869" i="8"/>
  <c r="J12868" i="8"/>
  <c r="J12867" i="8"/>
  <c r="J12866" i="8"/>
  <c r="J12865" i="8"/>
  <c r="J12864" i="8"/>
  <c r="J12863" i="8"/>
  <c r="J12862" i="8"/>
  <c r="J12861" i="8"/>
  <c r="J12860" i="8"/>
  <c r="J12859" i="8"/>
  <c r="H12858" i="8"/>
  <c r="H12874" i="8" s="1"/>
  <c r="J12856" i="8"/>
  <c r="J12855" i="8"/>
  <c r="J12854" i="8"/>
  <c r="J12853" i="8"/>
  <c r="J12852" i="8"/>
  <c r="J12851" i="8"/>
  <c r="J12850" i="8"/>
  <c r="J12849" i="8"/>
  <c r="J12848" i="8"/>
  <c r="J12847" i="8"/>
  <c r="J12846" i="8"/>
  <c r="J12845" i="8"/>
  <c r="J12844" i="8"/>
  <c r="J12843" i="8"/>
  <c r="J12842" i="8"/>
  <c r="J12841" i="8"/>
  <c r="J12840" i="8"/>
  <c r="J12839" i="8"/>
  <c r="J12838" i="8"/>
  <c r="J12837" i="8"/>
  <c r="J12836" i="8"/>
  <c r="J12835" i="8"/>
  <c r="J12834" i="8"/>
  <c r="J12833" i="8"/>
  <c r="J12832" i="8"/>
  <c r="J12831" i="8"/>
  <c r="J12830" i="8"/>
  <c r="J12829" i="8"/>
  <c r="J12828" i="8"/>
  <c r="J12827" i="8"/>
  <c r="J12826" i="8"/>
  <c r="J12825" i="8"/>
  <c r="J12824" i="8"/>
  <c r="J12823" i="8"/>
  <c r="J12822" i="8"/>
  <c r="J12821" i="8"/>
  <c r="J12820" i="8"/>
  <c r="J12819" i="8"/>
  <c r="J12818" i="8"/>
  <c r="J12817" i="8"/>
  <c r="J12816" i="8"/>
  <c r="J12815" i="8"/>
  <c r="J12814" i="8"/>
  <c r="J12813" i="8"/>
  <c r="J12812" i="8"/>
  <c r="J12811" i="8"/>
  <c r="J12810" i="8"/>
  <c r="J12809" i="8"/>
  <c r="J12808" i="8"/>
  <c r="J12807" i="8"/>
  <c r="J12806" i="8"/>
  <c r="J12805" i="8"/>
  <c r="J12804" i="8"/>
  <c r="J12803" i="8"/>
  <c r="J12802" i="8"/>
  <c r="J12801" i="8"/>
  <c r="J12800" i="8"/>
  <c r="J12799" i="8"/>
  <c r="J12798" i="8"/>
  <c r="J12797" i="8"/>
  <c r="I12793" i="8"/>
  <c r="J12792" i="8"/>
  <c r="J12791" i="8"/>
  <c r="J12790" i="8"/>
  <c r="J12789" i="8"/>
  <c r="J12788" i="8"/>
  <c r="J12787" i="8"/>
  <c r="J12786" i="8"/>
  <c r="J12785" i="8"/>
  <c r="J12784" i="8"/>
  <c r="J12783" i="8"/>
  <c r="J12782" i="8"/>
  <c r="J12781" i="8"/>
  <c r="J12780" i="8"/>
  <c r="J12779" i="8"/>
  <c r="J12778" i="8"/>
  <c r="H12777" i="8"/>
  <c r="H12793" i="8" s="1"/>
  <c r="I12775" i="8"/>
  <c r="J12774" i="8"/>
  <c r="J12773" i="8"/>
  <c r="J12772" i="8"/>
  <c r="J12771" i="8"/>
  <c r="J12770" i="8"/>
  <c r="J12769" i="8"/>
  <c r="J12768" i="8"/>
  <c r="J12767" i="8"/>
  <c r="J12766" i="8"/>
  <c r="J12765" i="8"/>
  <c r="J12764" i="8"/>
  <c r="J12763" i="8"/>
  <c r="J12762" i="8"/>
  <c r="J12761" i="8"/>
  <c r="J12760" i="8"/>
  <c r="H12759" i="8"/>
  <c r="H12775" i="8" s="1"/>
  <c r="J12757" i="8"/>
  <c r="J12756" i="8"/>
  <c r="J12755" i="8"/>
  <c r="J12754" i="8"/>
  <c r="J12753" i="8"/>
  <c r="J12752" i="8"/>
  <c r="J12751" i="8"/>
  <c r="J12750" i="8"/>
  <c r="J12749" i="8"/>
  <c r="J12748" i="8"/>
  <c r="J12747" i="8"/>
  <c r="J12746" i="8"/>
  <c r="J12745" i="8"/>
  <c r="J12744" i="8"/>
  <c r="J12743" i="8"/>
  <c r="J12742" i="8"/>
  <c r="J12741" i="8"/>
  <c r="J12740" i="8"/>
  <c r="J12739" i="8"/>
  <c r="J12738" i="8"/>
  <c r="J12737" i="8"/>
  <c r="J12736" i="8"/>
  <c r="J12735" i="8"/>
  <c r="J12734" i="8"/>
  <c r="J12733" i="8"/>
  <c r="J12732" i="8"/>
  <c r="J12731" i="8"/>
  <c r="J12730" i="8"/>
  <c r="J12729" i="8"/>
  <c r="J12728" i="8"/>
  <c r="J12727" i="8"/>
  <c r="J12726" i="8"/>
  <c r="J12725" i="8"/>
  <c r="J12724" i="8"/>
  <c r="J12723" i="8"/>
  <c r="J12722" i="8"/>
  <c r="J12721" i="8"/>
  <c r="J12720" i="8"/>
  <c r="J12719" i="8"/>
  <c r="J12718" i="8"/>
  <c r="J12717" i="8"/>
  <c r="J12716" i="8"/>
  <c r="J12715" i="8"/>
  <c r="J12714" i="8"/>
  <c r="J12713" i="8"/>
  <c r="J12712" i="8"/>
  <c r="J12711" i="8"/>
  <c r="J12710" i="8"/>
  <c r="J12709" i="8"/>
  <c r="J12708" i="8"/>
  <c r="J12707" i="8"/>
  <c r="J12706" i="8"/>
  <c r="J12705" i="8"/>
  <c r="J12704" i="8"/>
  <c r="J12703" i="8"/>
  <c r="J12702" i="8"/>
  <c r="J12701" i="8"/>
  <c r="J12700" i="8"/>
  <c r="J12699" i="8"/>
  <c r="J12698" i="8"/>
  <c r="I12694" i="8"/>
  <c r="J12693" i="8"/>
  <c r="J12692" i="8"/>
  <c r="J12691" i="8"/>
  <c r="J12690" i="8"/>
  <c r="J12689" i="8"/>
  <c r="J12688" i="8"/>
  <c r="J12687" i="8"/>
  <c r="J12686" i="8"/>
  <c r="J12685" i="8"/>
  <c r="J12684" i="8"/>
  <c r="J12683" i="8"/>
  <c r="J12682" i="8"/>
  <c r="J12681" i="8"/>
  <c r="J12680" i="8"/>
  <c r="J12679" i="8"/>
  <c r="H12678" i="8"/>
  <c r="H12694" i="8" s="1"/>
  <c r="I12676" i="8"/>
  <c r="J12675" i="8"/>
  <c r="J12674" i="8"/>
  <c r="J12673" i="8"/>
  <c r="J12672" i="8"/>
  <c r="J12671" i="8"/>
  <c r="J12670" i="8"/>
  <c r="J12669" i="8"/>
  <c r="J12668" i="8"/>
  <c r="J12667" i="8"/>
  <c r="J12666" i="8"/>
  <c r="J12665" i="8"/>
  <c r="J12664" i="8"/>
  <c r="J12663" i="8"/>
  <c r="J12662" i="8"/>
  <c r="J12661" i="8"/>
  <c r="H12660" i="8"/>
  <c r="H12676" i="8" s="1"/>
  <c r="J12658" i="8"/>
  <c r="J12657" i="8"/>
  <c r="J12656" i="8"/>
  <c r="J12655" i="8"/>
  <c r="J12654" i="8"/>
  <c r="J12653" i="8"/>
  <c r="J12652" i="8"/>
  <c r="J12651" i="8"/>
  <c r="J12650" i="8"/>
  <c r="J12649" i="8"/>
  <c r="J12648" i="8"/>
  <c r="J12647" i="8"/>
  <c r="J12646" i="8"/>
  <c r="J12645" i="8"/>
  <c r="J12644" i="8"/>
  <c r="J12643" i="8"/>
  <c r="J12642" i="8"/>
  <c r="J12641" i="8"/>
  <c r="J12640" i="8"/>
  <c r="J12639" i="8"/>
  <c r="J12638" i="8"/>
  <c r="J12637" i="8"/>
  <c r="J12636" i="8"/>
  <c r="J12635" i="8"/>
  <c r="J12634" i="8"/>
  <c r="J12633" i="8"/>
  <c r="J12632" i="8"/>
  <c r="J12631" i="8"/>
  <c r="J12630" i="8"/>
  <c r="J12629" i="8"/>
  <c r="J12628" i="8"/>
  <c r="J12627" i="8"/>
  <c r="J12626" i="8"/>
  <c r="J12625" i="8"/>
  <c r="J12624" i="8"/>
  <c r="J12623" i="8"/>
  <c r="J12622" i="8"/>
  <c r="J12621" i="8"/>
  <c r="J12620" i="8"/>
  <c r="J12619" i="8"/>
  <c r="J12618" i="8"/>
  <c r="J12617" i="8"/>
  <c r="J12616" i="8"/>
  <c r="J12615" i="8"/>
  <c r="J12614" i="8"/>
  <c r="J12613" i="8"/>
  <c r="J12612" i="8"/>
  <c r="J12611" i="8"/>
  <c r="J12610" i="8"/>
  <c r="J12609" i="8"/>
  <c r="J12608" i="8"/>
  <c r="J12607" i="8"/>
  <c r="J12606" i="8"/>
  <c r="J12605" i="8"/>
  <c r="J12604" i="8"/>
  <c r="J12603" i="8"/>
  <c r="J12602" i="8"/>
  <c r="J12601" i="8"/>
  <c r="J12600" i="8"/>
  <c r="J12599" i="8"/>
  <c r="I12595" i="8"/>
  <c r="J12594" i="8"/>
  <c r="J12593" i="8"/>
  <c r="J12592" i="8"/>
  <c r="J12591" i="8"/>
  <c r="J12590" i="8"/>
  <c r="J12589" i="8"/>
  <c r="J12588" i="8"/>
  <c r="J12587" i="8"/>
  <c r="J12586" i="8"/>
  <c r="J12585" i="8"/>
  <c r="J12584" i="8"/>
  <c r="J12583" i="8"/>
  <c r="J12582" i="8"/>
  <c r="J12581" i="8"/>
  <c r="J12580" i="8"/>
  <c r="H12579" i="8"/>
  <c r="H12595" i="8" s="1"/>
  <c r="I12577" i="8"/>
  <c r="J12576" i="8"/>
  <c r="J12575" i="8"/>
  <c r="J12574" i="8"/>
  <c r="J12573" i="8"/>
  <c r="J12572" i="8"/>
  <c r="J12571" i="8"/>
  <c r="J12570" i="8"/>
  <c r="J12569" i="8"/>
  <c r="J12568" i="8"/>
  <c r="J12567" i="8"/>
  <c r="J12566" i="8"/>
  <c r="J12565" i="8"/>
  <c r="J12564" i="8"/>
  <c r="J12563" i="8"/>
  <c r="J12562" i="8"/>
  <c r="H12561" i="8"/>
  <c r="H12577" i="8" s="1"/>
  <c r="J12559" i="8"/>
  <c r="J12558" i="8"/>
  <c r="J12557" i="8"/>
  <c r="J12556" i="8"/>
  <c r="J12555" i="8"/>
  <c r="J12554" i="8"/>
  <c r="J12553" i="8"/>
  <c r="J12552" i="8"/>
  <c r="J12551" i="8"/>
  <c r="J12550" i="8"/>
  <c r="J12549" i="8"/>
  <c r="J12548" i="8"/>
  <c r="J12547" i="8"/>
  <c r="J12546" i="8"/>
  <c r="J12545" i="8"/>
  <c r="J12544" i="8"/>
  <c r="J12543" i="8"/>
  <c r="J12542" i="8"/>
  <c r="J12541" i="8"/>
  <c r="J12540" i="8"/>
  <c r="J12539" i="8"/>
  <c r="J12538" i="8"/>
  <c r="J12537" i="8"/>
  <c r="J12536" i="8"/>
  <c r="J12535" i="8"/>
  <c r="J12534" i="8"/>
  <c r="J12533" i="8"/>
  <c r="J12532" i="8"/>
  <c r="J12531" i="8"/>
  <c r="J12530" i="8"/>
  <c r="J12529" i="8"/>
  <c r="J12528" i="8"/>
  <c r="J12527" i="8"/>
  <c r="J12526" i="8"/>
  <c r="J12525" i="8"/>
  <c r="J12524" i="8"/>
  <c r="J12523" i="8"/>
  <c r="J12522" i="8"/>
  <c r="J12521" i="8"/>
  <c r="J12520" i="8"/>
  <c r="J12519" i="8"/>
  <c r="J12518" i="8"/>
  <c r="J12517" i="8"/>
  <c r="J12516" i="8"/>
  <c r="J12515" i="8"/>
  <c r="J12514" i="8"/>
  <c r="J12513" i="8"/>
  <c r="J12512" i="8"/>
  <c r="J12511" i="8"/>
  <c r="J12510" i="8"/>
  <c r="J12509" i="8"/>
  <c r="J12508" i="8"/>
  <c r="J12507" i="8"/>
  <c r="J12506" i="8"/>
  <c r="J12505" i="8"/>
  <c r="J12504" i="8"/>
  <c r="J12503" i="8"/>
  <c r="J12502" i="8"/>
  <c r="J12501" i="8"/>
  <c r="J12500" i="8"/>
  <c r="I12496" i="8"/>
  <c r="J12495" i="8"/>
  <c r="J12494" i="8"/>
  <c r="J12493" i="8"/>
  <c r="J12492" i="8"/>
  <c r="J12491" i="8"/>
  <c r="J12490" i="8"/>
  <c r="J12489" i="8"/>
  <c r="J12488" i="8"/>
  <c r="J12487" i="8"/>
  <c r="J12486" i="8"/>
  <c r="J12485" i="8"/>
  <c r="J12484" i="8"/>
  <c r="J12483" i="8"/>
  <c r="J12482" i="8"/>
  <c r="J12481" i="8"/>
  <c r="H12480" i="8"/>
  <c r="H12496" i="8" s="1"/>
  <c r="I12478" i="8"/>
  <c r="J12477" i="8"/>
  <c r="J12476" i="8"/>
  <c r="J12475" i="8"/>
  <c r="J12474" i="8"/>
  <c r="J12473" i="8"/>
  <c r="J12472" i="8"/>
  <c r="J12471" i="8"/>
  <c r="J12470" i="8"/>
  <c r="J12469" i="8"/>
  <c r="J12468" i="8"/>
  <c r="J12467" i="8"/>
  <c r="J12466" i="8"/>
  <c r="J12465" i="8"/>
  <c r="J12464" i="8"/>
  <c r="J12463" i="8"/>
  <c r="H12462" i="8"/>
  <c r="H12478" i="8" s="1"/>
  <c r="J12460" i="8"/>
  <c r="J12459" i="8"/>
  <c r="J12458" i="8"/>
  <c r="J12457" i="8"/>
  <c r="J12456" i="8"/>
  <c r="J12455" i="8"/>
  <c r="J12454" i="8"/>
  <c r="J12453" i="8"/>
  <c r="J12452" i="8"/>
  <c r="J12451" i="8"/>
  <c r="J12450" i="8"/>
  <c r="J12449" i="8"/>
  <c r="J12448" i="8"/>
  <c r="J12447" i="8"/>
  <c r="J12446" i="8"/>
  <c r="J12445" i="8"/>
  <c r="J12444" i="8"/>
  <c r="J12443" i="8"/>
  <c r="J12442" i="8"/>
  <c r="J12441" i="8"/>
  <c r="J12440" i="8"/>
  <c r="J12439" i="8"/>
  <c r="J12438" i="8"/>
  <c r="J12437" i="8"/>
  <c r="J12436" i="8"/>
  <c r="J12435" i="8"/>
  <c r="J12434" i="8"/>
  <c r="J12433" i="8"/>
  <c r="J12432" i="8"/>
  <c r="J12431" i="8"/>
  <c r="J12430" i="8"/>
  <c r="J12429" i="8"/>
  <c r="J12428" i="8"/>
  <c r="J12427" i="8"/>
  <c r="J12426" i="8"/>
  <c r="J12425" i="8"/>
  <c r="J12424" i="8"/>
  <c r="J12423" i="8"/>
  <c r="J12422" i="8"/>
  <c r="J12421" i="8"/>
  <c r="J12420" i="8"/>
  <c r="J12419" i="8"/>
  <c r="J12418" i="8"/>
  <c r="J12417" i="8"/>
  <c r="J12416" i="8"/>
  <c r="J12415" i="8"/>
  <c r="J12414" i="8"/>
  <c r="J12413" i="8"/>
  <c r="J12412" i="8"/>
  <c r="J12411" i="8"/>
  <c r="J12410" i="8"/>
  <c r="J12409" i="8"/>
  <c r="J12408" i="8"/>
  <c r="J12407" i="8"/>
  <c r="J12406" i="8"/>
  <c r="J12405" i="8"/>
  <c r="J12404" i="8"/>
  <c r="J12403" i="8"/>
  <c r="J12402" i="8"/>
  <c r="J12401" i="8"/>
  <c r="I12397" i="8"/>
  <c r="J12396" i="8"/>
  <c r="J12395" i="8"/>
  <c r="J12394" i="8"/>
  <c r="J12393" i="8"/>
  <c r="J12392" i="8"/>
  <c r="J12391" i="8"/>
  <c r="J12390" i="8"/>
  <c r="J12389" i="8"/>
  <c r="J12388" i="8"/>
  <c r="J12387" i="8"/>
  <c r="J12386" i="8"/>
  <c r="J12385" i="8"/>
  <c r="J12384" i="8"/>
  <c r="J12383" i="8"/>
  <c r="J12382" i="8"/>
  <c r="H12381" i="8"/>
  <c r="H12397" i="8" s="1"/>
  <c r="I12379" i="8"/>
  <c r="J12378" i="8"/>
  <c r="J12377" i="8"/>
  <c r="J12376" i="8"/>
  <c r="J12375" i="8"/>
  <c r="J12374" i="8"/>
  <c r="J12373" i="8"/>
  <c r="J12372" i="8"/>
  <c r="J12371" i="8"/>
  <c r="J12370" i="8"/>
  <c r="J12369" i="8"/>
  <c r="J12368" i="8"/>
  <c r="J12367" i="8"/>
  <c r="J12366" i="8"/>
  <c r="J12365" i="8"/>
  <c r="J12364" i="8"/>
  <c r="H12363" i="8"/>
  <c r="H12379" i="8" s="1"/>
  <c r="J12361" i="8"/>
  <c r="J12360" i="8"/>
  <c r="J12359" i="8"/>
  <c r="J12358" i="8"/>
  <c r="J12357" i="8"/>
  <c r="J12356" i="8"/>
  <c r="J12355" i="8"/>
  <c r="J12354" i="8"/>
  <c r="J12353" i="8"/>
  <c r="J12352" i="8"/>
  <c r="J12351" i="8"/>
  <c r="J12350" i="8"/>
  <c r="J12349" i="8"/>
  <c r="J12348" i="8"/>
  <c r="J12347" i="8"/>
  <c r="J12346" i="8"/>
  <c r="J12345" i="8"/>
  <c r="J12344" i="8"/>
  <c r="J12343" i="8"/>
  <c r="J12342" i="8"/>
  <c r="J12341" i="8"/>
  <c r="J12340" i="8"/>
  <c r="J12339" i="8"/>
  <c r="J12338" i="8"/>
  <c r="J12337" i="8"/>
  <c r="J12336" i="8"/>
  <c r="J12335" i="8"/>
  <c r="J12334" i="8"/>
  <c r="J12333" i="8"/>
  <c r="J12332" i="8"/>
  <c r="J12331" i="8"/>
  <c r="J12330" i="8"/>
  <c r="J12329" i="8"/>
  <c r="J12328" i="8"/>
  <c r="J12327" i="8"/>
  <c r="J12326" i="8"/>
  <c r="J12325" i="8"/>
  <c r="J12324" i="8"/>
  <c r="J12323" i="8"/>
  <c r="J12322" i="8"/>
  <c r="J12321" i="8"/>
  <c r="J12320" i="8"/>
  <c r="J12319" i="8"/>
  <c r="J12318" i="8"/>
  <c r="J12317" i="8"/>
  <c r="J12316" i="8"/>
  <c r="J12315" i="8"/>
  <c r="J12314" i="8"/>
  <c r="J12313" i="8"/>
  <c r="J12312" i="8"/>
  <c r="J12311" i="8"/>
  <c r="J12310" i="8"/>
  <c r="J12309" i="8"/>
  <c r="J12308" i="8"/>
  <c r="J12307" i="8"/>
  <c r="J12306" i="8"/>
  <c r="J12305" i="8"/>
  <c r="J12304" i="8"/>
  <c r="J12303" i="8"/>
  <c r="J12302" i="8"/>
  <c r="H9244" i="8"/>
  <c r="H1839" i="8"/>
  <c r="I8104" i="8"/>
  <c r="J8103" i="8"/>
  <c r="J8102" i="8"/>
  <c r="J8101" i="8"/>
  <c r="J8100" i="8"/>
  <c r="J8099" i="8"/>
  <c r="J8098" i="8"/>
  <c r="J8097" i="8"/>
  <c r="J8096" i="8"/>
  <c r="J8095" i="8"/>
  <c r="J8094" i="8"/>
  <c r="J8093" i="8"/>
  <c r="J8092" i="8"/>
  <c r="J8091" i="8"/>
  <c r="J8090" i="8"/>
  <c r="J8089" i="8"/>
  <c r="H7735" i="8"/>
  <c r="H7595" i="8"/>
  <c r="I7667" i="8"/>
  <c r="J7666" i="8"/>
  <c r="J7665" i="8"/>
  <c r="J7664" i="8"/>
  <c r="J7663" i="8"/>
  <c r="J7662" i="8"/>
  <c r="J7661" i="8"/>
  <c r="J7660" i="8"/>
  <c r="J7659" i="8"/>
  <c r="J7658" i="8"/>
  <c r="J7657" i="8"/>
  <c r="J7656" i="8"/>
  <c r="J7655" i="8"/>
  <c r="J7654" i="8"/>
  <c r="J7653" i="8"/>
  <c r="J7652" i="8"/>
  <c r="I7409" i="8"/>
  <c r="J7408" i="8"/>
  <c r="J7407" i="8"/>
  <c r="J7406" i="8"/>
  <c r="J7405" i="8"/>
  <c r="J7404" i="8"/>
  <c r="J7403" i="8"/>
  <c r="J7402" i="8"/>
  <c r="J7401" i="8"/>
  <c r="J7400" i="8"/>
  <c r="J7399" i="8"/>
  <c r="J7398" i="8"/>
  <c r="J7397" i="8"/>
  <c r="J7396" i="8"/>
  <c r="J7395" i="8"/>
  <c r="J7394" i="8"/>
  <c r="H7355" i="8"/>
  <c r="H7337" i="8"/>
  <c r="H7256" i="8"/>
  <c r="H7238" i="8"/>
  <c r="H7157" i="8"/>
  <c r="H7139" i="8"/>
  <c r="I7528" i="8"/>
  <c r="J7527" i="8"/>
  <c r="J7526" i="8"/>
  <c r="J7525" i="8"/>
  <c r="J7524" i="8"/>
  <c r="J7523" i="8"/>
  <c r="J7522" i="8"/>
  <c r="J7521" i="8"/>
  <c r="J7520" i="8"/>
  <c r="J7519" i="8"/>
  <c r="J7518" i="8"/>
  <c r="J7517" i="8"/>
  <c r="J7516" i="8"/>
  <c r="J7515" i="8"/>
  <c r="J7514" i="8"/>
  <c r="J7513" i="8"/>
  <c r="I7509" i="8"/>
  <c r="J7508" i="8"/>
  <c r="J7507" i="8"/>
  <c r="J7506" i="8"/>
  <c r="J7505" i="8"/>
  <c r="J7504" i="8"/>
  <c r="J7503" i="8"/>
  <c r="J7502" i="8"/>
  <c r="J7501" i="8"/>
  <c r="J7500" i="8"/>
  <c r="J7499" i="8"/>
  <c r="J7498" i="8"/>
  <c r="J7497" i="8"/>
  <c r="J7496" i="8"/>
  <c r="J7495" i="8"/>
  <c r="J7494" i="8"/>
  <c r="H7493" i="8"/>
  <c r="H7509" i="8" s="1"/>
  <c r="I7491" i="8"/>
  <c r="J7490" i="8"/>
  <c r="J7489" i="8"/>
  <c r="J7488" i="8"/>
  <c r="J7487" i="8"/>
  <c r="J7486" i="8"/>
  <c r="J7485" i="8"/>
  <c r="J7484" i="8"/>
  <c r="J7483" i="8"/>
  <c r="J7482" i="8"/>
  <c r="J7481" i="8"/>
  <c r="J7480" i="8"/>
  <c r="J7479" i="8"/>
  <c r="J7478" i="8"/>
  <c r="J7477" i="8"/>
  <c r="J7476" i="8"/>
  <c r="H7475" i="8"/>
  <c r="H7491" i="8" s="1"/>
  <c r="I7460" i="8"/>
  <c r="J7459" i="8"/>
  <c r="J7458" i="8"/>
  <c r="J7457" i="8"/>
  <c r="J7456" i="8"/>
  <c r="J7455" i="8"/>
  <c r="J7454" i="8"/>
  <c r="J7453" i="8"/>
  <c r="J7452" i="8"/>
  <c r="J7451" i="8"/>
  <c r="J7450" i="8"/>
  <c r="J7449" i="8"/>
  <c r="J7448" i="8"/>
  <c r="J7447" i="8"/>
  <c r="J7446" i="8"/>
  <c r="J7445" i="8"/>
  <c r="H7444" i="8"/>
  <c r="H7460" i="8" s="1"/>
  <c r="I7442" i="8"/>
  <c r="J7441" i="8"/>
  <c r="J7440" i="8"/>
  <c r="J7439" i="8"/>
  <c r="J7438" i="8"/>
  <c r="J7437" i="8"/>
  <c r="J7436" i="8"/>
  <c r="J7435" i="8"/>
  <c r="J7434" i="8"/>
  <c r="J7433" i="8"/>
  <c r="J7432" i="8"/>
  <c r="J7431" i="8"/>
  <c r="J7430" i="8"/>
  <c r="J7429" i="8"/>
  <c r="J7428" i="8"/>
  <c r="J7427" i="8"/>
  <c r="H7426" i="8"/>
  <c r="H7442" i="8" s="1"/>
  <c r="H978" i="8"/>
  <c r="H994" i="8" s="1"/>
  <c r="H960" i="8"/>
  <c r="H976" i="8" s="1"/>
  <c r="I994" i="8"/>
  <c r="J993" i="8"/>
  <c r="J992" i="8"/>
  <c r="J991" i="8"/>
  <c r="J990" i="8"/>
  <c r="J989" i="8"/>
  <c r="J988" i="8"/>
  <c r="J987" i="8"/>
  <c r="J986" i="8"/>
  <c r="J985" i="8"/>
  <c r="J984" i="8"/>
  <c r="J983" i="8"/>
  <c r="J982" i="8"/>
  <c r="J981" i="8"/>
  <c r="J980" i="8"/>
  <c r="J979" i="8"/>
  <c r="I976" i="8"/>
  <c r="J975" i="8"/>
  <c r="J974" i="8"/>
  <c r="J973" i="8"/>
  <c r="J972" i="8"/>
  <c r="J971" i="8"/>
  <c r="J970" i="8"/>
  <c r="J969" i="8"/>
  <c r="J968" i="8"/>
  <c r="J967" i="8"/>
  <c r="J966" i="8"/>
  <c r="J965" i="8"/>
  <c r="J964" i="8"/>
  <c r="J963" i="8"/>
  <c r="J962" i="8"/>
  <c r="J961" i="8"/>
  <c r="J12777" i="8" l="1"/>
  <c r="J12793" i="8" s="1"/>
  <c r="J12759" i="8"/>
  <c r="J12775" i="8" s="1"/>
  <c r="J12957" i="8"/>
  <c r="J12973" i="8" s="1"/>
  <c r="J12975" i="8"/>
  <c r="J12991" i="8" s="1"/>
  <c r="J12858" i="8"/>
  <c r="J12874" i="8" s="1"/>
  <c r="J12876" i="8"/>
  <c r="J12892" i="8" s="1"/>
  <c r="J12660" i="8"/>
  <c r="J12676" i="8" s="1"/>
  <c r="J12678" i="8"/>
  <c r="J12694" i="8" s="1"/>
  <c r="J12561" i="8"/>
  <c r="J12577" i="8" s="1"/>
  <c r="J12579" i="8"/>
  <c r="J12595" i="8" s="1"/>
  <c r="J12462" i="8"/>
  <c r="J12478" i="8" s="1"/>
  <c r="J12480" i="8"/>
  <c r="J12496" i="8" s="1"/>
  <c r="J12363" i="8"/>
  <c r="J12379" i="8" s="1"/>
  <c r="J12381" i="8"/>
  <c r="J12397" i="8" s="1"/>
  <c r="H7512" i="8"/>
  <c r="H7528" i="8" s="1"/>
  <c r="H7374" i="8"/>
  <c r="H7393" i="8" s="1"/>
  <c r="H7409" i="8" s="1"/>
  <c r="J7444" i="8"/>
  <c r="J7460" i="8" s="1"/>
  <c r="J7493" i="8"/>
  <c r="J7509" i="8" s="1"/>
  <c r="J7426" i="8"/>
  <c r="J7442" i="8" s="1"/>
  <c r="J7475" i="8"/>
  <c r="J7491" i="8" s="1"/>
  <c r="J960" i="8"/>
  <c r="J976" i="8" s="1"/>
  <c r="J978" i="8"/>
  <c r="J994" i="8" s="1"/>
  <c r="D9" i="4"/>
  <c r="F136" i="4"/>
  <c r="E136" i="4"/>
  <c r="D136" i="4"/>
  <c r="F126" i="4"/>
  <c r="E126" i="4"/>
  <c r="D126" i="4"/>
  <c r="F117" i="4"/>
  <c r="E117" i="4"/>
  <c r="D117" i="4"/>
  <c r="F108" i="4"/>
  <c r="E108" i="4"/>
  <c r="D108" i="4"/>
  <c r="F99" i="4"/>
  <c r="E99" i="4"/>
  <c r="D99" i="4"/>
  <c r="F90" i="4"/>
  <c r="E90" i="4"/>
  <c r="D90" i="4"/>
  <c r="F81" i="4"/>
  <c r="E81" i="4"/>
  <c r="D81" i="4"/>
  <c r="F72" i="4"/>
  <c r="E72" i="4"/>
  <c r="D72" i="4"/>
  <c r="F63" i="4"/>
  <c r="E63" i="4"/>
  <c r="D63" i="4"/>
  <c r="F54" i="4"/>
  <c r="E54" i="4"/>
  <c r="D54" i="4"/>
  <c r="F45" i="4"/>
  <c r="E45" i="4"/>
  <c r="D45" i="4"/>
  <c r="F36" i="4"/>
  <c r="E36" i="4"/>
  <c r="D36" i="4"/>
  <c r="D27" i="4"/>
  <c r="F27" i="4"/>
  <c r="E27" i="4"/>
  <c r="E18" i="4"/>
  <c r="E8" i="4" s="1"/>
  <c r="F18" i="4"/>
  <c r="E9" i="4"/>
  <c r="F9" i="4"/>
  <c r="D18" i="4"/>
  <c r="F8" i="4" l="1"/>
  <c r="D8" i="4"/>
  <c r="J7512" i="8"/>
  <c r="J7528" i="8" s="1"/>
  <c r="J7393" i="8"/>
  <c r="J7409" i="8" s="1"/>
  <c r="I8800" i="8"/>
  <c r="J8799" i="8"/>
  <c r="J8798" i="8"/>
  <c r="J8797" i="8"/>
  <c r="J8796" i="8"/>
  <c r="J8795" i="8"/>
  <c r="J8794" i="8"/>
  <c r="J8793" i="8"/>
  <c r="J8792" i="8"/>
  <c r="J8791" i="8"/>
  <c r="J8790" i="8"/>
  <c r="J8789" i="8"/>
  <c r="J8788" i="8"/>
  <c r="J8787" i="8"/>
  <c r="J8786" i="8"/>
  <c r="J8785" i="8"/>
  <c r="H8784" i="8"/>
  <c r="H8800" i="8" s="1"/>
  <c r="D137" i="7" s="1"/>
  <c r="I8782" i="8"/>
  <c r="J8781" i="8"/>
  <c r="J8780" i="8"/>
  <c r="J8779" i="8"/>
  <c r="J8778" i="8"/>
  <c r="J8777" i="8"/>
  <c r="J8776" i="8"/>
  <c r="J8775" i="8"/>
  <c r="J8774" i="8"/>
  <c r="J8773" i="8"/>
  <c r="J8772" i="8"/>
  <c r="J8771" i="8"/>
  <c r="J8770" i="8"/>
  <c r="J8769" i="8"/>
  <c r="J8768" i="8"/>
  <c r="J8767" i="8"/>
  <c r="H8766" i="8"/>
  <c r="H8782" i="8" s="1"/>
  <c r="J8764" i="8"/>
  <c r="J8763" i="8"/>
  <c r="J8762" i="8"/>
  <c r="J8761" i="8"/>
  <c r="J8760" i="8"/>
  <c r="J8759" i="8"/>
  <c r="J8758" i="8"/>
  <c r="J8757" i="8"/>
  <c r="J8756" i="8"/>
  <c r="J8755" i="8"/>
  <c r="J8754" i="8"/>
  <c r="J8753" i="8"/>
  <c r="J8752" i="8"/>
  <c r="J8751" i="8"/>
  <c r="J8750" i="8"/>
  <c r="J8749" i="8"/>
  <c r="J8748" i="8"/>
  <c r="J8747" i="8"/>
  <c r="J8746" i="8"/>
  <c r="J8745" i="8"/>
  <c r="J8744" i="8"/>
  <c r="J8743" i="8"/>
  <c r="J8742" i="8"/>
  <c r="J8741" i="8"/>
  <c r="J8740" i="8"/>
  <c r="J8739" i="8"/>
  <c r="J8738" i="8"/>
  <c r="J8737" i="8"/>
  <c r="J8736" i="8"/>
  <c r="J8735" i="8"/>
  <c r="J8734" i="8"/>
  <c r="J8733" i="8"/>
  <c r="J8732" i="8"/>
  <c r="J8731" i="8"/>
  <c r="J8730" i="8"/>
  <c r="J8729" i="8"/>
  <c r="J8728" i="8"/>
  <c r="J8727" i="8"/>
  <c r="J8726" i="8"/>
  <c r="J8725" i="8"/>
  <c r="J8724" i="8"/>
  <c r="J8723" i="8"/>
  <c r="J8722" i="8"/>
  <c r="J8721" i="8"/>
  <c r="J8720" i="8"/>
  <c r="J8719" i="8"/>
  <c r="J8718" i="8"/>
  <c r="J8717" i="8"/>
  <c r="J8716" i="8"/>
  <c r="J8715" i="8"/>
  <c r="J8714" i="8"/>
  <c r="J8713" i="8"/>
  <c r="J8712" i="8"/>
  <c r="J8711" i="8"/>
  <c r="J8710" i="8"/>
  <c r="J8709" i="8"/>
  <c r="J8708" i="8"/>
  <c r="J8707" i="8"/>
  <c r="J8706" i="8"/>
  <c r="J8705" i="8"/>
  <c r="I8701" i="8"/>
  <c r="J8700" i="8"/>
  <c r="J8699" i="8"/>
  <c r="J8698" i="8"/>
  <c r="J8697" i="8"/>
  <c r="J8696" i="8"/>
  <c r="J8695" i="8"/>
  <c r="J8694" i="8"/>
  <c r="J8693" i="8"/>
  <c r="J8692" i="8"/>
  <c r="J8691" i="8"/>
  <c r="J8690" i="8"/>
  <c r="J8689" i="8"/>
  <c r="J8688" i="8"/>
  <c r="J8687" i="8"/>
  <c r="J8686" i="8"/>
  <c r="H8685" i="8"/>
  <c r="H8701" i="8" s="1"/>
  <c r="I8683" i="8"/>
  <c r="J8682" i="8"/>
  <c r="J8681" i="8"/>
  <c r="J8680" i="8"/>
  <c r="J8679" i="8"/>
  <c r="J8678" i="8"/>
  <c r="J8677" i="8"/>
  <c r="J8676" i="8"/>
  <c r="J8675" i="8"/>
  <c r="J8674" i="8"/>
  <c r="J8673" i="8"/>
  <c r="J8672" i="8"/>
  <c r="J8671" i="8"/>
  <c r="J8670" i="8"/>
  <c r="J8669" i="8"/>
  <c r="J8668" i="8"/>
  <c r="H8667" i="8"/>
  <c r="H8683" i="8" s="1"/>
  <c r="J8665" i="8"/>
  <c r="J8664" i="8"/>
  <c r="J8663" i="8"/>
  <c r="J8662" i="8"/>
  <c r="J8661" i="8"/>
  <c r="J8660" i="8"/>
  <c r="J8659" i="8"/>
  <c r="J8658" i="8"/>
  <c r="J8657" i="8"/>
  <c r="J8656" i="8"/>
  <c r="J8655" i="8"/>
  <c r="J8654" i="8"/>
  <c r="J8653" i="8"/>
  <c r="J8652" i="8"/>
  <c r="J8651" i="8"/>
  <c r="J8650" i="8"/>
  <c r="J8649" i="8"/>
  <c r="J8648" i="8"/>
  <c r="J8647" i="8"/>
  <c r="J8646" i="8"/>
  <c r="J8645" i="8"/>
  <c r="J8644" i="8"/>
  <c r="J8643" i="8"/>
  <c r="J8642" i="8"/>
  <c r="J8641" i="8"/>
  <c r="J8640" i="8"/>
  <c r="J8639" i="8"/>
  <c r="J8638" i="8"/>
  <c r="J8637" i="8"/>
  <c r="J8636" i="8"/>
  <c r="J8635" i="8"/>
  <c r="J8634" i="8"/>
  <c r="J8633" i="8"/>
  <c r="J8632" i="8"/>
  <c r="J8631" i="8"/>
  <c r="J8630" i="8"/>
  <c r="J8629" i="8"/>
  <c r="J8628" i="8"/>
  <c r="J8627" i="8"/>
  <c r="J8626" i="8"/>
  <c r="J8625" i="8"/>
  <c r="J8624" i="8"/>
  <c r="J8623" i="8"/>
  <c r="J8622" i="8"/>
  <c r="J8621" i="8"/>
  <c r="J8620" i="8"/>
  <c r="J8619" i="8"/>
  <c r="J8618" i="8"/>
  <c r="J8617" i="8"/>
  <c r="J8616" i="8"/>
  <c r="J8615" i="8"/>
  <c r="J8614" i="8"/>
  <c r="J8613" i="8"/>
  <c r="J8612" i="8"/>
  <c r="J8611" i="8"/>
  <c r="J8610" i="8"/>
  <c r="J8609" i="8"/>
  <c r="J8608" i="8"/>
  <c r="J8607" i="8"/>
  <c r="J8606" i="8"/>
  <c r="H929" i="8"/>
  <c r="H911" i="8"/>
  <c r="C107" i="7"/>
  <c r="C108" i="7"/>
  <c r="C106" i="7"/>
  <c r="I1651" i="8"/>
  <c r="J1650" i="8"/>
  <c r="J1649" i="8"/>
  <c r="J1648" i="8"/>
  <c r="J1647" i="8"/>
  <c r="J1646" i="8"/>
  <c r="J1645" i="8"/>
  <c r="J1644" i="8"/>
  <c r="J1643" i="8"/>
  <c r="J1642" i="8"/>
  <c r="J1641" i="8"/>
  <c r="J1640" i="8"/>
  <c r="J1639" i="8"/>
  <c r="J1638" i="8"/>
  <c r="J1637" i="8"/>
  <c r="J1636" i="8"/>
  <c r="H1635" i="8"/>
  <c r="H1651" i="8" s="1"/>
  <c r="I1633" i="8"/>
  <c r="J1632" i="8"/>
  <c r="J1631" i="8"/>
  <c r="J1630" i="8"/>
  <c r="J1629" i="8"/>
  <c r="J1628" i="8"/>
  <c r="J1627" i="8"/>
  <c r="J1626" i="8"/>
  <c r="J1625" i="8"/>
  <c r="J1624" i="8"/>
  <c r="J1623" i="8"/>
  <c r="J1622" i="8"/>
  <c r="J1621" i="8"/>
  <c r="J1620" i="8"/>
  <c r="J1619" i="8"/>
  <c r="J1618" i="8"/>
  <c r="H1617" i="8"/>
  <c r="H1633" i="8" s="1"/>
  <c r="J1615" i="8"/>
  <c r="J1614" i="8"/>
  <c r="J1613" i="8"/>
  <c r="J1612" i="8"/>
  <c r="J1611" i="8"/>
  <c r="J1610" i="8"/>
  <c r="J1609" i="8"/>
  <c r="J1608" i="8"/>
  <c r="J1607" i="8"/>
  <c r="J1606" i="8"/>
  <c r="J1605" i="8"/>
  <c r="J1604" i="8"/>
  <c r="J1603" i="8"/>
  <c r="J1602" i="8"/>
  <c r="J1601" i="8"/>
  <c r="J1600" i="8"/>
  <c r="J1599" i="8"/>
  <c r="J1598" i="8"/>
  <c r="J1597" i="8"/>
  <c r="J1596" i="8"/>
  <c r="J1595" i="8"/>
  <c r="J1594" i="8"/>
  <c r="J1593" i="8"/>
  <c r="J1592" i="8"/>
  <c r="J1591" i="8"/>
  <c r="J1590" i="8"/>
  <c r="J1589" i="8"/>
  <c r="J1588" i="8"/>
  <c r="J1587" i="8"/>
  <c r="J1586" i="8"/>
  <c r="J1585" i="8"/>
  <c r="J1584" i="8"/>
  <c r="J1583" i="8"/>
  <c r="J1582" i="8"/>
  <c r="J1581" i="8"/>
  <c r="J1580" i="8"/>
  <c r="J1579" i="8"/>
  <c r="J1578" i="8"/>
  <c r="J1577" i="8"/>
  <c r="J1576" i="8"/>
  <c r="J1575" i="8"/>
  <c r="J1574" i="8"/>
  <c r="J1573" i="8"/>
  <c r="J1572" i="8"/>
  <c r="J1571" i="8"/>
  <c r="J1570" i="8"/>
  <c r="J1569" i="8"/>
  <c r="J1568" i="8"/>
  <c r="J1567" i="8"/>
  <c r="J1566" i="8"/>
  <c r="J1565" i="8"/>
  <c r="J1564" i="8"/>
  <c r="J1563" i="8"/>
  <c r="J1562" i="8"/>
  <c r="J1561" i="8"/>
  <c r="J1560" i="8"/>
  <c r="J1559" i="8"/>
  <c r="J1558" i="8"/>
  <c r="J1557" i="8"/>
  <c r="J1556" i="8"/>
  <c r="H2310" i="8"/>
  <c r="H2292" i="8"/>
  <c r="H6760" i="8"/>
  <c r="H2269" i="8"/>
  <c r="H2251" i="8"/>
  <c r="E57" i="5"/>
  <c r="E58" i="5"/>
  <c r="E59" i="5"/>
  <c r="E60" i="5"/>
  <c r="E61" i="5"/>
  <c r="E62" i="5"/>
  <c r="C58" i="5"/>
  <c r="C59" i="5"/>
  <c r="C60" i="5"/>
  <c r="C61" i="5"/>
  <c r="C62" i="5"/>
  <c r="C57" i="5"/>
  <c r="H88" i="8"/>
  <c r="H288" i="8"/>
  <c r="H189" i="8"/>
  <c r="H16255" i="8"/>
  <c r="H5590" i="8"/>
  <c r="H5491" i="8"/>
  <c r="H13708" i="8"/>
  <c r="H13452" i="8"/>
  <c r="H13214" i="8"/>
  <c r="H12282" i="8"/>
  <c r="H12044" i="8"/>
  <c r="H11806" i="8"/>
  <c r="H11567" i="8"/>
  <c r="H11329" i="8"/>
  <c r="H11128" i="8"/>
  <c r="H11029" i="8"/>
  <c r="H10930" i="8"/>
  <c r="H10691" i="8"/>
  <c r="H10592" i="8"/>
  <c r="H10493" i="8"/>
  <c r="H9122" i="8"/>
  <c r="H8586" i="8"/>
  <c r="H8487" i="8"/>
  <c r="H8388" i="8"/>
  <c r="H6068" i="8"/>
  <c r="H4429" i="8"/>
  <c r="H8050" i="8"/>
  <c r="H1021" i="8"/>
  <c r="H1040" i="8" s="1"/>
  <c r="H17188" i="8"/>
  <c r="H17029" i="8"/>
  <c r="H16930" i="8"/>
  <c r="H16791" i="8"/>
  <c r="H16692" i="8"/>
  <c r="H16593" i="8"/>
  <c r="H16494" i="8"/>
  <c r="H16395" i="8"/>
  <c r="H13609" i="8"/>
  <c r="H13353" i="8"/>
  <c r="H13115" i="8"/>
  <c r="H12183" i="8"/>
  <c r="H11945" i="8"/>
  <c r="H11707" i="8"/>
  <c r="H11468" i="8"/>
  <c r="H11230" i="8"/>
  <c r="H10831" i="8"/>
  <c r="H10394" i="8"/>
  <c r="H10295" i="8"/>
  <c r="H9976" i="8"/>
  <c r="H9877" i="8"/>
  <c r="H9778" i="8"/>
  <c r="H9679" i="8"/>
  <c r="H9580" i="8"/>
  <c r="H9481" i="8"/>
  <c r="H9361" i="8"/>
  <c r="H9262" i="8"/>
  <c r="H9023" i="8"/>
  <c r="H8924" i="8"/>
  <c r="H8289" i="8"/>
  <c r="H8190" i="8"/>
  <c r="H1956" i="8"/>
  <c r="H6778" i="8"/>
  <c r="H6816" i="8" s="1"/>
  <c r="H2179" i="8"/>
  <c r="H2132" i="8"/>
  <c r="H1857" i="8"/>
  <c r="H7613" i="8"/>
  <c r="H7632" i="8" s="1"/>
  <c r="H7651" i="8" s="1"/>
  <c r="H7951" i="8"/>
  <c r="H7852" i="8"/>
  <c r="H7753" i="8"/>
  <c r="H1536" i="8"/>
  <c r="H1437" i="8"/>
  <c r="H1338" i="8"/>
  <c r="H1240" i="8"/>
  <c r="H1141" i="8"/>
  <c r="H821" i="8"/>
  <c r="H448" i="8"/>
  <c r="H106" i="8"/>
  <c r="H10174" i="8"/>
  <c r="H10075" i="8"/>
  <c r="H6638" i="8"/>
  <c r="H2224" i="8"/>
  <c r="H4747" i="8"/>
  <c r="H4648" i="8"/>
  <c r="H4549" i="8"/>
  <c r="H4330" i="8"/>
  <c r="H1222" i="8"/>
  <c r="H1123" i="8"/>
  <c r="H803" i="8"/>
  <c r="H430" i="8"/>
  <c r="H270" i="8"/>
  <c r="H171" i="8"/>
  <c r="H17170" i="8"/>
  <c r="H17011" i="8"/>
  <c r="H16912" i="8"/>
  <c r="H16773" i="8"/>
  <c r="H16674" i="8"/>
  <c r="H16575" i="8"/>
  <c r="H16476" i="8"/>
  <c r="H16377" i="8"/>
  <c r="H16237" i="8"/>
  <c r="H5572" i="8"/>
  <c r="H5473" i="8"/>
  <c r="H13591" i="8"/>
  <c r="H13434" i="8"/>
  <c r="H13335" i="8"/>
  <c r="H13196" i="8"/>
  <c r="H13097" i="8"/>
  <c r="H12264" i="8"/>
  <c r="H12165" i="8"/>
  <c r="H12026" i="8"/>
  <c r="H11927" i="8"/>
  <c r="H11788" i="8"/>
  <c r="H11689" i="8"/>
  <c r="H11549" i="8"/>
  <c r="H11450" i="8"/>
  <c r="H11311" i="8"/>
  <c r="H11212" i="8"/>
  <c r="H11110" i="8"/>
  <c r="H11011" i="8"/>
  <c r="H10912" i="8"/>
  <c r="H10813" i="8"/>
  <c r="H10673" i="8"/>
  <c r="H10574" i="8"/>
  <c r="H10475" i="8"/>
  <c r="H10376" i="8"/>
  <c r="H10277" i="8"/>
  <c r="H10156" i="8"/>
  <c r="H10057" i="8"/>
  <c r="H9958" i="8"/>
  <c r="H9859" i="8"/>
  <c r="H9760" i="8"/>
  <c r="H9661" i="8"/>
  <c r="H9562" i="8"/>
  <c r="H9463" i="8"/>
  <c r="H9343" i="8"/>
  <c r="H9104" i="8"/>
  <c r="H9005" i="8"/>
  <c r="H8906" i="8"/>
  <c r="H8568" i="8"/>
  <c r="H8469" i="8"/>
  <c r="H8370" i="8"/>
  <c r="H8271" i="8"/>
  <c r="H8172" i="8"/>
  <c r="H6050" i="8"/>
  <c r="H1938" i="8"/>
  <c r="H6620" i="8"/>
  <c r="H2206" i="8"/>
  <c r="H2161" i="8"/>
  <c r="H2114" i="8"/>
  <c r="H4729" i="8"/>
  <c r="H4630" i="8"/>
  <c r="H4531" i="8"/>
  <c r="H4411" i="8"/>
  <c r="H4312" i="8"/>
  <c r="H8032" i="8"/>
  <c r="H7933" i="8"/>
  <c r="H7834" i="8"/>
  <c r="H1518" i="8"/>
  <c r="H1419" i="8"/>
  <c r="H1320" i="8"/>
  <c r="H1003" i="8"/>
  <c r="F248" i="7"/>
  <c r="F247" i="7"/>
  <c r="F246" i="7"/>
  <c r="F245" i="7"/>
  <c r="F244" i="7"/>
  <c r="F243" i="7"/>
  <c r="F242" i="7"/>
  <c r="F241" i="7"/>
  <c r="F240" i="7"/>
  <c r="F239" i="7"/>
  <c r="F238" i="7"/>
  <c r="F237" i="7"/>
  <c r="F236" i="7"/>
  <c r="F235" i="7"/>
  <c r="F234" i="7"/>
  <c r="F233" i="7"/>
  <c r="F232" i="7"/>
  <c r="F231" i="7"/>
  <c r="F230" i="7"/>
  <c r="F229" i="7"/>
  <c r="F228" i="7"/>
  <c r="F227" i="7"/>
  <c r="F226" i="7"/>
  <c r="F225" i="7"/>
  <c r="F224" i="7"/>
  <c r="F223" i="7"/>
  <c r="F222" i="7"/>
  <c r="F221" i="7"/>
  <c r="F220" i="7"/>
  <c r="F219" i="7"/>
  <c r="F218" i="7"/>
  <c r="F217" i="7"/>
  <c r="F216" i="7"/>
  <c r="F215" i="7"/>
  <c r="F214" i="7"/>
  <c r="F213" i="7"/>
  <c r="F212" i="7"/>
  <c r="F211" i="7"/>
  <c r="F210" i="7"/>
  <c r="F209" i="7"/>
  <c r="F208" i="7"/>
  <c r="F207" i="7"/>
  <c r="F206" i="7"/>
  <c r="F205" i="7"/>
  <c r="F204" i="7"/>
  <c r="F203" i="7"/>
  <c r="F202" i="7"/>
  <c r="F280" i="7"/>
  <c r="F279" i="7"/>
  <c r="F278" i="7"/>
  <c r="F277" i="7"/>
  <c r="F276" i="7"/>
  <c r="F275" i="7"/>
  <c r="F274" i="7"/>
  <c r="F273" i="7"/>
  <c r="F272" i="7"/>
  <c r="F271" i="7"/>
  <c r="F270" i="7"/>
  <c r="F269" i="7"/>
  <c r="F268" i="7"/>
  <c r="F267" i="7"/>
  <c r="F266" i="7"/>
  <c r="F265" i="7"/>
  <c r="F264" i="7"/>
  <c r="F263" i="7"/>
  <c r="F262" i="7"/>
  <c r="F261" i="7"/>
  <c r="F260" i="7"/>
  <c r="F259" i="7"/>
  <c r="F258" i="7"/>
  <c r="F254" i="7"/>
  <c r="F312" i="7"/>
  <c r="F311" i="7"/>
  <c r="F310" i="7"/>
  <c r="F309" i="7"/>
  <c r="F308" i="7"/>
  <c r="F307" i="7"/>
  <c r="F306" i="7"/>
  <c r="F305" i="7"/>
  <c r="F304" i="7"/>
  <c r="F303" i="7"/>
  <c r="F302" i="7"/>
  <c r="F301" i="7"/>
  <c r="F300" i="7"/>
  <c r="F299" i="7"/>
  <c r="F298" i="7"/>
  <c r="F297" i="7"/>
  <c r="F296" i="7"/>
  <c r="F295" i="7"/>
  <c r="F294" i="7"/>
  <c r="F293" i="7"/>
  <c r="F292" i="7"/>
  <c r="F291" i="7"/>
  <c r="F290" i="7"/>
  <c r="F289" i="7"/>
  <c r="F288" i="7"/>
  <c r="F287" i="7"/>
  <c r="F286" i="7"/>
  <c r="F285" i="7"/>
  <c r="F344" i="7"/>
  <c r="F343" i="7"/>
  <c r="F342" i="7"/>
  <c r="F341" i="7"/>
  <c r="F340" i="7"/>
  <c r="F339" i="7"/>
  <c r="F338" i="7"/>
  <c r="F337" i="7"/>
  <c r="F336" i="7"/>
  <c r="F335" i="7"/>
  <c r="F334" i="7"/>
  <c r="F333" i="7"/>
  <c r="F332" i="7"/>
  <c r="F331" i="7"/>
  <c r="F330" i="7"/>
  <c r="F329" i="7"/>
  <c r="F328" i="7"/>
  <c r="F327" i="7"/>
  <c r="F326" i="7"/>
  <c r="F325" i="7"/>
  <c r="F324" i="7"/>
  <c r="F323" i="7"/>
  <c r="F322" i="7"/>
  <c r="F321" i="7"/>
  <c r="F320" i="7"/>
  <c r="F319" i="7"/>
  <c r="F318" i="7"/>
  <c r="F317" i="7"/>
  <c r="F380" i="7"/>
  <c r="F379" i="7"/>
  <c r="F378" i="7"/>
  <c r="F377" i="7"/>
  <c r="F376" i="7"/>
  <c r="F375" i="7"/>
  <c r="F374" i="7"/>
  <c r="F373" i="7"/>
  <c r="F372" i="7"/>
  <c r="F371" i="7"/>
  <c r="F370" i="7"/>
  <c r="F369" i="7"/>
  <c r="F368" i="7"/>
  <c r="F367" i="7"/>
  <c r="F366" i="7"/>
  <c r="F365" i="7"/>
  <c r="F364" i="7"/>
  <c r="F363" i="7"/>
  <c r="F362" i="7"/>
  <c r="F361" i="7"/>
  <c r="F360" i="7"/>
  <c r="F359" i="7"/>
  <c r="F358" i="7"/>
  <c r="F357" i="7"/>
  <c r="F356" i="7"/>
  <c r="F355" i="7"/>
  <c r="F354" i="7"/>
  <c r="F353" i="7"/>
  <c r="F352" i="7"/>
  <c r="F351" i="7"/>
  <c r="F412" i="7"/>
  <c r="F411" i="7"/>
  <c r="F410" i="7"/>
  <c r="F409" i="7"/>
  <c r="F408" i="7"/>
  <c r="F407" i="7"/>
  <c r="F406" i="7"/>
  <c r="F405" i="7"/>
  <c r="F404" i="7"/>
  <c r="F403" i="7"/>
  <c r="F402" i="7"/>
  <c r="F401" i="7"/>
  <c r="F400" i="7"/>
  <c r="F399" i="7"/>
  <c r="F398" i="7"/>
  <c r="F397" i="7"/>
  <c r="F396" i="7"/>
  <c r="F395" i="7"/>
  <c r="F394" i="7"/>
  <c r="F393" i="7"/>
  <c r="F392" i="7"/>
  <c r="F391" i="7"/>
  <c r="F390" i="7"/>
  <c r="F389" i="7"/>
  <c r="F388" i="7"/>
  <c r="F387" i="7"/>
  <c r="F386" i="7"/>
  <c r="F385" i="7"/>
  <c r="F384" i="7"/>
  <c r="F465" i="7"/>
  <c r="F464" i="7"/>
  <c r="F463" i="7"/>
  <c r="F462" i="7"/>
  <c r="F461" i="7"/>
  <c r="F460" i="7"/>
  <c r="F459" i="7"/>
  <c r="F458" i="7"/>
  <c r="F457" i="7"/>
  <c r="F456" i="7"/>
  <c r="F455" i="7"/>
  <c r="F454" i="7"/>
  <c r="F453" i="7"/>
  <c r="F452" i="7"/>
  <c r="F451" i="7"/>
  <c r="F450" i="7"/>
  <c r="F449" i="7"/>
  <c r="F448" i="7"/>
  <c r="F447" i="7"/>
  <c r="F446" i="7"/>
  <c r="F445" i="7"/>
  <c r="F444" i="7"/>
  <c r="F443" i="7"/>
  <c r="F442" i="7"/>
  <c r="F441" i="7"/>
  <c r="F440" i="7"/>
  <c r="F439" i="7"/>
  <c r="F438" i="7"/>
  <c r="F437" i="7"/>
  <c r="F436" i="7"/>
  <c r="F435" i="7"/>
  <c r="F434" i="7"/>
  <c r="F433" i="7"/>
  <c r="F432" i="7"/>
  <c r="F431" i="7"/>
  <c r="F430" i="7"/>
  <c r="F429" i="7"/>
  <c r="F428" i="7"/>
  <c r="F427" i="7"/>
  <c r="F426" i="7"/>
  <c r="F425" i="7"/>
  <c r="F424" i="7"/>
  <c r="F423" i="7"/>
  <c r="F519" i="7"/>
  <c r="F518" i="7"/>
  <c r="F517" i="7"/>
  <c r="F516" i="7"/>
  <c r="F515" i="7"/>
  <c r="F514" i="7"/>
  <c r="F513" i="7"/>
  <c r="F512" i="7"/>
  <c r="F511" i="7"/>
  <c r="F510" i="7"/>
  <c r="F509" i="7"/>
  <c r="F508" i="7"/>
  <c r="F507" i="7"/>
  <c r="F506" i="7"/>
  <c r="F505" i="7"/>
  <c r="F504" i="7"/>
  <c r="F503" i="7"/>
  <c r="F502" i="7"/>
  <c r="F501" i="7"/>
  <c r="F500" i="7"/>
  <c r="F499" i="7"/>
  <c r="F498" i="7"/>
  <c r="F497" i="7"/>
  <c r="F496" i="7"/>
  <c r="F495" i="7"/>
  <c r="F494" i="7"/>
  <c r="F493" i="7"/>
  <c r="F492" i="7"/>
  <c r="F491" i="7"/>
  <c r="F490" i="7"/>
  <c r="F489" i="7"/>
  <c r="F488" i="7"/>
  <c r="F487" i="7"/>
  <c r="F486" i="7"/>
  <c r="F485" i="7"/>
  <c r="F484" i="7"/>
  <c r="F483" i="7"/>
  <c r="F482" i="7"/>
  <c r="F481" i="7"/>
  <c r="F480" i="7"/>
  <c r="F479" i="7"/>
  <c r="F478" i="7"/>
  <c r="F477" i="7"/>
  <c r="F476" i="7"/>
  <c r="F475" i="7"/>
  <c r="F474" i="7"/>
  <c r="F473" i="7"/>
  <c r="F472" i="7"/>
  <c r="F471" i="7"/>
  <c r="F470" i="7"/>
  <c r="F600" i="7"/>
  <c r="F599" i="7"/>
  <c r="F598" i="7"/>
  <c r="F597" i="7"/>
  <c r="F596" i="7"/>
  <c r="F595" i="7"/>
  <c r="F594" i="7"/>
  <c r="F593" i="7"/>
  <c r="F592" i="7"/>
  <c r="F591" i="7"/>
  <c r="F590" i="7"/>
  <c r="F589" i="7"/>
  <c r="F588" i="7"/>
  <c r="F587" i="7"/>
  <c r="F586" i="7"/>
  <c r="F585" i="7"/>
  <c r="F584" i="7"/>
  <c r="F583" i="7"/>
  <c r="F582" i="7"/>
  <c r="F581" i="7"/>
  <c r="F580" i="7"/>
  <c r="F579" i="7"/>
  <c r="F578" i="7"/>
  <c r="F577" i="7"/>
  <c r="F576" i="7"/>
  <c r="F575" i="7"/>
  <c r="F574" i="7"/>
  <c r="F573" i="7"/>
  <c r="F572" i="7"/>
  <c r="F571" i="7"/>
  <c r="F570" i="7"/>
  <c r="F569" i="7"/>
  <c r="F568" i="7"/>
  <c r="F567" i="7"/>
  <c r="F566" i="7"/>
  <c r="F565" i="7"/>
  <c r="F564" i="7"/>
  <c r="F563" i="7"/>
  <c r="F562" i="7"/>
  <c r="F561" i="7"/>
  <c r="F560" i="7"/>
  <c r="F559" i="7"/>
  <c r="F558" i="7"/>
  <c r="F557" i="7"/>
  <c r="F556" i="7"/>
  <c r="F555" i="7"/>
  <c r="F554" i="7"/>
  <c r="F553" i="7"/>
  <c r="F552" i="7"/>
  <c r="F551" i="7"/>
  <c r="F550" i="7"/>
  <c r="F549" i="7"/>
  <c r="F548" i="7"/>
  <c r="F547" i="7"/>
  <c r="F546" i="7"/>
  <c r="F545" i="7"/>
  <c r="F544" i="7"/>
  <c r="F543" i="7"/>
  <c r="F542" i="7"/>
  <c r="F541" i="7"/>
  <c r="F540" i="7"/>
  <c r="F539" i="7"/>
  <c r="F538" i="7"/>
  <c r="F537" i="7"/>
  <c r="F534" i="7"/>
  <c r="D600" i="7"/>
  <c r="D599" i="7"/>
  <c r="D598" i="7"/>
  <c r="D597" i="7"/>
  <c r="D596" i="7"/>
  <c r="D595" i="7"/>
  <c r="D594" i="7"/>
  <c r="D593" i="7"/>
  <c r="D592" i="7"/>
  <c r="D591" i="7"/>
  <c r="D590" i="7"/>
  <c r="D589" i="7"/>
  <c r="D588" i="7"/>
  <c r="D587" i="7"/>
  <c r="D586" i="7"/>
  <c r="D585" i="7"/>
  <c r="D584" i="7"/>
  <c r="D583" i="7"/>
  <c r="D582" i="7"/>
  <c r="D581" i="7"/>
  <c r="D580" i="7"/>
  <c r="D579" i="7"/>
  <c r="D578" i="7"/>
  <c r="D577" i="7"/>
  <c r="D576" i="7"/>
  <c r="D575" i="7"/>
  <c r="D574" i="7"/>
  <c r="D573" i="7"/>
  <c r="D572" i="7"/>
  <c r="D571" i="7"/>
  <c r="D570" i="7"/>
  <c r="D569" i="7"/>
  <c r="D568" i="7"/>
  <c r="D567" i="7"/>
  <c r="D566" i="7"/>
  <c r="D565" i="7"/>
  <c r="D564" i="7"/>
  <c r="D563" i="7"/>
  <c r="D562" i="7"/>
  <c r="D561" i="7"/>
  <c r="D560" i="7"/>
  <c r="D559" i="7"/>
  <c r="D558" i="7"/>
  <c r="D557" i="7"/>
  <c r="D556" i="7"/>
  <c r="D555" i="7"/>
  <c r="D554" i="7"/>
  <c r="D553" i="7"/>
  <c r="D552" i="7"/>
  <c r="D551" i="7"/>
  <c r="D550" i="7"/>
  <c r="D549" i="7"/>
  <c r="D548" i="7"/>
  <c r="D547" i="7"/>
  <c r="D546" i="7"/>
  <c r="D545" i="7"/>
  <c r="D544" i="7"/>
  <c r="D543" i="7"/>
  <c r="D542" i="7"/>
  <c r="D541" i="7"/>
  <c r="D535" i="7"/>
  <c r="D534" i="7"/>
  <c r="D519" i="7"/>
  <c r="G519" i="7" s="1"/>
  <c r="D518" i="7"/>
  <c r="D517" i="7"/>
  <c r="D516" i="7"/>
  <c r="G516" i="7" s="1"/>
  <c r="D515" i="7"/>
  <c r="G515" i="7" s="1"/>
  <c r="D514" i="7"/>
  <c r="D513" i="7"/>
  <c r="D512" i="7"/>
  <c r="G512" i="7" s="1"/>
  <c r="D511" i="7"/>
  <c r="G511" i="7" s="1"/>
  <c r="D510" i="7"/>
  <c r="D509" i="7"/>
  <c r="D508" i="7"/>
  <c r="G508" i="7" s="1"/>
  <c r="D507" i="7"/>
  <c r="G507" i="7" s="1"/>
  <c r="D506" i="7"/>
  <c r="D505" i="7"/>
  <c r="D504" i="7"/>
  <c r="G504" i="7" s="1"/>
  <c r="D503" i="7"/>
  <c r="G503" i="7" s="1"/>
  <c r="D502" i="7"/>
  <c r="D501" i="7"/>
  <c r="D500" i="7"/>
  <c r="G500" i="7" s="1"/>
  <c r="D499" i="7"/>
  <c r="G499" i="7" s="1"/>
  <c r="D498" i="7"/>
  <c r="D497" i="7"/>
  <c r="D496" i="7"/>
  <c r="G496" i="7" s="1"/>
  <c r="D495" i="7"/>
  <c r="G495" i="7" s="1"/>
  <c r="D494" i="7"/>
  <c r="D493" i="7"/>
  <c r="D492" i="7"/>
  <c r="D491" i="7"/>
  <c r="G491" i="7" s="1"/>
  <c r="D490" i="7"/>
  <c r="D489" i="7"/>
  <c r="D488" i="7"/>
  <c r="D487" i="7"/>
  <c r="G487" i="7" s="1"/>
  <c r="D486" i="7"/>
  <c r="D485" i="7"/>
  <c r="D484" i="7"/>
  <c r="D483" i="7"/>
  <c r="G483" i="7" s="1"/>
  <c r="D482" i="7"/>
  <c r="D481" i="7"/>
  <c r="D480" i="7"/>
  <c r="D479" i="7"/>
  <c r="G479" i="7" s="1"/>
  <c r="D478" i="7"/>
  <c r="D477" i="7"/>
  <c r="D476" i="7"/>
  <c r="D475" i="7"/>
  <c r="G475" i="7" s="1"/>
  <c r="D474" i="7"/>
  <c r="D473" i="7"/>
  <c r="D472" i="7"/>
  <c r="D471" i="7"/>
  <c r="D470" i="7"/>
  <c r="D465" i="7"/>
  <c r="G465" i="7" s="1"/>
  <c r="D464" i="7"/>
  <c r="G464" i="7" s="1"/>
  <c r="D463" i="7"/>
  <c r="G463" i="7" s="1"/>
  <c r="D462" i="7"/>
  <c r="G462" i="7" s="1"/>
  <c r="D461" i="7"/>
  <c r="G461" i="7" s="1"/>
  <c r="D460" i="7"/>
  <c r="G460" i="7" s="1"/>
  <c r="D459" i="7"/>
  <c r="G459" i="7" s="1"/>
  <c r="D458" i="7"/>
  <c r="G458" i="7" s="1"/>
  <c r="D457" i="7"/>
  <c r="G457" i="7" s="1"/>
  <c r="D456" i="7"/>
  <c r="G456" i="7" s="1"/>
  <c r="D455" i="7"/>
  <c r="G455" i="7" s="1"/>
  <c r="D454" i="7"/>
  <c r="G454" i="7" s="1"/>
  <c r="D453" i="7"/>
  <c r="G453" i="7" s="1"/>
  <c r="D452" i="7"/>
  <c r="G452" i="7" s="1"/>
  <c r="D451" i="7"/>
  <c r="G451" i="7" s="1"/>
  <c r="D450" i="7"/>
  <c r="G450" i="7" s="1"/>
  <c r="D449" i="7"/>
  <c r="G449" i="7" s="1"/>
  <c r="D448" i="7"/>
  <c r="G448" i="7" s="1"/>
  <c r="D447" i="7"/>
  <c r="G447" i="7" s="1"/>
  <c r="D446" i="7"/>
  <c r="G446" i="7" s="1"/>
  <c r="D445" i="7"/>
  <c r="G445" i="7" s="1"/>
  <c r="D444" i="7"/>
  <c r="G444" i="7" s="1"/>
  <c r="D443" i="7"/>
  <c r="G443" i="7" s="1"/>
  <c r="D442" i="7"/>
  <c r="G442" i="7" s="1"/>
  <c r="D441" i="7"/>
  <c r="G441" i="7" s="1"/>
  <c r="D440" i="7"/>
  <c r="G440" i="7" s="1"/>
  <c r="D439" i="7"/>
  <c r="G439" i="7" s="1"/>
  <c r="D438" i="7"/>
  <c r="G438" i="7" s="1"/>
  <c r="D437" i="7"/>
  <c r="G437" i="7" s="1"/>
  <c r="D436" i="7"/>
  <c r="G436" i="7" s="1"/>
  <c r="D435" i="7"/>
  <c r="G435" i="7" s="1"/>
  <c r="D434" i="7"/>
  <c r="G434" i="7" s="1"/>
  <c r="D433" i="7"/>
  <c r="G433" i="7" s="1"/>
  <c r="D432" i="7"/>
  <c r="G432" i="7" s="1"/>
  <c r="D431" i="7"/>
  <c r="G431" i="7" s="1"/>
  <c r="D430" i="7"/>
  <c r="G430" i="7" s="1"/>
  <c r="D429" i="7"/>
  <c r="G429" i="7" s="1"/>
  <c r="D428" i="7"/>
  <c r="G428" i="7" s="1"/>
  <c r="D427" i="7"/>
  <c r="G427" i="7" s="1"/>
  <c r="D426" i="7"/>
  <c r="G426" i="7" s="1"/>
  <c r="D425" i="7"/>
  <c r="G425" i="7" s="1"/>
  <c r="D424" i="7"/>
  <c r="G424" i="7" s="1"/>
  <c r="D423" i="7"/>
  <c r="G423" i="7" s="1"/>
  <c r="D384" i="7"/>
  <c r="G384" i="7" s="1"/>
  <c r="D412" i="7"/>
  <c r="G412" i="7" s="1"/>
  <c r="D411" i="7"/>
  <c r="G411" i="7" s="1"/>
  <c r="D410" i="7"/>
  <c r="G410" i="7" s="1"/>
  <c r="D409" i="7"/>
  <c r="G409" i="7" s="1"/>
  <c r="D408" i="7"/>
  <c r="G408" i="7" s="1"/>
  <c r="D407" i="7"/>
  <c r="G407" i="7" s="1"/>
  <c r="D406" i="7"/>
  <c r="G406" i="7" s="1"/>
  <c r="D405" i="7"/>
  <c r="G405" i="7" s="1"/>
  <c r="D404" i="7"/>
  <c r="G404" i="7" s="1"/>
  <c r="D403" i="7"/>
  <c r="G403" i="7" s="1"/>
  <c r="D402" i="7"/>
  <c r="G402" i="7" s="1"/>
  <c r="D401" i="7"/>
  <c r="G401" i="7" s="1"/>
  <c r="D400" i="7"/>
  <c r="G400" i="7" s="1"/>
  <c r="D399" i="7"/>
  <c r="G399" i="7" s="1"/>
  <c r="D398" i="7"/>
  <c r="G398" i="7" s="1"/>
  <c r="D397" i="7"/>
  <c r="G397" i="7" s="1"/>
  <c r="D396" i="7"/>
  <c r="G396" i="7" s="1"/>
  <c r="D395" i="7"/>
  <c r="G395" i="7" s="1"/>
  <c r="D394" i="7"/>
  <c r="G394" i="7" s="1"/>
  <c r="D393" i="7"/>
  <c r="G393" i="7" s="1"/>
  <c r="D392" i="7"/>
  <c r="G392" i="7" s="1"/>
  <c r="D391" i="7"/>
  <c r="G391" i="7" s="1"/>
  <c r="D390" i="7"/>
  <c r="G390" i="7" s="1"/>
  <c r="D389" i="7"/>
  <c r="G389" i="7" s="1"/>
  <c r="D388" i="7"/>
  <c r="G388" i="7" s="1"/>
  <c r="D387" i="7"/>
  <c r="G387" i="7" s="1"/>
  <c r="D386" i="7"/>
  <c r="G386" i="7" s="1"/>
  <c r="D385" i="7"/>
  <c r="G385" i="7" s="1"/>
  <c r="D380" i="7"/>
  <c r="G380" i="7" s="1"/>
  <c r="D379" i="7"/>
  <c r="G379" i="7" s="1"/>
  <c r="D378" i="7"/>
  <c r="G378" i="7" s="1"/>
  <c r="D377" i="7"/>
  <c r="G377" i="7" s="1"/>
  <c r="D376" i="7"/>
  <c r="G376" i="7" s="1"/>
  <c r="D375" i="7"/>
  <c r="G375" i="7" s="1"/>
  <c r="D374" i="7"/>
  <c r="G374" i="7" s="1"/>
  <c r="D373" i="7"/>
  <c r="G373" i="7" s="1"/>
  <c r="D372" i="7"/>
  <c r="G372" i="7" s="1"/>
  <c r="D371" i="7"/>
  <c r="G371" i="7" s="1"/>
  <c r="D370" i="7"/>
  <c r="G370" i="7" s="1"/>
  <c r="D369" i="7"/>
  <c r="G369" i="7" s="1"/>
  <c r="D368" i="7"/>
  <c r="G368" i="7" s="1"/>
  <c r="D367" i="7"/>
  <c r="G367" i="7" s="1"/>
  <c r="D366" i="7"/>
  <c r="G366" i="7" s="1"/>
  <c r="D365" i="7"/>
  <c r="G365" i="7" s="1"/>
  <c r="D364" i="7"/>
  <c r="G364" i="7" s="1"/>
  <c r="D363" i="7"/>
  <c r="G363" i="7" s="1"/>
  <c r="D362" i="7"/>
  <c r="G362" i="7" s="1"/>
  <c r="D361" i="7"/>
  <c r="G361" i="7" s="1"/>
  <c r="D360" i="7"/>
  <c r="G360" i="7" s="1"/>
  <c r="D359" i="7"/>
  <c r="G359" i="7" s="1"/>
  <c r="D358" i="7"/>
  <c r="G358" i="7" s="1"/>
  <c r="D357" i="7"/>
  <c r="G357" i="7" s="1"/>
  <c r="D356" i="7"/>
  <c r="G356" i="7" s="1"/>
  <c r="D355" i="7"/>
  <c r="G355" i="7" s="1"/>
  <c r="G354" i="7"/>
  <c r="D353" i="7"/>
  <c r="G353" i="7" s="1"/>
  <c r="D352" i="7"/>
  <c r="G352" i="7" s="1"/>
  <c r="D344" i="7"/>
  <c r="G344" i="7" s="1"/>
  <c r="D343" i="7"/>
  <c r="G343" i="7" s="1"/>
  <c r="D342" i="7"/>
  <c r="G342" i="7" s="1"/>
  <c r="D341" i="7"/>
  <c r="G341" i="7" s="1"/>
  <c r="D340" i="7"/>
  <c r="G340" i="7" s="1"/>
  <c r="D339" i="7"/>
  <c r="G339" i="7" s="1"/>
  <c r="D338" i="7"/>
  <c r="G338" i="7" s="1"/>
  <c r="D337" i="7"/>
  <c r="G337" i="7" s="1"/>
  <c r="D336" i="7"/>
  <c r="G336" i="7" s="1"/>
  <c r="D335" i="7"/>
  <c r="G335" i="7" s="1"/>
  <c r="D334" i="7"/>
  <c r="G334" i="7" s="1"/>
  <c r="D333" i="7"/>
  <c r="G333" i="7" s="1"/>
  <c r="D332" i="7"/>
  <c r="G332" i="7" s="1"/>
  <c r="D331" i="7"/>
  <c r="G331" i="7" s="1"/>
  <c r="D330" i="7"/>
  <c r="G330" i="7" s="1"/>
  <c r="D329" i="7"/>
  <c r="G329" i="7" s="1"/>
  <c r="D328" i="7"/>
  <c r="G328" i="7" s="1"/>
  <c r="D327" i="7"/>
  <c r="G327" i="7" s="1"/>
  <c r="D326" i="7"/>
  <c r="G326" i="7" s="1"/>
  <c r="D325" i="7"/>
  <c r="G325" i="7" s="1"/>
  <c r="D324" i="7"/>
  <c r="G324" i="7" s="1"/>
  <c r="D323" i="7"/>
  <c r="G323" i="7" s="1"/>
  <c r="D322" i="7"/>
  <c r="G322" i="7" s="1"/>
  <c r="D321" i="7"/>
  <c r="G321" i="7" s="1"/>
  <c r="D320" i="7"/>
  <c r="G320" i="7" s="1"/>
  <c r="D319" i="7"/>
  <c r="G319" i="7" s="1"/>
  <c r="D318" i="7"/>
  <c r="G318" i="7" s="1"/>
  <c r="D317" i="7"/>
  <c r="G317" i="7" s="1"/>
  <c r="D312" i="7"/>
  <c r="G312" i="7" s="1"/>
  <c r="D311" i="7"/>
  <c r="G311" i="7" s="1"/>
  <c r="D310" i="7"/>
  <c r="G310" i="7" s="1"/>
  <c r="D309" i="7"/>
  <c r="G309" i="7" s="1"/>
  <c r="D308" i="7"/>
  <c r="G308" i="7" s="1"/>
  <c r="D307" i="7"/>
  <c r="G307" i="7" s="1"/>
  <c r="D306" i="7"/>
  <c r="G306" i="7" s="1"/>
  <c r="D305" i="7"/>
  <c r="G305" i="7" s="1"/>
  <c r="D304" i="7"/>
  <c r="G304" i="7" s="1"/>
  <c r="D303" i="7"/>
  <c r="G303" i="7" s="1"/>
  <c r="D302" i="7"/>
  <c r="G302" i="7" s="1"/>
  <c r="D301" i="7"/>
  <c r="G301" i="7" s="1"/>
  <c r="D300" i="7"/>
  <c r="G300" i="7" s="1"/>
  <c r="D299" i="7"/>
  <c r="G299" i="7" s="1"/>
  <c r="D298" i="7"/>
  <c r="G298" i="7" s="1"/>
  <c r="D297" i="7"/>
  <c r="G297" i="7" s="1"/>
  <c r="D296" i="7"/>
  <c r="G296" i="7" s="1"/>
  <c r="D295" i="7"/>
  <c r="G295" i="7" s="1"/>
  <c r="D294" i="7"/>
  <c r="G294" i="7" s="1"/>
  <c r="D293" i="7"/>
  <c r="G293" i="7" s="1"/>
  <c r="D292" i="7"/>
  <c r="G292" i="7" s="1"/>
  <c r="D291" i="7"/>
  <c r="G291" i="7" s="1"/>
  <c r="D290" i="7"/>
  <c r="G290" i="7" s="1"/>
  <c r="D289" i="7"/>
  <c r="G289" i="7" s="1"/>
  <c r="D288" i="7"/>
  <c r="G288" i="7" s="1"/>
  <c r="D287" i="7"/>
  <c r="G287" i="7" s="1"/>
  <c r="D286" i="7"/>
  <c r="G286" i="7" s="1"/>
  <c r="D285" i="7"/>
  <c r="G285" i="7" s="1"/>
  <c r="D280" i="7"/>
  <c r="G280" i="7" s="1"/>
  <c r="D279" i="7"/>
  <c r="G279" i="7" s="1"/>
  <c r="D278" i="7"/>
  <c r="G278" i="7" s="1"/>
  <c r="D277" i="7"/>
  <c r="G277" i="7" s="1"/>
  <c r="D276" i="7"/>
  <c r="G276" i="7" s="1"/>
  <c r="D275" i="7"/>
  <c r="G275" i="7" s="1"/>
  <c r="D274" i="7"/>
  <c r="G274" i="7" s="1"/>
  <c r="D273" i="7"/>
  <c r="G273" i="7" s="1"/>
  <c r="D272" i="7"/>
  <c r="G272" i="7" s="1"/>
  <c r="D271" i="7"/>
  <c r="G271" i="7" s="1"/>
  <c r="D270" i="7"/>
  <c r="G270" i="7" s="1"/>
  <c r="D269" i="7"/>
  <c r="G269" i="7" s="1"/>
  <c r="D268" i="7"/>
  <c r="G268" i="7" s="1"/>
  <c r="D267" i="7"/>
  <c r="G267" i="7" s="1"/>
  <c r="D266" i="7"/>
  <c r="G266" i="7" s="1"/>
  <c r="D265" i="7"/>
  <c r="G265" i="7" s="1"/>
  <c r="D264" i="7"/>
  <c r="G264" i="7" s="1"/>
  <c r="D263" i="7"/>
  <c r="G263" i="7" s="1"/>
  <c r="D262" i="7"/>
  <c r="G262" i="7" s="1"/>
  <c r="D261" i="7"/>
  <c r="G261" i="7" s="1"/>
  <c r="D260" i="7"/>
  <c r="G260" i="7" s="1"/>
  <c r="D259" i="7"/>
  <c r="G259" i="7" s="1"/>
  <c r="D258" i="7"/>
  <c r="G258" i="7" s="1"/>
  <c r="D257" i="7"/>
  <c r="G257" i="7" s="1"/>
  <c r="D255" i="7"/>
  <c r="G255" i="7" s="1"/>
  <c r="D254" i="7"/>
  <c r="G254" i="7" s="1"/>
  <c r="D253" i="7"/>
  <c r="G253" i="7" s="1"/>
  <c r="G252" i="7"/>
  <c r="D248" i="7"/>
  <c r="G248" i="7" s="1"/>
  <c r="D247" i="7"/>
  <c r="G247" i="7" s="1"/>
  <c r="D246" i="7"/>
  <c r="G246" i="7" s="1"/>
  <c r="D245" i="7"/>
  <c r="G245" i="7" s="1"/>
  <c r="D244" i="7"/>
  <c r="G244" i="7" s="1"/>
  <c r="D243" i="7"/>
  <c r="G243" i="7" s="1"/>
  <c r="D242" i="7"/>
  <c r="G242" i="7" s="1"/>
  <c r="D241" i="7"/>
  <c r="G241" i="7" s="1"/>
  <c r="D240" i="7"/>
  <c r="G240" i="7" s="1"/>
  <c r="D239" i="7"/>
  <c r="G239" i="7" s="1"/>
  <c r="D238" i="7"/>
  <c r="G238" i="7" s="1"/>
  <c r="D237" i="7"/>
  <c r="G237" i="7" s="1"/>
  <c r="D236" i="7"/>
  <c r="G236" i="7" s="1"/>
  <c r="D235" i="7"/>
  <c r="G235" i="7" s="1"/>
  <c r="D234" i="7"/>
  <c r="G234" i="7" s="1"/>
  <c r="D233" i="7"/>
  <c r="G233" i="7" s="1"/>
  <c r="D232" i="7"/>
  <c r="G232" i="7" s="1"/>
  <c r="D231" i="7"/>
  <c r="G231" i="7" s="1"/>
  <c r="D230" i="7"/>
  <c r="G230" i="7" s="1"/>
  <c r="D229" i="7"/>
  <c r="G229" i="7" s="1"/>
  <c r="D228" i="7"/>
  <c r="G228" i="7" s="1"/>
  <c r="D227" i="7"/>
  <c r="G227" i="7" s="1"/>
  <c r="D226" i="7"/>
  <c r="G226" i="7" s="1"/>
  <c r="D225" i="7"/>
  <c r="G225" i="7" s="1"/>
  <c r="D224" i="7"/>
  <c r="G224" i="7" s="1"/>
  <c r="D223" i="7"/>
  <c r="G223" i="7" s="1"/>
  <c r="D222" i="7"/>
  <c r="G222" i="7" s="1"/>
  <c r="D221" i="7"/>
  <c r="G221" i="7" s="1"/>
  <c r="D220" i="7"/>
  <c r="G220" i="7" s="1"/>
  <c r="D219" i="7"/>
  <c r="G219" i="7" s="1"/>
  <c r="D218" i="7"/>
  <c r="G218" i="7" s="1"/>
  <c r="D217" i="7"/>
  <c r="G217" i="7" s="1"/>
  <c r="D216" i="7"/>
  <c r="G216" i="7" s="1"/>
  <c r="D215" i="7"/>
  <c r="G215" i="7" s="1"/>
  <c r="D214" i="7"/>
  <c r="G214" i="7" s="1"/>
  <c r="D213" i="7"/>
  <c r="G213" i="7" s="1"/>
  <c r="D212" i="7"/>
  <c r="G212" i="7" s="1"/>
  <c r="D211" i="7"/>
  <c r="G211" i="7" s="1"/>
  <c r="D210" i="7"/>
  <c r="G210" i="7" s="1"/>
  <c r="D209" i="7"/>
  <c r="G209" i="7" s="1"/>
  <c r="D208" i="7"/>
  <c r="G208" i="7" s="1"/>
  <c r="D207" i="7"/>
  <c r="G207" i="7" s="1"/>
  <c r="D206" i="7"/>
  <c r="G206" i="7" s="1"/>
  <c r="D205" i="7"/>
  <c r="G205" i="7" s="1"/>
  <c r="D204" i="7"/>
  <c r="G204" i="7" s="1"/>
  <c r="D203" i="7"/>
  <c r="G203" i="7" s="1"/>
  <c r="D202" i="7"/>
  <c r="G202" i="7" s="1"/>
  <c r="G351" i="7"/>
  <c r="F195" i="7"/>
  <c r="F194" i="7"/>
  <c r="F193" i="7"/>
  <c r="F192" i="7"/>
  <c r="F191" i="7"/>
  <c r="F190" i="7"/>
  <c r="F189" i="7"/>
  <c r="F188" i="7"/>
  <c r="F187" i="7"/>
  <c r="F186" i="7"/>
  <c r="F184" i="7"/>
  <c r="F183" i="7"/>
  <c r="F182" i="7"/>
  <c r="D195" i="7"/>
  <c r="D194" i="7"/>
  <c r="D193" i="7"/>
  <c r="D192" i="7"/>
  <c r="D191" i="7"/>
  <c r="D190" i="7"/>
  <c r="D189" i="7"/>
  <c r="D188" i="7"/>
  <c r="D187" i="7"/>
  <c r="D186" i="7"/>
  <c r="D184" i="7"/>
  <c r="D183" i="7"/>
  <c r="D182" i="7"/>
  <c r="C181" i="7"/>
  <c r="C532" i="7"/>
  <c r="C533" i="7"/>
  <c r="C534" i="7"/>
  <c r="C535" i="7"/>
  <c r="C536" i="7"/>
  <c r="C537" i="7"/>
  <c r="C538" i="7"/>
  <c r="C539" i="7"/>
  <c r="C540" i="7"/>
  <c r="C541" i="7"/>
  <c r="C542" i="7"/>
  <c r="C543" i="7"/>
  <c r="C544" i="7"/>
  <c r="C545" i="7"/>
  <c r="C546" i="7"/>
  <c r="C547" i="7"/>
  <c r="C548" i="7"/>
  <c r="C549" i="7"/>
  <c r="C550" i="7"/>
  <c r="C551" i="7"/>
  <c r="C552" i="7"/>
  <c r="C553" i="7"/>
  <c r="C554" i="7"/>
  <c r="C555" i="7"/>
  <c r="C556" i="7"/>
  <c r="C557" i="7"/>
  <c r="C558" i="7"/>
  <c r="C559" i="7"/>
  <c r="C560" i="7"/>
  <c r="C561" i="7"/>
  <c r="C562" i="7"/>
  <c r="C563" i="7"/>
  <c r="C564" i="7"/>
  <c r="C565" i="7"/>
  <c r="C566" i="7"/>
  <c r="C567" i="7"/>
  <c r="C568" i="7"/>
  <c r="C569" i="7"/>
  <c r="C570" i="7"/>
  <c r="C571" i="7"/>
  <c r="C572" i="7"/>
  <c r="C573" i="7"/>
  <c r="C574" i="7"/>
  <c r="C575" i="7"/>
  <c r="C576" i="7"/>
  <c r="C577" i="7"/>
  <c r="C578" i="7"/>
  <c r="C579" i="7"/>
  <c r="C580" i="7"/>
  <c r="C581" i="7"/>
  <c r="C582" i="7"/>
  <c r="C583" i="7"/>
  <c r="C584" i="7"/>
  <c r="C585" i="7"/>
  <c r="C586" i="7"/>
  <c r="C587" i="7"/>
  <c r="C588" i="7"/>
  <c r="C589" i="7"/>
  <c r="C590" i="7"/>
  <c r="C591" i="7"/>
  <c r="C592" i="7"/>
  <c r="C593" i="7"/>
  <c r="C594" i="7"/>
  <c r="C595" i="7"/>
  <c r="C596" i="7"/>
  <c r="C597" i="7"/>
  <c r="C598" i="7"/>
  <c r="C599" i="7"/>
  <c r="C600" i="7"/>
  <c r="C531" i="7"/>
  <c r="C471" i="7"/>
  <c r="C472" i="7"/>
  <c r="C473" i="7"/>
  <c r="C474" i="7"/>
  <c r="C475" i="7"/>
  <c r="C476" i="7"/>
  <c r="C477" i="7"/>
  <c r="C478" i="7"/>
  <c r="C479" i="7"/>
  <c r="C480" i="7"/>
  <c r="C481" i="7"/>
  <c r="C482" i="7"/>
  <c r="C483" i="7"/>
  <c r="C484" i="7"/>
  <c r="C485" i="7"/>
  <c r="C486" i="7"/>
  <c r="C487" i="7"/>
  <c r="C488" i="7"/>
  <c r="C489" i="7"/>
  <c r="C490" i="7"/>
  <c r="C491" i="7"/>
  <c r="C492" i="7"/>
  <c r="C493" i="7"/>
  <c r="C494" i="7"/>
  <c r="C495" i="7"/>
  <c r="C496" i="7"/>
  <c r="C497" i="7"/>
  <c r="C498" i="7"/>
  <c r="C499" i="7"/>
  <c r="C500" i="7"/>
  <c r="C501" i="7"/>
  <c r="C502" i="7"/>
  <c r="C503" i="7"/>
  <c r="C504" i="7"/>
  <c r="C505" i="7"/>
  <c r="C506" i="7"/>
  <c r="C507" i="7"/>
  <c r="C508" i="7"/>
  <c r="C509" i="7"/>
  <c r="C510" i="7"/>
  <c r="C511" i="7"/>
  <c r="C512" i="7"/>
  <c r="C513" i="7"/>
  <c r="C514" i="7"/>
  <c r="C515" i="7"/>
  <c r="C516" i="7"/>
  <c r="C517" i="7"/>
  <c r="C518" i="7"/>
  <c r="C519" i="7"/>
  <c r="C470" i="7"/>
  <c r="C417" i="7"/>
  <c r="C418" i="7"/>
  <c r="C419" i="7"/>
  <c r="C420" i="7"/>
  <c r="C421" i="7"/>
  <c r="C422" i="7"/>
  <c r="C423" i="7"/>
  <c r="C424" i="7"/>
  <c r="C425" i="7"/>
  <c r="C426" i="7"/>
  <c r="C427" i="7"/>
  <c r="C428" i="7"/>
  <c r="C429" i="7"/>
  <c r="C430" i="7"/>
  <c r="C431" i="7"/>
  <c r="C432" i="7"/>
  <c r="C433" i="7"/>
  <c r="C434" i="7"/>
  <c r="C435" i="7"/>
  <c r="C436" i="7"/>
  <c r="C437" i="7"/>
  <c r="C438" i="7"/>
  <c r="C439" i="7"/>
  <c r="C440" i="7"/>
  <c r="C441" i="7"/>
  <c r="C442" i="7"/>
  <c r="C443" i="7"/>
  <c r="C444" i="7"/>
  <c r="C445" i="7"/>
  <c r="C446" i="7"/>
  <c r="C447" i="7"/>
  <c r="C448" i="7"/>
  <c r="C449" i="7"/>
  <c r="C450" i="7"/>
  <c r="C451" i="7"/>
  <c r="C452" i="7"/>
  <c r="C453" i="7"/>
  <c r="C454" i="7"/>
  <c r="C455" i="7"/>
  <c r="C456" i="7"/>
  <c r="C457" i="7"/>
  <c r="C458" i="7"/>
  <c r="C459" i="7"/>
  <c r="C460" i="7"/>
  <c r="C461" i="7"/>
  <c r="C462" i="7"/>
  <c r="C463" i="7"/>
  <c r="C464" i="7"/>
  <c r="C465" i="7"/>
  <c r="C416" i="7"/>
  <c r="C384" i="7"/>
  <c r="C385" i="7"/>
  <c r="C386" i="7"/>
  <c r="C387" i="7"/>
  <c r="C388" i="7"/>
  <c r="C389" i="7"/>
  <c r="C390" i="7"/>
  <c r="C391" i="7"/>
  <c r="C392" i="7"/>
  <c r="C393" i="7"/>
  <c r="C394" i="7"/>
  <c r="C395" i="7"/>
  <c r="C396" i="7"/>
  <c r="C397" i="7"/>
  <c r="C398" i="7"/>
  <c r="C399" i="7"/>
  <c r="C400" i="7"/>
  <c r="C401" i="7"/>
  <c r="C402" i="7"/>
  <c r="C403" i="7"/>
  <c r="C404" i="7"/>
  <c r="C405" i="7"/>
  <c r="C406" i="7"/>
  <c r="C407" i="7"/>
  <c r="C408" i="7"/>
  <c r="C409" i="7"/>
  <c r="C410" i="7"/>
  <c r="C411" i="7"/>
  <c r="C412" i="7"/>
  <c r="C383" i="7"/>
  <c r="C353" i="7"/>
  <c r="C354" i="7"/>
  <c r="C355" i="7"/>
  <c r="C356" i="7"/>
  <c r="C357" i="7"/>
  <c r="C358" i="7"/>
  <c r="C359" i="7"/>
  <c r="C360" i="7"/>
  <c r="C361" i="7"/>
  <c r="C362" i="7"/>
  <c r="C363" i="7"/>
  <c r="C364" i="7"/>
  <c r="C365" i="7"/>
  <c r="C366" i="7"/>
  <c r="C367" i="7"/>
  <c r="C368" i="7"/>
  <c r="C369" i="7"/>
  <c r="C370" i="7"/>
  <c r="C371" i="7"/>
  <c r="C372" i="7"/>
  <c r="C373" i="7"/>
  <c r="C374" i="7"/>
  <c r="C375" i="7"/>
  <c r="C376" i="7"/>
  <c r="C377" i="7"/>
  <c r="C378" i="7"/>
  <c r="C379" i="7"/>
  <c r="C380" i="7"/>
  <c r="C351" i="7"/>
  <c r="C316" i="7"/>
  <c r="C317" i="7"/>
  <c r="C318" i="7"/>
  <c r="C319" i="7"/>
  <c r="C320" i="7"/>
  <c r="C321" i="7"/>
  <c r="C322" i="7"/>
  <c r="C323" i="7"/>
  <c r="C324" i="7"/>
  <c r="C325" i="7"/>
  <c r="C326" i="7"/>
  <c r="C327" i="7"/>
  <c r="C328" i="7"/>
  <c r="C329" i="7"/>
  <c r="C330" i="7"/>
  <c r="C331" i="7"/>
  <c r="C332" i="7"/>
  <c r="C333" i="7"/>
  <c r="C334" i="7"/>
  <c r="C335" i="7"/>
  <c r="C336" i="7"/>
  <c r="C337" i="7"/>
  <c r="C338" i="7"/>
  <c r="C339" i="7"/>
  <c r="C340" i="7"/>
  <c r="C341" i="7"/>
  <c r="C342" i="7"/>
  <c r="C343" i="7"/>
  <c r="C344" i="7"/>
  <c r="C315" i="7"/>
  <c r="C284" i="7"/>
  <c r="C285" i="7"/>
  <c r="C286" i="7"/>
  <c r="C287" i="7"/>
  <c r="C288" i="7"/>
  <c r="C289" i="7"/>
  <c r="C290" i="7"/>
  <c r="C291" i="7"/>
  <c r="C292" i="7"/>
  <c r="C293" i="7"/>
  <c r="C294" i="7"/>
  <c r="C295" i="7"/>
  <c r="C296" i="7"/>
  <c r="C297" i="7"/>
  <c r="C298" i="7"/>
  <c r="C299" i="7"/>
  <c r="C300" i="7"/>
  <c r="C301" i="7"/>
  <c r="C302" i="7"/>
  <c r="C303" i="7"/>
  <c r="C304" i="7"/>
  <c r="C305" i="7"/>
  <c r="C306" i="7"/>
  <c r="C307" i="7"/>
  <c r="C308" i="7"/>
  <c r="C309" i="7"/>
  <c r="C310" i="7"/>
  <c r="C311" i="7"/>
  <c r="C312" i="7"/>
  <c r="C283" i="7"/>
  <c r="C252" i="7"/>
  <c r="C253" i="7"/>
  <c r="C254" i="7"/>
  <c r="C255" i="7"/>
  <c r="C258" i="7"/>
  <c r="C259" i="7"/>
  <c r="C260" i="7"/>
  <c r="C261" i="7"/>
  <c r="C262" i="7"/>
  <c r="C263" i="7"/>
  <c r="C264" i="7"/>
  <c r="C265" i="7"/>
  <c r="C266" i="7"/>
  <c r="C267" i="7"/>
  <c r="C268" i="7"/>
  <c r="C269" i="7"/>
  <c r="C270" i="7"/>
  <c r="C271" i="7"/>
  <c r="C272" i="7"/>
  <c r="C273" i="7"/>
  <c r="C274" i="7"/>
  <c r="C275" i="7"/>
  <c r="C276" i="7"/>
  <c r="C277" i="7"/>
  <c r="C278" i="7"/>
  <c r="C279" i="7"/>
  <c r="C280" i="7"/>
  <c r="C251" i="7"/>
  <c r="C200" i="7"/>
  <c r="C201" i="7"/>
  <c r="C202" i="7"/>
  <c r="C203" i="7"/>
  <c r="C204" i="7"/>
  <c r="C205" i="7"/>
  <c r="C206" i="7"/>
  <c r="C207" i="7"/>
  <c r="C208" i="7"/>
  <c r="C209" i="7"/>
  <c r="C210" i="7"/>
  <c r="C211" i="7"/>
  <c r="C212" i="7"/>
  <c r="C213" i="7"/>
  <c r="C214" i="7"/>
  <c r="C215" i="7"/>
  <c r="C216" i="7"/>
  <c r="C217" i="7"/>
  <c r="C218" i="7"/>
  <c r="C219" i="7"/>
  <c r="C220" i="7"/>
  <c r="C221" i="7"/>
  <c r="C222" i="7"/>
  <c r="C223" i="7"/>
  <c r="C224" i="7"/>
  <c r="C225" i="7"/>
  <c r="C226" i="7"/>
  <c r="C227" i="7"/>
  <c r="C228" i="7"/>
  <c r="C229" i="7"/>
  <c r="C230" i="7"/>
  <c r="C231" i="7"/>
  <c r="C232" i="7"/>
  <c r="C233" i="7"/>
  <c r="C234" i="7"/>
  <c r="C235" i="7"/>
  <c r="C236" i="7"/>
  <c r="C237" i="7"/>
  <c r="C238" i="7"/>
  <c r="C239" i="7"/>
  <c r="C240" i="7"/>
  <c r="C241" i="7"/>
  <c r="C242" i="7"/>
  <c r="C243" i="7"/>
  <c r="C244" i="7"/>
  <c r="C245" i="7"/>
  <c r="C246" i="7"/>
  <c r="C247" i="7"/>
  <c r="C248" i="7"/>
  <c r="C199" i="7"/>
  <c r="C182" i="7"/>
  <c r="C183" i="7"/>
  <c r="C184" i="7"/>
  <c r="C185" i="7"/>
  <c r="C186" i="7"/>
  <c r="C187" i="7"/>
  <c r="C188" i="7"/>
  <c r="C189" i="7"/>
  <c r="C190" i="7"/>
  <c r="C191" i="7"/>
  <c r="C192" i="7"/>
  <c r="C193" i="7"/>
  <c r="C194" i="7"/>
  <c r="C195" i="7"/>
  <c r="C161" i="7"/>
  <c r="C162" i="7"/>
  <c r="C163" i="7"/>
  <c r="C164" i="7"/>
  <c r="C165" i="7"/>
  <c r="C166" i="7"/>
  <c r="C167" i="7"/>
  <c r="C168" i="7"/>
  <c r="C169" i="7"/>
  <c r="C170" i="7"/>
  <c r="C171" i="7"/>
  <c r="C172" i="7"/>
  <c r="C173" i="7"/>
  <c r="C174" i="7"/>
  <c r="C175" i="7"/>
  <c r="F175" i="7"/>
  <c r="F174" i="7"/>
  <c r="F173" i="7"/>
  <c r="F172" i="7"/>
  <c r="F171" i="7"/>
  <c r="F170" i="7"/>
  <c r="F169" i="7"/>
  <c r="F168" i="7"/>
  <c r="F167" i="7"/>
  <c r="F166" i="7"/>
  <c r="F165" i="7"/>
  <c r="F164" i="7"/>
  <c r="F163" i="7"/>
  <c r="F162" i="7"/>
  <c r="F161" i="7"/>
  <c r="D175" i="7"/>
  <c r="D174" i="7"/>
  <c r="D173" i="7"/>
  <c r="D172" i="7"/>
  <c r="D171" i="7"/>
  <c r="D170" i="7"/>
  <c r="D169" i="7"/>
  <c r="D168" i="7"/>
  <c r="D167" i="7"/>
  <c r="D166" i="7"/>
  <c r="D165" i="7"/>
  <c r="D164" i="7"/>
  <c r="D163" i="7"/>
  <c r="D161" i="7"/>
  <c r="D162" i="7"/>
  <c r="C160" i="7"/>
  <c r="F156" i="7"/>
  <c r="F155" i="7"/>
  <c r="F154" i="7"/>
  <c r="F153" i="7"/>
  <c r="F152" i="7"/>
  <c r="F151" i="7"/>
  <c r="F150" i="7"/>
  <c r="F149" i="7"/>
  <c r="F148" i="7"/>
  <c r="F147" i="7"/>
  <c r="F146" i="7"/>
  <c r="F145" i="7"/>
  <c r="F144" i="7"/>
  <c r="F143" i="7"/>
  <c r="F142" i="7"/>
  <c r="F141" i="7"/>
  <c r="F140" i="7"/>
  <c r="F139" i="7"/>
  <c r="F138" i="7"/>
  <c r="F137" i="7"/>
  <c r="D156" i="7"/>
  <c r="D155" i="7"/>
  <c r="D154" i="7"/>
  <c r="D153" i="7"/>
  <c r="D152" i="7"/>
  <c r="D151" i="7"/>
  <c r="D150" i="7"/>
  <c r="D149" i="7"/>
  <c r="D148" i="7"/>
  <c r="D147" i="7"/>
  <c r="D146" i="7"/>
  <c r="D145" i="7"/>
  <c r="D144" i="7"/>
  <c r="D143" i="7"/>
  <c r="D142" i="7"/>
  <c r="D141" i="7"/>
  <c r="D140" i="7"/>
  <c r="D139" i="7"/>
  <c r="D138" i="7"/>
  <c r="C134" i="7"/>
  <c r="C135" i="7"/>
  <c r="C136" i="7"/>
  <c r="C137" i="7"/>
  <c r="C138" i="7"/>
  <c r="C139" i="7"/>
  <c r="C140" i="7"/>
  <c r="C141" i="7"/>
  <c r="C142" i="7"/>
  <c r="C143" i="7"/>
  <c r="C144" i="7"/>
  <c r="C145" i="7"/>
  <c r="C146" i="7"/>
  <c r="C147" i="7"/>
  <c r="C148" i="7"/>
  <c r="C149" i="7"/>
  <c r="C150" i="7"/>
  <c r="C151" i="7"/>
  <c r="C152" i="7"/>
  <c r="C153" i="7"/>
  <c r="C154" i="7"/>
  <c r="C155" i="7"/>
  <c r="C156" i="7"/>
  <c r="C133" i="7"/>
  <c r="F129" i="7"/>
  <c r="F128" i="7"/>
  <c r="F127" i="7"/>
  <c r="F126" i="7"/>
  <c r="F125" i="7"/>
  <c r="F124" i="7"/>
  <c r="F123" i="7"/>
  <c r="F122" i="7"/>
  <c r="F121" i="7"/>
  <c r="F120" i="7"/>
  <c r="F119" i="7"/>
  <c r="F118" i="7"/>
  <c r="F117" i="7"/>
  <c r="F116" i="7"/>
  <c r="F115" i="7"/>
  <c r="F114" i="7"/>
  <c r="F113" i="7"/>
  <c r="F112" i="7"/>
  <c r="F111" i="7"/>
  <c r="F110" i="7"/>
  <c r="F109" i="7"/>
  <c r="F108" i="7"/>
  <c r="F107" i="7"/>
  <c r="F106" i="7"/>
  <c r="D129" i="7"/>
  <c r="G129" i="7" s="1"/>
  <c r="D128" i="7"/>
  <c r="G128" i="7" s="1"/>
  <c r="D127" i="7"/>
  <c r="G127" i="7" s="1"/>
  <c r="D126" i="7"/>
  <c r="G126" i="7" s="1"/>
  <c r="D125" i="7"/>
  <c r="D124" i="7"/>
  <c r="G124" i="7" s="1"/>
  <c r="D123" i="7"/>
  <c r="G123" i="7" s="1"/>
  <c r="D122" i="7"/>
  <c r="G122" i="7" s="1"/>
  <c r="D121" i="7"/>
  <c r="G121" i="7" s="1"/>
  <c r="D120" i="7"/>
  <c r="G120" i="7" s="1"/>
  <c r="D119" i="7"/>
  <c r="G119" i="7" s="1"/>
  <c r="D118" i="7"/>
  <c r="G118" i="7" s="1"/>
  <c r="D117" i="7"/>
  <c r="G117" i="7" s="1"/>
  <c r="D116" i="7"/>
  <c r="G116" i="7" s="1"/>
  <c r="D115" i="7"/>
  <c r="D114" i="7"/>
  <c r="G114" i="7" s="1"/>
  <c r="D113" i="7"/>
  <c r="G113" i="7" s="1"/>
  <c r="D112" i="7"/>
  <c r="G112" i="7" s="1"/>
  <c r="D111" i="7"/>
  <c r="G111" i="7" s="1"/>
  <c r="D110" i="7"/>
  <c r="G110" i="7" s="1"/>
  <c r="D109" i="7"/>
  <c r="G109" i="7" s="1"/>
  <c r="D108" i="7"/>
  <c r="G108" i="7" s="1"/>
  <c r="D107" i="7"/>
  <c r="C50" i="7"/>
  <c r="D50" i="7"/>
  <c r="F50" i="7"/>
  <c r="F99" i="7"/>
  <c r="F98" i="7"/>
  <c r="F97" i="7"/>
  <c r="F96" i="7"/>
  <c r="F95" i="7"/>
  <c r="F94" i="7"/>
  <c r="F93" i="7"/>
  <c r="F92" i="7"/>
  <c r="F91" i="7"/>
  <c r="F90" i="7"/>
  <c r="F89" i="7"/>
  <c r="F88" i="7"/>
  <c r="F87" i="7"/>
  <c r="F86" i="7"/>
  <c r="F85" i="7"/>
  <c r="F84" i="7"/>
  <c r="F83" i="7"/>
  <c r="F82" i="7"/>
  <c r="F81" i="7"/>
  <c r="F80" i="7"/>
  <c r="F79" i="7"/>
  <c r="F78" i="7"/>
  <c r="F77" i="7"/>
  <c r="F76" i="7"/>
  <c r="F75" i="7"/>
  <c r="F74" i="7"/>
  <c r="F73" i="7"/>
  <c r="F72" i="7"/>
  <c r="F71" i="7"/>
  <c r="F70" i="7"/>
  <c r="F69" i="7"/>
  <c r="F68" i="7"/>
  <c r="F67" i="7"/>
  <c r="F66" i="7"/>
  <c r="F64" i="7"/>
  <c r="F63" i="7"/>
  <c r="F62" i="7"/>
  <c r="F61" i="7"/>
  <c r="F60" i="7"/>
  <c r="F59" i="7"/>
  <c r="F58" i="7"/>
  <c r="F57" i="7"/>
  <c r="F56" i="7"/>
  <c r="F55" i="7"/>
  <c r="F54" i="7"/>
  <c r="F53" i="7"/>
  <c r="F52" i="7"/>
  <c r="F51" i="7"/>
  <c r="D99" i="7"/>
  <c r="D98" i="7"/>
  <c r="D97" i="7"/>
  <c r="D96" i="7"/>
  <c r="D95" i="7"/>
  <c r="D94" i="7"/>
  <c r="D93" i="7"/>
  <c r="D92" i="7"/>
  <c r="D91" i="7"/>
  <c r="D90" i="7"/>
  <c r="D89" i="7"/>
  <c r="D88" i="7"/>
  <c r="D87" i="7"/>
  <c r="D86" i="7"/>
  <c r="D85" i="7"/>
  <c r="D84" i="7"/>
  <c r="D83" i="7"/>
  <c r="D82" i="7"/>
  <c r="D80" i="7"/>
  <c r="D81" i="7"/>
  <c r="D79" i="7"/>
  <c r="D78" i="7"/>
  <c r="D77" i="7"/>
  <c r="D76" i="7"/>
  <c r="D75" i="7"/>
  <c r="D74" i="7"/>
  <c r="D73" i="7"/>
  <c r="D72" i="7"/>
  <c r="D71" i="7"/>
  <c r="D70" i="7"/>
  <c r="D69" i="7"/>
  <c r="D68" i="7"/>
  <c r="D67" i="7"/>
  <c r="D66" i="7"/>
  <c r="D64" i="7"/>
  <c r="D63" i="7"/>
  <c r="D62" i="7"/>
  <c r="D61" i="7"/>
  <c r="D60" i="7"/>
  <c r="D59" i="7"/>
  <c r="D58" i="7"/>
  <c r="D57" i="7"/>
  <c r="D56" i="7"/>
  <c r="D55" i="7"/>
  <c r="D54" i="7"/>
  <c r="D53" i="7"/>
  <c r="D52" i="7"/>
  <c r="D51" i="7"/>
  <c r="C51" i="7"/>
  <c r="C52" i="7"/>
  <c r="C53" i="7"/>
  <c r="C54" i="7"/>
  <c r="C55" i="7"/>
  <c r="C56" i="7"/>
  <c r="C57" i="7"/>
  <c r="C58" i="7"/>
  <c r="C59" i="7"/>
  <c r="C60" i="7"/>
  <c r="C61" i="7"/>
  <c r="C62" i="7"/>
  <c r="C63" i="7"/>
  <c r="C64" i="7"/>
  <c r="C65" i="7"/>
  <c r="C66" i="7"/>
  <c r="C67" i="7"/>
  <c r="C68" i="7"/>
  <c r="C69" i="7"/>
  <c r="C70" i="7"/>
  <c r="C71" i="7"/>
  <c r="C72" i="7"/>
  <c r="C73" i="7"/>
  <c r="C74" i="7"/>
  <c r="C75" i="7"/>
  <c r="C76" i="7"/>
  <c r="C77" i="7"/>
  <c r="C78" i="7"/>
  <c r="C79" i="7"/>
  <c r="C80" i="7"/>
  <c r="C81" i="7"/>
  <c r="C82" i="7"/>
  <c r="C83" i="7"/>
  <c r="C84" i="7"/>
  <c r="C85" i="7"/>
  <c r="C86" i="7"/>
  <c r="C87" i="7"/>
  <c r="C88" i="7"/>
  <c r="C89" i="7"/>
  <c r="C90" i="7"/>
  <c r="C91" i="7"/>
  <c r="C92" i="7"/>
  <c r="C93" i="7"/>
  <c r="C94" i="7"/>
  <c r="C95" i="7"/>
  <c r="C96" i="7"/>
  <c r="C97" i="7"/>
  <c r="C98" i="7"/>
  <c r="C99" i="7"/>
  <c r="J1635" i="8" l="1"/>
  <c r="G472" i="7"/>
  <c r="G476" i="7"/>
  <c r="G480" i="7"/>
  <c r="G484" i="7"/>
  <c r="G488" i="7"/>
  <c r="G492" i="7"/>
  <c r="G125" i="7"/>
  <c r="H1975" i="8"/>
  <c r="G107" i="7"/>
  <c r="H1753" i="8"/>
  <c r="J1753" i="8" s="1"/>
  <c r="J1769" i="8" s="1"/>
  <c r="H8069" i="8"/>
  <c r="H8088" i="8" s="1"/>
  <c r="H8803" i="8"/>
  <c r="H12995" i="8"/>
  <c r="H13014" i="8" s="1"/>
  <c r="G473" i="7"/>
  <c r="G477" i="7"/>
  <c r="G481" i="7"/>
  <c r="G485" i="7"/>
  <c r="G489" i="7"/>
  <c r="G493" i="7"/>
  <c r="G497" i="7"/>
  <c r="G501" i="7"/>
  <c r="G505" i="7"/>
  <c r="G509" i="7"/>
  <c r="G513" i="7"/>
  <c r="G517" i="7"/>
  <c r="J1617" i="8"/>
  <c r="J1633" i="8" s="1"/>
  <c r="D106" i="7"/>
  <c r="G106" i="7" s="1"/>
  <c r="J8766" i="8"/>
  <c r="J8782" i="8" s="1"/>
  <c r="J8784" i="8"/>
  <c r="J8800" i="8" s="1"/>
  <c r="J8667" i="8"/>
  <c r="J8683" i="8" s="1"/>
  <c r="J8685" i="8"/>
  <c r="J8701" i="8" s="1"/>
  <c r="J1651" i="8"/>
  <c r="H1056" i="8"/>
  <c r="H10194" i="8"/>
  <c r="H5609" i="8"/>
  <c r="F60" i="5"/>
  <c r="G115" i="7"/>
  <c r="G474" i="7"/>
  <c r="G478" i="7"/>
  <c r="G482" i="7"/>
  <c r="G486" i="7"/>
  <c r="G490" i="7"/>
  <c r="G494" i="7"/>
  <c r="G498" i="7"/>
  <c r="G502" i="7"/>
  <c r="G506" i="7"/>
  <c r="G510" i="7"/>
  <c r="G514" i="7"/>
  <c r="G518" i="7"/>
  <c r="F61" i="5"/>
  <c r="F57" i="5"/>
  <c r="F62" i="5"/>
  <c r="F58" i="5"/>
  <c r="F59" i="5"/>
  <c r="G537" i="7"/>
  <c r="G541" i="7"/>
  <c r="G545" i="7"/>
  <c r="G549" i="7"/>
  <c r="G553" i="7"/>
  <c r="G557" i="7"/>
  <c r="G561" i="7"/>
  <c r="G565" i="7"/>
  <c r="G569" i="7"/>
  <c r="G573" i="7"/>
  <c r="G577" i="7"/>
  <c r="G581" i="7"/>
  <c r="G585" i="7"/>
  <c r="G589" i="7"/>
  <c r="G593" i="7"/>
  <c r="G597" i="7"/>
  <c r="G189" i="7"/>
  <c r="G193" i="7"/>
  <c r="G186" i="7"/>
  <c r="G190" i="7"/>
  <c r="G194" i="7"/>
  <c r="G534" i="7"/>
  <c r="G538" i="7"/>
  <c r="G542" i="7"/>
  <c r="G546" i="7"/>
  <c r="G550" i="7"/>
  <c r="G554" i="7"/>
  <c r="G558" i="7"/>
  <c r="G562" i="7"/>
  <c r="G566" i="7"/>
  <c r="G570" i="7"/>
  <c r="G574" i="7"/>
  <c r="G578" i="7"/>
  <c r="G582" i="7"/>
  <c r="G586" i="7"/>
  <c r="G590" i="7"/>
  <c r="G594" i="7"/>
  <c r="G598" i="7"/>
  <c r="G187" i="7"/>
  <c r="G191" i="7"/>
  <c r="G195" i="7"/>
  <c r="G535" i="7"/>
  <c r="G539" i="7"/>
  <c r="G543" i="7"/>
  <c r="G547" i="7"/>
  <c r="G551" i="7"/>
  <c r="G555" i="7"/>
  <c r="G559" i="7"/>
  <c r="G563" i="7"/>
  <c r="G567" i="7"/>
  <c r="G571" i="7"/>
  <c r="G575" i="7"/>
  <c r="G579" i="7"/>
  <c r="G583" i="7"/>
  <c r="G587" i="7"/>
  <c r="G591" i="7"/>
  <c r="G595" i="7"/>
  <c r="G599" i="7"/>
  <c r="C56" i="5"/>
  <c r="H307" i="8"/>
  <c r="G184" i="7"/>
  <c r="G188" i="7"/>
  <c r="G192" i="7"/>
  <c r="G536" i="7"/>
  <c r="G540" i="7"/>
  <c r="G544" i="7"/>
  <c r="G548" i="7"/>
  <c r="G552" i="7"/>
  <c r="G556" i="7"/>
  <c r="G560" i="7"/>
  <c r="G564" i="7"/>
  <c r="G568" i="7"/>
  <c r="G572" i="7"/>
  <c r="G576" i="7"/>
  <c r="G580" i="7"/>
  <c r="G584" i="7"/>
  <c r="G588" i="7"/>
  <c r="G592" i="7"/>
  <c r="G596" i="7"/>
  <c r="G600" i="7"/>
  <c r="G172" i="7"/>
  <c r="G171" i="7"/>
  <c r="G149" i="7"/>
  <c r="G153" i="7"/>
  <c r="G152" i="7"/>
  <c r="G156" i="7"/>
  <c r="G144" i="7"/>
  <c r="G148" i="7"/>
  <c r="G164" i="7"/>
  <c r="G168" i="7"/>
  <c r="G140" i="7"/>
  <c r="G166" i="7"/>
  <c r="G138" i="7"/>
  <c r="G142" i="7"/>
  <c r="G146" i="7"/>
  <c r="G150" i="7"/>
  <c r="G154" i="7"/>
  <c r="G50" i="7"/>
  <c r="G137" i="7"/>
  <c r="G141" i="7"/>
  <c r="G145" i="7"/>
  <c r="G84" i="7"/>
  <c r="G88" i="7"/>
  <c r="G92" i="7"/>
  <c r="G96" i="7"/>
  <c r="G165" i="7"/>
  <c r="G173" i="7"/>
  <c r="G161" i="7"/>
  <c r="G169" i="7"/>
  <c r="G81" i="7"/>
  <c r="G139" i="7"/>
  <c r="G143" i="7"/>
  <c r="G147" i="7"/>
  <c r="G151" i="7"/>
  <c r="G155" i="7"/>
  <c r="G163" i="7"/>
  <c r="G167" i="7"/>
  <c r="G175" i="7"/>
  <c r="G162" i="7"/>
  <c r="G170" i="7"/>
  <c r="G174" i="7"/>
  <c r="G54" i="7"/>
  <c r="G62" i="7"/>
  <c r="G74" i="7"/>
  <c r="G86" i="7"/>
  <c r="G98" i="7"/>
  <c r="G58" i="7"/>
  <c r="G66" i="7"/>
  <c r="G70" i="7"/>
  <c r="G78" i="7"/>
  <c r="G82" i="7"/>
  <c r="G90" i="7"/>
  <c r="G94" i="7"/>
  <c r="G57" i="7"/>
  <c r="G61" i="7"/>
  <c r="G65" i="7"/>
  <c r="G69" i="7"/>
  <c r="G73" i="7"/>
  <c r="G77" i="7"/>
  <c r="G85" i="7"/>
  <c r="G89" i="7"/>
  <c r="G93" i="7"/>
  <c r="G97" i="7"/>
  <c r="G80" i="7"/>
  <c r="G60" i="7"/>
  <c r="G64" i="7"/>
  <c r="G72" i="7"/>
  <c r="G56" i="7"/>
  <c r="G68" i="7"/>
  <c r="G76" i="7"/>
  <c r="G55" i="7"/>
  <c r="G59" i="7"/>
  <c r="G63" i="7"/>
  <c r="G67" i="7"/>
  <c r="G71" i="7"/>
  <c r="G75" i="7"/>
  <c r="G79" i="7"/>
  <c r="G83" i="7"/>
  <c r="G87" i="7"/>
  <c r="G91" i="7"/>
  <c r="G95" i="7"/>
  <c r="G99" i="7"/>
  <c r="H1769" i="8" l="1"/>
  <c r="H8104" i="8"/>
  <c r="J8088" i="8"/>
  <c r="J8104" i="8" s="1"/>
  <c r="F34" i="7"/>
  <c r="F33" i="7"/>
  <c r="F32" i="7"/>
  <c r="F31" i="7"/>
  <c r="F30" i="7"/>
  <c r="F29" i="7"/>
  <c r="F28" i="7"/>
  <c r="F27" i="7"/>
  <c r="F26" i="7"/>
  <c r="F25" i="7"/>
  <c r="F24" i="7"/>
  <c r="F23" i="7"/>
  <c r="F22" i="7"/>
  <c r="F21" i="7"/>
  <c r="F20" i="7"/>
  <c r="F19" i="7"/>
  <c r="F18" i="7"/>
  <c r="F17" i="7"/>
  <c r="F16" i="7"/>
  <c r="F15" i="7"/>
  <c r="F14" i="7"/>
  <c r="F13" i="7"/>
  <c r="F12" i="7"/>
  <c r="D34" i="7"/>
  <c r="D33" i="7"/>
  <c r="D32" i="7"/>
  <c r="D31" i="7"/>
  <c r="D30" i="7"/>
  <c r="D29" i="7"/>
  <c r="D28" i="7"/>
  <c r="D27" i="7"/>
  <c r="C27" i="7"/>
  <c r="C28" i="7"/>
  <c r="C29" i="7"/>
  <c r="C30" i="7"/>
  <c r="C31" i="7"/>
  <c r="C32" i="7"/>
  <c r="C33" i="7"/>
  <c r="C34" i="7"/>
  <c r="D26" i="7"/>
  <c r="D25" i="7"/>
  <c r="D24" i="7"/>
  <c r="D23" i="7"/>
  <c r="D22" i="7"/>
  <c r="D21" i="7"/>
  <c r="D20" i="7"/>
  <c r="D19" i="7"/>
  <c r="D18" i="7"/>
  <c r="D17" i="7"/>
  <c r="D16" i="7"/>
  <c r="D15" i="7"/>
  <c r="D14" i="7"/>
  <c r="D13" i="7"/>
  <c r="D12" i="7"/>
  <c r="C12" i="7"/>
  <c r="C13" i="7"/>
  <c r="C14" i="7"/>
  <c r="C15" i="7"/>
  <c r="C16" i="7"/>
  <c r="C17" i="7"/>
  <c r="C18" i="7"/>
  <c r="C19" i="7"/>
  <c r="C20" i="7"/>
  <c r="C21" i="7"/>
  <c r="C22" i="7"/>
  <c r="C23" i="7"/>
  <c r="C24" i="7"/>
  <c r="C25" i="7"/>
  <c r="C26" i="7"/>
  <c r="C11" i="7"/>
  <c r="C43" i="5"/>
  <c r="C95" i="6"/>
  <c r="C52" i="5"/>
  <c r="E55" i="5"/>
  <c r="C85" i="5"/>
  <c r="F105" i="7"/>
  <c r="D105" i="7"/>
  <c r="D179" i="7"/>
  <c r="F179" i="7"/>
  <c r="F415" i="7"/>
  <c r="D415" i="7"/>
  <c r="F48" i="7"/>
  <c r="F47" i="7"/>
  <c r="F42" i="7"/>
  <c r="F40" i="7"/>
  <c r="F39" i="7"/>
  <c r="F38" i="7"/>
  <c r="D48" i="7"/>
  <c r="D47" i="7"/>
  <c r="D42" i="7"/>
  <c r="D40" i="7"/>
  <c r="D39" i="7"/>
  <c r="D38" i="7"/>
  <c r="G16" i="7" l="1"/>
  <c r="G20" i="7"/>
  <c r="G28" i="7"/>
  <c r="G32" i="7"/>
  <c r="G17" i="7"/>
  <c r="G15" i="7"/>
  <c r="G19" i="7"/>
  <c r="G22" i="7"/>
  <c r="G26" i="7"/>
  <c r="G23" i="7"/>
  <c r="G31" i="7"/>
  <c r="G18" i="7"/>
  <c r="G27" i="7"/>
  <c r="G25" i="7"/>
  <c r="G21" i="7"/>
  <c r="G13" i="7"/>
  <c r="G12" i="7"/>
  <c r="G24" i="7"/>
  <c r="G14" i="7"/>
  <c r="G33" i="7"/>
  <c r="G29" i="7"/>
  <c r="G34" i="7"/>
  <c r="G30" i="7"/>
  <c r="M7" i="3"/>
  <c r="M6" i="3"/>
  <c r="M8" i="3"/>
  <c r="L8" i="3"/>
  <c r="L7" i="3"/>
  <c r="L6" i="3"/>
  <c r="I17261" i="8" l="1"/>
  <c r="I17223" i="8"/>
  <c r="H17186" i="8"/>
  <c r="H17045" i="8"/>
  <c r="H17027" i="8"/>
  <c r="H16928" i="8"/>
  <c r="H16807" i="8"/>
  <c r="H16789" i="8"/>
  <c r="H16690" i="8"/>
  <c r="H16609" i="8"/>
  <c r="H16591" i="8"/>
  <c r="H16510" i="8"/>
  <c r="H16492" i="8"/>
  <c r="H16411" i="8"/>
  <c r="H16393" i="8"/>
  <c r="H16253" i="8"/>
  <c r="I16309" i="8"/>
  <c r="J16308" i="8"/>
  <c r="J16307" i="8"/>
  <c r="J16306" i="8"/>
  <c r="J16305" i="8"/>
  <c r="J16304" i="8"/>
  <c r="J16303" i="8"/>
  <c r="J16302" i="8"/>
  <c r="J16301" i="8"/>
  <c r="J16300" i="8"/>
  <c r="J16299" i="8"/>
  <c r="J16298" i="8"/>
  <c r="J16297" i="8"/>
  <c r="J16296" i="8"/>
  <c r="J16295" i="8"/>
  <c r="J16294" i="8"/>
  <c r="I16290" i="8"/>
  <c r="J16289" i="8"/>
  <c r="J16288" i="8"/>
  <c r="J16287" i="8"/>
  <c r="J16286" i="8"/>
  <c r="J16285" i="8"/>
  <c r="J16284" i="8"/>
  <c r="J16283" i="8"/>
  <c r="J16282" i="8"/>
  <c r="J16281" i="8"/>
  <c r="J16280" i="8"/>
  <c r="J16279" i="8"/>
  <c r="J16278" i="8"/>
  <c r="J16277" i="8"/>
  <c r="J16276" i="8"/>
  <c r="J16275" i="8"/>
  <c r="I16393" i="8"/>
  <c r="I16271" i="8"/>
  <c r="I16253" i="8"/>
  <c r="D314" i="7"/>
  <c r="I5644" i="8"/>
  <c r="H5588" i="8"/>
  <c r="I5507" i="8"/>
  <c r="F283" i="7" s="1"/>
  <c r="H5507" i="8"/>
  <c r="D283" i="7" s="1"/>
  <c r="I5489" i="8"/>
  <c r="H5489" i="8"/>
  <c r="F282" i="7"/>
  <c r="D282" i="7"/>
  <c r="I13762" i="8"/>
  <c r="I13743" i="8"/>
  <c r="F251" i="7"/>
  <c r="J13688" i="8"/>
  <c r="H13706" i="8"/>
  <c r="H13625" i="8"/>
  <c r="D250" i="7" s="1"/>
  <c r="H13607" i="8"/>
  <c r="I13468" i="8"/>
  <c r="F422" i="7" s="1"/>
  <c r="H13468" i="8"/>
  <c r="I13450" i="8"/>
  <c r="H13450" i="8"/>
  <c r="H13369" i="8"/>
  <c r="I13351" i="8"/>
  <c r="H13351" i="8"/>
  <c r="I13230" i="8"/>
  <c r="F421" i="7" s="1"/>
  <c r="I13212" i="8"/>
  <c r="H13212" i="8"/>
  <c r="H13113" i="8"/>
  <c r="I13030" i="8"/>
  <c r="I13011" i="8"/>
  <c r="I12298" i="8"/>
  <c r="F420" i="7" s="1"/>
  <c r="I12280" i="8"/>
  <c r="I12199" i="8"/>
  <c r="H12199" i="8"/>
  <c r="H12181" i="8"/>
  <c r="I12060" i="8"/>
  <c r="F419" i="7" s="1"/>
  <c r="H12060" i="8"/>
  <c r="D419" i="7" s="1"/>
  <c r="I12042" i="8"/>
  <c r="H12042" i="8"/>
  <c r="H11961" i="8"/>
  <c r="H11943" i="8"/>
  <c r="I11860" i="8"/>
  <c r="I11841" i="8"/>
  <c r="I11822" i="8"/>
  <c r="F418" i="7" s="1"/>
  <c r="H11822" i="8"/>
  <c r="D418" i="7" s="1"/>
  <c r="I11804" i="8"/>
  <c r="H11804" i="8"/>
  <c r="I11723" i="8"/>
  <c r="H11723" i="8"/>
  <c r="H11705" i="8"/>
  <c r="I11602" i="8"/>
  <c r="I11583" i="8"/>
  <c r="F417" i="7" s="1"/>
  <c r="I11565" i="8"/>
  <c r="I11484" i="8"/>
  <c r="H11484" i="8"/>
  <c r="H11466" i="8"/>
  <c r="I11364" i="8"/>
  <c r="I11370" i="8" s="1"/>
  <c r="I11345" i="8"/>
  <c r="F416" i="7" s="1"/>
  <c r="I11327" i="8"/>
  <c r="H11327" i="8"/>
  <c r="H11246" i="8"/>
  <c r="H11228" i="8"/>
  <c r="I11144" i="8"/>
  <c r="H11144" i="8"/>
  <c r="I11126" i="8"/>
  <c r="H11126" i="8"/>
  <c r="I11045" i="8"/>
  <c r="H11045" i="8"/>
  <c r="I11027" i="8"/>
  <c r="H11027" i="8"/>
  <c r="I10946" i="8"/>
  <c r="H10946" i="8"/>
  <c r="I10928" i="8"/>
  <c r="H10928" i="8"/>
  <c r="H10847" i="8"/>
  <c r="H10829" i="8"/>
  <c r="I9396" i="8"/>
  <c r="J9395" i="8"/>
  <c r="J9394" i="8"/>
  <c r="J9393" i="8"/>
  <c r="J9392" i="8"/>
  <c r="J9391" i="8"/>
  <c r="J9390" i="8"/>
  <c r="J9389" i="8"/>
  <c r="J9388" i="8"/>
  <c r="J9387" i="8"/>
  <c r="J9386" i="8"/>
  <c r="J9385" i="8"/>
  <c r="J9384" i="8"/>
  <c r="J9383" i="8"/>
  <c r="J9382" i="8"/>
  <c r="J9381" i="8"/>
  <c r="I10726" i="8"/>
  <c r="I10707" i="8"/>
  <c r="H10707" i="8"/>
  <c r="D201" i="7" s="1"/>
  <c r="I10689" i="8"/>
  <c r="H10689" i="8"/>
  <c r="I10608" i="8"/>
  <c r="H10608" i="8"/>
  <c r="I10590" i="8"/>
  <c r="H10590" i="8"/>
  <c r="I10509" i="8"/>
  <c r="H10509" i="8"/>
  <c r="I10491" i="8"/>
  <c r="H10491" i="8"/>
  <c r="I10410" i="8"/>
  <c r="I10392" i="8"/>
  <c r="H10392" i="8"/>
  <c r="H10311" i="8"/>
  <c r="I10293" i="8"/>
  <c r="H10293" i="8"/>
  <c r="H10190" i="8"/>
  <c r="D49" i="7" s="1"/>
  <c r="H10091" i="8"/>
  <c r="D46" i="7" s="1"/>
  <c r="H10073" i="8"/>
  <c r="H9992" i="8"/>
  <c r="D45" i="7" s="1"/>
  <c r="H9893" i="8"/>
  <c r="D44" i="7" s="1"/>
  <c r="H9875" i="8"/>
  <c r="H9794" i="8"/>
  <c r="D43" i="7" s="1"/>
  <c r="H9776" i="8"/>
  <c r="H9695" i="8"/>
  <c r="D41" i="7" s="1"/>
  <c r="H9677" i="8"/>
  <c r="H9596" i="8"/>
  <c r="D37" i="7" s="1"/>
  <c r="I9578" i="8"/>
  <c r="H9578" i="8"/>
  <c r="I9497" i="8"/>
  <c r="F36" i="7" s="1"/>
  <c r="H9497" i="8"/>
  <c r="D36" i="7" s="1"/>
  <c r="H9479" i="8"/>
  <c r="H9359" i="8"/>
  <c r="H9278" i="8"/>
  <c r="H9120" i="8"/>
  <c r="H9039" i="8"/>
  <c r="H8940" i="8"/>
  <c r="H8602" i="8"/>
  <c r="D135" i="7" s="1"/>
  <c r="H8503" i="8"/>
  <c r="D134" i="7" s="1"/>
  <c r="H8404" i="8"/>
  <c r="D133" i="7" s="1"/>
  <c r="I6084" i="8"/>
  <c r="F533" i="7" s="1"/>
  <c r="H6084" i="8"/>
  <c r="D533" i="7" s="1"/>
  <c r="H6832" i="8"/>
  <c r="I11383" i="8" l="1"/>
  <c r="I17090" i="8"/>
  <c r="G533" i="7"/>
  <c r="F199" i="7"/>
  <c r="F200" i="7"/>
  <c r="F201" i="7"/>
  <c r="G201" i="7" s="1"/>
  <c r="F316" i="7"/>
  <c r="F315" i="7"/>
  <c r="D315" i="7"/>
  <c r="D200" i="7"/>
  <c r="D199" i="7"/>
  <c r="G283" i="7"/>
  <c r="G418" i="7"/>
  <c r="G419" i="7"/>
  <c r="D35" i="7"/>
  <c r="H5625" i="8"/>
  <c r="H11586" i="8"/>
  <c r="H11605" i="8" s="1"/>
  <c r="H11621" i="8" s="1"/>
  <c r="H13011" i="8"/>
  <c r="H9380" i="8"/>
  <c r="H9396" i="8" s="1"/>
  <c r="H11348" i="8"/>
  <c r="H11367" i="8" s="1"/>
  <c r="H11383" i="8" s="1"/>
  <c r="H12298" i="8"/>
  <c r="D420" i="7" s="1"/>
  <c r="G420" i="7" s="1"/>
  <c r="H13746" i="8"/>
  <c r="H16274" i="8"/>
  <c r="H16293" i="8" s="1"/>
  <c r="H16309" i="8" s="1"/>
  <c r="H6106" i="8"/>
  <c r="H9377" i="8"/>
  <c r="D10" i="7" s="1"/>
  <c r="H11345" i="8"/>
  <c r="D416" i="7" s="1"/>
  <c r="H11583" i="8"/>
  <c r="D417" i="7" s="1"/>
  <c r="G417" i="7" s="1"/>
  <c r="H13230" i="8"/>
  <c r="D421" i="7" s="1"/>
  <c r="G421" i="7" s="1"/>
  <c r="H13471" i="8"/>
  <c r="H13724" i="8"/>
  <c r="H16271" i="8"/>
  <c r="D316" i="7" s="1"/>
  <c r="H17048" i="8"/>
  <c r="H17064" i="8" s="1"/>
  <c r="H9141" i="8"/>
  <c r="H9160" i="8" s="1"/>
  <c r="H16946" i="8"/>
  <c r="H11825" i="8"/>
  <c r="H12063" i="8"/>
  <c r="H12082" i="8" s="1"/>
  <c r="H16810" i="8"/>
  <c r="H8822" i="8"/>
  <c r="H9138" i="8"/>
  <c r="D136" i="7" s="1"/>
  <c r="H10710" i="8"/>
  <c r="H10726" i="8" s="1"/>
  <c r="H6797" i="8"/>
  <c r="H2285" i="8"/>
  <c r="D529" i="7" s="1"/>
  <c r="H2267" i="8"/>
  <c r="I2267" i="8"/>
  <c r="I2222" i="8"/>
  <c r="H2222" i="8"/>
  <c r="H2195" i="8"/>
  <c r="D526" i="7" s="1"/>
  <c r="I2177" i="8"/>
  <c r="H2177" i="8"/>
  <c r="H2148" i="8"/>
  <c r="D523" i="7" s="1"/>
  <c r="H1873" i="8"/>
  <c r="H4745" i="8"/>
  <c r="H4664" i="8"/>
  <c r="D468" i="7" s="1"/>
  <c r="H4646" i="8"/>
  <c r="H4565" i="8"/>
  <c r="D467" i="7" s="1"/>
  <c r="I4547" i="8"/>
  <c r="H4547" i="8"/>
  <c r="I4464" i="8"/>
  <c r="H4445" i="8"/>
  <c r="D383" i="7" s="1"/>
  <c r="H4328" i="8"/>
  <c r="D346" i="7"/>
  <c r="H8066" i="8"/>
  <c r="H7949" i="8"/>
  <c r="H7769" i="8"/>
  <c r="D177" i="7" s="1"/>
  <c r="I7390" i="8"/>
  <c r="H7353" i="8"/>
  <c r="H7272" i="8"/>
  <c r="H7254" i="8"/>
  <c r="H7173" i="8"/>
  <c r="D158" i="7" s="1"/>
  <c r="H7155" i="8"/>
  <c r="I1552" i="8"/>
  <c r="H1552" i="8"/>
  <c r="I1534" i="8"/>
  <c r="H1534" i="8"/>
  <c r="I1453" i="8"/>
  <c r="F104" i="7" s="1"/>
  <c r="I1435" i="8"/>
  <c r="H1435" i="8"/>
  <c r="I1354" i="8"/>
  <c r="F103" i="7" s="1"/>
  <c r="H1354" i="8"/>
  <c r="D103" i="7" s="1"/>
  <c r="I1336" i="8"/>
  <c r="H1336" i="8"/>
  <c r="I1256" i="8"/>
  <c r="F102" i="7" s="1"/>
  <c r="H1256" i="8"/>
  <c r="D102" i="7" s="1"/>
  <c r="I1238" i="8"/>
  <c r="H1238" i="8"/>
  <c r="H1157" i="8"/>
  <c r="D101" i="7" s="1"/>
  <c r="I1139" i="8"/>
  <c r="H1139" i="8"/>
  <c r="J1062" i="8"/>
  <c r="I1056" i="8"/>
  <c r="I1037" i="8"/>
  <c r="F11" i="7" s="1"/>
  <c r="I1019" i="8"/>
  <c r="H1019" i="8"/>
  <c r="H945" i="8"/>
  <c r="D9" i="7" s="1"/>
  <c r="H927" i="8"/>
  <c r="H840" i="8"/>
  <c r="H464" i="8"/>
  <c r="H681" i="8" s="1"/>
  <c r="H446" i="8"/>
  <c r="I446" i="8"/>
  <c r="I187" i="8"/>
  <c r="I88" i="8"/>
  <c r="I17268" i="8" l="1"/>
  <c r="I17103" i="8"/>
  <c r="D159" i="7"/>
  <c r="G256" i="7"/>
  <c r="H13864" i="8"/>
  <c r="H13762" i="8"/>
  <c r="G316" i="7"/>
  <c r="H7667" i="8"/>
  <c r="J7651" i="8"/>
  <c r="J7667" i="8" s="1"/>
  <c r="G200" i="7"/>
  <c r="G315" i="7"/>
  <c r="D313" i="7"/>
  <c r="B616" i="7" s="1"/>
  <c r="D422" i="7"/>
  <c r="G422" i="7" s="1"/>
  <c r="D251" i="7"/>
  <c r="D249" i="7" s="1"/>
  <c r="B614" i="7" s="1"/>
  <c r="H11602" i="8"/>
  <c r="B608" i="7"/>
  <c r="H13743" i="8"/>
  <c r="J16293" i="8"/>
  <c r="J16309" i="8" s="1"/>
  <c r="H13030" i="8"/>
  <c r="H11364" i="8"/>
  <c r="J9380" i="8"/>
  <c r="J9396" i="8" s="1"/>
  <c r="H17067" i="8"/>
  <c r="H17083" i="8" s="1"/>
  <c r="J16274" i="8"/>
  <c r="J16290" i="8" s="1"/>
  <c r="H16290" i="8"/>
  <c r="H10729" i="8"/>
  <c r="H16826" i="8"/>
  <c r="H16829" i="8"/>
  <c r="H16845" i="8" s="1"/>
  <c r="H13490" i="8"/>
  <c r="H13506" i="8" s="1"/>
  <c r="H13487" i="8"/>
  <c r="H11841" i="8"/>
  <c r="H11844" i="8"/>
  <c r="H11860" i="8" s="1"/>
  <c r="H700" i="8"/>
  <c r="H719" i="8" s="1"/>
  <c r="H8085" i="8"/>
  <c r="H1037" i="8"/>
  <c r="D11" i="7" s="1"/>
  <c r="D8" i="7" s="1"/>
  <c r="H3680" i="8"/>
  <c r="H4229" i="8" s="1"/>
  <c r="H856" i="8"/>
  <c r="H859" i="8"/>
  <c r="H878" i="8" s="1"/>
  <c r="H2240" i="8"/>
  <c r="D528" i="7" s="1"/>
  <c r="H1453" i="8"/>
  <c r="D104" i="7" s="1"/>
  <c r="D100" i="7" s="1"/>
  <c r="H7967" i="8"/>
  <c r="D180" i="7" s="1"/>
  <c r="C74" i="5"/>
  <c r="E140" i="6"/>
  <c r="E139" i="6"/>
  <c r="E138" i="6"/>
  <c r="E137" i="6"/>
  <c r="E136" i="6"/>
  <c r="E135" i="6"/>
  <c r="E134" i="6"/>
  <c r="E133" i="6"/>
  <c r="E132" i="6"/>
  <c r="E131" i="6"/>
  <c r="E130" i="6"/>
  <c r="E129" i="6"/>
  <c r="E128" i="6"/>
  <c r="E126" i="6"/>
  <c r="E125" i="6"/>
  <c r="E124" i="6"/>
  <c r="E123" i="6"/>
  <c r="E120" i="6"/>
  <c r="E118" i="6"/>
  <c r="E117" i="6"/>
  <c r="E116" i="6"/>
  <c r="E111" i="6"/>
  <c r="E110" i="6"/>
  <c r="E108" i="6"/>
  <c r="E106" i="6"/>
  <c r="E105" i="6"/>
  <c r="E104" i="6"/>
  <c r="E103" i="6"/>
  <c r="E102" i="6"/>
  <c r="E101" i="6"/>
  <c r="E100" i="6"/>
  <c r="E99" i="6"/>
  <c r="E98" i="6"/>
  <c r="E97" i="6"/>
  <c r="E96" i="6"/>
  <c r="E95" i="6"/>
  <c r="E92" i="6"/>
  <c r="E88" i="6"/>
  <c r="E83" i="6"/>
  <c r="E82" i="6"/>
  <c r="E79" i="6"/>
  <c r="E78" i="6"/>
  <c r="E77" i="6"/>
  <c r="E76" i="6"/>
  <c r="E75" i="6"/>
  <c r="E74" i="6"/>
  <c r="E73" i="6"/>
  <c r="E72" i="6"/>
  <c r="E71" i="6"/>
  <c r="E70" i="6"/>
  <c r="E68" i="6"/>
  <c r="E67" i="6"/>
  <c r="E66" i="6"/>
  <c r="E65" i="6"/>
  <c r="E64" i="6"/>
  <c r="E63" i="6"/>
  <c r="E62" i="6"/>
  <c r="E61" i="6"/>
  <c r="E59" i="6"/>
  <c r="E58" i="6"/>
  <c r="E57" i="6"/>
  <c r="E56" i="6"/>
  <c r="E55" i="6"/>
  <c r="E54" i="6"/>
  <c r="E53" i="6"/>
  <c r="E52" i="6"/>
  <c r="E51" i="6"/>
  <c r="E50" i="6"/>
  <c r="E49" i="6"/>
  <c r="E48" i="6"/>
  <c r="E47" i="6"/>
  <c r="E46" i="6"/>
  <c r="E44" i="6"/>
  <c r="E43" i="6"/>
  <c r="E41" i="6"/>
  <c r="E39" i="6"/>
  <c r="E38" i="6"/>
  <c r="E37" i="6"/>
  <c r="E35" i="6"/>
  <c r="E34" i="6"/>
  <c r="E32" i="6"/>
  <c r="E28" i="6"/>
  <c r="E27" i="6"/>
  <c r="E26" i="6"/>
  <c r="E25" i="6"/>
  <c r="E23" i="6"/>
  <c r="E22" i="6"/>
  <c r="E21" i="6"/>
  <c r="E20" i="6"/>
  <c r="E14" i="6"/>
  <c r="E12" i="6"/>
  <c r="E11" i="6"/>
  <c r="E10" i="6"/>
  <c r="E9" i="6"/>
  <c r="E8" i="6"/>
  <c r="E7" i="6"/>
  <c r="C140" i="6"/>
  <c r="C139" i="6"/>
  <c r="C137" i="6"/>
  <c r="C136" i="6"/>
  <c r="C135" i="6"/>
  <c r="C134" i="6"/>
  <c r="C133" i="6"/>
  <c r="C132" i="6"/>
  <c r="C131" i="6"/>
  <c r="C130" i="6"/>
  <c r="C129" i="6"/>
  <c r="C128" i="6"/>
  <c r="C126" i="6"/>
  <c r="C125" i="6"/>
  <c r="C124" i="6"/>
  <c r="C123" i="6"/>
  <c r="C120" i="6"/>
  <c r="C118" i="6"/>
  <c r="C117" i="6"/>
  <c r="C116" i="6"/>
  <c r="C111" i="6"/>
  <c r="C110" i="6"/>
  <c r="C108" i="6"/>
  <c r="C106" i="6"/>
  <c r="C105" i="6"/>
  <c r="C104" i="6"/>
  <c r="C103" i="6"/>
  <c r="C102" i="6"/>
  <c r="C101" i="6"/>
  <c r="C100" i="6"/>
  <c r="C99" i="6"/>
  <c r="C98" i="6"/>
  <c r="C97" i="6"/>
  <c r="C96" i="6"/>
  <c r="C92" i="6"/>
  <c r="C88" i="6"/>
  <c r="C83" i="6"/>
  <c r="C82" i="6"/>
  <c r="C79" i="6"/>
  <c r="C78" i="6"/>
  <c r="C77" i="6"/>
  <c r="C76" i="6"/>
  <c r="C75" i="6"/>
  <c r="C74" i="6"/>
  <c r="C73" i="6"/>
  <c r="C72" i="6"/>
  <c r="C71" i="6"/>
  <c r="C70" i="6"/>
  <c r="C68" i="6"/>
  <c r="C67" i="6"/>
  <c r="C66" i="6"/>
  <c r="C65" i="6"/>
  <c r="C64" i="6"/>
  <c r="C63" i="6"/>
  <c r="C62" i="6"/>
  <c r="C61" i="6"/>
  <c r="C59" i="6"/>
  <c r="C58" i="6"/>
  <c r="C57" i="6"/>
  <c r="C56" i="6"/>
  <c r="C55" i="6"/>
  <c r="C54" i="6"/>
  <c r="C53" i="6"/>
  <c r="C52" i="6"/>
  <c r="C51" i="6"/>
  <c r="C50" i="6"/>
  <c r="C49" i="6"/>
  <c r="C48" i="6"/>
  <c r="C47" i="6"/>
  <c r="C46" i="6"/>
  <c r="C44" i="6"/>
  <c r="C43" i="6"/>
  <c r="C41" i="6"/>
  <c r="C39" i="6"/>
  <c r="C38" i="6"/>
  <c r="C37" i="6"/>
  <c r="C35" i="6"/>
  <c r="C34" i="6"/>
  <c r="C32" i="6"/>
  <c r="C28" i="6"/>
  <c r="C27" i="6"/>
  <c r="C26" i="6"/>
  <c r="C25" i="6"/>
  <c r="C23" i="6"/>
  <c r="C22" i="6"/>
  <c r="C21" i="6"/>
  <c r="C20" i="6"/>
  <c r="C14" i="6"/>
  <c r="C12" i="6"/>
  <c r="C11" i="6"/>
  <c r="C10" i="6"/>
  <c r="C9" i="6"/>
  <c r="C8" i="6"/>
  <c r="C7" i="6"/>
  <c r="C80" i="5"/>
  <c r="C79" i="5" s="1"/>
  <c r="E86" i="5"/>
  <c r="E83" i="5"/>
  <c r="E84" i="5"/>
  <c r="E82" i="5"/>
  <c r="E80" i="5"/>
  <c r="E79" i="5" s="1"/>
  <c r="E77" i="5"/>
  <c r="E78" i="5"/>
  <c r="E76" i="5"/>
  <c r="E72" i="5"/>
  <c r="E73" i="5"/>
  <c r="E71" i="5"/>
  <c r="E66" i="5"/>
  <c r="E67" i="5"/>
  <c r="E68" i="5"/>
  <c r="E69" i="5"/>
  <c r="E65" i="5"/>
  <c r="E56" i="5"/>
  <c r="E51" i="5"/>
  <c r="E52" i="5"/>
  <c r="E53" i="5"/>
  <c r="E54" i="5"/>
  <c r="E50" i="5"/>
  <c r="E48" i="5"/>
  <c r="E42" i="5"/>
  <c r="E43" i="5"/>
  <c r="E44" i="5"/>
  <c r="E45" i="5"/>
  <c r="E46" i="5"/>
  <c r="E41" i="5"/>
  <c r="E36" i="5"/>
  <c r="E37" i="5"/>
  <c r="E38" i="5"/>
  <c r="E39" i="5"/>
  <c r="E35" i="5"/>
  <c r="E31" i="5"/>
  <c r="E32" i="5"/>
  <c r="E33" i="5"/>
  <c r="E30" i="5"/>
  <c r="E25" i="5"/>
  <c r="E26" i="5"/>
  <c r="E27" i="5"/>
  <c r="E28" i="5"/>
  <c r="E24" i="5"/>
  <c r="E22" i="5"/>
  <c r="E18" i="5"/>
  <c r="E19" i="5"/>
  <c r="E20" i="5"/>
  <c r="E21" i="5"/>
  <c r="E17" i="5"/>
  <c r="E9" i="5"/>
  <c r="E10" i="5"/>
  <c r="E11" i="5"/>
  <c r="E12" i="5"/>
  <c r="E13" i="5"/>
  <c r="E14" i="5"/>
  <c r="E15" i="5"/>
  <c r="E8" i="5"/>
  <c r="C86" i="5"/>
  <c r="I18" i="16" s="1"/>
  <c r="C83" i="5"/>
  <c r="C82" i="5"/>
  <c r="C77" i="5"/>
  <c r="C78" i="5"/>
  <c r="C76" i="5"/>
  <c r="C72" i="5"/>
  <c r="C73" i="5"/>
  <c r="C71" i="5"/>
  <c r="C66" i="5"/>
  <c r="C67" i="5"/>
  <c r="C68" i="5"/>
  <c r="C69" i="5"/>
  <c r="C65" i="5"/>
  <c r="C51" i="5"/>
  <c r="C53" i="5"/>
  <c r="C54" i="5"/>
  <c r="C55" i="5"/>
  <c r="C50" i="5"/>
  <c r="C48" i="5"/>
  <c r="C42" i="5"/>
  <c r="C44" i="5"/>
  <c r="C45" i="5"/>
  <c r="C46" i="5"/>
  <c r="C41" i="5"/>
  <c r="C36" i="5"/>
  <c r="C37" i="5"/>
  <c r="C38" i="5"/>
  <c r="C39" i="5"/>
  <c r="C35" i="5"/>
  <c r="C31" i="5"/>
  <c r="C32" i="5"/>
  <c r="C33" i="5"/>
  <c r="C30" i="5"/>
  <c r="C25" i="5"/>
  <c r="C26" i="5"/>
  <c r="C27" i="5"/>
  <c r="C28" i="5"/>
  <c r="C24" i="5"/>
  <c r="C18" i="5"/>
  <c r="C19" i="5"/>
  <c r="C20" i="5"/>
  <c r="C21" i="5"/>
  <c r="C22" i="5"/>
  <c r="C17" i="5"/>
  <c r="C9" i="5"/>
  <c r="C10" i="5"/>
  <c r="C11" i="5"/>
  <c r="C12" i="5"/>
  <c r="C13" i="5"/>
  <c r="C14" i="5"/>
  <c r="C15" i="5"/>
  <c r="C8" i="5"/>
  <c r="J17102" i="8"/>
  <c r="J17101" i="8"/>
  <c r="J17100" i="8"/>
  <c r="J17099" i="8"/>
  <c r="J17098" i="8"/>
  <c r="J17097" i="8"/>
  <c r="J17096" i="8"/>
  <c r="J17095" i="8"/>
  <c r="J17094" i="8"/>
  <c r="J17093" i="8"/>
  <c r="J17092" i="8"/>
  <c r="J17091" i="8"/>
  <c r="J17090" i="8"/>
  <c r="J17089" i="8"/>
  <c r="J17088" i="8"/>
  <c r="J5643" i="8"/>
  <c r="J5642" i="8"/>
  <c r="J5641" i="8"/>
  <c r="J5640" i="8"/>
  <c r="J5639" i="8"/>
  <c r="J5638" i="8"/>
  <c r="J5637" i="8"/>
  <c r="J5636" i="8"/>
  <c r="J5635" i="8"/>
  <c r="J5634" i="8"/>
  <c r="J5633" i="8"/>
  <c r="J5632" i="8"/>
  <c r="J5631" i="8"/>
  <c r="J5630" i="8"/>
  <c r="J5629" i="8"/>
  <c r="I5625" i="8"/>
  <c r="J5624" i="8"/>
  <c r="J5623" i="8"/>
  <c r="J5622" i="8"/>
  <c r="J5621" i="8"/>
  <c r="J5620" i="8"/>
  <c r="J5619" i="8"/>
  <c r="J5618" i="8"/>
  <c r="J5617" i="8"/>
  <c r="J5616" i="8"/>
  <c r="J5615" i="8"/>
  <c r="J5614" i="8"/>
  <c r="J5613" i="8"/>
  <c r="J5612" i="8"/>
  <c r="J5611" i="8"/>
  <c r="J5610" i="8"/>
  <c r="J5609" i="8"/>
  <c r="J13761" i="8"/>
  <c r="J13760" i="8"/>
  <c r="J13759" i="8"/>
  <c r="J13758" i="8"/>
  <c r="J13757" i="8"/>
  <c r="J13756" i="8"/>
  <c r="J13755" i="8"/>
  <c r="J13754" i="8"/>
  <c r="J13753" i="8"/>
  <c r="J13752" i="8"/>
  <c r="J13751" i="8"/>
  <c r="J13750" i="8"/>
  <c r="J13749" i="8"/>
  <c r="J13748" i="8"/>
  <c r="J13747" i="8"/>
  <c r="J13746" i="8"/>
  <c r="J13742" i="8"/>
  <c r="J13741" i="8"/>
  <c r="J13740" i="8"/>
  <c r="J13739" i="8"/>
  <c r="J13738" i="8"/>
  <c r="J13737" i="8"/>
  <c r="J13736" i="8"/>
  <c r="J13735" i="8"/>
  <c r="J13734" i="8"/>
  <c r="J13733" i="8"/>
  <c r="J13732" i="8"/>
  <c r="J13731" i="8"/>
  <c r="J13730" i="8"/>
  <c r="J13729" i="8"/>
  <c r="J13728" i="8"/>
  <c r="J13727" i="8"/>
  <c r="J16270" i="8"/>
  <c r="J16269" i="8"/>
  <c r="J16268" i="8"/>
  <c r="J16267" i="8"/>
  <c r="J16266" i="8"/>
  <c r="J16265" i="8"/>
  <c r="J16264" i="8"/>
  <c r="J16263" i="8"/>
  <c r="J16262" i="8"/>
  <c r="J16261" i="8"/>
  <c r="J16260" i="8"/>
  <c r="J16259" i="8"/>
  <c r="J16258" i="8"/>
  <c r="J16257" i="8"/>
  <c r="J16256" i="8"/>
  <c r="J16255" i="8"/>
  <c r="J16252" i="8"/>
  <c r="J16251" i="8"/>
  <c r="J16250" i="8"/>
  <c r="J16249" i="8"/>
  <c r="J16248" i="8"/>
  <c r="J16247" i="8"/>
  <c r="J16246" i="8"/>
  <c r="J16245" i="8"/>
  <c r="J16244" i="8"/>
  <c r="J16243" i="8"/>
  <c r="J16242" i="8"/>
  <c r="J16241" i="8"/>
  <c r="J16240" i="8"/>
  <c r="J16239" i="8"/>
  <c r="J16238" i="8"/>
  <c r="J16237" i="8"/>
  <c r="J16235" i="8"/>
  <c r="J16234" i="8"/>
  <c r="J16233" i="8"/>
  <c r="J16232" i="8"/>
  <c r="J16231" i="8"/>
  <c r="J16230" i="8"/>
  <c r="J16229" i="8"/>
  <c r="J16228" i="8"/>
  <c r="J16227" i="8"/>
  <c r="J16226" i="8"/>
  <c r="J16225" i="8"/>
  <c r="J16224" i="8"/>
  <c r="J16223" i="8"/>
  <c r="J16222" i="8"/>
  <c r="J16221" i="8"/>
  <c r="J16220" i="8"/>
  <c r="J16219" i="8"/>
  <c r="J16218" i="8"/>
  <c r="J16217" i="8"/>
  <c r="J16216" i="8"/>
  <c r="J16215" i="8"/>
  <c r="J16214" i="8"/>
  <c r="J16213" i="8"/>
  <c r="J16212" i="8"/>
  <c r="J16211" i="8"/>
  <c r="J16210" i="8"/>
  <c r="J16209" i="8"/>
  <c r="J16208" i="8"/>
  <c r="J16207" i="8"/>
  <c r="J16206" i="8"/>
  <c r="J16205" i="8"/>
  <c r="J16204" i="8"/>
  <c r="J16203" i="8"/>
  <c r="J16202" i="8"/>
  <c r="J16201" i="8"/>
  <c r="J16200" i="8"/>
  <c r="J16199" i="8"/>
  <c r="J16198" i="8"/>
  <c r="J16197" i="8"/>
  <c r="J16196" i="8"/>
  <c r="J16195" i="8"/>
  <c r="J16194" i="8"/>
  <c r="J16193" i="8"/>
  <c r="J16192" i="8"/>
  <c r="J16191" i="8"/>
  <c r="J16190" i="8"/>
  <c r="J16189" i="8"/>
  <c r="J16188" i="8"/>
  <c r="F314" i="7"/>
  <c r="F313" i="7" s="1"/>
  <c r="E127" i="6"/>
  <c r="C127" i="6"/>
  <c r="J5605" i="8"/>
  <c r="J5604" i="8"/>
  <c r="J5603" i="8"/>
  <c r="J5602" i="8"/>
  <c r="J5601" i="8"/>
  <c r="J5600" i="8"/>
  <c r="J5599" i="8"/>
  <c r="J5598" i="8"/>
  <c r="J5597" i="8"/>
  <c r="J5596" i="8"/>
  <c r="J5595" i="8"/>
  <c r="J5594" i="8"/>
  <c r="J5593" i="8"/>
  <c r="J5592" i="8"/>
  <c r="J5591" i="8"/>
  <c r="J5590" i="8"/>
  <c r="I5588" i="8"/>
  <c r="I5606" i="8" s="1"/>
  <c r="F284" i="7" s="1"/>
  <c r="F281" i="7" s="1"/>
  <c r="H5606" i="8"/>
  <c r="D284" i="7" s="1"/>
  <c r="J5587" i="8"/>
  <c r="J5586" i="8"/>
  <c r="J5585" i="8"/>
  <c r="J5584" i="8"/>
  <c r="J5583" i="8"/>
  <c r="J5582" i="8"/>
  <c r="J5581" i="8"/>
  <c r="J5580" i="8"/>
  <c r="J5579" i="8"/>
  <c r="J5578" i="8"/>
  <c r="J5577" i="8"/>
  <c r="J5576" i="8"/>
  <c r="J5575" i="8"/>
  <c r="J5574" i="8"/>
  <c r="J5573" i="8"/>
  <c r="J5572" i="8"/>
  <c r="J5570" i="8"/>
  <c r="J5569" i="8"/>
  <c r="J5568" i="8"/>
  <c r="J5567" i="8"/>
  <c r="J5566" i="8"/>
  <c r="J5565" i="8"/>
  <c r="J5564" i="8"/>
  <c r="J5563" i="8"/>
  <c r="J5562" i="8"/>
  <c r="J5561" i="8"/>
  <c r="J5560" i="8"/>
  <c r="J5559" i="8"/>
  <c r="J5558" i="8"/>
  <c r="J5557" i="8"/>
  <c r="J5556" i="8"/>
  <c r="J5555" i="8"/>
  <c r="J5554" i="8"/>
  <c r="J5553" i="8"/>
  <c r="J5552" i="8"/>
  <c r="J5551" i="8"/>
  <c r="J5550" i="8"/>
  <c r="J5549" i="8"/>
  <c r="J5548" i="8"/>
  <c r="J5547" i="8"/>
  <c r="J5546" i="8"/>
  <c r="J5545" i="8"/>
  <c r="J5544" i="8"/>
  <c r="J5543" i="8"/>
  <c r="J5542" i="8"/>
  <c r="J5541" i="8"/>
  <c r="J5540" i="8"/>
  <c r="J5539" i="8"/>
  <c r="J5538" i="8"/>
  <c r="J5537" i="8"/>
  <c r="J5536" i="8"/>
  <c r="J5535" i="8"/>
  <c r="J5534" i="8"/>
  <c r="J5533" i="8"/>
  <c r="J5532" i="8"/>
  <c r="J5531" i="8"/>
  <c r="J5530" i="8"/>
  <c r="J5529" i="8"/>
  <c r="J5528" i="8"/>
  <c r="J5527" i="8"/>
  <c r="J5526" i="8"/>
  <c r="J5525" i="8"/>
  <c r="J5524" i="8"/>
  <c r="J5523" i="8"/>
  <c r="J5522" i="8"/>
  <c r="J5521" i="8"/>
  <c r="J5520" i="8"/>
  <c r="J5519" i="8"/>
  <c r="J5518" i="8"/>
  <c r="J5517" i="8"/>
  <c r="J5516" i="8"/>
  <c r="J5515" i="8"/>
  <c r="J5514" i="8"/>
  <c r="J5513" i="8"/>
  <c r="J5512" i="8"/>
  <c r="J5511" i="8"/>
  <c r="J5506" i="8"/>
  <c r="J5505" i="8"/>
  <c r="J5504" i="8"/>
  <c r="J5503" i="8"/>
  <c r="J5502" i="8"/>
  <c r="J5501" i="8"/>
  <c r="J5500" i="8"/>
  <c r="J5499" i="8"/>
  <c r="J5498" i="8"/>
  <c r="J5497" i="8"/>
  <c r="J5496" i="8"/>
  <c r="J5495" i="8"/>
  <c r="J5494" i="8"/>
  <c r="J5493" i="8"/>
  <c r="J5492" i="8"/>
  <c r="J5491" i="8"/>
  <c r="J5488" i="8"/>
  <c r="J5487" i="8"/>
  <c r="J5486" i="8"/>
  <c r="J5485" i="8"/>
  <c r="J5484" i="8"/>
  <c r="J5483" i="8"/>
  <c r="J5482" i="8"/>
  <c r="J5481" i="8"/>
  <c r="J5480" i="8"/>
  <c r="J5479" i="8"/>
  <c r="J5478" i="8"/>
  <c r="J5477" i="8"/>
  <c r="J5476" i="8"/>
  <c r="J5475" i="8"/>
  <c r="J5474" i="8"/>
  <c r="J5473" i="8"/>
  <c r="J5471" i="8"/>
  <c r="J5470" i="8"/>
  <c r="J5469" i="8"/>
  <c r="J5468" i="8"/>
  <c r="J5467" i="8"/>
  <c r="J5466" i="8"/>
  <c r="J5465" i="8"/>
  <c r="J5464" i="8"/>
  <c r="J5463" i="8"/>
  <c r="J5462" i="8"/>
  <c r="J5461" i="8"/>
  <c r="J5460" i="8"/>
  <c r="J5459" i="8"/>
  <c r="J5458" i="8"/>
  <c r="J5457" i="8"/>
  <c r="J5456" i="8"/>
  <c r="J5455" i="8"/>
  <c r="J5454" i="8"/>
  <c r="J5453" i="8"/>
  <c r="J5452" i="8"/>
  <c r="J5451" i="8"/>
  <c r="J5450" i="8"/>
  <c r="J5449" i="8"/>
  <c r="J5448" i="8"/>
  <c r="J5447" i="8"/>
  <c r="J5446" i="8"/>
  <c r="J13723" i="8"/>
  <c r="J13722" i="8"/>
  <c r="J13721" i="8"/>
  <c r="J13720" i="8"/>
  <c r="J13719" i="8"/>
  <c r="J13718" i="8"/>
  <c r="J13717" i="8"/>
  <c r="J13716" i="8"/>
  <c r="J13715" i="8"/>
  <c r="J13714" i="8"/>
  <c r="J13713" i="8"/>
  <c r="J13712" i="8"/>
  <c r="J13711" i="8"/>
  <c r="J13710" i="8"/>
  <c r="J13709" i="8"/>
  <c r="J13708" i="8"/>
  <c r="I13706" i="8"/>
  <c r="J13705" i="8"/>
  <c r="J13704" i="8"/>
  <c r="J13703" i="8"/>
  <c r="J13702" i="8"/>
  <c r="J13701" i="8"/>
  <c r="J13700" i="8"/>
  <c r="J13699" i="8"/>
  <c r="J13698" i="8"/>
  <c r="J13697" i="8"/>
  <c r="J13696" i="8"/>
  <c r="J13695" i="8"/>
  <c r="J13694" i="8"/>
  <c r="J13693" i="8"/>
  <c r="J13692" i="8"/>
  <c r="J13691" i="8"/>
  <c r="J13690" i="8"/>
  <c r="J13687" i="8"/>
  <c r="J13686" i="8"/>
  <c r="J13685" i="8"/>
  <c r="J13684" i="8"/>
  <c r="J13683" i="8"/>
  <c r="J13682" i="8"/>
  <c r="J13681" i="8"/>
  <c r="J13680" i="8"/>
  <c r="J13679" i="8"/>
  <c r="J13678" i="8"/>
  <c r="J13677" i="8"/>
  <c r="J13676" i="8"/>
  <c r="J13675" i="8"/>
  <c r="J13673" i="8"/>
  <c r="J13672" i="8"/>
  <c r="J13671" i="8"/>
  <c r="J13670" i="8"/>
  <c r="J13669" i="8"/>
  <c r="J13668" i="8"/>
  <c r="J13667" i="8"/>
  <c r="J13666" i="8"/>
  <c r="J13665" i="8"/>
  <c r="J13664" i="8"/>
  <c r="J13663" i="8"/>
  <c r="J13662" i="8"/>
  <c r="J13661" i="8"/>
  <c r="J13660" i="8"/>
  <c r="J13659" i="8"/>
  <c r="J13658" i="8"/>
  <c r="J13657" i="8"/>
  <c r="J13656" i="8"/>
  <c r="J13655" i="8"/>
  <c r="J13654" i="8"/>
  <c r="J13653" i="8"/>
  <c r="J13652" i="8"/>
  <c r="J13651" i="8"/>
  <c r="J13650" i="8"/>
  <c r="J13649" i="8"/>
  <c r="J13648" i="8"/>
  <c r="J13647" i="8"/>
  <c r="J13646" i="8"/>
  <c r="J13645" i="8"/>
  <c r="J13644" i="8"/>
  <c r="J13643" i="8"/>
  <c r="J13642" i="8"/>
  <c r="J13641" i="8"/>
  <c r="J13640" i="8"/>
  <c r="J13639" i="8"/>
  <c r="J13638" i="8"/>
  <c r="J13637" i="8"/>
  <c r="J13636" i="8"/>
  <c r="J13635" i="8"/>
  <c r="J13634" i="8"/>
  <c r="J13633" i="8"/>
  <c r="J13632" i="8"/>
  <c r="J13631" i="8"/>
  <c r="J13630" i="8"/>
  <c r="C122" i="6"/>
  <c r="I13625" i="8"/>
  <c r="F250" i="7" s="1"/>
  <c r="F249" i="7" s="1"/>
  <c r="J13624" i="8"/>
  <c r="J13623" i="8"/>
  <c r="J13622" i="8"/>
  <c r="J13621" i="8"/>
  <c r="J13620" i="8"/>
  <c r="J13619" i="8"/>
  <c r="J13618" i="8"/>
  <c r="J13617" i="8"/>
  <c r="J13616" i="8"/>
  <c r="J13615" i="8"/>
  <c r="J13614" i="8"/>
  <c r="J13613" i="8"/>
  <c r="J13612" i="8"/>
  <c r="J13611" i="8"/>
  <c r="J13610" i="8"/>
  <c r="J13606" i="8"/>
  <c r="J13605" i="8"/>
  <c r="J13604" i="8"/>
  <c r="J13603" i="8"/>
  <c r="J13602" i="8"/>
  <c r="J13601" i="8"/>
  <c r="J13600" i="8"/>
  <c r="J13599" i="8"/>
  <c r="J13598" i="8"/>
  <c r="J13597" i="8"/>
  <c r="J13596" i="8"/>
  <c r="J13595" i="8"/>
  <c r="J13594" i="8"/>
  <c r="J13593" i="8"/>
  <c r="J13592" i="8"/>
  <c r="C121" i="6"/>
  <c r="J13572" i="8"/>
  <c r="J13571" i="8"/>
  <c r="J13570" i="8"/>
  <c r="J13569" i="8"/>
  <c r="J13568" i="8"/>
  <c r="J13567" i="8"/>
  <c r="J13566" i="8"/>
  <c r="J13565" i="8"/>
  <c r="J13564" i="8"/>
  <c r="J13563" i="8"/>
  <c r="J13562" i="8"/>
  <c r="J13561" i="8"/>
  <c r="J13560" i="8"/>
  <c r="J13559" i="8"/>
  <c r="J13558" i="8"/>
  <c r="J13557" i="8"/>
  <c r="J13556" i="8"/>
  <c r="J13555" i="8"/>
  <c r="J13554" i="8"/>
  <c r="J13553" i="8"/>
  <c r="J13552" i="8"/>
  <c r="J13551" i="8"/>
  <c r="J13550" i="8"/>
  <c r="J13549" i="8"/>
  <c r="J13548" i="8"/>
  <c r="J13547" i="8"/>
  <c r="J13546" i="8"/>
  <c r="J13545" i="8"/>
  <c r="J13544" i="8"/>
  <c r="J13543" i="8"/>
  <c r="J13542" i="8"/>
  <c r="J13541" i="8"/>
  <c r="J13540" i="8"/>
  <c r="J13539" i="8"/>
  <c r="J13538" i="8"/>
  <c r="J13537" i="8"/>
  <c r="J13536" i="8"/>
  <c r="J13535" i="8"/>
  <c r="J13534" i="8"/>
  <c r="J13533" i="8"/>
  <c r="J13532" i="8"/>
  <c r="J13531" i="8"/>
  <c r="J13530" i="8"/>
  <c r="J13529" i="8"/>
  <c r="J13528" i="8"/>
  <c r="J13527" i="8"/>
  <c r="J13526" i="8"/>
  <c r="J13525" i="8"/>
  <c r="J13524" i="8"/>
  <c r="J13523" i="8"/>
  <c r="J13522" i="8"/>
  <c r="J13521" i="8"/>
  <c r="J13520" i="8"/>
  <c r="J13519" i="8"/>
  <c r="J13518" i="8"/>
  <c r="J13517" i="8"/>
  <c r="J13516" i="8"/>
  <c r="J13515" i="8"/>
  <c r="J13514" i="8"/>
  <c r="J13513" i="8"/>
  <c r="I17281" i="8"/>
  <c r="J17280" i="8"/>
  <c r="J17279" i="8"/>
  <c r="J17278" i="8"/>
  <c r="J17277" i="8"/>
  <c r="J17276" i="8"/>
  <c r="J17275" i="8"/>
  <c r="J17274" i="8"/>
  <c r="J17273" i="8"/>
  <c r="J17272" i="8"/>
  <c r="J17271" i="8"/>
  <c r="J17270" i="8"/>
  <c r="J17269" i="8"/>
  <c r="J17268" i="8"/>
  <c r="J17267" i="8"/>
  <c r="J17266" i="8"/>
  <c r="J17260" i="8"/>
  <c r="J17259" i="8"/>
  <c r="J17258" i="8"/>
  <c r="J17257" i="8"/>
  <c r="J17256" i="8"/>
  <c r="J17255" i="8"/>
  <c r="J17254" i="8"/>
  <c r="J17253" i="8"/>
  <c r="J17252" i="8"/>
  <c r="J17251" i="8"/>
  <c r="J17250" i="8"/>
  <c r="J17249" i="8"/>
  <c r="J17248" i="8"/>
  <c r="J17247" i="8"/>
  <c r="J17246" i="8"/>
  <c r="J17222" i="8"/>
  <c r="J17221" i="8"/>
  <c r="J17220" i="8"/>
  <c r="J17219" i="8"/>
  <c r="J17218" i="8"/>
  <c r="J17217" i="8"/>
  <c r="J17216" i="8"/>
  <c r="J17215" i="8"/>
  <c r="J17214" i="8"/>
  <c r="J17213" i="8"/>
  <c r="J17212" i="8"/>
  <c r="J17211" i="8"/>
  <c r="J17210" i="8"/>
  <c r="J17209" i="8"/>
  <c r="J17208" i="8"/>
  <c r="I17242" i="8"/>
  <c r="J17241" i="8"/>
  <c r="J17240" i="8"/>
  <c r="J17239" i="8"/>
  <c r="J17238" i="8"/>
  <c r="J17237" i="8"/>
  <c r="J17236" i="8"/>
  <c r="J17235" i="8"/>
  <c r="J17234" i="8"/>
  <c r="J17233" i="8"/>
  <c r="J17232" i="8"/>
  <c r="J17231" i="8"/>
  <c r="J17230" i="8"/>
  <c r="J17229" i="8"/>
  <c r="J17228" i="8"/>
  <c r="J17227" i="8"/>
  <c r="I17204" i="8"/>
  <c r="F525" i="7" s="1"/>
  <c r="J17203" i="8"/>
  <c r="J17202" i="8"/>
  <c r="J17201" i="8"/>
  <c r="J17200" i="8"/>
  <c r="J17199" i="8"/>
  <c r="J17198" i="8"/>
  <c r="J17197" i="8"/>
  <c r="J17196" i="8"/>
  <c r="J17195" i="8"/>
  <c r="J17194" i="8"/>
  <c r="J17193" i="8"/>
  <c r="J17192" i="8"/>
  <c r="J17191" i="8"/>
  <c r="J17190" i="8"/>
  <c r="J17189" i="8"/>
  <c r="I17186" i="8"/>
  <c r="J17185" i="8"/>
  <c r="J17184" i="8"/>
  <c r="J17183" i="8"/>
  <c r="J17182" i="8"/>
  <c r="J17181" i="8"/>
  <c r="J17180" i="8"/>
  <c r="J17179" i="8"/>
  <c r="J17178" i="8"/>
  <c r="J17177" i="8"/>
  <c r="J17176" i="8"/>
  <c r="J17175" i="8"/>
  <c r="J17174" i="8"/>
  <c r="J17173" i="8"/>
  <c r="J17172" i="8"/>
  <c r="J17171" i="8"/>
  <c r="J17168" i="8"/>
  <c r="J17167" i="8"/>
  <c r="J17166" i="8"/>
  <c r="J17165" i="8"/>
  <c r="J17164" i="8"/>
  <c r="J17163" i="8"/>
  <c r="J17162" i="8"/>
  <c r="J17161" i="8"/>
  <c r="J17160" i="8"/>
  <c r="J17159" i="8"/>
  <c r="J17158" i="8"/>
  <c r="J17157" i="8"/>
  <c r="J17156" i="8"/>
  <c r="J17155" i="8"/>
  <c r="J17154" i="8"/>
  <c r="J17153" i="8"/>
  <c r="J17152" i="8"/>
  <c r="J17151" i="8"/>
  <c r="J17150" i="8"/>
  <c r="J17149" i="8"/>
  <c r="J17148" i="8"/>
  <c r="J17147" i="8"/>
  <c r="J17146" i="8"/>
  <c r="J17145" i="8"/>
  <c r="J17144" i="8"/>
  <c r="J17143" i="8"/>
  <c r="J17142" i="8"/>
  <c r="J17141" i="8"/>
  <c r="J17140" i="8"/>
  <c r="J17139" i="8"/>
  <c r="J17138" i="8"/>
  <c r="J17137" i="8"/>
  <c r="J17136" i="8"/>
  <c r="J17135" i="8"/>
  <c r="J17134" i="8"/>
  <c r="J17133" i="8"/>
  <c r="J17132" i="8"/>
  <c r="J17131" i="8"/>
  <c r="J17130" i="8"/>
  <c r="J17129" i="8"/>
  <c r="J17128" i="8"/>
  <c r="J17127" i="8"/>
  <c r="J17126" i="8"/>
  <c r="J17125" i="8"/>
  <c r="J17124" i="8"/>
  <c r="J17123" i="8"/>
  <c r="J17122" i="8"/>
  <c r="J17121" i="8"/>
  <c r="J17120" i="8"/>
  <c r="J17119" i="8"/>
  <c r="J17118" i="8"/>
  <c r="J17117" i="8"/>
  <c r="J17116" i="8"/>
  <c r="J17115" i="8"/>
  <c r="J17114" i="8"/>
  <c r="J17113" i="8"/>
  <c r="J17112" i="8"/>
  <c r="J17111" i="8"/>
  <c r="J17110" i="8"/>
  <c r="J17109" i="8"/>
  <c r="I17083" i="8"/>
  <c r="J17082" i="8"/>
  <c r="J17081" i="8"/>
  <c r="J17080" i="8"/>
  <c r="J17079" i="8"/>
  <c r="J17078" i="8"/>
  <c r="J17077" i="8"/>
  <c r="J17076" i="8"/>
  <c r="J17075" i="8"/>
  <c r="J17074" i="8"/>
  <c r="J17073" i="8"/>
  <c r="J17072" i="8"/>
  <c r="J17071" i="8"/>
  <c r="J17070" i="8"/>
  <c r="J17069" i="8"/>
  <c r="J17068" i="8"/>
  <c r="J17067" i="8"/>
  <c r="I16845" i="8"/>
  <c r="J16844" i="8"/>
  <c r="J16843" i="8"/>
  <c r="J16842" i="8"/>
  <c r="J16841" i="8"/>
  <c r="J16840" i="8"/>
  <c r="J16839" i="8"/>
  <c r="J16838" i="8"/>
  <c r="J16837" i="8"/>
  <c r="J16836" i="8"/>
  <c r="J16835" i="8"/>
  <c r="J16834" i="8"/>
  <c r="J16833" i="8"/>
  <c r="J16832" i="8"/>
  <c r="J16831" i="8"/>
  <c r="J16830" i="8"/>
  <c r="J16829" i="8"/>
  <c r="I17064" i="8"/>
  <c r="J17063" i="8"/>
  <c r="J17062" i="8"/>
  <c r="J17061" i="8"/>
  <c r="J17060" i="8"/>
  <c r="J17059" i="8"/>
  <c r="J17058" i="8"/>
  <c r="J17057" i="8"/>
  <c r="J17056" i="8"/>
  <c r="J17055" i="8"/>
  <c r="J17054" i="8"/>
  <c r="J17053" i="8"/>
  <c r="J17052" i="8"/>
  <c r="J17051" i="8"/>
  <c r="J17050" i="8"/>
  <c r="J17049" i="8"/>
  <c r="I17045" i="8"/>
  <c r="J17044" i="8"/>
  <c r="J17043" i="8"/>
  <c r="J17042" i="8"/>
  <c r="J17041" i="8"/>
  <c r="J17040" i="8"/>
  <c r="J17039" i="8"/>
  <c r="J17038" i="8"/>
  <c r="J17037" i="8"/>
  <c r="J17036" i="8"/>
  <c r="J17035" i="8"/>
  <c r="J17034" i="8"/>
  <c r="J17033" i="8"/>
  <c r="J17032" i="8"/>
  <c r="J17031" i="8"/>
  <c r="J17030" i="8"/>
  <c r="I17027" i="8"/>
  <c r="J17026" i="8"/>
  <c r="J17025" i="8"/>
  <c r="J17024" i="8"/>
  <c r="J17023" i="8"/>
  <c r="J17022" i="8"/>
  <c r="J17021" i="8"/>
  <c r="J17020" i="8"/>
  <c r="J17019" i="8"/>
  <c r="J17018" i="8"/>
  <c r="J17017" i="8"/>
  <c r="J17016" i="8"/>
  <c r="J17015" i="8"/>
  <c r="J17014" i="8"/>
  <c r="J17013" i="8"/>
  <c r="J17012" i="8"/>
  <c r="J17009" i="8"/>
  <c r="J17008" i="8"/>
  <c r="J17007" i="8"/>
  <c r="J17006" i="8"/>
  <c r="J17005" i="8"/>
  <c r="J17004" i="8"/>
  <c r="J17003" i="8"/>
  <c r="J17002" i="8"/>
  <c r="J17001" i="8"/>
  <c r="J17000" i="8"/>
  <c r="J16999" i="8"/>
  <c r="J16998" i="8"/>
  <c r="J16997" i="8"/>
  <c r="J16996" i="8"/>
  <c r="J16995" i="8"/>
  <c r="J16994" i="8"/>
  <c r="J16993" i="8"/>
  <c r="J16992" i="8"/>
  <c r="J16991" i="8"/>
  <c r="J16990" i="8"/>
  <c r="J16989" i="8"/>
  <c r="J16988" i="8"/>
  <c r="J16987" i="8"/>
  <c r="J16986" i="8"/>
  <c r="J16985" i="8"/>
  <c r="J16984" i="8"/>
  <c r="J16983" i="8"/>
  <c r="J16982" i="8"/>
  <c r="J16981" i="8"/>
  <c r="J16980" i="8"/>
  <c r="J16979" i="8"/>
  <c r="J16978" i="8"/>
  <c r="J16977" i="8"/>
  <c r="J16976" i="8"/>
  <c r="J16975" i="8"/>
  <c r="J16974" i="8"/>
  <c r="J16973" i="8"/>
  <c r="J16972" i="8"/>
  <c r="J16971" i="8"/>
  <c r="J16970" i="8"/>
  <c r="J16969" i="8"/>
  <c r="J16968" i="8"/>
  <c r="J16967" i="8"/>
  <c r="J16966" i="8"/>
  <c r="J16965" i="8"/>
  <c r="J16964" i="8"/>
  <c r="J16963" i="8"/>
  <c r="J16962" i="8"/>
  <c r="J16961" i="8"/>
  <c r="J16960" i="8"/>
  <c r="J16959" i="8"/>
  <c r="J16958" i="8"/>
  <c r="J16957" i="8"/>
  <c r="J16956" i="8"/>
  <c r="J16955" i="8"/>
  <c r="J16954" i="8"/>
  <c r="J16953" i="8"/>
  <c r="J16952" i="8"/>
  <c r="J16951" i="8"/>
  <c r="J16950" i="8"/>
  <c r="I16946" i="8"/>
  <c r="J16945" i="8"/>
  <c r="J16944" i="8"/>
  <c r="J16943" i="8"/>
  <c r="J16942" i="8"/>
  <c r="J16941" i="8"/>
  <c r="J16940" i="8"/>
  <c r="J16939" i="8"/>
  <c r="J16938" i="8"/>
  <c r="J16937" i="8"/>
  <c r="J16936" i="8"/>
  <c r="J16935" i="8"/>
  <c r="J16934" i="8"/>
  <c r="J16933" i="8"/>
  <c r="J16932" i="8"/>
  <c r="J16931" i="8"/>
  <c r="I16928" i="8"/>
  <c r="J16927" i="8"/>
  <c r="J16926" i="8"/>
  <c r="J16925" i="8"/>
  <c r="J16924" i="8"/>
  <c r="J16923" i="8"/>
  <c r="J16922" i="8"/>
  <c r="J16921" i="8"/>
  <c r="J16920" i="8"/>
  <c r="J16919" i="8"/>
  <c r="J16918" i="8"/>
  <c r="J16917" i="8"/>
  <c r="J16916" i="8"/>
  <c r="J16915" i="8"/>
  <c r="J16914" i="8"/>
  <c r="J16913" i="8"/>
  <c r="J16910" i="8"/>
  <c r="J16909" i="8"/>
  <c r="J16908" i="8"/>
  <c r="J16907" i="8"/>
  <c r="J16906" i="8"/>
  <c r="J16905" i="8"/>
  <c r="J16904" i="8"/>
  <c r="J16903" i="8"/>
  <c r="J16902" i="8"/>
  <c r="J16901" i="8"/>
  <c r="J16900" i="8"/>
  <c r="J16899" i="8"/>
  <c r="J16898" i="8"/>
  <c r="J16897" i="8"/>
  <c r="J16896" i="8"/>
  <c r="J16895" i="8"/>
  <c r="J16894" i="8"/>
  <c r="J16893" i="8"/>
  <c r="J16892" i="8"/>
  <c r="J16891" i="8"/>
  <c r="J16890" i="8"/>
  <c r="J16889" i="8"/>
  <c r="J16888" i="8"/>
  <c r="J16887" i="8"/>
  <c r="J16886" i="8"/>
  <c r="J16885" i="8"/>
  <c r="J16884" i="8"/>
  <c r="J16883" i="8"/>
  <c r="J16882" i="8"/>
  <c r="J16881" i="8"/>
  <c r="J16880" i="8"/>
  <c r="J16879" i="8"/>
  <c r="J16878" i="8"/>
  <c r="J16877" i="8"/>
  <c r="J16876" i="8"/>
  <c r="J16875" i="8"/>
  <c r="J16874" i="8"/>
  <c r="J16873" i="8"/>
  <c r="J16872" i="8"/>
  <c r="J16871" i="8"/>
  <c r="J16870" i="8"/>
  <c r="J16869" i="8"/>
  <c r="J16868" i="8"/>
  <c r="J16867" i="8"/>
  <c r="J16866" i="8"/>
  <c r="J16865" i="8"/>
  <c r="J16864" i="8"/>
  <c r="J16863" i="8"/>
  <c r="J16862" i="8"/>
  <c r="J16861" i="8"/>
  <c r="J16860" i="8"/>
  <c r="J16859" i="8"/>
  <c r="J16858" i="8"/>
  <c r="J16857" i="8"/>
  <c r="J16856" i="8"/>
  <c r="J16855" i="8"/>
  <c r="J16854" i="8"/>
  <c r="J16853" i="8"/>
  <c r="J16852" i="8"/>
  <c r="J16851" i="8"/>
  <c r="I16708" i="8"/>
  <c r="F349" i="7" s="1"/>
  <c r="J16707" i="8"/>
  <c r="J16706" i="8"/>
  <c r="J16705" i="8"/>
  <c r="J16704" i="8"/>
  <c r="J16703" i="8"/>
  <c r="J16702" i="8"/>
  <c r="J16701" i="8"/>
  <c r="J16700" i="8"/>
  <c r="J16699" i="8"/>
  <c r="J16698" i="8"/>
  <c r="J16697" i="8"/>
  <c r="J16696" i="8"/>
  <c r="J16695" i="8"/>
  <c r="J16694" i="8"/>
  <c r="J16693" i="8"/>
  <c r="H16708" i="8"/>
  <c r="D349" i="7" s="1"/>
  <c r="I16690" i="8"/>
  <c r="J16689" i="8"/>
  <c r="J16688" i="8"/>
  <c r="J16687" i="8"/>
  <c r="J16686" i="8"/>
  <c r="J16685" i="8"/>
  <c r="J16684" i="8"/>
  <c r="J16683" i="8"/>
  <c r="J16682" i="8"/>
  <c r="J16681" i="8"/>
  <c r="J16680" i="8"/>
  <c r="J16679" i="8"/>
  <c r="J16678" i="8"/>
  <c r="J16677" i="8"/>
  <c r="J16676" i="8"/>
  <c r="J16675" i="8"/>
  <c r="J16672" i="8"/>
  <c r="J16671" i="8"/>
  <c r="J16670" i="8"/>
  <c r="J16669" i="8"/>
  <c r="J16668" i="8"/>
  <c r="J16667" i="8"/>
  <c r="J16666" i="8"/>
  <c r="J16665" i="8"/>
  <c r="J16664" i="8"/>
  <c r="J16663" i="8"/>
  <c r="J16662" i="8"/>
  <c r="J16661" i="8"/>
  <c r="J16660" i="8"/>
  <c r="J16659" i="8"/>
  <c r="J16658" i="8"/>
  <c r="J16657" i="8"/>
  <c r="J16656" i="8"/>
  <c r="J16655" i="8"/>
  <c r="J16654" i="8"/>
  <c r="J16653" i="8"/>
  <c r="J16652" i="8"/>
  <c r="J16651" i="8"/>
  <c r="J16650" i="8"/>
  <c r="J16649" i="8"/>
  <c r="J16648" i="8"/>
  <c r="J16647" i="8"/>
  <c r="J16646" i="8"/>
  <c r="J16645" i="8"/>
  <c r="J16644" i="8"/>
  <c r="J16643" i="8"/>
  <c r="J16642" i="8"/>
  <c r="J16641" i="8"/>
  <c r="J16640" i="8"/>
  <c r="J16639" i="8"/>
  <c r="J16638" i="8"/>
  <c r="J16637" i="8"/>
  <c r="J16636" i="8"/>
  <c r="J16635" i="8"/>
  <c r="J16634" i="8"/>
  <c r="J16633" i="8"/>
  <c r="J16632" i="8"/>
  <c r="J16631" i="8"/>
  <c r="J16630" i="8"/>
  <c r="J16629" i="8"/>
  <c r="J16628" i="8"/>
  <c r="J16627" i="8"/>
  <c r="J16626" i="8"/>
  <c r="J16625" i="8"/>
  <c r="J16624" i="8"/>
  <c r="J16623" i="8"/>
  <c r="J16622" i="8"/>
  <c r="J16621" i="8"/>
  <c r="J16620" i="8"/>
  <c r="J16619" i="8"/>
  <c r="J16618" i="8"/>
  <c r="J16617" i="8"/>
  <c r="J16616" i="8"/>
  <c r="J16615" i="8"/>
  <c r="J16614" i="8"/>
  <c r="J16613" i="8"/>
  <c r="I16510" i="8"/>
  <c r="J16509" i="8"/>
  <c r="J16508" i="8"/>
  <c r="J16507" i="8"/>
  <c r="J16506" i="8"/>
  <c r="J16505" i="8"/>
  <c r="J16504" i="8"/>
  <c r="J16503" i="8"/>
  <c r="J16502" i="8"/>
  <c r="J16501" i="8"/>
  <c r="J16500" i="8"/>
  <c r="J16499" i="8"/>
  <c r="J16498" i="8"/>
  <c r="J16497" i="8"/>
  <c r="J16496" i="8"/>
  <c r="J16495" i="8"/>
  <c r="I16492" i="8"/>
  <c r="J16491" i="8"/>
  <c r="J16490" i="8"/>
  <c r="J16489" i="8"/>
  <c r="J16488" i="8"/>
  <c r="J16487" i="8"/>
  <c r="J16486" i="8"/>
  <c r="J16485" i="8"/>
  <c r="J16484" i="8"/>
  <c r="J16483" i="8"/>
  <c r="J16482" i="8"/>
  <c r="J16481" i="8"/>
  <c r="J16480" i="8"/>
  <c r="J16479" i="8"/>
  <c r="J16478" i="8"/>
  <c r="J16477" i="8"/>
  <c r="J16474" i="8"/>
  <c r="J16473" i="8"/>
  <c r="J16472" i="8"/>
  <c r="J16471" i="8"/>
  <c r="J16470" i="8"/>
  <c r="J16469" i="8"/>
  <c r="J16468" i="8"/>
  <c r="J16467" i="8"/>
  <c r="J16466" i="8"/>
  <c r="J16465" i="8"/>
  <c r="J16464" i="8"/>
  <c r="J16463" i="8"/>
  <c r="J16462" i="8"/>
  <c r="J16461" i="8"/>
  <c r="J16460" i="8"/>
  <c r="J16459" i="8"/>
  <c r="J16458" i="8"/>
  <c r="J16457" i="8"/>
  <c r="J16456" i="8"/>
  <c r="J16455" i="8"/>
  <c r="J16454" i="8"/>
  <c r="J16453" i="8"/>
  <c r="J16452" i="8"/>
  <c r="J16451" i="8"/>
  <c r="J16450" i="8"/>
  <c r="J16449" i="8"/>
  <c r="J16448" i="8"/>
  <c r="J16447" i="8"/>
  <c r="J16446" i="8"/>
  <c r="J16445" i="8"/>
  <c r="J16444" i="8"/>
  <c r="J16443" i="8"/>
  <c r="J16442" i="8"/>
  <c r="J16441" i="8"/>
  <c r="J16440" i="8"/>
  <c r="J16439" i="8"/>
  <c r="J16438" i="8"/>
  <c r="J16437" i="8"/>
  <c r="J16436" i="8"/>
  <c r="J16435" i="8"/>
  <c r="J16434" i="8"/>
  <c r="J16433" i="8"/>
  <c r="J16432" i="8"/>
  <c r="J16431" i="8"/>
  <c r="J16430" i="8"/>
  <c r="J16429" i="8"/>
  <c r="J16428" i="8"/>
  <c r="J16427" i="8"/>
  <c r="J16426" i="8"/>
  <c r="J16425" i="8"/>
  <c r="J16424" i="8"/>
  <c r="J16423" i="8"/>
  <c r="J16422" i="8"/>
  <c r="J16421" i="8"/>
  <c r="J16420" i="8"/>
  <c r="J16419" i="8"/>
  <c r="J16418" i="8"/>
  <c r="J16417" i="8"/>
  <c r="J16416" i="8"/>
  <c r="J16415" i="8"/>
  <c r="I16826" i="8"/>
  <c r="J16825" i="8"/>
  <c r="J16824" i="8"/>
  <c r="J16823" i="8"/>
  <c r="J16822" i="8"/>
  <c r="J16821" i="8"/>
  <c r="J16820" i="8"/>
  <c r="J16819" i="8"/>
  <c r="J16818" i="8"/>
  <c r="J16817" i="8"/>
  <c r="J16816" i="8"/>
  <c r="J16815" i="8"/>
  <c r="J16814" i="8"/>
  <c r="J16813" i="8"/>
  <c r="J16812" i="8"/>
  <c r="J16811" i="8"/>
  <c r="I16807" i="8"/>
  <c r="J16806" i="8"/>
  <c r="J16805" i="8"/>
  <c r="J16804" i="8"/>
  <c r="J16803" i="8"/>
  <c r="J16802" i="8"/>
  <c r="J16801" i="8"/>
  <c r="J16800" i="8"/>
  <c r="J16799" i="8"/>
  <c r="J16798" i="8"/>
  <c r="J16797" i="8"/>
  <c r="J16796" i="8"/>
  <c r="J16795" i="8"/>
  <c r="J16794" i="8"/>
  <c r="J16793" i="8"/>
  <c r="J16792" i="8"/>
  <c r="I16789" i="8"/>
  <c r="J16788" i="8"/>
  <c r="J16787" i="8"/>
  <c r="J16786" i="8"/>
  <c r="J16785" i="8"/>
  <c r="J16784" i="8"/>
  <c r="J16783" i="8"/>
  <c r="J16782" i="8"/>
  <c r="J16781" i="8"/>
  <c r="J16780" i="8"/>
  <c r="J16779" i="8"/>
  <c r="J16778" i="8"/>
  <c r="J16777" i="8"/>
  <c r="J16776" i="8"/>
  <c r="J16775" i="8"/>
  <c r="J16774" i="8"/>
  <c r="J16771" i="8"/>
  <c r="J16770" i="8"/>
  <c r="J16769" i="8"/>
  <c r="J16768" i="8"/>
  <c r="J16767" i="8"/>
  <c r="J16766" i="8"/>
  <c r="J16765" i="8"/>
  <c r="J16764" i="8"/>
  <c r="J16763" i="8"/>
  <c r="J16762" i="8"/>
  <c r="J16761" i="8"/>
  <c r="J16760" i="8"/>
  <c r="J16759" i="8"/>
  <c r="J16758" i="8"/>
  <c r="J16757" i="8"/>
  <c r="J16756" i="8"/>
  <c r="J16755" i="8"/>
  <c r="J16754" i="8"/>
  <c r="J16753" i="8"/>
  <c r="J16752" i="8"/>
  <c r="J16751" i="8"/>
  <c r="J16750" i="8"/>
  <c r="J16749" i="8"/>
  <c r="J16748" i="8"/>
  <c r="J16747" i="8"/>
  <c r="J16746" i="8"/>
  <c r="J16745" i="8"/>
  <c r="J16744" i="8"/>
  <c r="J16743" i="8"/>
  <c r="J16742" i="8"/>
  <c r="J16741" i="8"/>
  <c r="J16740" i="8"/>
  <c r="J16739" i="8"/>
  <c r="J16738" i="8"/>
  <c r="J16737" i="8"/>
  <c r="J16736" i="8"/>
  <c r="J16735" i="8"/>
  <c r="J16734" i="8"/>
  <c r="J16733" i="8"/>
  <c r="J16732" i="8"/>
  <c r="J16731" i="8"/>
  <c r="J16730" i="8"/>
  <c r="J16729" i="8"/>
  <c r="J16728" i="8"/>
  <c r="J16727" i="8"/>
  <c r="J16726" i="8"/>
  <c r="J16725" i="8"/>
  <c r="J16724" i="8"/>
  <c r="J16723" i="8"/>
  <c r="J16722" i="8"/>
  <c r="J16721" i="8"/>
  <c r="J16720" i="8"/>
  <c r="J16719" i="8"/>
  <c r="J16718" i="8"/>
  <c r="J16717" i="8"/>
  <c r="J16716" i="8"/>
  <c r="J16715" i="8"/>
  <c r="J16714" i="8"/>
  <c r="J16713" i="8"/>
  <c r="J16712" i="8"/>
  <c r="I16609" i="8"/>
  <c r="J16608" i="8"/>
  <c r="J16607" i="8"/>
  <c r="J16606" i="8"/>
  <c r="J16605" i="8"/>
  <c r="J16604" i="8"/>
  <c r="J16603" i="8"/>
  <c r="J16602" i="8"/>
  <c r="J16601" i="8"/>
  <c r="J16600" i="8"/>
  <c r="J16599" i="8"/>
  <c r="J16598" i="8"/>
  <c r="J16597" i="8"/>
  <c r="J16596" i="8"/>
  <c r="J16595" i="8"/>
  <c r="J16594" i="8"/>
  <c r="I16591" i="8"/>
  <c r="J16590" i="8"/>
  <c r="J16589" i="8"/>
  <c r="J16588" i="8"/>
  <c r="J16587" i="8"/>
  <c r="J16586" i="8"/>
  <c r="J16585" i="8"/>
  <c r="J16584" i="8"/>
  <c r="J16583" i="8"/>
  <c r="J16582" i="8"/>
  <c r="J16581" i="8"/>
  <c r="J16580" i="8"/>
  <c r="J16579" i="8"/>
  <c r="J16578" i="8"/>
  <c r="J16577" i="8"/>
  <c r="J16576" i="8"/>
  <c r="J16573" i="8"/>
  <c r="J16572" i="8"/>
  <c r="J16571" i="8"/>
  <c r="J16570" i="8"/>
  <c r="J16569" i="8"/>
  <c r="J16568" i="8"/>
  <c r="J16567" i="8"/>
  <c r="J16566" i="8"/>
  <c r="J16565" i="8"/>
  <c r="J16564" i="8"/>
  <c r="J16563" i="8"/>
  <c r="J16562" i="8"/>
  <c r="J16561" i="8"/>
  <c r="J16560" i="8"/>
  <c r="J16559" i="8"/>
  <c r="J16558" i="8"/>
  <c r="J16557" i="8"/>
  <c r="J16556" i="8"/>
  <c r="J16555" i="8"/>
  <c r="J16554" i="8"/>
  <c r="J16553" i="8"/>
  <c r="J16552" i="8"/>
  <c r="J16551" i="8"/>
  <c r="J16550" i="8"/>
  <c r="J16549" i="8"/>
  <c r="J16548" i="8"/>
  <c r="J16547" i="8"/>
  <c r="J16546" i="8"/>
  <c r="J16545" i="8"/>
  <c r="J16544" i="8"/>
  <c r="J16543" i="8"/>
  <c r="J16542" i="8"/>
  <c r="J16541" i="8"/>
  <c r="J16540" i="8"/>
  <c r="J16539" i="8"/>
  <c r="J16538" i="8"/>
  <c r="J16537" i="8"/>
  <c r="J16536" i="8"/>
  <c r="J16535" i="8"/>
  <c r="J16534" i="8"/>
  <c r="J16533" i="8"/>
  <c r="J16532" i="8"/>
  <c r="J16531" i="8"/>
  <c r="J16530" i="8"/>
  <c r="J16529" i="8"/>
  <c r="J16528" i="8"/>
  <c r="J16527" i="8"/>
  <c r="J16526" i="8"/>
  <c r="J16525" i="8"/>
  <c r="J16524" i="8"/>
  <c r="J16523" i="8"/>
  <c r="J16522" i="8"/>
  <c r="J16521" i="8"/>
  <c r="J16520" i="8"/>
  <c r="J16519" i="8"/>
  <c r="J16518" i="8"/>
  <c r="J16517" i="8"/>
  <c r="J16516" i="8"/>
  <c r="J16515" i="8"/>
  <c r="J16514" i="8"/>
  <c r="I16411" i="8"/>
  <c r="J16410" i="8"/>
  <c r="J16409" i="8"/>
  <c r="J16408" i="8"/>
  <c r="J16407" i="8"/>
  <c r="J16406" i="8"/>
  <c r="J16405" i="8"/>
  <c r="J16404" i="8"/>
  <c r="J16403" i="8"/>
  <c r="J16402" i="8"/>
  <c r="J16401" i="8"/>
  <c r="J16400" i="8"/>
  <c r="J16399" i="8"/>
  <c r="J16398" i="8"/>
  <c r="J16397" i="8"/>
  <c r="J16396" i="8"/>
  <c r="J16392" i="8"/>
  <c r="J16391" i="8"/>
  <c r="J16390" i="8"/>
  <c r="J16389" i="8"/>
  <c r="J16388" i="8"/>
  <c r="J16387" i="8"/>
  <c r="J16386" i="8"/>
  <c r="J16385" i="8"/>
  <c r="J16384" i="8"/>
  <c r="J16383" i="8"/>
  <c r="J16382" i="8"/>
  <c r="J16381" i="8"/>
  <c r="J16380" i="8"/>
  <c r="J16379" i="8"/>
  <c r="J16378" i="8"/>
  <c r="J16375" i="8"/>
  <c r="J16374" i="8"/>
  <c r="J16373" i="8"/>
  <c r="J16372" i="8"/>
  <c r="J16371" i="8"/>
  <c r="J16370" i="8"/>
  <c r="J16369" i="8"/>
  <c r="J16368" i="8"/>
  <c r="J16367" i="8"/>
  <c r="J16366" i="8"/>
  <c r="J16365" i="8"/>
  <c r="J16364" i="8"/>
  <c r="J16363" i="8"/>
  <c r="J16362" i="8"/>
  <c r="J16361" i="8"/>
  <c r="J16360" i="8"/>
  <c r="J16359" i="8"/>
  <c r="J16358" i="8"/>
  <c r="J16357" i="8"/>
  <c r="J16356" i="8"/>
  <c r="J16355" i="8"/>
  <c r="J16354" i="8"/>
  <c r="J16353" i="8"/>
  <c r="J16352" i="8"/>
  <c r="J16351" i="8"/>
  <c r="J16350" i="8"/>
  <c r="J16349" i="8"/>
  <c r="J16348" i="8"/>
  <c r="J16347" i="8"/>
  <c r="J16346" i="8"/>
  <c r="J16345" i="8"/>
  <c r="J16344" i="8"/>
  <c r="J16343" i="8"/>
  <c r="J16342" i="8"/>
  <c r="J16341" i="8"/>
  <c r="J16340" i="8"/>
  <c r="J16339" i="8"/>
  <c r="J16338" i="8"/>
  <c r="J16337" i="8"/>
  <c r="J16336" i="8"/>
  <c r="J16335" i="8"/>
  <c r="J16334" i="8"/>
  <c r="J16333" i="8"/>
  <c r="J16332" i="8"/>
  <c r="J16331" i="8"/>
  <c r="J16330" i="8"/>
  <c r="J16329" i="8"/>
  <c r="J16328" i="8"/>
  <c r="J16327" i="8"/>
  <c r="J16326" i="8"/>
  <c r="J16325" i="8"/>
  <c r="J16324" i="8"/>
  <c r="J16323" i="8"/>
  <c r="J16322" i="8"/>
  <c r="J16321" i="8"/>
  <c r="J16320" i="8"/>
  <c r="J16319" i="8"/>
  <c r="J16318" i="8"/>
  <c r="J16317" i="8"/>
  <c r="J16316" i="8"/>
  <c r="I13506" i="8"/>
  <c r="J13505" i="8"/>
  <c r="J13504" i="8"/>
  <c r="J13503" i="8"/>
  <c r="J13502" i="8"/>
  <c r="J13501" i="8"/>
  <c r="J13500" i="8"/>
  <c r="J13499" i="8"/>
  <c r="J13498" i="8"/>
  <c r="J13497" i="8"/>
  <c r="J13496" i="8"/>
  <c r="J13495" i="8"/>
  <c r="J13494" i="8"/>
  <c r="J13493" i="8"/>
  <c r="J13492" i="8"/>
  <c r="J13491" i="8"/>
  <c r="J13490" i="8"/>
  <c r="I13487" i="8"/>
  <c r="J13486" i="8"/>
  <c r="J13485" i="8"/>
  <c r="J13484" i="8"/>
  <c r="J13483" i="8"/>
  <c r="J13482" i="8"/>
  <c r="J13481" i="8"/>
  <c r="J13480" i="8"/>
  <c r="J13479" i="8"/>
  <c r="J13478" i="8"/>
  <c r="J13477" i="8"/>
  <c r="J13476" i="8"/>
  <c r="J13475" i="8"/>
  <c r="J13474" i="8"/>
  <c r="J13473" i="8"/>
  <c r="J13472" i="8"/>
  <c r="J13471" i="8"/>
  <c r="J13467" i="8"/>
  <c r="J13466" i="8"/>
  <c r="J13465" i="8"/>
  <c r="J13464" i="8"/>
  <c r="J13463" i="8"/>
  <c r="J13462" i="8"/>
  <c r="J13461" i="8"/>
  <c r="J13460" i="8"/>
  <c r="J13459" i="8"/>
  <c r="J13458" i="8"/>
  <c r="J13457" i="8"/>
  <c r="J13456" i="8"/>
  <c r="J13455" i="8"/>
  <c r="J13454" i="8"/>
  <c r="J13453" i="8"/>
  <c r="J13452" i="8"/>
  <c r="J13449" i="8"/>
  <c r="J13448" i="8"/>
  <c r="J13447" i="8"/>
  <c r="J13446" i="8"/>
  <c r="J13445" i="8"/>
  <c r="J13444" i="8"/>
  <c r="J13443" i="8"/>
  <c r="J13442" i="8"/>
  <c r="J13441" i="8"/>
  <c r="J13440" i="8"/>
  <c r="J13439" i="8"/>
  <c r="J13438" i="8"/>
  <c r="J13437" i="8"/>
  <c r="J13436" i="8"/>
  <c r="J13435" i="8"/>
  <c r="J13434" i="8"/>
  <c r="J13432" i="8"/>
  <c r="J13431" i="8"/>
  <c r="J13430" i="8"/>
  <c r="J13429" i="8"/>
  <c r="J13428" i="8"/>
  <c r="J13427" i="8"/>
  <c r="J13426" i="8"/>
  <c r="J13425" i="8"/>
  <c r="J13424" i="8"/>
  <c r="J13423" i="8"/>
  <c r="J13422" i="8"/>
  <c r="J13421" i="8"/>
  <c r="J13420" i="8"/>
  <c r="J13419" i="8"/>
  <c r="J13418" i="8"/>
  <c r="J13417" i="8"/>
  <c r="J13416" i="8"/>
  <c r="J13415" i="8"/>
  <c r="J13414" i="8"/>
  <c r="J13413" i="8"/>
  <c r="J13412" i="8"/>
  <c r="J13411" i="8"/>
  <c r="J13410" i="8"/>
  <c r="J13409" i="8"/>
  <c r="J13408" i="8"/>
  <c r="J13407" i="8"/>
  <c r="J13406" i="8"/>
  <c r="J13405" i="8"/>
  <c r="J13404" i="8"/>
  <c r="J13403" i="8"/>
  <c r="J13402" i="8"/>
  <c r="J13401" i="8"/>
  <c r="J13400" i="8"/>
  <c r="J13399" i="8"/>
  <c r="J13398" i="8"/>
  <c r="J13397" i="8"/>
  <c r="J13396" i="8"/>
  <c r="J13395" i="8"/>
  <c r="J13394" i="8"/>
  <c r="J13393" i="8"/>
  <c r="J13392" i="8"/>
  <c r="J13391" i="8"/>
  <c r="J13390" i="8"/>
  <c r="J13389" i="8"/>
  <c r="J13388" i="8"/>
  <c r="J13387" i="8"/>
  <c r="J13386" i="8"/>
  <c r="J13385" i="8"/>
  <c r="J13384" i="8"/>
  <c r="J13383" i="8"/>
  <c r="J13382" i="8"/>
  <c r="J13381" i="8"/>
  <c r="J13380" i="8"/>
  <c r="J13379" i="8"/>
  <c r="J13378" i="8"/>
  <c r="J13377" i="8"/>
  <c r="J13376" i="8"/>
  <c r="J13375" i="8"/>
  <c r="J13374" i="8"/>
  <c r="J13373" i="8"/>
  <c r="I13369" i="8"/>
  <c r="J13368" i="8"/>
  <c r="J13367" i="8"/>
  <c r="J13366" i="8"/>
  <c r="J13365" i="8"/>
  <c r="J13364" i="8"/>
  <c r="J13363" i="8"/>
  <c r="J13362" i="8"/>
  <c r="J13361" i="8"/>
  <c r="J13360" i="8"/>
  <c r="J13359" i="8"/>
  <c r="J13358" i="8"/>
  <c r="J13357" i="8"/>
  <c r="J13356" i="8"/>
  <c r="J13355" i="8"/>
  <c r="J13354" i="8"/>
  <c r="J13350" i="8"/>
  <c r="J13349" i="8"/>
  <c r="J13348" i="8"/>
  <c r="J13347" i="8"/>
  <c r="J13346" i="8"/>
  <c r="J13345" i="8"/>
  <c r="J13344" i="8"/>
  <c r="J13343" i="8"/>
  <c r="J13342" i="8"/>
  <c r="J13341" i="8"/>
  <c r="J13340" i="8"/>
  <c r="J13339" i="8"/>
  <c r="J13338" i="8"/>
  <c r="J13337" i="8"/>
  <c r="J13336" i="8"/>
  <c r="J13333" i="8"/>
  <c r="J13332" i="8"/>
  <c r="J13331" i="8"/>
  <c r="J13330" i="8"/>
  <c r="J13329" i="8"/>
  <c r="J13328" i="8"/>
  <c r="J13327" i="8"/>
  <c r="J13326" i="8"/>
  <c r="J13325" i="8"/>
  <c r="J13324" i="8"/>
  <c r="J13323" i="8"/>
  <c r="J13322" i="8"/>
  <c r="J13321" i="8"/>
  <c r="J13320" i="8"/>
  <c r="J13319" i="8"/>
  <c r="J13318" i="8"/>
  <c r="J13317" i="8"/>
  <c r="J13316" i="8"/>
  <c r="J13315" i="8"/>
  <c r="J13314" i="8"/>
  <c r="J13313" i="8"/>
  <c r="J13312" i="8"/>
  <c r="J13311" i="8"/>
  <c r="J13310" i="8"/>
  <c r="J13309" i="8"/>
  <c r="J13308" i="8"/>
  <c r="J13307" i="8"/>
  <c r="J13306" i="8"/>
  <c r="J13305" i="8"/>
  <c r="J13304" i="8"/>
  <c r="J13303" i="8"/>
  <c r="J13302" i="8"/>
  <c r="J13301" i="8"/>
  <c r="J13300" i="8"/>
  <c r="J13299" i="8"/>
  <c r="J13298" i="8"/>
  <c r="J13297" i="8"/>
  <c r="J13296" i="8"/>
  <c r="J13295" i="8"/>
  <c r="J13294" i="8"/>
  <c r="J13293" i="8"/>
  <c r="J13292" i="8"/>
  <c r="J13291" i="8"/>
  <c r="J13290" i="8"/>
  <c r="J13289" i="8"/>
  <c r="J13288" i="8"/>
  <c r="J13287" i="8"/>
  <c r="J13286" i="8"/>
  <c r="J13285" i="8"/>
  <c r="J13284" i="8"/>
  <c r="J13283" i="8"/>
  <c r="J13282" i="8"/>
  <c r="J13281" i="8"/>
  <c r="J13280" i="8"/>
  <c r="J13279" i="8"/>
  <c r="J13278" i="8"/>
  <c r="J13277" i="8"/>
  <c r="J13276" i="8"/>
  <c r="J13275" i="8"/>
  <c r="J13274" i="8"/>
  <c r="I13268" i="8"/>
  <c r="J13267" i="8"/>
  <c r="J13266" i="8"/>
  <c r="J13265" i="8"/>
  <c r="J13264" i="8"/>
  <c r="J13263" i="8"/>
  <c r="J13262" i="8"/>
  <c r="J13261" i="8"/>
  <c r="J13260" i="8"/>
  <c r="J13259" i="8"/>
  <c r="J13258" i="8"/>
  <c r="J13257" i="8"/>
  <c r="J13256" i="8"/>
  <c r="J13255" i="8"/>
  <c r="J13254" i="8"/>
  <c r="J13253" i="8"/>
  <c r="I13249" i="8"/>
  <c r="J13248" i="8"/>
  <c r="J13247" i="8"/>
  <c r="J13246" i="8"/>
  <c r="J13245" i="8"/>
  <c r="J13244" i="8"/>
  <c r="J13243" i="8"/>
  <c r="J13242" i="8"/>
  <c r="J13241" i="8"/>
  <c r="J13240" i="8"/>
  <c r="J13239" i="8"/>
  <c r="J13238" i="8"/>
  <c r="J13237" i="8"/>
  <c r="J13236" i="8"/>
  <c r="J13235" i="8"/>
  <c r="J13234" i="8"/>
  <c r="J13229" i="8"/>
  <c r="J13228" i="8"/>
  <c r="J13227" i="8"/>
  <c r="J13226" i="8"/>
  <c r="J13225" i="8"/>
  <c r="J13224" i="8"/>
  <c r="J13223" i="8"/>
  <c r="J13222" i="8"/>
  <c r="J13221" i="8"/>
  <c r="J13220" i="8"/>
  <c r="J13219" i="8"/>
  <c r="J13218" i="8"/>
  <c r="J13217" i="8"/>
  <c r="J13216" i="8"/>
  <c r="J13215" i="8"/>
  <c r="J13214" i="8"/>
  <c r="J13211" i="8"/>
  <c r="J13210" i="8"/>
  <c r="J13209" i="8"/>
  <c r="J13208" i="8"/>
  <c r="J13207" i="8"/>
  <c r="J13206" i="8"/>
  <c r="J13205" i="8"/>
  <c r="J13204" i="8"/>
  <c r="J13203" i="8"/>
  <c r="J13202" i="8"/>
  <c r="J13201" i="8"/>
  <c r="J13200" i="8"/>
  <c r="J13199" i="8"/>
  <c r="J13198" i="8"/>
  <c r="J13197" i="8"/>
  <c r="J13196" i="8"/>
  <c r="J13194" i="8"/>
  <c r="J13193" i="8"/>
  <c r="J13192" i="8"/>
  <c r="J13191" i="8"/>
  <c r="J13190" i="8"/>
  <c r="J13189" i="8"/>
  <c r="J13188" i="8"/>
  <c r="J13187" i="8"/>
  <c r="J13186" i="8"/>
  <c r="J13185" i="8"/>
  <c r="J13184" i="8"/>
  <c r="J13183" i="8"/>
  <c r="J13182" i="8"/>
  <c r="J13181" i="8"/>
  <c r="J13180" i="8"/>
  <c r="J13179" i="8"/>
  <c r="J13178" i="8"/>
  <c r="J13177" i="8"/>
  <c r="J13176" i="8"/>
  <c r="J13175" i="8"/>
  <c r="J13174" i="8"/>
  <c r="J13173" i="8"/>
  <c r="J13172" i="8"/>
  <c r="J13171" i="8"/>
  <c r="J13170" i="8"/>
  <c r="J13169" i="8"/>
  <c r="J13168" i="8"/>
  <c r="J13167" i="8"/>
  <c r="J13166" i="8"/>
  <c r="J13165" i="8"/>
  <c r="J13164" i="8"/>
  <c r="J13163" i="8"/>
  <c r="J13162" i="8"/>
  <c r="J13161" i="8"/>
  <c r="J13160" i="8"/>
  <c r="J13159" i="8"/>
  <c r="J13158" i="8"/>
  <c r="J13157" i="8"/>
  <c r="J13156" i="8"/>
  <c r="J13155" i="8"/>
  <c r="J13154" i="8"/>
  <c r="J13153" i="8"/>
  <c r="J13152" i="8"/>
  <c r="J13151" i="8"/>
  <c r="J13150" i="8"/>
  <c r="J13149" i="8"/>
  <c r="J13148" i="8"/>
  <c r="J13147" i="8"/>
  <c r="J13146" i="8"/>
  <c r="J13145" i="8"/>
  <c r="J13144" i="8"/>
  <c r="J13143" i="8"/>
  <c r="J13142" i="8"/>
  <c r="J13141" i="8"/>
  <c r="J13140" i="8"/>
  <c r="J13139" i="8"/>
  <c r="J13138" i="8"/>
  <c r="J13137" i="8"/>
  <c r="J13136" i="8"/>
  <c r="J13135" i="8"/>
  <c r="I13131" i="8"/>
  <c r="J13130" i="8"/>
  <c r="J13129" i="8"/>
  <c r="J13128" i="8"/>
  <c r="J13127" i="8"/>
  <c r="J13126" i="8"/>
  <c r="J13125" i="8"/>
  <c r="J13124" i="8"/>
  <c r="J13123" i="8"/>
  <c r="J13122" i="8"/>
  <c r="J13121" i="8"/>
  <c r="J13120" i="8"/>
  <c r="J13119" i="8"/>
  <c r="J13118" i="8"/>
  <c r="J13117" i="8"/>
  <c r="J13116" i="8"/>
  <c r="I13113" i="8"/>
  <c r="J13112" i="8"/>
  <c r="J13111" i="8"/>
  <c r="J13110" i="8"/>
  <c r="J13109" i="8"/>
  <c r="J13108" i="8"/>
  <c r="J13107" i="8"/>
  <c r="J13106" i="8"/>
  <c r="J13105" i="8"/>
  <c r="J13104" i="8"/>
  <c r="J13103" i="8"/>
  <c r="J13102" i="8"/>
  <c r="J13101" i="8"/>
  <c r="J13100" i="8"/>
  <c r="J13099" i="8"/>
  <c r="J13098" i="8"/>
  <c r="J13095" i="8"/>
  <c r="J13094" i="8"/>
  <c r="J13093" i="8"/>
  <c r="J13092" i="8"/>
  <c r="J13091" i="8"/>
  <c r="J13090" i="8"/>
  <c r="J13089" i="8"/>
  <c r="J13088" i="8"/>
  <c r="J13087" i="8"/>
  <c r="J13086" i="8"/>
  <c r="J13085" i="8"/>
  <c r="J13084" i="8"/>
  <c r="J13083" i="8"/>
  <c r="J13082" i="8"/>
  <c r="J13081" i="8"/>
  <c r="J13080" i="8"/>
  <c r="J13079" i="8"/>
  <c r="J13078" i="8"/>
  <c r="J13077" i="8"/>
  <c r="J13076" i="8"/>
  <c r="J13075" i="8"/>
  <c r="J13074" i="8"/>
  <c r="J13073" i="8"/>
  <c r="J13072" i="8"/>
  <c r="J13071" i="8"/>
  <c r="J13070" i="8"/>
  <c r="J13069" i="8"/>
  <c r="J13068" i="8"/>
  <c r="J13067" i="8"/>
  <c r="J13066" i="8"/>
  <c r="J13065" i="8"/>
  <c r="J13064" i="8"/>
  <c r="J13063" i="8"/>
  <c r="J13062" i="8"/>
  <c r="J13061" i="8"/>
  <c r="J13060" i="8"/>
  <c r="J13059" i="8"/>
  <c r="J13058" i="8"/>
  <c r="J13057" i="8"/>
  <c r="J13056" i="8"/>
  <c r="J13055" i="8"/>
  <c r="J13054" i="8"/>
  <c r="J13053" i="8"/>
  <c r="J13052" i="8"/>
  <c r="J13051" i="8"/>
  <c r="J13050" i="8"/>
  <c r="J13049" i="8"/>
  <c r="J13048" i="8"/>
  <c r="J13047" i="8"/>
  <c r="J13046" i="8"/>
  <c r="J13045" i="8"/>
  <c r="J13044" i="8"/>
  <c r="J13043" i="8"/>
  <c r="J13042" i="8"/>
  <c r="J13041" i="8"/>
  <c r="J13040" i="8"/>
  <c r="J13039" i="8"/>
  <c r="J13038" i="8"/>
  <c r="J13037" i="8"/>
  <c r="J13036" i="8"/>
  <c r="J13029" i="8"/>
  <c r="J13028" i="8"/>
  <c r="J13027" i="8"/>
  <c r="J13026" i="8"/>
  <c r="J13025" i="8"/>
  <c r="J13024" i="8"/>
  <c r="J13023" i="8"/>
  <c r="J13022" i="8"/>
  <c r="J13021" i="8"/>
  <c r="J13020" i="8"/>
  <c r="J13019" i="8"/>
  <c r="J13018" i="8"/>
  <c r="J13017" i="8"/>
  <c r="J13016" i="8"/>
  <c r="J13015" i="8"/>
  <c r="J13014" i="8"/>
  <c r="J13010" i="8"/>
  <c r="J13009" i="8"/>
  <c r="J13008" i="8"/>
  <c r="J13007" i="8"/>
  <c r="J13006" i="8"/>
  <c r="J13005" i="8"/>
  <c r="J13004" i="8"/>
  <c r="J13003" i="8"/>
  <c r="J13002" i="8"/>
  <c r="J13001" i="8"/>
  <c r="J13000" i="8"/>
  <c r="J12999" i="8"/>
  <c r="J12998" i="8"/>
  <c r="J12997" i="8"/>
  <c r="J12996" i="8"/>
  <c r="J12995" i="8"/>
  <c r="J12297" i="8"/>
  <c r="J12296" i="8"/>
  <c r="J12295" i="8"/>
  <c r="J12294" i="8"/>
  <c r="J12293" i="8"/>
  <c r="J12292" i="8"/>
  <c r="J12291" i="8"/>
  <c r="J12290" i="8"/>
  <c r="J12289" i="8"/>
  <c r="J12288" i="8"/>
  <c r="J12287" i="8"/>
  <c r="J12286" i="8"/>
  <c r="J12285" i="8"/>
  <c r="J12284" i="8"/>
  <c r="J12283" i="8"/>
  <c r="J12282" i="8"/>
  <c r="H12280" i="8"/>
  <c r="J12279" i="8"/>
  <c r="J12278" i="8"/>
  <c r="J12277" i="8"/>
  <c r="J12276" i="8"/>
  <c r="J12275" i="8"/>
  <c r="J12274" i="8"/>
  <c r="J12273" i="8"/>
  <c r="J12272" i="8"/>
  <c r="J12271" i="8"/>
  <c r="J12270" i="8"/>
  <c r="J12269" i="8"/>
  <c r="J12268" i="8"/>
  <c r="J12267" i="8"/>
  <c r="J12266" i="8"/>
  <c r="J12265" i="8"/>
  <c r="J12264" i="8"/>
  <c r="J12262" i="8"/>
  <c r="J12261" i="8"/>
  <c r="J12260" i="8"/>
  <c r="J12259" i="8"/>
  <c r="J12258" i="8"/>
  <c r="J12257" i="8"/>
  <c r="J12256" i="8"/>
  <c r="J12255" i="8"/>
  <c r="J12254" i="8"/>
  <c r="J12253" i="8"/>
  <c r="J12252" i="8"/>
  <c r="J12251" i="8"/>
  <c r="J12250" i="8"/>
  <c r="J12249" i="8"/>
  <c r="J12248" i="8"/>
  <c r="J12247" i="8"/>
  <c r="J12246" i="8"/>
  <c r="J12245" i="8"/>
  <c r="J12244" i="8"/>
  <c r="J12243" i="8"/>
  <c r="J12242" i="8"/>
  <c r="J12241" i="8"/>
  <c r="J12240" i="8"/>
  <c r="J12239" i="8"/>
  <c r="J12238" i="8"/>
  <c r="J12237" i="8"/>
  <c r="J12236" i="8"/>
  <c r="J12235" i="8"/>
  <c r="J12234" i="8"/>
  <c r="J12233" i="8"/>
  <c r="J12232" i="8"/>
  <c r="J12231" i="8"/>
  <c r="J12230" i="8"/>
  <c r="J12229" i="8"/>
  <c r="J12228" i="8"/>
  <c r="J12227" i="8"/>
  <c r="J12226" i="8"/>
  <c r="J12225" i="8"/>
  <c r="J12224" i="8"/>
  <c r="J12223" i="8"/>
  <c r="J12222" i="8"/>
  <c r="J12221" i="8"/>
  <c r="J12220" i="8"/>
  <c r="J12219" i="8"/>
  <c r="J12218" i="8"/>
  <c r="J12217" i="8"/>
  <c r="J12216" i="8"/>
  <c r="J12215" i="8"/>
  <c r="J12214" i="8"/>
  <c r="J12213" i="8"/>
  <c r="J12212" i="8"/>
  <c r="J12211" i="8"/>
  <c r="J12210" i="8"/>
  <c r="J12209" i="8"/>
  <c r="J12208" i="8"/>
  <c r="J12207" i="8"/>
  <c r="J12206" i="8"/>
  <c r="J12205" i="8"/>
  <c r="J12204" i="8"/>
  <c r="J12203" i="8"/>
  <c r="J12198" i="8"/>
  <c r="J12197" i="8"/>
  <c r="J12196" i="8"/>
  <c r="J12195" i="8"/>
  <c r="J12194" i="8"/>
  <c r="J12193" i="8"/>
  <c r="J12192" i="8"/>
  <c r="J12191" i="8"/>
  <c r="J12190" i="8"/>
  <c r="J12189" i="8"/>
  <c r="J12188" i="8"/>
  <c r="J12187" i="8"/>
  <c r="J12186" i="8"/>
  <c r="J12185" i="8"/>
  <c r="J12184" i="8"/>
  <c r="I12181" i="8"/>
  <c r="J12180" i="8"/>
  <c r="J12179" i="8"/>
  <c r="J12178" i="8"/>
  <c r="J12177" i="8"/>
  <c r="J12176" i="8"/>
  <c r="J12175" i="8"/>
  <c r="J12174" i="8"/>
  <c r="J12173" i="8"/>
  <c r="J12172" i="8"/>
  <c r="J12171" i="8"/>
  <c r="J12170" i="8"/>
  <c r="J12169" i="8"/>
  <c r="J12168" i="8"/>
  <c r="J12167" i="8"/>
  <c r="J12166" i="8"/>
  <c r="J12163" i="8"/>
  <c r="J12162" i="8"/>
  <c r="J12161" i="8"/>
  <c r="J12160" i="8"/>
  <c r="J12159" i="8"/>
  <c r="J12158" i="8"/>
  <c r="J12157" i="8"/>
  <c r="J12156" i="8"/>
  <c r="J12155" i="8"/>
  <c r="J12154" i="8"/>
  <c r="J12153" i="8"/>
  <c r="J12152" i="8"/>
  <c r="J12151" i="8"/>
  <c r="J12150" i="8"/>
  <c r="J12149" i="8"/>
  <c r="J12148" i="8"/>
  <c r="J12147" i="8"/>
  <c r="J12146" i="8"/>
  <c r="J12145" i="8"/>
  <c r="J12144" i="8"/>
  <c r="J12143" i="8"/>
  <c r="J12142" i="8"/>
  <c r="J12141" i="8"/>
  <c r="J12140" i="8"/>
  <c r="J12139" i="8"/>
  <c r="J12138" i="8"/>
  <c r="J12137" i="8"/>
  <c r="J12136" i="8"/>
  <c r="J12135" i="8"/>
  <c r="J12134" i="8"/>
  <c r="J12133" i="8"/>
  <c r="J12132" i="8"/>
  <c r="J12131" i="8"/>
  <c r="J12130" i="8"/>
  <c r="J12129" i="8"/>
  <c r="J12128" i="8"/>
  <c r="J12127" i="8"/>
  <c r="J12126" i="8"/>
  <c r="J12125" i="8"/>
  <c r="J12124" i="8"/>
  <c r="J12123" i="8"/>
  <c r="J12122" i="8"/>
  <c r="J12121" i="8"/>
  <c r="J12120" i="8"/>
  <c r="J12119" i="8"/>
  <c r="J12118" i="8"/>
  <c r="J12117" i="8"/>
  <c r="J12116" i="8"/>
  <c r="J12115" i="8"/>
  <c r="J12114" i="8"/>
  <c r="J12113" i="8"/>
  <c r="J12112" i="8"/>
  <c r="J12111" i="8"/>
  <c r="J12110" i="8"/>
  <c r="J12109" i="8"/>
  <c r="J12108" i="8"/>
  <c r="J12107" i="8"/>
  <c r="J12106" i="8"/>
  <c r="J12105" i="8"/>
  <c r="J12104" i="8"/>
  <c r="I12098" i="8"/>
  <c r="H12098" i="8"/>
  <c r="J12097" i="8"/>
  <c r="J12096" i="8"/>
  <c r="J12095" i="8"/>
  <c r="J12094" i="8"/>
  <c r="J12093" i="8"/>
  <c r="J12092" i="8"/>
  <c r="J12091" i="8"/>
  <c r="J12090" i="8"/>
  <c r="J12089" i="8"/>
  <c r="J12088" i="8"/>
  <c r="J12087" i="8"/>
  <c r="J12086" i="8"/>
  <c r="J12085" i="8"/>
  <c r="J12084" i="8"/>
  <c r="J12083" i="8"/>
  <c r="J12082" i="8"/>
  <c r="I12079" i="8"/>
  <c r="H12079" i="8"/>
  <c r="J12078" i="8"/>
  <c r="J12077" i="8"/>
  <c r="J12076" i="8"/>
  <c r="J12075" i="8"/>
  <c r="J12074" i="8"/>
  <c r="J12073" i="8"/>
  <c r="J12072" i="8"/>
  <c r="J12071" i="8"/>
  <c r="J12070" i="8"/>
  <c r="J12069" i="8"/>
  <c r="J12068" i="8"/>
  <c r="J12067" i="8"/>
  <c r="J12066" i="8"/>
  <c r="J12065" i="8"/>
  <c r="J12064" i="8"/>
  <c r="J12063" i="8"/>
  <c r="J12059" i="8"/>
  <c r="J12058" i="8"/>
  <c r="J12057" i="8"/>
  <c r="J12056" i="8"/>
  <c r="J12055" i="8"/>
  <c r="J12054" i="8"/>
  <c r="J12053" i="8"/>
  <c r="J12052" i="8"/>
  <c r="J12051" i="8"/>
  <c r="J12050" i="8"/>
  <c r="J12049" i="8"/>
  <c r="J12048" i="8"/>
  <c r="J12047" i="8"/>
  <c r="J12046" i="8"/>
  <c r="J12045" i="8"/>
  <c r="J12044" i="8"/>
  <c r="J12041" i="8"/>
  <c r="J12040" i="8"/>
  <c r="J12039" i="8"/>
  <c r="J12038" i="8"/>
  <c r="J12037" i="8"/>
  <c r="J12036" i="8"/>
  <c r="J12035" i="8"/>
  <c r="J12034" i="8"/>
  <c r="J12033" i="8"/>
  <c r="J12032" i="8"/>
  <c r="J12031" i="8"/>
  <c r="J12030" i="8"/>
  <c r="J12029" i="8"/>
  <c r="J12028" i="8"/>
  <c r="J12027" i="8"/>
  <c r="J12026" i="8"/>
  <c r="J12024" i="8"/>
  <c r="J12023" i="8"/>
  <c r="J12022" i="8"/>
  <c r="J12021" i="8"/>
  <c r="J12020" i="8"/>
  <c r="J12019" i="8"/>
  <c r="J12018" i="8"/>
  <c r="J12017" i="8"/>
  <c r="J12016" i="8"/>
  <c r="J12015" i="8"/>
  <c r="J12014" i="8"/>
  <c r="J12013" i="8"/>
  <c r="J12012" i="8"/>
  <c r="J12011" i="8"/>
  <c r="J12010" i="8"/>
  <c r="J12009" i="8"/>
  <c r="J12008" i="8"/>
  <c r="J12007" i="8"/>
  <c r="J12006" i="8"/>
  <c r="J12005" i="8"/>
  <c r="J12004" i="8"/>
  <c r="J12003" i="8"/>
  <c r="J12002" i="8"/>
  <c r="J12001" i="8"/>
  <c r="J12000" i="8"/>
  <c r="J11999" i="8"/>
  <c r="J11998" i="8"/>
  <c r="J11997" i="8"/>
  <c r="J11996" i="8"/>
  <c r="J11995" i="8"/>
  <c r="J11994" i="8"/>
  <c r="J11993" i="8"/>
  <c r="J11992" i="8"/>
  <c r="J11991" i="8"/>
  <c r="J11990" i="8"/>
  <c r="J11989" i="8"/>
  <c r="J11988" i="8"/>
  <c r="J11987" i="8"/>
  <c r="J11986" i="8"/>
  <c r="J11985" i="8"/>
  <c r="J11984" i="8"/>
  <c r="J11983" i="8"/>
  <c r="J11982" i="8"/>
  <c r="J11981" i="8"/>
  <c r="J11980" i="8"/>
  <c r="J11979" i="8"/>
  <c r="J11978" i="8"/>
  <c r="J11977" i="8"/>
  <c r="J11976" i="8"/>
  <c r="J11975" i="8"/>
  <c r="J11974" i="8"/>
  <c r="J11973" i="8"/>
  <c r="J11972" i="8"/>
  <c r="J11971" i="8"/>
  <c r="J11970" i="8"/>
  <c r="J11969" i="8"/>
  <c r="J11968" i="8"/>
  <c r="J11967" i="8"/>
  <c r="J11966" i="8"/>
  <c r="J11965" i="8"/>
  <c r="I11961" i="8"/>
  <c r="J11960" i="8"/>
  <c r="J11959" i="8"/>
  <c r="J11958" i="8"/>
  <c r="J11957" i="8"/>
  <c r="J11956" i="8"/>
  <c r="J11955" i="8"/>
  <c r="J11954" i="8"/>
  <c r="J11953" i="8"/>
  <c r="J11952" i="8"/>
  <c r="J11951" i="8"/>
  <c r="J11950" i="8"/>
  <c r="J11949" i="8"/>
  <c r="J11948" i="8"/>
  <c r="J11947" i="8"/>
  <c r="J11946" i="8"/>
  <c r="I11943" i="8"/>
  <c r="J11942" i="8"/>
  <c r="J11941" i="8"/>
  <c r="J11940" i="8"/>
  <c r="J11939" i="8"/>
  <c r="J11938" i="8"/>
  <c r="J11937" i="8"/>
  <c r="J11936" i="8"/>
  <c r="J11935" i="8"/>
  <c r="J11934" i="8"/>
  <c r="J11933" i="8"/>
  <c r="J11932" i="8"/>
  <c r="J11931" i="8"/>
  <c r="J11930" i="8"/>
  <c r="J11929" i="8"/>
  <c r="J11928" i="8"/>
  <c r="J11925" i="8"/>
  <c r="J11924" i="8"/>
  <c r="J11923" i="8"/>
  <c r="J11922" i="8"/>
  <c r="J11921" i="8"/>
  <c r="J11920" i="8"/>
  <c r="J11919" i="8"/>
  <c r="J11918" i="8"/>
  <c r="J11917" i="8"/>
  <c r="J11916" i="8"/>
  <c r="J11915" i="8"/>
  <c r="J11914" i="8"/>
  <c r="J11913" i="8"/>
  <c r="J11912" i="8"/>
  <c r="J11911" i="8"/>
  <c r="J11910" i="8"/>
  <c r="J11909" i="8"/>
  <c r="J11908" i="8"/>
  <c r="J11907" i="8"/>
  <c r="J11906" i="8"/>
  <c r="J11905" i="8"/>
  <c r="J11904" i="8"/>
  <c r="J11903" i="8"/>
  <c r="J11902" i="8"/>
  <c r="J11901" i="8"/>
  <c r="J11900" i="8"/>
  <c r="J11899" i="8"/>
  <c r="J11898" i="8"/>
  <c r="J11897" i="8"/>
  <c r="J11896" i="8"/>
  <c r="J11895" i="8"/>
  <c r="J11894" i="8"/>
  <c r="J11893" i="8"/>
  <c r="J11892" i="8"/>
  <c r="J11891" i="8"/>
  <c r="J11890" i="8"/>
  <c r="J11889" i="8"/>
  <c r="J11888" i="8"/>
  <c r="J11887" i="8"/>
  <c r="J11886" i="8"/>
  <c r="J11885" i="8"/>
  <c r="J11884" i="8"/>
  <c r="J11883" i="8"/>
  <c r="J11882" i="8"/>
  <c r="J11881" i="8"/>
  <c r="J11880" i="8"/>
  <c r="J11879" i="8"/>
  <c r="J11878" i="8"/>
  <c r="J11877" i="8"/>
  <c r="J11876" i="8"/>
  <c r="J11875" i="8"/>
  <c r="J11874" i="8"/>
  <c r="J11873" i="8"/>
  <c r="J11872" i="8"/>
  <c r="J11871" i="8"/>
  <c r="J11870" i="8"/>
  <c r="J11869" i="8"/>
  <c r="J11868" i="8"/>
  <c r="J11867" i="8"/>
  <c r="J11866" i="8"/>
  <c r="J11859" i="8"/>
  <c r="J11858" i="8"/>
  <c r="J11857" i="8"/>
  <c r="J11856" i="8"/>
  <c r="J11855" i="8"/>
  <c r="J11854" i="8"/>
  <c r="J11853" i="8"/>
  <c r="J11852" i="8"/>
  <c r="J11851" i="8"/>
  <c r="J11850" i="8"/>
  <c r="J11849" i="8"/>
  <c r="J11848" i="8"/>
  <c r="J11847" i="8"/>
  <c r="J11846" i="8"/>
  <c r="J11845" i="8"/>
  <c r="J11844" i="8"/>
  <c r="J11840" i="8"/>
  <c r="J11839" i="8"/>
  <c r="J11838" i="8"/>
  <c r="J11837" i="8"/>
  <c r="J11836" i="8"/>
  <c r="J11835" i="8"/>
  <c r="J11834" i="8"/>
  <c r="J11833" i="8"/>
  <c r="J11832" i="8"/>
  <c r="J11831" i="8"/>
  <c r="J11830" i="8"/>
  <c r="J11829" i="8"/>
  <c r="J11828" i="8"/>
  <c r="J11827" i="8"/>
  <c r="J11826" i="8"/>
  <c r="J11825" i="8"/>
  <c r="J11821" i="8"/>
  <c r="J11820" i="8"/>
  <c r="J11819" i="8"/>
  <c r="J11818" i="8"/>
  <c r="J11817" i="8"/>
  <c r="J11816" i="8"/>
  <c r="J11815" i="8"/>
  <c r="J11814" i="8"/>
  <c r="J11813" i="8"/>
  <c r="J11812" i="8"/>
  <c r="J11811" i="8"/>
  <c r="J11810" i="8"/>
  <c r="J11809" i="8"/>
  <c r="J11808" i="8"/>
  <c r="J11807" i="8"/>
  <c r="J11806" i="8"/>
  <c r="J11803" i="8"/>
  <c r="J11802" i="8"/>
  <c r="J11801" i="8"/>
  <c r="J11800" i="8"/>
  <c r="J11799" i="8"/>
  <c r="J11798" i="8"/>
  <c r="J11797" i="8"/>
  <c r="J11796" i="8"/>
  <c r="J11795" i="8"/>
  <c r="J11794" i="8"/>
  <c r="J11793" i="8"/>
  <c r="J11792" i="8"/>
  <c r="J11791" i="8"/>
  <c r="J11790" i="8"/>
  <c r="J11789" i="8"/>
  <c r="J11788" i="8"/>
  <c r="J11786" i="8"/>
  <c r="J11785" i="8"/>
  <c r="J11784" i="8"/>
  <c r="J11783" i="8"/>
  <c r="J11782" i="8"/>
  <c r="J11781" i="8"/>
  <c r="J11780" i="8"/>
  <c r="J11779" i="8"/>
  <c r="J11778" i="8"/>
  <c r="J11777" i="8"/>
  <c r="J11776" i="8"/>
  <c r="J11775" i="8"/>
  <c r="J11774" i="8"/>
  <c r="J11773" i="8"/>
  <c r="J11772" i="8"/>
  <c r="J11771" i="8"/>
  <c r="J11770" i="8"/>
  <c r="J11769" i="8"/>
  <c r="J11768" i="8"/>
  <c r="J11767" i="8"/>
  <c r="J11766" i="8"/>
  <c r="J11765" i="8"/>
  <c r="J11764" i="8"/>
  <c r="J11763" i="8"/>
  <c r="J11762" i="8"/>
  <c r="J11761" i="8"/>
  <c r="J11760" i="8"/>
  <c r="J11759" i="8"/>
  <c r="J11758" i="8"/>
  <c r="J11757" i="8"/>
  <c r="J11756" i="8"/>
  <c r="J11755" i="8"/>
  <c r="J11754" i="8"/>
  <c r="J11753" i="8"/>
  <c r="J11752" i="8"/>
  <c r="J11751" i="8"/>
  <c r="J11750" i="8"/>
  <c r="J11749" i="8"/>
  <c r="J11748" i="8"/>
  <c r="J11747" i="8"/>
  <c r="J11746" i="8"/>
  <c r="J11745" i="8"/>
  <c r="J11744" i="8"/>
  <c r="J11743" i="8"/>
  <c r="J11742" i="8"/>
  <c r="J11741" i="8"/>
  <c r="J11740" i="8"/>
  <c r="J11739" i="8"/>
  <c r="J11738" i="8"/>
  <c r="J11737" i="8"/>
  <c r="J11736" i="8"/>
  <c r="J11735" i="8"/>
  <c r="J11734" i="8"/>
  <c r="J11733" i="8"/>
  <c r="J11732" i="8"/>
  <c r="J11731" i="8"/>
  <c r="J11730" i="8"/>
  <c r="J11729" i="8"/>
  <c r="J11728" i="8"/>
  <c r="J11727" i="8"/>
  <c r="J11722" i="8"/>
  <c r="J11721" i="8"/>
  <c r="J11720" i="8"/>
  <c r="J11719" i="8"/>
  <c r="J11718" i="8"/>
  <c r="J11717" i="8"/>
  <c r="J11716" i="8"/>
  <c r="J11715" i="8"/>
  <c r="J11714" i="8"/>
  <c r="J11713" i="8"/>
  <c r="J11712" i="8"/>
  <c r="J11711" i="8"/>
  <c r="J11710" i="8"/>
  <c r="J11709" i="8"/>
  <c r="J11708" i="8"/>
  <c r="I11705" i="8"/>
  <c r="J11704" i="8"/>
  <c r="J11703" i="8"/>
  <c r="J11702" i="8"/>
  <c r="J11701" i="8"/>
  <c r="J11700" i="8"/>
  <c r="J11699" i="8"/>
  <c r="J11698" i="8"/>
  <c r="J11697" i="8"/>
  <c r="J11696" i="8"/>
  <c r="J11695" i="8"/>
  <c r="J11694" i="8"/>
  <c r="J11693" i="8"/>
  <c r="J11692" i="8"/>
  <c r="J11691" i="8"/>
  <c r="J11690" i="8"/>
  <c r="J11687" i="8"/>
  <c r="J11686" i="8"/>
  <c r="J11685" i="8"/>
  <c r="J11684" i="8"/>
  <c r="J11683" i="8"/>
  <c r="J11682" i="8"/>
  <c r="J11681" i="8"/>
  <c r="J11680" i="8"/>
  <c r="J11679" i="8"/>
  <c r="J11678" i="8"/>
  <c r="J11677" i="8"/>
  <c r="J11676" i="8"/>
  <c r="J11675" i="8"/>
  <c r="J11674" i="8"/>
  <c r="J11673" i="8"/>
  <c r="J11672" i="8"/>
  <c r="J11671" i="8"/>
  <c r="J11670" i="8"/>
  <c r="J11669" i="8"/>
  <c r="J11668" i="8"/>
  <c r="J11667" i="8"/>
  <c r="J11666" i="8"/>
  <c r="J11665" i="8"/>
  <c r="J11664" i="8"/>
  <c r="J11663" i="8"/>
  <c r="J11662" i="8"/>
  <c r="J11661" i="8"/>
  <c r="J11660" i="8"/>
  <c r="J11659" i="8"/>
  <c r="J11658" i="8"/>
  <c r="J11657" i="8"/>
  <c r="J11656" i="8"/>
  <c r="J11655" i="8"/>
  <c r="J11654" i="8"/>
  <c r="J11653" i="8"/>
  <c r="J11652" i="8"/>
  <c r="J11651" i="8"/>
  <c r="J11650" i="8"/>
  <c r="J11649" i="8"/>
  <c r="J11648" i="8"/>
  <c r="J11647" i="8"/>
  <c r="J11646" i="8"/>
  <c r="J11645" i="8"/>
  <c r="J11644" i="8"/>
  <c r="J11643" i="8"/>
  <c r="J11642" i="8"/>
  <c r="J11641" i="8"/>
  <c r="J11640" i="8"/>
  <c r="J11639" i="8"/>
  <c r="J11638" i="8"/>
  <c r="J11637" i="8"/>
  <c r="J11636" i="8"/>
  <c r="J11635" i="8"/>
  <c r="J11634" i="8"/>
  <c r="J11633" i="8"/>
  <c r="J11632" i="8"/>
  <c r="J11631" i="8"/>
  <c r="J11630" i="8"/>
  <c r="J11629" i="8"/>
  <c r="J11628" i="8"/>
  <c r="I11621" i="8"/>
  <c r="J11620" i="8"/>
  <c r="J11619" i="8"/>
  <c r="J11618" i="8"/>
  <c r="J11617" i="8"/>
  <c r="J11616" i="8"/>
  <c r="J11615" i="8"/>
  <c r="J11614" i="8"/>
  <c r="J11613" i="8"/>
  <c r="J11612" i="8"/>
  <c r="J11611" i="8"/>
  <c r="J11610" i="8"/>
  <c r="J11609" i="8"/>
  <c r="J11608" i="8"/>
  <c r="J11607" i="8"/>
  <c r="J11606" i="8"/>
  <c r="J11605" i="8"/>
  <c r="J11601" i="8"/>
  <c r="J11600" i="8"/>
  <c r="J11599" i="8"/>
  <c r="J11598" i="8"/>
  <c r="J11597" i="8"/>
  <c r="J11596" i="8"/>
  <c r="J11595" i="8"/>
  <c r="J11594" i="8"/>
  <c r="J11593" i="8"/>
  <c r="J11592" i="8"/>
  <c r="J11591" i="8"/>
  <c r="J11590" i="8"/>
  <c r="J11589" i="8"/>
  <c r="J11588" i="8"/>
  <c r="J11587" i="8"/>
  <c r="J11586" i="8"/>
  <c r="J11582" i="8"/>
  <c r="J11581" i="8"/>
  <c r="J11580" i="8"/>
  <c r="J11579" i="8"/>
  <c r="J11578" i="8"/>
  <c r="J11577" i="8"/>
  <c r="J11576" i="8"/>
  <c r="J11575" i="8"/>
  <c r="J11574" i="8"/>
  <c r="J11573" i="8"/>
  <c r="J11572" i="8"/>
  <c r="J11571" i="8"/>
  <c r="J11570" i="8"/>
  <c r="J11569" i="8"/>
  <c r="J11568" i="8"/>
  <c r="J11567" i="8"/>
  <c r="H11565" i="8"/>
  <c r="J11564" i="8"/>
  <c r="J11563" i="8"/>
  <c r="J11562" i="8"/>
  <c r="J11561" i="8"/>
  <c r="J11560" i="8"/>
  <c r="J11559" i="8"/>
  <c r="J11558" i="8"/>
  <c r="J11557" i="8"/>
  <c r="J11556" i="8"/>
  <c r="J11555" i="8"/>
  <c r="J11554" i="8"/>
  <c r="J11553" i="8"/>
  <c r="J11552" i="8"/>
  <c r="J11551" i="8"/>
  <c r="J11550" i="8"/>
  <c r="J11549" i="8"/>
  <c r="J11547" i="8"/>
  <c r="J11546" i="8"/>
  <c r="J11545" i="8"/>
  <c r="J11544" i="8"/>
  <c r="J11543" i="8"/>
  <c r="J11542" i="8"/>
  <c r="J11541" i="8"/>
  <c r="J11540" i="8"/>
  <c r="J11539" i="8"/>
  <c r="J11538" i="8"/>
  <c r="J11537" i="8"/>
  <c r="J11536" i="8"/>
  <c r="J11535" i="8"/>
  <c r="J11534" i="8"/>
  <c r="J11533" i="8"/>
  <c r="J11532" i="8"/>
  <c r="J11531" i="8"/>
  <c r="J11530" i="8"/>
  <c r="J11529" i="8"/>
  <c r="J11528" i="8"/>
  <c r="J11527" i="8"/>
  <c r="J11526" i="8"/>
  <c r="J11525" i="8"/>
  <c r="J11524" i="8"/>
  <c r="J11523" i="8"/>
  <c r="J11522" i="8"/>
  <c r="J11521" i="8"/>
  <c r="J11520" i="8"/>
  <c r="J11519" i="8"/>
  <c r="J11518" i="8"/>
  <c r="J11517" i="8"/>
  <c r="J11516" i="8"/>
  <c r="J11515" i="8"/>
  <c r="J11514" i="8"/>
  <c r="J11513" i="8"/>
  <c r="J11512" i="8"/>
  <c r="J11511" i="8"/>
  <c r="J11510" i="8"/>
  <c r="J11509" i="8"/>
  <c r="J11508" i="8"/>
  <c r="J11507" i="8"/>
  <c r="J11506" i="8"/>
  <c r="J11505" i="8"/>
  <c r="J11504" i="8"/>
  <c r="J11503" i="8"/>
  <c r="J11502" i="8"/>
  <c r="J11501" i="8"/>
  <c r="J11500" i="8"/>
  <c r="J11499" i="8"/>
  <c r="J11498" i="8"/>
  <c r="J11497" i="8"/>
  <c r="J11496" i="8"/>
  <c r="J11495" i="8"/>
  <c r="J11494" i="8"/>
  <c r="J11493" i="8"/>
  <c r="J11492" i="8"/>
  <c r="J11491" i="8"/>
  <c r="J11490" i="8"/>
  <c r="J11489" i="8"/>
  <c r="J11488" i="8"/>
  <c r="J11483" i="8"/>
  <c r="J11482" i="8"/>
  <c r="J11481" i="8"/>
  <c r="J11480" i="8"/>
  <c r="J11479" i="8"/>
  <c r="J11478" i="8"/>
  <c r="J11477" i="8"/>
  <c r="J11476" i="8"/>
  <c r="J11475" i="8"/>
  <c r="J11474" i="8"/>
  <c r="J11473" i="8"/>
  <c r="J11472" i="8"/>
  <c r="J11471" i="8"/>
  <c r="J11470" i="8"/>
  <c r="J11469" i="8"/>
  <c r="I11466" i="8"/>
  <c r="J11465" i="8"/>
  <c r="J11464" i="8"/>
  <c r="J11463" i="8"/>
  <c r="J11462" i="8"/>
  <c r="J11461" i="8"/>
  <c r="J11460" i="8"/>
  <c r="J11459" i="8"/>
  <c r="J11458" i="8"/>
  <c r="J11457" i="8"/>
  <c r="J11456" i="8"/>
  <c r="J11455" i="8"/>
  <c r="J11454" i="8"/>
  <c r="J11453" i="8"/>
  <c r="J11452" i="8"/>
  <c r="J11451" i="8"/>
  <c r="J11448" i="8"/>
  <c r="J11447" i="8"/>
  <c r="J11446" i="8"/>
  <c r="J11445" i="8"/>
  <c r="J11444" i="8"/>
  <c r="J11443" i="8"/>
  <c r="J11442" i="8"/>
  <c r="J11441" i="8"/>
  <c r="J11440" i="8"/>
  <c r="J11439" i="8"/>
  <c r="J11438" i="8"/>
  <c r="J11437" i="8"/>
  <c r="J11436" i="8"/>
  <c r="J11435" i="8"/>
  <c r="J11434" i="8"/>
  <c r="J11433" i="8"/>
  <c r="J11432" i="8"/>
  <c r="J11431" i="8"/>
  <c r="J11430" i="8"/>
  <c r="J11429" i="8"/>
  <c r="J11428" i="8"/>
  <c r="J11427" i="8"/>
  <c r="J11426" i="8"/>
  <c r="J11425" i="8"/>
  <c r="J11424" i="8"/>
  <c r="J11423" i="8"/>
  <c r="J11422" i="8"/>
  <c r="J11421" i="8"/>
  <c r="J11420" i="8"/>
  <c r="J11419" i="8"/>
  <c r="J11418" i="8"/>
  <c r="J11417" i="8"/>
  <c r="J11416" i="8"/>
  <c r="J11415" i="8"/>
  <c r="J11414" i="8"/>
  <c r="J11413" i="8"/>
  <c r="J11412" i="8"/>
  <c r="J11411" i="8"/>
  <c r="J11410" i="8"/>
  <c r="J11409" i="8"/>
  <c r="J11408" i="8"/>
  <c r="J11407" i="8"/>
  <c r="J11406" i="8"/>
  <c r="J11405" i="8"/>
  <c r="J11404" i="8"/>
  <c r="J11403" i="8"/>
  <c r="J11402" i="8"/>
  <c r="J11401" i="8"/>
  <c r="J11400" i="8"/>
  <c r="J11399" i="8"/>
  <c r="J11398" i="8"/>
  <c r="J11397" i="8"/>
  <c r="J11396" i="8"/>
  <c r="J11395" i="8"/>
  <c r="J11394" i="8"/>
  <c r="J11393" i="8"/>
  <c r="J11392" i="8"/>
  <c r="J11391" i="8"/>
  <c r="J11390" i="8"/>
  <c r="J11389" i="8"/>
  <c r="J11382" i="8"/>
  <c r="J11381" i="8"/>
  <c r="J11380" i="8"/>
  <c r="J11379" i="8"/>
  <c r="J11378" i="8"/>
  <c r="J11377" i="8"/>
  <c r="J11376" i="8"/>
  <c r="J11375" i="8"/>
  <c r="J11374" i="8"/>
  <c r="J11373" i="8"/>
  <c r="J11372" i="8"/>
  <c r="J11371" i="8"/>
  <c r="J11370" i="8"/>
  <c r="J11369" i="8"/>
  <c r="J11368" i="8"/>
  <c r="J11367" i="8"/>
  <c r="J11363" i="8"/>
  <c r="J11362" i="8"/>
  <c r="J11361" i="8"/>
  <c r="J11360" i="8"/>
  <c r="J11359" i="8"/>
  <c r="J11358" i="8"/>
  <c r="J11357" i="8"/>
  <c r="J11356" i="8"/>
  <c r="J11355" i="8"/>
  <c r="J11354" i="8"/>
  <c r="J11353" i="8"/>
  <c r="J11352" i="8"/>
  <c r="J11351" i="8"/>
  <c r="J11350" i="8"/>
  <c r="J11349" i="8"/>
  <c r="J11348" i="8"/>
  <c r="J11344" i="8"/>
  <c r="J11343" i="8"/>
  <c r="J11342" i="8"/>
  <c r="J11341" i="8"/>
  <c r="J11340" i="8"/>
  <c r="J11339" i="8"/>
  <c r="J11338" i="8"/>
  <c r="J11337" i="8"/>
  <c r="J11336" i="8"/>
  <c r="J11335" i="8"/>
  <c r="J11334" i="8"/>
  <c r="J11333" i="8"/>
  <c r="J11332" i="8"/>
  <c r="J11331" i="8"/>
  <c r="J11330" i="8"/>
  <c r="J11329" i="8"/>
  <c r="J11326" i="8"/>
  <c r="J11325" i="8"/>
  <c r="J11324" i="8"/>
  <c r="J11323" i="8"/>
  <c r="J11322" i="8"/>
  <c r="J11321" i="8"/>
  <c r="J11320" i="8"/>
  <c r="J11319" i="8"/>
  <c r="J11318" i="8"/>
  <c r="J11317" i="8"/>
  <c r="J11316" i="8"/>
  <c r="J11315" i="8"/>
  <c r="J11314" i="8"/>
  <c r="J11313" i="8"/>
  <c r="J11312" i="8"/>
  <c r="J11311" i="8"/>
  <c r="J11309" i="8"/>
  <c r="J11308" i="8"/>
  <c r="J11307" i="8"/>
  <c r="J11306" i="8"/>
  <c r="J11305" i="8"/>
  <c r="J11304" i="8"/>
  <c r="J11303" i="8"/>
  <c r="J11302" i="8"/>
  <c r="J11301" i="8"/>
  <c r="J11300" i="8"/>
  <c r="J11299" i="8"/>
  <c r="J11298" i="8"/>
  <c r="J11297" i="8"/>
  <c r="J11296" i="8"/>
  <c r="J11295" i="8"/>
  <c r="J11294" i="8"/>
  <c r="J11293" i="8"/>
  <c r="J11292" i="8"/>
  <c r="J11291" i="8"/>
  <c r="J11290" i="8"/>
  <c r="J11289" i="8"/>
  <c r="J11288" i="8"/>
  <c r="J11287" i="8"/>
  <c r="J11286" i="8"/>
  <c r="J11285" i="8"/>
  <c r="J11284" i="8"/>
  <c r="J11283" i="8"/>
  <c r="J11282" i="8"/>
  <c r="J11281" i="8"/>
  <c r="J11280" i="8"/>
  <c r="J11279" i="8"/>
  <c r="J11278" i="8"/>
  <c r="J11277" i="8"/>
  <c r="J11276" i="8"/>
  <c r="J11275" i="8"/>
  <c r="J11274" i="8"/>
  <c r="J11273" i="8"/>
  <c r="J11272" i="8"/>
  <c r="J11271" i="8"/>
  <c r="J11270" i="8"/>
  <c r="J11269" i="8"/>
  <c r="J11268" i="8"/>
  <c r="J11267" i="8"/>
  <c r="J11266" i="8"/>
  <c r="J11265" i="8"/>
  <c r="J11264" i="8"/>
  <c r="J11263" i="8"/>
  <c r="J11262" i="8"/>
  <c r="J11261" i="8"/>
  <c r="J11260" i="8"/>
  <c r="J11259" i="8"/>
  <c r="J11258" i="8"/>
  <c r="J11257" i="8"/>
  <c r="J11256" i="8"/>
  <c r="J11255" i="8"/>
  <c r="J11254" i="8"/>
  <c r="J11253" i="8"/>
  <c r="J11252" i="8"/>
  <c r="J11251" i="8"/>
  <c r="J11250" i="8"/>
  <c r="J11245" i="8"/>
  <c r="J11244" i="8"/>
  <c r="J11243" i="8"/>
  <c r="J11242" i="8"/>
  <c r="J11241" i="8"/>
  <c r="J11240" i="8"/>
  <c r="J11239" i="8"/>
  <c r="J11238" i="8"/>
  <c r="J11237" i="8"/>
  <c r="J11236" i="8"/>
  <c r="J11235" i="8"/>
  <c r="J11234" i="8"/>
  <c r="J11233" i="8"/>
  <c r="J11232" i="8"/>
  <c r="J11231" i="8"/>
  <c r="J11230" i="8"/>
  <c r="J11227" i="8"/>
  <c r="J11226" i="8"/>
  <c r="J11225" i="8"/>
  <c r="J11224" i="8"/>
  <c r="J11223" i="8"/>
  <c r="J11222" i="8"/>
  <c r="J11221" i="8"/>
  <c r="J11220" i="8"/>
  <c r="J11219" i="8"/>
  <c r="J11218" i="8"/>
  <c r="J11217" i="8"/>
  <c r="J11216" i="8"/>
  <c r="J11215" i="8"/>
  <c r="J11214" i="8"/>
  <c r="J11213" i="8"/>
  <c r="J11212" i="8"/>
  <c r="J11210" i="8"/>
  <c r="J11209" i="8"/>
  <c r="J11208" i="8"/>
  <c r="J11207" i="8"/>
  <c r="J11206" i="8"/>
  <c r="J11205" i="8"/>
  <c r="J11204" i="8"/>
  <c r="J11203" i="8"/>
  <c r="J11202" i="8"/>
  <c r="J11201" i="8"/>
  <c r="J11200" i="8"/>
  <c r="J11199" i="8"/>
  <c r="J11198" i="8"/>
  <c r="J11197" i="8"/>
  <c r="J11196" i="8"/>
  <c r="J11195" i="8"/>
  <c r="J11194" i="8"/>
  <c r="J11193" i="8"/>
  <c r="J11192" i="8"/>
  <c r="J11191" i="8"/>
  <c r="J11190" i="8"/>
  <c r="J11189" i="8"/>
  <c r="J11188" i="8"/>
  <c r="J11187" i="8"/>
  <c r="J11186" i="8"/>
  <c r="J11185" i="8"/>
  <c r="J11184" i="8"/>
  <c r="J11183" i="8"/>
  <c r="J11182" i="8"/>
  <c r="J11181" i="8"/>
  <c r="J11180" i="8"/>
  <c r="J11179" i="8"/>
  <c r="J11178" i="8"/>
  <c r="J11177" i="8"/>
  <c r="J11176" i="8"/>
  <c r="J11175" i="8"/>
  <c r="J11174" i="8"/>
  <c r="J11173" i="8"/>
  <c r="J11172" i="8"/>
  <c r="J11171" i="8"/>
  <c r="J11170" i="8"/>
  <c r="J11169" i="8"/>
  <c r="J11168" i="8"/>
  <c r="J11167" i="8"/>
  <c r="J11166" i="8"/>
  <c r="J11165" i="8"/>
  <c r="J11164" i="8"/>
  <c r="J11163" i="8"/>
  <c r="J11162" i="8"/>
  <c r="J11161" i="8"/>
  <c r="J11160" i="8"/>
  <c r="J11159" i="8"/>
  <c r="J11158" i="8"/>
  <c r="J11157" i="8"/>
  <c r="J11156" i="8"/>
  <c r="J11155" i="8"/>
  <c r="J11154" i="8"/>
  <c r="J11153" i="8"/>
  <c r="J11152" i="8"/>
  <c r="J11151" i="8"/>
  <c r="H13880" i="8" l="1"/>
  <c r="H13883" i="8"/>
  <c r="J13864" i="8"/>
  <c r="J13880" i="8" s="1"/>
  <c r="J4229" i="8"/>
  <c r="J4245" i="8" s="1"/>
  <c r="H4245" i="8"/>
  <c r="D348" i="7"/>
  <c r="D347" i="7"/>
  <c r="F198" i="7"/>
  <c r="G349" i="7"/>
  <c r="G284" i="7"/>
  <c r="D281" i="7"/>
  <c r="B615" i="7" s="1"/>
  <c r="E23" i="5"/>
  <c r="B607" i="7"/>
  <c r="B609" i="7"/>
  <c r="E81" i="5"/>
  <c r="E7" i="5"/>
  <c r="E16" i="5"/>
  <c r="E29" i="5"/>
  <c r="C7" i="5"/>
  <c r="C16" i="5"/>
  <c r="C40" i="5"/>
  <c r="C81" i="5"/>
  <c r="C64" i="5"/>
  <c r="C75" i="5"/>
  <c r="C29" i="5"/>
  <c r="C49" i="5"/>
  <c r="C119" i="6"/>
  <c r="C34" i="5"/>
  <c r="C23" i="5"/>
  <c r="C70" i="5"/>
  <c r="I25" i="16"/>
  <c r="E122" i="6"/>
  <c r="F122" i="6" s="1"/>
  <c r="H10745" i="8"/>
  <c r="J10729" i="8"/>
  <c r="J16271" i="8"/>
  <c r="J13743" i="8"/>
  <c r="J13762" i="8"/>
  <c r="J13450" i="8"/>
  <c r="J13468" i="8"/>
  <c r="J11345" i="8"/>
  <c r="J13212" i="8"/>
  <c r="J13230" i="8"/>
  <c r="H17204" i="8"/>
  <c r="D525" i="7" s="1"/>
  <c r="H17207" i="8"/>
  <c r="J17207" i="8" s="1"/>
  <c r="J17223" i="8" s="1"/>
  <c r="J11364" i="8"/>
  <c r="J11383" i="8"/>
  <c r="J11583" i="8"/>
  <c r="J11804" i="8"/>
  <c r="J11822" i="8"/>
  <c r="J11841" i="8"/>
  <c r="J11860" i="8"/>
  <c r="J12042" i="8"/>
  <c r="J12060" i="8"/>
  <c r="J12298" i="8"/>
  <c r="J13011" i="8"/>
  <c r="J13030" i="8"/>
  <c r="H13131" i="8"/>
  <c r="D414" i="7" s="1"/>
  <c r="H13233" i="8"/>
  <c r="J13724" i="8"/>
  <c r="J5507" i="8"/>
  <c r="E121" i="6"/>
  <c r="F121" i="6" s="1"/>
  <c r="F8" i="5"/>
  <c r="F9" i="6"/>
  <c r="F22" i="6"/>
  <c r="F26" i="6"/>
  <c r="F35" i="6"/>
  <c r="F39" i="6"/>
  <c r="F44" i="6"/>
  <c r="F48" i="6"/>
  <c r="F52" i="6"/>
  <c r="F56" i="6"/>
  <c r="F64" i="6"/>
  <c r="F68" i="6"/>
  <c r="F72" i="6"/>
  <c r="F76" i="6"/>
  <c r="F99" i="6"/>
  <c r="F103" i="6"/>
  <c r="F111" i="6"/>
  <c r="F116" i="6"/>
  <c r="F125" i="6"/>
  <c r="F129" i="6"/>
  <c r="F133" i="6"/>
  <c r="F137" i="6"/>
  <c r="F10" i="6"/>
  <c r="F14" i="6"/>
  <c r="F23" i="6"/>
  <c r="F27" i="6"/>
  <c r="F41" i="6"/>
  <c r="F49" i="6"/>
  <c r="F53" i="6"/>
  <c r="F57" i="6"/>
  <c r="F61" i="6"/>
  <c r="F65" i="6"/>
  <c r="F73" i="6"/>
  <c r="F77" i="6"/>
  <c r="F82" i="6"/>
  <c r="F96" i="6"/>
  <c r="F100" i="6"/>
  <c r="F104" i="6"/>
  <c r="F108" i="6"/>
  <c r="F117" i="6"/>
  <c r="F126" i="6"/>
  <c r="F130" i="6"/>
  <c r="F134" i="6"/>
  <c r="F138" i="6"/>
  <c r="F7" i="6"/>
  <c r="F11" i="6"/>
  <c r="F20" i="6"/>
  <c r="F28" i="6"/>
  <c r="F32" i="6"/>
  <c r="F37" i="6"/>
  <c r="F46" i="6"/>
  <c r="F50" i="6"/>
  <c r="F54" i="6"/>
  <c r="F58" i="6"/>
  <c r="F62" i="6"/>
  <c r="F66" i="6"/>
  <c r="F70" i="6"/>
  <c r="F74" i="6"/>
  <c r="F78" i="6"/>
  <c r="F83" i="6"/>
  <c r="F88" i="6"/>
  <c r="F92" i="6"/>
  <c r="F97" i="6"/>
  <c r="F101" i="6"/>
  <c r="F105" i="6"/>
  <c r="F118" i="6"/>
  <c r="F123" i="6"/>
  <c r="F127" i="6"/>
  <c r="F131" i="6"/>
  <c r="F135" i="6"/>
  <c r="F139" i="6"/>
  <c r="F8" i="6"/>
  <c r="F12" i="6"/>
  <c r="F21" i="6"/>
  <c r="F25" i="6"/>
  <c r="F34" i="6"/>
  <c r="F38" i="6"/>
  <c r="F43" i="6"/>
  <c r="F47" i="6"/>
  <c r="F51" i="6"/>
  <c r="F55" i="6"/>
  <c r="F59" i="6"/>
  <c r="F63" i="6"/>
  <c r="F67" i="6"/>
  <c r="F71" i="6"/>
  <c r="F75" i="6"/>
  <c r="F79" i="6"/>
  <c r="F98" i="6"/>
  <c r="F102" i="6"/>
  <c r="F106" i="6"/>
  <c r="F110" i="6"/>
  <c r="F120" i="6"/>
  <c r="F124" i="6"/>
  <c r="F128" i="6"/>
  <c r="F132" i="6"/>
  <c r="F136" i="6"/>
  <c r="F140" i="6"/>
  <c r="J5625" i="8"/>
  <c r="J16253" i="8"/>
  <c r="J5489" i="8"/>
  <c r="J16845" i="8"/>
  <c r="J13609" i="8"/>
  <c r="J13625" i="8" s="1"/>
  <c r="J13706" i="8"/>
  <c r="J13591" i="8"/>
  <c r="J13607" i="8" s="1"/>
  <c r="J5588" i="8"/>
  <c r="J5606" i="8" s="1"/>
  <c r="J16476" i="8"/>
  <c r="J16492" i="8" s="1"/>
  <c r="J17011" i="8"/>
  <c r="J17027" i="8" s="1"/>
  <c r="J17083" i="8"/>
  <c r="J17170" i="8"/>
  <c r="J17186" i="8" s="1"/>
  <c r="J17188" i="8"/>
  <c r="J17204" i="8" s="1"/>
  <c r="J17029" i="8"/>
  <c r="J17045" i="8" s="1"/>
  <c r="J16912" i="8"/>
  <c r="J16928" i="8" s="1"/>
  <c r="J16930" i="8"/>
  <c r="J16946" i="8" s="1"/>
  <c r="J16674" i="8"/>
  <c r="J16690" i="8" s="1"/>
  <c r="J16692" i="8"/>
  <c r="J16708" i="8" s="1"/>
  <c r="J13115" i="8"/>
  <c r="J13131" i="8" s="1"/>
  <c r="J16494" i="8"/>
  <c r="J16510" i="8" s="1"/>
  <c r="J13487" i="8"/>
  <c r="J13506" i="8"/>
  <c r="J16377" i="8"/>
  <c r="J16393" i="8" s="1"/>
  <c r="J16395" i="8"/>
  <c r="J16411" i="8" s="1"/>
  <c r="J16575" i="8"/>
  <c r="J16591" i="8" s="1"/>
  <c r="J16593" i="8"/>
  <c r="J16609" i="8" s="1"/>
  <c r="J16773" i="8"/>
  <c r="J16789" i="8" s="1"/>
  <c r="J16791" i="8"/>
  <c r="J16807" i="8" s="1"/>
  <c r="J13335" i="8"/>
  <c r="J13351" i="8" s="1"/>
  <c r="J13353" i="8"/>
  <c r="J13369" i="8" s="1"/>
  <c r="J13097" i="8"/>
  <c r="J13113" i="8" s="1"/>
  <c r="J12165" i="8"/>
  <c r="J12181" i="8" s="1"/>
  <c r="J12280" i="8"/>
  <c r="J11945" i="8"/>
  <c r="J11961" i="8" s="1"/>
  <c r="J12183" i="8"/>
  <c r="J12199" i="8" s="1"/>
  <c r="J11927" i="8"/>
  <c r="J11943" i="8" s="1"/>
  <c r="J12079" i="8"/>
  <c r="J12098" i="8"/>
  <c r="J11689" i="8"/>
  <c r="J11705" i="8" s="1"/>
  <c r="J11707" i="8"/>
  <c r="J11723" i="8" s="1"/>
  <c r="J11246" i="8"/>
  <c r="J11602" i="8"/>
  <c r="J11621" i="8"/>
  <c r="J11565" i="8"/>
  <c r="J11450" i="8"/>
  <c r="J11466" i="8" s="1"/>
  <c r="J11468" i="8"/>
  <c r="J11484" i="8" s="1"/>
  <c r="J11228" i="8"/>
  <c r="J11327" i="8"/>
  <c r="J11143" i="8"/>
  <c r="J11142" i="8"/>
  <c r="J11141" i="8"/>
  <c r="J11140" i="8"/>
  <c r="J11139" i="8"/>
  <c r="J11138" i="8"/>
  <c r="J11137" i="8"/>
  <c r="J11136" i="8"/>
  <c r="J11135" i="8"/>
  <c r="J11134" i="8"/>
  <c r="J11133" i="8"/>
  <c r="J11132" i="8"/>
  <c r="J11131" i="8"/>
  <c r="J11130" i="8"/>
  <c r="J11129" i="8"/>
  <c r="J11128" i="8"/>
  <c r="J11125" i="8"/>
  <c r="J11124" i="8"/>
  <c r="J11123" i="8"/>
  <c r="J11122" i="8"/>
  <c r="J11121" i="8"/>
  <c r="J11120" i="8"/>
  <c r="J11119" i="8"/>
  <c r="J11118" i="8"/>
  <c r="J11117" i="8"/>
  <c r="J11116" i="8"/>
  <c r="J11115" i="8"/>
  <c r="J11114" i="8"/>
  <c r="J11113" i="8"/>
  <c r="J11112" i="8"/>
  <c r="J11111" i="8"/>
  <c r="J11110" i="8"/>
  <c r="J11108" i="8"/>
  <c r="J11107" i="8"/>
  <c r="J11106" i="8"/>
  <c r="J11105" i="8"/>
  <c r="J11104" i="8"/>
  <c r="J11103" i="8"/>
  <c r="J11102" i="8"/>
  <c r="J11101" i="8"/>
  <c r="J11100" i="8"/>
  <c r="J11099" i="8"/>
  <c r="J11098" i="8"/>
  <c r="J11097" i="8"/>
  <c r="J11096" i="8"/>
  <c r="J11095" i="8"/>
  <c r="J11094" i="8"/>
  <c r="J11093" i="8"/>
  <c r="J11092" i="8"/>
  <c r="J11091" i="8"/>
  <c r="J11090" i="8"/>
  <c r="J11089" i="8"/>
  <c r="J11088" i="8"/>
  <c r="J11087" i="8"/>
  <c r="J11086" i="8"/>
  <c r="J11085" i="8"/>
  <c r="J11084" i="8"/>
  <c r="J11083" i="8"/>
  <c r="J11082" i="8"/>
  <c r="J11081" i="8"/>
  <c r="J11080" i="8"/>
  <c r="J11079" i="8"/>
  <c r="J11078" i="8"/>
  <c r="J11077" i="8"/>
  <c r="J11076" i="8"/>
  <c r="J11075" i="8"/>
  <c r="J11074" i="8"/>
  <c r="J11073" i="8"/>
  <c r="J11072" i="8"/>
  <c r="J11071" i="8"/>
  <c r="J11070" i="8"/>
  <c r="J11069" i="8"/>
  <c r="J11068" i="8"/>
  <c r="J11067" i="8"/>
  <c r="J11066" i="8"/>
  <c r="J11065" i="8"/>
  <c r="J11064" i="8"/>
  <c r="J11063" i="8"/>
  <c r="J11062" i="8"/>
  <c r="J11061" i="8"/>
  <c r="J11060" i="8"/>
  <c r="J11059" i="8"/>
  <c r="J11058" i="8"/>
  <c r="J11057" i="8"/>
  <c r="J11056" i="8"/>
  <c r="J11055" i="8"/>
  <c r="J11054" i="8"/>
  <c r="J11053" i="8"/>
  <c r="J11052" i="8"/>
  <c r="J11051" i="8"/>
  <c r="J11050" i="8"/>
  <c r="J11049" i="8"/>
  <c r="J11044" i="8"/>
  <c r="J11043" i="8"/>
  <c r="J11042" i="8"/>
  <c r="J11041" i="8"/>
  <c r="J11040" i="8"/>
  <c r="J11039" i="8"/>
  <c r="J11038" i="8"/>
  <c r="J11037" i="8"/>
  <c r="J11036" i="8"/>
  <c r="J11035" i="8"/>
  <c r="J11034" i="8"/>
  <c r="J11033" i="8"/>
  <c r="J11032" i="8"/>
  <c r="J11031" i="8"/>
  <c r="J11030" i="8"/>
  <c r="J11029" i="8"/>
  <c r="J11026" i="8"/>
  <c r="J11025" i="8"/>
  <c r="J11024" i="8"/>
  <c r="J11023" i="8"/>
  <c r="J11022" i="8"/>
  <c r="J11021" i="8"/>
  <c r="J11020" i="8"/>
  <c r="J11019" i="8"/>
  <c r="J11018" i="8"/>
  <c r="J11017" i="8"/>
  <c r="J11016" i="8"/>
  <c r="J11015" i="8"/>
  <c r="J11014" i="8"/>
  <c r="J11013" i="8"/>
  <c r="J11012" i="8"/>
  <c r="J11011" i="8"/>
  <c r="J11009" i="8"/>
  <c r="J11008" i="8"/>
  <c r="J11007" i="8"/>
  <c r="J11006" i="8"/>
  <c r="J11005" i="8"/>
  <c r="J11004" i="8"/>
  <c r="J11003" i="8"/>
  <c r="J11002" i="8"/>
  <c r="J11001" i="8"/>
  <c r="J11000" i="8"/>
  <c r="J10999" i="8"/>
  <c r="J10998" i="8"/>
  <c r="J10997" i="8"/>
  <c r="J10996" i="8"/>
  <c r="J10995" i="8"/>
  <c r="J10994" i="8"/>
  <c r="J10993" i="8"/>
  <c r="J10992" i="8"/>
  <c r="J10991" i="8"/>
  <c r="J10990" i="8"/>
  <c r="J10989" i="8"/>
  <c r="J10988" i="8"/>
  <c r="J10987" i="8"/>
  <c r="J10986" i="8"/>
  <c r="J10985" i="8"/>
  <c r="J10984" i="8"/>
  <c r="J10983" i="8"/>
  <c r="J10982" i="8"/>
  <c r="J10981" i="8"/>
  <c r="J10980" i="8"/>
  <c r="J10979" i="8"/>
  <c r="J10978" i="8"/>
  <c r="J10977" i="8"/>
  <c r="J10976" i="8"/>
  <c r="J10975" i="8"/>
  <c r="J10974" i="8"/>
  <c r="J10973" i="8"/>
  <c r="J10972" i="8"/>
  <c r="J10971" i="8"/>
  <c r="J10970" i="8"/>
  <c r="J10969" i="8"/>
  <c r="J10968" i="8"/>
  <c r="J10967" i="8"/>
  <c r="J10966" i="8"/>
  <c r="J10965" i="8"/>
  <c r="J10964" i="8"/>
  <c r="J10963" i="8"/>
  <c r="J10962" i="8"/>
  <c r="J10961" i="8"/>
  <c r="J10960" i="8"/>
  <c r="J10959" i="8"/>
  <c r="J10958" i="8"/>
  <c r="J10957" i="8"/>
  <c r="J10956" i="8"/>
  <c r="J10955" i="8"/>
  <c r="J10954" i="8"/>
  <c r="J10953" i="8"/>
  <c r="J10952" i="8"/>
  <c r="J10951" i="8"/>
  <c r="J10950" i="8"/>
  <c r="J10945" i="8"/>
  <c r="J10944" i="8"/>
  <c r="J10943" i="8"/>
  <c r="J10942" i="8"/>
  <c r="J10941" i="8"/>
  <c r="J10940" i="8"/>
  <c r="J10939" i="8"/>
  <c r="J10938" i="8"/>
  <c r="J10937" i="8"/>
  <c r="J10936" i="8"/>
  <c r="J10935" i="8"/>
  <c r="J10934" i="8"/>
  <c r="J10933" i="8"/>
  <c r="J10932" i="8"/>
  <c r="J10931" i="8"/>
  <c r="J10930" i="8"/>
  <c r="J10927" i="8"/>
  <c r="J10926" i="8"/>
  <c r="J10925" i="8"/>
  <c r="J10924" i="8"/>
  <c r="J10923" i="8"/>
  <c r="J10922" i="8"/>
  <c r="J10921" i="8"/>
  <c r="J10920" i="8"/>
  <c r="J10919" i="8"/>
  <c r="J10918" i="8"/>
  <c r="J10917" i="8"/>
  <c r="J10916" i="8"/>
  <c r="J10915" i="8"/>
  <c r="J10914" i="8"/>
  <c r="J10913" i="8"/>
  <c r="J10912" i="8"/>
  <c r="J10910" i="8"/>
  <c r="J10909" i="8"/>
  <c r="J10908" i="8"/>
  <c r="J10907" i="8"/>
  <c r="J10906" i="8"/>
  <c r="J10905" i="8"/>
  <c r="J10904" i="8"/>
  <c r="J10903" i="8"/>
  <c r="J10902" i="8"/>
  <c r="J10901" i="8"/>
  <c r="J10900" i="8"/>
  <c r="J10899" i="8"/>
  <c r="J10898" i="8"/>
  <c r="J10897" i="8"/>
  <c r="J10896" i="8"/>
  <c r="J10895" i="8"/>
  <c r="J10894" i="8"/>
  <c r="J10893" i="8"/>
  <c r="J10892" i="8"/>
  <c r="J10891" i="8"/>
  <c r="J10890" i="8"/>
  <c r="J10889" i="8"/>
  <c r="J10888" i="8"/>
  <c r="J10887" i="8"/>
  <c r="J10886" i="8"/>
  <c r="J10885" i="8"/>
  <c r="J10884" i="8"/>
  <c r="J10883" i="8"/>
  <c r="J10882" i="8"/>
  <c r="J10881" i="8"/>
  <c r="J10880" i="8"/>
  <c r="J10879" i="8"/>
  <c r="J10878" i="8"/>
  <c r="J10877" i="8"/>
  <c r="J10876" i="8"/>
  <c r="J10875" i="8"/>
  <c r="J10874" i="8"/>
  <c r="J10873" i="8"/>
  <c r="J10872" i="8"/>
  <c r="J10871" i="8"/>
  <c r="J10870" i="8"/>
  <c r="J10869" i="8"/>
  <c r="J10868" i="8"/>
  <c r="J10867" i="8"/>
  <c r="J10866" i="8"/>
  <c r="J10865" i="8"/>
  <c r="J10864" i="8"/>
  <c r="J10863" i="8"/>
  <c r="J10862" i="8"/>
  <c r="J10861" i="8"/>
  <c r="J10860" i="8"/>
  <c r="J10859" i="8"/>
  <c r="J10858" i="8"/>
  <c r="J10857" i="8"/>
  <c r="J10856" i="8"/>
  <c r="J10855" i="8"/>
  <c r="J10854" i="8"/>
  <c r="J10853" i="8"/>
  <c r="J10852" i="8"/>
  <c r="J10851" i="8"/>
  <c r="I10847" i="8"/>
  <c r="F414" i="7" s="1"/>
  <c r="F413" i="7" s="1"/>
  <c r="J10846" i="8"/>
  <c r="J10845" i="8"/>
  <c r="J10844" i="8"/>
  <c r="J10843" i="8"/>
  <c r="J10842" i="8"/>
  <c r="J10841" i="8"/>
  <c r="J10840" i="8"/>
  <c r="J10839" i="8"/>
  <c r="J10838" i="8"/>
  <c r="J10837" i="8"/>
  <c r="J10836" i="8"/>
  <c r="J10835" i="8"/>
  <c r="J10834" i="8"/>
  <c r="J10833" i="8"/>
  <c r="J10832" i="8"/>
  <c r="I10829" i="8"/>
  <c r="J10828" i="8"/>
  <c r="J10827" i="8"/>
  <c r="J10826" i="8"/>
  <c r="J10825" i="8"/>
  <c r="J10824" i="8"/>
  <c r="J10823" i="8"/>
  <c r="J10822" i="8"/>
  <c r="J10821" i="8"/>
  <c r="J10820" i="8"/>
  <c r="J10819" i="8"/>
  <c r="J10818" i="8"/>
  <c r="J10817" i="8"/>
  <c r="J10816" i="8"/>
  <c r="J10815" i="8"/>
  <c r="J10814" i="8"/>
  <c r="C114" i="6"/>
  <c r="J10811" i="8"/>
  <c r="J10810" i="8"/>
  <c r="J10809" i="8"/>
  <c r="J10808" i="8"/>
  <c r="J10807" i="8"/>
  <c r="J10806" i="8"/>
  <c r="J10805" i="8"/>
  <c r="J10804" i="8"/>
  <c r="J10803" i="8"/>
  <c r="J10802" i="8"/>
  <c r="J10801" i="8"/>
  <c r="J10800" i="8"/>
  <c r="J10799" i="8"/>
  <c r="J10798" i="8"/>
  <c r="J10797" i="8"/>
  <c r="J10796" i="8"/>
  <c r="J10795" i="8"/>
  <c r="J10794" i="8"/>
  <c r="J10793" i="8"/>
  <c r="J10792" i="8"/>
  <c r="J10791" i="8"/>
  <c r="J10790" i="8"/>
  <c r="J10789" i="8"/>
  <c r="J10788" i="8"/>
  <c r="J10787" i="8"/>
  <c r="J10786" i="8"/>
  <c r="J10785" i="8"/>
  <c r="J10784" i="8"/>
  <c r="J10783" i="8"/>
  <c r="J10782" i="8"/>
  <c r="J10781" i="8"/>
  <c r="J10780" i="8"/>
  <c r="J10779" i="8"/>
  <c r="J10778" i="8"/>
  <c r="J10777" i="8"/>
  <c r="J10776" i="8"/>
  <c r="J10775" i="8"/>
  <c r="J10774" i="8"/>
  <c r="J10773" i="8"/>
  <c r="J10772" i="8"/>
  <c r="J10771" i="8"/>
  <c r="J10770" i="8"/>
  <c r="J10769" i="8"/>
  <c r="J10768" i="8"/>
  <c r="J10767" i="8"/>
  <c r="J10766" i="8"/>
  <c r="J10765" i="8"/>
  <c r="J10764" i="8"/>
  <c r="J10763" i="8"/>
  <c r="J10762" i="8"/>
  <c r="J10761" i="8"/>
  <c r="J10760" i="8"/>
  <c r="J10759" i="8"/>
  <c r="J10758" i="8"/>
  <c r="J10757" i="8"/>
  <c r="J10756" i="8"/>
  <c r="J10755" i="8"/>
  <c r="J10754" i="8"/>
  <c r="J10753" i="8"/>
  <c r="J10752" i="8"/>
  <c r="I4782" i="8"/>
  <c r="J4781" i="8"/>
  <c r="J4780" i="8"/>
  <c r="J4779" i="8"/>
  <c r="J4778" i="8"/>
  <c r="J4777" i="8"/>
  <c r="J4776" i="8"/>
  <c r="J4775" i="8"/>
  <c r="J4774" i="8"/>
  <c r="J4773" i="8"/>
  <c r="J4772" i="8"/>
  <c r="J4771" i="8"/>
  <c r="J4770" i="8"/>
  <c r="J4769" i="8"/>
  <c r="J4768" i="8"/>
  <c r="J4767" i="8"/>
  <c r="I4763" i="8"/>
  <c r="F469" i="7" s="1"/>
  <c r="J4762" i="8"/>
  <c r="J4761" i="8"/>
  <c r="J4760" i="8"/>
  <c r="J4759" i="8"/>
  <c r="J4758" i="8"/>
  <c r="J4757" i="8"/>
  <c r="J4756" i="8"/>
  <c r="J4755" i="8"/>
  <c r="J4754" i="8"/>
  <c r="J4753" i="8"/>
  <c r="J4752" i="8"/>
  <c r="J4751" i="8"/>
  <c r="J4750" i="8"/>
  <c r="J4749" i="8"/>
  <c r="J4748" i="8"/>
  <c r="I4745" i="8"/>
  <c r="J4744" i="8"/>
  <c r="J4743" i="8"/>
  <c r="J4742" i="8"/>
  <c r="J4741" i="8"/>
  <c r="J4740" i="8"/>
  <c r="J4739" i="8"/>
  <c r="J4738" i="8"/>
  <c r="J4737" i="8"/>
  <c r="J4736" i="8"/>
  <c r="J4735" i="8"/>
  <c r="J4734" i="8"/>
  <c r="J4733" i="8"/>
  <c r="J4732" i="8"/>
  <c r="J4731" i="8"/>
  <c r="J4730" i="8"/>
  <c r="J4727" i="8"/>
  <c r="J4726" i="8"/>
  <c r="J4725" i="8"/>
  <c r="J4724" i="8"/>
  <c r="J4723" i="8"/>
  <c r="J4722" i="8"/>
  <c r="J4721" i="8"/>
  <c r="J4720" i="8"/>
  <c r="J4719" i="8"/>
  <c r="J4718" i="8"/>
  <c r="J4717" i="8"/>
  <c r="J4716" i="8"/>
  <c r="J4715" i="8"/>
  <c r="J4714" i="8"/>
  <c r="J4713" i="8"/>
  <c r="J4712" i="8"/>
  <c r="J4711" i="8"/>
  <c r="J4710" i="8"/>
  <c r="J4709" i="8"/>
  <c r="J4708" i="8"/>
  <c r="J4707" i="8"/>
  <c r="J4706" i="8"/>
  <c r="J4705" i="8"/>
  <c r="J4704" i="8"/>
  <c r="J4703" i="8"/>
  <c r="J4702" i="8"/>
  <c r="J4701" i="8"/>
  <c r="J4700" i="8"/>
  <c r="J4699" i="8"/>
  <c r="J4698" i="8"/>
  <c r="J4697" i="8"/>
  <c r="J4696" i="8"/>
  <c r="J4695" i="8"/>
  <c r="J4694" i="8"/>
  <c r="J4693" i="8"/>
  <c r="J4692" i="8"/>
  <c r="J4691" i="8"/>
  <c r="J4690" i="8"/>
  <c r="J4689" i="8"/>
  <c r="J4688" i="8"/>
  <c r="J4687" i="8"/>
  <c r="J4686" i="8"/>
  <c r="J4685" i="8"/>
  <c r="J4684" i="8"/>
  <c r="J4683" i="8"/>
  <c r="J4682" i="8"/>
  <c r="J4681" i="8"/>
  <c r="J4680" i="8"/>
  <c r="J4679" i="8"/>
  <c r="J4678" i="8"/>
  <c r="J4677" i="8"/>
  <c r="J4676" i="8"/>
  <c r="J4675" i="8"/>
  <c r="J4674" i="8"/>
  <c r="J4673" i="8"/>
  <c r="J4672" i="8"/>
  <c r="J4671" i="8"/>
  <c r="J4670" i="8"/>
  <c r="J4669" i="8"/>
  <c r="J4668" i="8"/>
  <c r="I4664" i="8"/>
  <c r="F468" i="7" s="1"/>
  <c r="J4663" i="8"/>
  <c r="J4662" i="8"/>
  <c r="J4661" i="8"/>
  <c r="J4660" i="8"/>
  <c r="J4659" i="8"/>
  <c r="J4658" i="8"/>
  <c r="J4657" i="8"/>
  <c r="J4656" i="8"/>
  <c r="J4655" i="8"/>
  <c r="J4654" i="8"/>
  <c r="J4653" i="8"/>
  <c r="J4652" i="8"/>
  <c r="J4651" i="8"/>
  <c r="J4650" i="8"/>
  <c r="J4649" i="8"/>
  <c r="I4646" i="8"/>
  <c r="J4645" i="8"/>
  <c r="J4644" i="8"/>
  <c r="J4643" i="8"/>
  <c r="J4642" i="8"/>
  <c r="J4641" i="8"/>
  <c r="J4640" i="8"/>
  <c r="J4639" i="8"/>
  <c r="J4638" i="8"/>
  <c r="J4637" i="8"/>
  <c r="J4636" i="8"/>
  <c r="J4635" i="8"/>
  <c r="J4634" i="8"/>
  <c r="J4633" i="8"/>
  <c r="J4632" i="8"/>
  <c r="J4631" i="8"/>
  <c r="J4628" i="8"/>
  <c r="J4627" i="8"/>
  <c r="J4626" i="8"/>
  <c r="J4625" i="8"/>
  <c r="J4624" i="8"/>
  <c r="J4623" i="8"/>
  <c r="J4622" i="8"/>
  <c r="J4621" i="8"/>
  <c r="J4620" i="8"/>
  <c r="J4619" i="8"/>
  <c r="J4618" i="8"/>
  <c r="J4617" i="8"/>
  <c r="J4616" i="8"/>
  <c r="J4615" i="8"/>
  <c r="J4614" i="8"/>
  <c r="J4613" i="8"/>
  <c r="J4612" i="8"/>
  <c r="J4611" i="8"/>
  <c r="J4610" i="8"/>
  <c r="J4609" i="8"/>
  <c r="J4608" i="8"/>
  <c r="J4607" i="8"/>
  <c r="J4606" i="8"/>
  <c r="J4605" i="8"/>
  <c r="J4604" i="8"/>
  <c r="J4603" i="8"/>
  <c r="J4602" i="8"/>
  <c r="J4601" i="8"/>
  <c r="J4600" i="8"/>
  <c r="J4599" i="8"/>
  <c r="J4598" i="8"/>
  <c r="J4597" i="8"/>
  <c r="J4596" i="8"/>
  <c r="J4595" i="8"/>
  <c r="J4594" i="8"/>
  <c r="J4593" i="8"/>
  <c r="J4592" i="8"/>
  <c r="J4591" i="8"/>
  <c r="J4590" i="8"/>
  <c r="J4589" i="8"/>
  <c r="J4588" i="8"/>
  <c r="J4587" i="8"/>
  <c r="J4586" i="8"/>
  <c r="J4585" i="8"/>
  <c r="J4584" i="8"/>
  <c r="J4583" i="8"/>
  <c r="J4582" i="8"/>
  <c r="J4581" i="8"/>
  <c r="J4580" i="8"/>
  <c r="J4579" i="8"/>
  <c r="J4578" i="8"/>
  <c r="J4577" i="8"/>
  <c r="J4576" i="8"/>
  <c r="J4575" i="8"/>
  <c r="J4574" i="8"/>
  <c r="J4573" i="8"/>
  <c r="J4572" i="8"/>
  <c r="J4571" i="8"/>
  <c r="J4570" i="8"/>
  <c r="J4569" i="8"/>
  <c r="I4565" i="8"/>
  <c r="F467" i="7" s="1"/>
  <c r="J4564" i="8"/>
  <c r="J4563" i="8"/>
  <c r="J4562" i="8"/>
  <c r="J4561" i="8"/>
  <c r="J4560" i="8"/>
  <c r="J4559" i="8"/>
  <c r="J4558" i="8"/>
  <c r="J4557" i="8"/>
  <c r="J4556" i="8"/>
  <c r="J4555" i="8"/>
  <c r="J4554" i="8"/>
  <c r="J4553" i="8"/>
  <c r="J4552" i="8"/>
  <c r="J4551" i="8"/>
  <c r="J4550" i="8"/>
  <c r="E113" i="6"/>
  <c r="J4546" i="8"/>
  <c r="J4545" i="8"/>
  <c r="J4544" i="8"/>
  <c r="J4543" i="8"/>
  <c r="J4542" i="8"/>
  <c r="J4541" i="8"/>
  <c r="J4540" i="8"/>
  <c r="J4539" i="8"/>
  <c r="J4538" i="8"/>
  <c r="J4537" i="8"/>
  <c r="J4536" i="8"/>
  <c r="J4535" i="8"/>
  <c r="J4534" i="8"/>
  <c r="J4533" i="8"/>
  <c r="J4532" i="8"/>
  <c r="C113" i="6"/>
  <c r="J4529" i="8"/>
  <c r="J4528" i="8"/>
  <c r="J4527" i="8"/>
  <c r="J4526" i="8"/>
  <c r="J4525" i="8"/>
  <c r="J4524" i="8"/>
  <c r="J4523" i="8"/>
  <c r="J4522" i="8"/>
  <c r="J4521" i="8"/>
  <c r="J4520" i="8"/>
  <c r="J4519" i="8"/>
  <c r="J4518" i="8"/>
  <c r="J4517" i="8"/>
  <c r="J4516" i="8"/>
  <c r="J4515" i="8"/>
  <c r="J4514" i="8"/>
  <c r="J4513" i="8"/>
  <c r="J4512" i="8"/>
  <c r="J4511" i="8"/>
  <c r="J4510" i="8"/>
  <c r="J4509" i="8"/>
  <c r="J4508" i="8"/>
  <c r="J4507" i="8"/>
  <c r="J4506" i="8"/>
  <c r="J4505" i="8"/>
  <c r="J4504" i="8"/>
  <c r="J4503" i="8"/>
  <c r="J4502" i="8"/>
  <c r="J4501" i="8"/>
  <c r="J4500" i="8"/>
  <c r="J4499" i="8"/>
  <c r="J4498" i="8"/>
  <c r="J4497" i="8"/>
  <c r="J4496" i="8"/>
  <c r="J4495" i="8"/>
  <c r="J4494" i="8"/>
  <c r="J4493" i="8"/>
  <c r="J4492" i="8"/>
  <c r="J4491" i="8"/>
  <c r="J4490" i="8"/>
  <c r="J4489" i="8"/>
  <c r="J4488" i="8"/>
  <c r="J4487" i="8"/>
  <c r="J4486" i="8"/>
  <c r="J4485" i="8"/>
  <c r="J4484" i="8"/>
  <c r="J4483" i="8"/>
  <c r="J4482" i="8"/>
  <c r="J4481" i="8"/>
  <c r="J4480" i="8"/>
  <c r="J4479" i="8"/>
  <c r="J4478" i="8"/>
  <c r="J4477" i="8"/>
  <c r="J4476" i="8"/>
  <c r="J4475" i="8"/>
  <c r="J4474" i="8"/>
  <c r="J4473" i="8"/>
  <c r="J4472" i="8"/>
  <c r="J4471" i="8"/>
  <c r="J4470" i="8"/>
  <c r="I10745" i="8"/>
  <c r="J10744" i="8"/>
  <c r="J10743" i="8"/>
  <c r="J10742" i="8"/>
  <c r="J10741" i="8"/>
  <c r="J10740" i="8"/>
  <c r="J10739" i="8"/>
  <c r="J10738" i="8"/>
  <c r="J10737" i="8"/>
  <c r="J10736" i="8"/>
  <c r="J10735" i="8"/>
  <c r="J10734" i="8"/>
  <c r="J10733" i="8"/>
  <c r="J10732" i="8"/>
  <c r="J10731" i="8"/>
  <c r="J10730" i="8"/>
  <c r="J10725" i="8"/>
  <c r="J10724" i="8"/>
  <c r="J10723" i="8"/>
  <c r="J10722" i="8"/>
  <c r="J10721" i="8"/>
  <c r="J10720" i="8"/>
  <c r="J10719" i="8"/>
  <c r="J10718" i="8"/>
  <c r="J10717" i="8"/>
  <c r="J10716" i="8"/>
  <c r="J10715" i="8"/>
  <c r="J10714" i="8"/>
  <c r="J10713" i="8"/>
  <c r="J10712" i="8"/>
  <c r="J10711" i="8"/>
  <c r="J10710" i="8"/>
  <c r="J10706" i="8"/>
  <c r="J10705" i="8"/>
  <c r="J10704" i="8"/>
  <c r="J10703" i="8"/>
  <c r="J10702" i="8"/>
  <c r="J10701" i="8"/>
  <c r="J10700" i="8"/>
  <c r="J10699" i="8"/>
  <c r="J10698" i="8"/>
  <c r="J10697" i="8"/>
  <c r="J10696" i="8"/>
  <c r="J10695" i="8"/>
  <c r="J10694" i="8"/>
  <c r="J10693" i="8"/>
  <c r="J10692" i="8"/>
  <c r="J10691" i="8"/>
  <c r="J10688" i="8"/>
  <c r="J10687" i="8"/>
  <c r="J10686" i="8"/>
  <c r="J10685" i="8"/>
  <c r="J10684" i="8"/>
  <c r="J10683" i="8"/>
  <c r="J10682" i="8"/>
  <c r="J10681" i="8"/>
  <c r="J10680" i="8"/>
  <c r="J10679" i="8"/>
  <c r="J10678" i="8"/>
  <c r="J10677" i="8"/>
  <c r="J10676" i="8"/>
  <c r="J10675" i="8"/>
  <c r="J10674" i="8"/>
  <c r="J10671" i="8"/>
  <c r="J10670" i="8"/>
  <c r="J10669" i="8"/>
  <c r="J10668" i="8"/>
  <c r="J10667" i="8"/>
  <c r="J10666" i="8"/>
  <c r="J10665" i="8"/>
  <c r="J10664" i="8"/>
  <c r="J10663" i="8"/>
  <c r="J10662" i="8"/>
  <c r="J10661" i="8"/>
  <c r="J10660" i="8"/>
  <c r="J10659" i="8"/>
  <c r="J10658" i="8"/>
  <c r="J10657" i="8"/>
  <c r="J10656" i="8"/>
  <c r="J10655" i="8"/>
  <c r="J10654" i="8"/>
  <c r="J10653" i="8"/>
  <c r="J10652" i="8"/>
  <c r="J10651" i="8"/>
  <c r="J10650" i="8"/>
  <c r="J10649" i="8"/>
  <c r="J10648" i="8"/>
  <c r="J10647" i="8"/>
  <c r="J10646" i="8"/>
  <c r="J10645" i="8"/>
  <c r="J10644" i="8"/>
  <c r="J10643" i="8"/>
  <c r="J10642" i="8"/>
  <c r="J10641" i="8"/>
  <c r="J10640" i="8"/>
  <c r="J10639" i="8"/>
  <c r="J10638" i="8"/>
  <c r="J10637" i="8"/>
  <c r="J10636" i="8"/>
  <c r="J10635" i="8"/>
  <c r="J10634" i="8"/>
  <c r="J10633" i="8"/>
  <c r="J10632" i="8"/>
  <c r="J10631" i="8"/>
  <c r="J10630" i="8"/>
  <c r="J10629" i="8"/>
  <c r="J10628" i="8"/>
  <c r="J10627" i="8"/>
  <c r="J10626" i="8"/>
  <c r="J10625" i="8"/>
  <c r="J10624" i="8"/>
  <c r="J10623" i="8"/>
  <c r="J10622" i="8"/>
  <c r="J10621" i="8"/>
  <c r="J10620" i="8"/>
  <c r="J10619" i="8"/>
  <c r="J10618" i="8"/>
  <c r="J10617" i="8"/>
  <c r="J10616" i="8"/>
  <c r="J10615" i="8"/>
  <c r="J10614" i="8"/>
  <c r="J10613" i="8"/>
  <c r="J10612" i="8"/>
  <c r="J10607" i="8"/>
  <c r="J10606" i="8"/>
  <c r="J10605" i="8"/>
  <c r="J10604" i="8"/>
  <c r="J10603" i="8"/>
  <c r="J10602" i="8"/>
  <c r="J10601" i="8"/>
  <c r="J10600" i="8"/>
  <c r="J10599" i="8"/>
  <c r="J10598" i="8"/>
  <c r="J10597" i="8"/>
  <c r="J10596" i="8"/>
  <c r="J10595" i="8"/>
  <c r="J10594" i="8"/>
  <c r="J10593" i="8"/>
  <c r="J10592" i="8"/>
  <c r="J10589" i="8"/>
  <c r="J10588" i="8"/>
  <c r="J10587" i="8"/>
  <c r="J10586" i="8"/>
  <c r="J10585" i="8"/>
  <c r="J10584" i="8"/>
  <c r="J10583" i="8"/>
  <c r="J10582" i="8"/>
  <c r="J10581" i="8"/>
  <c r="J10580" i="8"/>
  <c r="J10579" i="8"/>
  <c r="J10578" i="8"/>
  <c r="J10577" i="8"/>
  <c r="J10576" i="8"/>
  <c r="J10575" i="8"/>
  <c r="J10572" i="8"/>
  <c r="J10571" i="8"/>
  <c r="J10570" i="8"/>
  <c r="J10569" i="8"/>
  <c r="J10568" i="8"/>
  <c r="J10567" i="8"/>
  <c r="J10566" i="8"/>
  <c r="J10565" i="8"/>
  <c r="J10564" i="8"/>
  <c r="J10563" i="8"/>
  <c r="J10562" i="8"/>
  <c r="J10561" i="8"/>
  <c r="J10560" i="8"/>
  <c r="J10559" i="8"/>
  <c r="J10558" i="8"/>
  <c r="J10557" i="8"/>
  <c r="J10556" i="8"/>
  <c r="J10555" i="8"/>
  <c r="J10554" i="8"/>
  <c r="J10553" i="8"/>
  <c r="J10552" i="8"/>
  <c r="J10551" i="8"/>
  <c r="J10550" i="8"/>
  <c r="J10549" i="8"/>
  <c r="J10548" i="8"/>
  <c r="J10547" i="8"/>
  <c r="J10546" i="8"/>
  <c r="J10545" i="8"/>
  <c r="J10544" i="8"/>
  <c r="J10543" i="8"/>
  <c r="J10542" i="8"/>
  <c r="J10541" i="8"/>
  <c r="J10540" i="8"/>
  <c r="J10539" i="8"/>
  <c r="J10538" i="8"/>
  <c r="J10537" i="8"/>
  <c r="J10536" i="8"/>
  <c r="J10535" i="8"/>
  <c r="J10534" i="8"/>
  <c r="J10533" i="8"/>
  <c r="J10532" i="8"/>
  <c r="J10531" i="8"/>
  <c r="J10530" i="8"/>
  <c r="J10529" i="8"/>
  <c r="J10528" i="8"/>
  <c r="J10527" i="8"/>
  <c r="J10526" i="8"/>
  <c r="J10525" i="8"/>
  <c r="J10524" i="8"/>
  <c r="J10523" i="8"/>
  <c r="J10522" i="8"/>
  <c r="J10521" i="8"/>
  <c r="J10520" i="8"/>
  <c r="J10519" i="8"/>
  <c r="J10518" i="8"/>
  <c r="J10517" i="8"/>
  <c r="J10516" i="8"/>
  <c r="J10515" i="8"/>
  <c r="J10514" i="8"/>
  <c r="J10513" i="8"/>
  <c r="J10508" i="8"/>
  <c r="J10507" i="8"/>
  <c r="J10506" i="8"/>
  <c r="J10505" i="8"/>
  <c r="J10504" i="8"/>
  <c r="J10503" i="8"/>
  <c r="J10502" i="8"/>
  <c r="J10501" i="8"/>
  <c r="J10500" i="8"/>
  <c r="J10499" i="8"/>
  <c r="J10498" i="8"/>
  <c r="J10497" i="8"/>
  <c r="J10496" i="8"/>
  <c r="J10495" i="8"/>
  <c r="J10494" i="8"/>
  <c r="J10493" i="8"/>
  <c r="J10490" i="8"/>
  <c r="J10489" i="8"/>
  <c r="J10488" i="8"/>
  <c r="J10487" i="8"/>
  <c r="J10486" i="8"/>
  <c r="J10485" i="8"/>
  <c r="J10484" i="8"/>
  <c r="J10483" i="8"/>
  <c r="J10482" i="8"/>
  <c r="J10481" i="8"/>
  <c r="J10480" i="8"/>
  <c r="J10479" i="8"/>
  <c r="J10478" i="8"/>
  <c r="J10477" i="8"/>
  <c r="J10476" i="8"/>
  <c r="J10473" i="8"/>
  <c r="J10472" i="8"/>
  <c r="J10471" i="8"/>
  <c r="J10470" i="8"/>
  <c r="J10469" i="8"/>
  <c r="J10468" i="8"/>
  <c r="J10467" i="8"/>
  <c r="J10466" i="8"/>
  <c r="J10465" i="8"/>
  <c r="J10464" i="8"/>
  <c r="J10463" i="8"/>
  <c r="J10462" i="8"/>
  <c r="J10461" i="8"/>
  <c r="J10460" i="8"/>
  <c r="J10459" i="8"/>
  <c r="J10458" i="8"/>
  <c r="J10457" i="8"/>
  <c r="J10456" i="8"/>
  <c r="J10455" i="8"/>
  <c r="J10454" i="8"/>
  <c r="J10453" i="8"/>
  <c r="J10452" i="8"/>
  <c r="J10451" i="8"/>
  <c r="J10450" i="8"/>
  <c r="J10449" i="8"/>
  <c r="J10448" i="8"/>
  <c r="J10447" i="8"/>
  <c r="J10446" i="8"/>
  <c r="J10445" i="8"/>
  <c r="J10444" i="8"/>
  <c r="J10443" i="8"/>
  <c r="J10442" i="8"/>
  <c r="J10441" i="8"/>
  <c r="J10440" i="8"/>
  <c r="J10439" i="8"/>
  <c r="J10438" i="8"/>
  <c r="J10437" i="8"/>
  <c r="J10436" i="8"/>
  <c r="J10435" i="8"/>
  <c r="J10434" i="8"/>
  <c r="J10433" i="8"/>
  <c r="J10432" i="8"/>
  <c r="J10431" i="8"/>
  <c r="J10430" i="8"/>
  <c r="J10429" i="8"/>
  <c r="J10428" i="8"/>
  <c r="J10427" i="8"/>
  <c r="J10426" i="8"/>
  <c r="J10425" i="8"/>
  <c r="J10424" i="8"/>
  <c r="J10423" i="8"/>
  <c r="J10422" i="8"/>
  <c r="J10421" i="8"/>
  <c r="J10420" i="8"/>
  <c r="J10419" i="8"/>
  <c r="J10418" i="8"/>
  <c r="J10417" i="8"/>
  <c r="J10416" i="8"/>
  <c r="J10415" i="8"/>
  <c r="J10414" i="8"/>
  <c r="H10410" i="8"/>
  <c r="D198" i="7" s="1"/>
  <c r="J10409" i="8"/>
  <c r="J10408" i="8"/>
  <c r="J10407" i="8"/>
  <c r="J10406" i="8"/>
  <c r="J10405" i="8"/>
  <c r="J10404" i="8"/>
  <c r="J10403" i="8"/>
  <c r="J10402" i="8"/>
  <c r="J10401" i="8"/>
  <c r="J10400" i="8"/>
  <c r="J10399" i="8"/>
  <c r="J10398" i="8"/>
  <c r="J10397" i="8"/>
  <c r="J10396" i="8"/>
  <c r="J10395" i="8"/>
  <c r="J10394" i="8"/>
  <c r="J10391" i="8"/>
  <c r="J10390" i="8"/>
  <c r="J10389" i="8"/>
  <c r="J10388" i="8"/>
  <c r="J10387" i="8"/>
  <c r="J10386" i="8"/>
  <c r="J10385" i="8"/>
  <c r="J10384" i="8"/>
  <c r="J10383" i="8"/>
  <c r="J10382" i="8"/>
  <c r="J10381" i="8"/>
  <c r="J10380" i="8"/>
  <c r="J10379" i="8"/>
  <c r="J10378" i="8"/>
  <c r="J10377" i="8"/>
  <c r="J10376" i="8"/>
  <c r="J10374" i="8"/>
  <c r="J10373" i="8"/>
  <c r="J10372" i="8"/>
  <c r="J10371" i="8"/>
  <c r="J10370" i="8"/>
  <c r="J10369" i="8"/>
  <c r="J10368" i="8"/>
  <c r="J10367" i="8"/>
  <c r="J10366" i="8"/>
  <c r="J10365" i="8"/>
  <c r="J10364" i="8"/>
  <c r="J10363" i="8"/>
  <c r="J10362" i="8"/>
  <c r="J10361" i="8"/>
  <c r="J10360" i="8"/>
  <c r="J10359" i="8"/>
  <c r="J10358" i="8"/>
  <c r="J10357" i="8"/>
  <c r="J10356" i="8"/>
  <c r="J10355" i="8"/>
  <c r="J10354" i="8"/>
  <c r="J10353" i="8"/>
  <c r="J10352" i="8"/>
  <c r="J10351" i="8"/>
  <c r="J10350" i="8"/>
  <c r="J10349" i="8"/>
  <c r="J10348" i="8"/>
  <c r="J10347" i="8"/>
  <c r="J10346" i="8"/>
  <c r="J10345" i="8"/>
  <c r="J10344" i="8"/>
  <c r="J10343" i="8"/>
  <c r="J10342" i="8"/>
  <c r="J10341" i="8"/>
  <c r="J10340" i="8"/>
  <c r="J10339" i="8"/>
  <c r="J10338" i="8"/>
  <c r="J10337" i="8"/>
  <c r="J10336" i="8"/>
  <c r="J10335" i="8"/>
  <c r="J10334" i="8"/>
  <c r="J10333" i="8"/>
  <c r="J10332" i="8"/>
  <c r="J10331" i="8"/>
  <c r="J10330" i="8"/>
  <c r="J10329" i="8"/>
  <c r="J10328" i="8"/>
  <c r="J10327" i="8"/>
  <c r="J10326" i="8"/>
  <c r="J10325" i="8"/>
  <c r="J10324" i="8"/>
  <c r="J10323" i="8"/>
  <c r="J10322" i="8"/>
  <c r="J10321" i="8"/>
  <c r="J10320" i="8"/>
  <c r="J10319" i="8"/>
  <c r="J10318" i="8"/>
  <c r="J10317" i="8"/>
  <c r="J10316" i="8"/>
  <c r="J10315" i="8"/>
  <c r="I10311" i="8"/>
  <c r="J10310" i="8"/>
  <c r="J10309" i="8"/>
  <c r="J10308" i="8"/>
  <c r="J10307" i="8"/>
  <c r="J10306" i="8"/>
  <c r="J10305" i="8"/>
  <c r="J10304" i="8"/>
  <c r="J10303" i="8"/>
  <c r="J10302" i="8"/>
  <c r="J10301" i="8"/>
  <c r="J10300" i="8"/>
  <c r="J10299" i="8"/>
  <c r="J10298" i="8"/>
  <c r="J10297" i="8"/>
  <c r="J10296" i="8"/>
  <c r="J10295" i="8"/>
  <c r="J10292" i="8"/>
  <c r="J10291" i="8"/>
  <c r="J10290" i="8"/>
  <c r="J10289" i="8"/>
  <c r="J10288" i="8"/>
  <c r="J10287" i="8"/>
  <c r="J10286" i="8"/>
  <c r="J10285" i="8"/>
  <c r="J10284" i="8"/>
  <c r="J10283" i="8"/>
  <c r="J10282" i="8"/>
  <c r="J10281" i="8"/>
  <c r="J10280" i="8"/>
  <c r="J10279" i="8"/>
  <c r="J10278" i="8"/>
  <c r="J10277" i="8"/>
  <c r="J10275" i="8"/>
  <c r="J10274" i="8"/>
  <c r="J10273" i="8"/>
  <c r="J10272" i="8"/>
  <c r="J10271" i="8"/>
  <c r="J10270" i="8"/>
  <c r="J10269" i="8"/>
  <c r="J10268" i="8"/>
  <c r="J10267" i="8"/>
  <c r="J10266" i="8"/>
  <c r="J10265" i="8"/>
  <c r="J10264" i="8"/>
  <c r="J10263" i="8"/>
  <c r="J10262" i="8"/>
  <c r="J10261" i="8"/>
  <c r="J10260" i="8"/>
  <c r="J10259" i="8"/>
  <c r="J10258" i="8"/>
  <c r="J10257" i="8"/>
  <c r="J10256" i="8"/>
  <c r="J10255" i="8"/>
  <c r="J10254" i="8"/>
  <c r="J10253" i="8"/>
  <c r="J10252" i="8"/>
  <c r="J10251" i="8"/>
  <c r="J10250" i="8"/>
  <c r="J10249" i="8"/>
  <c r="J10248" i="8"/>
  <c r="J10247" i="8"/>
  <c r="J10246" i="8"/>
  <c r="J10245" i="8"/>
  <c r="J10244" i="8"/>
  <c r="J10243" i="8"/>
  <c r="J10242" i="8"/>
  <c r="J10241" i="8"/>
  <c r="J10240" i="8"/>
  <c r="J10239" i="8"/>
  <c r="J10238" i="8"/>
  <c r="J10237" i="8"/>
  <c r="J10236" i="8"/>
  <c r="J10235" i="8"/>
  <c r="J10234" i="8"/>
  <c r="J10233" i="8"/>
  <c r="J10232" i="8"/>
  <c r="J10231" i="8"/>
  <c r="J10230" i="8"/>
  <c r="J10229" i="8"/>
  <c r="J10228" i="8"/>
  <c r="J10227" i="8"/>
  <c r="J10226" i="8"/>
  <c r="J10225" i="8"/>
  <c r="J10224" i="8"/>
  <c r="J10223" i="8"/>
  <c r="J10222" i="8"/>
  <c r="J10221" i="8"/>
  <c r="J10220" i="8"/>
  <c r="J10219" i="8"/>
  <c r="J10218" i="8"/>
  <c r="J10217" i="8"/>
  <c r="J10216" i="8"/>
  <c r="I10210" i="8"/>
  <c r="H10210" i="8"/>
  <c r="J10209" i="8"/>
  <c r="J10208" i="8"/>
  <c r="J10207" i="8"/>
  <c r="J10206" i="8"/>
  <c r="J10205" i="8"/>
  <c r="J10204" i="8"/>
  <c r="J10203" i="8"/>
  <c r="J10202" i="8"/>
  <c r="J10201" i="8"/>
  <c r="J10200" i="8"/>
  <c r="J10199" i="8"/>
  <c r="J10198" i="8"/>
  <c r="J10197" i="8"/>
  <c r="J10196" i="8"/>
  <c r="J10195" i="8"/>
  <c r="J10194" i="8"/>
  <c r="I10190" i="8"/>
  <c r="F49" i="7" s="1"/>
  <c r="J10189" i="8"/>
  <c r="J10188" i="8"/>
  <c r="J10187" i="8"/>
  <c r="J10186" i="8"/>
  <c r="J10185" i="8"/>
  <c r="J10184" i="8"/>
  <c r="J10183" i="8"/>
  <c r="J10182" i="8"/>
  <c r="J10181" i="8"/>
  <c r="J10180" i="8"/>
  <c r="J10179" i="8"/>
  <c r="J10178" i="8"/>
  <c r="J10177" i="8"/>
  <c r="J10176" i="8"/>
  <c r="J10175" i="8"/>
  <c r="I10172" i="8"/>
  <c r="J10171" i="8"/>
  <c r="J10170" i="8"/>
  <c r="J10169" i="8"/>
  <c r="J10168" i="8"/>
  <c r="J10167" i="8"/>
  <c r="J10166" i="8"/>
  <c r="J10165" i="8"/>
  <c r="J10164" i="8"/>
  <c r="J10163" i="8"/>
  <c r="J10162" i="8"/>
  <c r="J10161" i="8"/>
  <c r="J10160" i="8"/>
  <c r="J10159" i="8"/>
  <c r="J10158" i="8"/>
  <c r="J10157" i="8"/>
  <c r="H10172" i="8"/>
  <c r="C93" i="6" s="1"/>
  <c r="J10154" i="8"/>
  <c r="J10153" i="8"/>
  <c r="J10152" i="8"/>
  <c r="J10151" i="8"/>
  <c r="J10150" i="8"/>
  <c r="J10149" i="8"/>
  <c r="J10148" i="8"/>
  <c r="J10147" i="8"/>
  <c r="J10146" i="8"/>
  <c r="J10145" i="8"/>
  <c r="J10144" i="8"/>
  <c r="J10143" i="8"/>
  <c r="J10142" i="8"/>
  <c r="J10141" i="8"/>
  <c r="J10140" i="8"/>
  <c r="J10139" i="8"/>
  <c r="J10138" i="8"/>
  <c r="J10137" i="8"/>
  <c r="J10136" i="8"/>
  <c r="J10135" i="8"/>
  <c r="J10134" i="8"/>
  <c r="J10133" i="8"/>
  <c r="J10132" i="8"/>
  <c r="J10131" i="8"/>
  <c r="J10130" i="8"/>
  <c r="J10129" i="8"/>
  <c r="J10128" i="8"/>
  <c r="J10127" i="8"/>
  <c r="J10126" i="8"/>
  <c r="J10125" i="8"/>
  <c r="J10124" i="8"/>
  <c r="J10123" i="8"/>
  <c r="J10122" i="8"/>
  <c r="J10121" i="8"/>
  <c r="J10120" i="8"/>
  <c r="J10119" i="8"/>
  <c r="J10118" i="8"/>
  <c r="J10117" i="8"/>
  <c r="J10116" i="8"/>
  <c r="J10115" i="8"/>
  <c r="J10114" i="8"/>
  <c r="J10113" i="8"/>
  <c r="J10112" i="8"/>
  <c r="J10111" i="8"/>
  <c r="J10110" i="8"/>
  <c r="J10109" i="8"/>
  <c r="J10108" i="8"/>
  <c r="J10107" i="8"/>
  <c r="J10106" i="8"/>
  <c r="J10105" i="8"/>
  <c r="J10104" i="8"/>
  <c r="J10103" i="8"/>
  <c r="J10102" i="8"/>
  <c r="J10101" i="8"/>
  <c r="J10100" i="8"/>
  <c r="J10099" i="8"/>
  <c r="J10098" i="8"/>
  <c r="J10097" i="8"/>
  <c r="J10096" i="8"/>
  <c r="J10095" i="8"/>
  <c r="I10091" i="8"/>
  <c r="F46" i="7" s="1"/>
  <c r="J10090" i="8"/>
  <c r="J10089" i="8"/>
  <c r="J10088" i="8"/>
  <c r="J10087" i="8"/>
  <c r="J10086" i="8"/>
  <c r="J10085" i="8"/>
  <c r="J10084" i="8"/>
  <c r="J10083" i="8"/>
  <c r="J10082" i="8"/>
  <c r="J10081" i="8"/>
  <c r="J10080" i="8"/>
  <c r="J10079" i="8"/>
  <c r="J10078" i="8"/>
  <c r="J10077" i="8"/>
  <c r="J10076" i="8"/>
  <c r="I10073" i="8"/>
  <c r="J10072" i="8"/>
  <c r="J10071" i="8"/>
  <c r="J10070" i="8"/>
  <c r="J10069" i="8"/>
  <c r="J10068" i="8"/>
  <c r="J10067" i="8"/>
  <c r="J10066" i="8"/>
  <c r="J10065" i="8"/>
  <c r="J10064" i="8"/>
  <c r="J10063" i="8"/>
  <c r="J10062" i="8"/>
  <c r="J10061" i="8"/>
  <c r="J10060" i="8"/>
  <c r="J10059" i="8"/>
  <c r="J10058" i="8"/>
  <c r="J10055" i="8"/>
  <c r="J10054" i="8"/>
  <c r="J10053" i="8"/>
  <c r="J10052" i="8"/>
  <c r="J10051" i="8"/>
  <c r="J10050" i="8"/>
  <c r="J10049" i="8"/>
  <c r="J10048" i="8"/>
  <c r="J10047" i="8"/>
  <c r="J10046" i="8"/>
  <c r="J10045" i="8"/>
  <c r="J10044" i="8"/>
  <c r="J10043" i="8"/>
  <c r="J10042" i="8"/>
  <c r="J10041" i="8"/>
  <c r="J10040" i="8"/>
  <c r="J10039" i="8"/>
  <c r="J10038" i="8"/>
  <c r="J10037" i="8"/>
  <c r="J10036" i="8"/>
  <c r="J10035" i="8"/>
  <c r="J10034" i="8"/>
  <c r="J10033" i="8"/>
  <c r="J10032" i="8"/>
  <c r="J10031" i="8"/>
  <c r="J10030" i="8"/>
  <c r="J10029" i="8"/>
  <c r="J10028" i="8"/>
  <c r="J10027" i="8"/>
  <c r="J10026" i="8"/>
  <c r="J10025" i="8"/>
  <c r="J10024" i="8"/>
  <c r="J10023" i="8"/>
  <c r="J10022" i="8"/>
  <c r="J10021" i="8"/>
  <c r="J10020" i="8"/>
  <c r="J10019" i="8"/>
  <c r="J10018" i="8"/>
  <c r="J10017" i="8"/>
  <c r="J10016" i="8"/>
  <c r="J10015" i="8"/>
  <c r="J10014" i="8"/>
  <c r="J10013" i="8"/>
  <c r="J10012" i="8"/>
  <c r="J10011" i="8"/>
  <c r="J10010" i="8"/>
  <c r="J10009" i="8"/>
  <c r="J10008" i="8"/>
  <c r="J10007" i="8"/>
  <c r="J10006" i="8"/>
  <c r="J10005" i="8"/>
  <c r="J10004" i="8"/>
  <c r="J10003" i="8"/>
  <c r="J10002" i="8"/>
  <c r="J10001" i="8"/>
  <c r="J10000" i="8"/>
  <c r="J9999" i="8"/>
  <c r="J9998" i="8"/>
  <c r="J9997" i="8"/>
  <c r="J9996" i="8"/>
  <c r="I9992" i="8"/>
  <c r="F45" i="7" s="1"/>
  <c r="J9991" i="8"/>
  <c r="J9990" i="8"/>
  <c r="J9989" i="8"/>
  <c r="J9988" i="8"/>
  <c r="J9987" i="8"/>
  <c r="J9986" i="8"/>
  <c r="J9985" i="8"/>
  <c r="J9984" i="8"/>
  <c r="J9983" i="8"/>
  <c r="J9982" i="8"/>
  <c r="J9981" i="8"/>
  <c r="J9980" i="8"/>
  <c r="J9979" i="8"/>
  <c r="J9978" i="8"/>
  <c r="J9977" i="8"/>
  <c r="I9974" i="8"/>
  <c r="E91" i="6" s="1"/>
  <c r="J9973" i="8"/>
  <c r="J9972" i="8"/>
  <c r="J9971" i="8"/>
  <c r="J9970" i="8"/>
  <c r="J9969" i="8"/>
  <c r="J9968" i="8"/>
  <c r="J9967" i="8"/>
  <c r="J9966" i="8"/>
  <c r="J9965" i="8"/>
  <c r="J9964" i="8"/>
  <c r="J9963" i="8"/>
  <c r="J9962" i="8"/>
  <c r="J9961" i="8"/>
  <c r="J9960" i="8"/>
  <c r="J9959" i="8"/>
  <c r="H9974" i="8"/>
  <c r="C91" i="6" s="1"/>
  <c r="J9956" i="8"/>
  <c r="J9955" i="8"/>
  <c r="J9954" i="8"/>
  <c r="J9953" i="8"/>
  <c r="J9952" i="8"/>
  <c r="J9951" i="8"/>
  <c r="J9950" i="8"/>
  <c r="J9949" i="8"/>
  <c r="J9948" i="8"/>
  <c r="J9947" i="8"/>
  <c r="J9946" i="8"/>
  <c r="J9945" i="8"/>
  <c r="J9944" i="8"/>
  <c r="J9943" i="8"/>
  <c r="J9942" i="8"/>
  <c r="J9941" i="8"/>
  <c r="J9940" i="8"/>
  <c r="J9939" i="8"/>
  <c r="J9938" i="8"/>
  <c r="J9937" i="8"/>
  <c r="J9936" i="8"/>
  <c r="J9935" i="8"/>
  <c r="J9934" i="8"/>
  <c r="J9933" i="8"/>
  <c r="J9932" i="8"/>
  <c r="J9931" i="8"/>
  <c r="J9930" i="8"/>
  <c r="J9929" i="8"/>
  <c r="J9928" i="8"/>
  <c r="J9927" i="8"/>
  <c r="J9926" i="8"/>
  <c r="J9925" i="8"/>
  <c r="J9924" i="8"/>
  <c r="J9923" i="8"/>
  <c r="J9922" i="8"/>
  <c r="J9921" i="8"/>
  <c r="J9920" i="8"/>
  <c r="J9919" i="8"/>
  <c r="J9918" i="8"/>
  <c r="J9917" i="8"/>
  <c r="J9916" i="8"/>
  <c r="J9915" i="8"/>
  <c r="J9914" i="8"/>
  <c r="J9913" i="8"/>
  <c r="J9912" i="8"/>
  <c r="J9911" i="8"/>
  <c r="J9910" i="8"/>
  <c r="J9909" i="8"/>
  <c r="J9908" i="8"/>
  <c r="J9907" i="8"/>
  <c r="J9906" i="8"/>
  <c r="J9905" i="8"/>
  <c r="J9904" i="8"/>
  <c r="J9903" i="8"/>
  <c r="J9902" i="8"/>
  <c r="J9901" i="8"/>
  <c r="J9900" i="8"/>
  <c r="J9899" i="8"/>
  <c r="J9898" i="8"/>
  <c r="J9897" i="8"/>
  <c r="I9893" i="8"/>
  <c r="F44" i="7" s="1"/>
  <c r="J9892" i="8"/>
  <c r="J9891" i="8"/>
  <c r="J9890" i="8"/>
  <c r="J9889" i="8"/>
  <c r="J9888" i="8"/>
  <c r="J9887" i="8"/>
  <c r="J9886" i="8"/>
  <c r="J9885" i="8"/>
  <c r="J9884" i="8"/>
  <c r="J9883" i="8"/>
  <c r="J9882" i="8"/>
  <c r="J9881" i="8"/>
  <c r="J9880" i="8"/>
  <c r="J9879" i="8"/>
  <c r="J9878" i="8"/>
  <c r="I9875" i="8"/>
  <c r="J9874" i="8"/>
  <c r="J9873" i="8"/>
  <c r="J9872" i="8"/>
  <c r="J9871" i="8"/>
  <c r="J9870" i="8"/>
  <c r="J9869" i="8"/>
  <c r="J9868" i="8"/>
  <c r="J9867" i="8"/>
  <c r="J9866" i="8"/>
  <c r="J9865" i="8"/>
  <c r="J9864" i="8"/>
  <c r="J9863" i="8"/>
  <c r="J9862" i="8"/>
  <c r="J9861" i="8"/>
  <c r="J9860" i="8"/>
  <c r="J9857" i="8"/>
  <c r="J9856" i="8"/>
  <c r="J9855" i="8"/>
  <c r="J9854" i="8"/>
  <c r="J9853" i="8"/>
  <c r="J9852" i="8"/>
  <c r="J9851" i="8"/>
  <c r="J9850" i="8"/>
  <c r="J9849" i="8"/>
  <c r="J9848" i="8"/>
  <c r="J9847" i="8"/>
  <c r="J9846" i="8"/>
  <c r="J9845" i="8"/>
  <c r="J9844" i="8"/>
  <c r="J9843" i="8"/>
  <c r="J9842" i="8"/>
  <c r="J9841" i="8"/>
  <c r="J9840" i="8"/>
  <c r="J9839" i="8"/>
  <c r="J9838" i="8"/>
  <c r="J9837" i="8"/>
  <c r="J9836" i="8"/>
  <c r="J9835" i="8"/>
  <c r="J9834" i="8"/>
  <c r="J9833" i="8"/>
  <c r="J9832" i="8"/>
  <c r="J9831" i="8"/>
  <c r="J9830" i="8"/>
  <c r="J9829" i="8"/>
  <c r="J9828" i="8"/>
  <c r="J9827" i="8"/>
  <c r="J9826" i="8"/>
  <c r="J9825" i="8"/>
  <c r="J9824" i="8"/>
  <c r="J9823" i="8"/>
  <c r="J9822" i="8"/>
  <c r="J9821" i="8"/>
  <c r="J9820" i="8"/>
  <c r="J9819" i="8"/>
  <c r="J9818" i="8"/>
  <c r="J9817" i="8"/>
  <c r="J9816" i="8"/>
  <c r="J9815" i="8"/>
  <c r="J9814" i="8"/>
  <c r="J9813" i="8"/>
  <c r="J9812" i="8"/>
  <c r="J9811" i="8"/>
  <c r="J9810" i="8"/>
  <c r="J9809" i="8"/>
  <c r="J9808" i="8"/>
  <c r="J9807" i="8"/>
  <c r="J9806" i="8"/>
  <c r="J9805" i="8"/>
  <c r="J9804" i="8"/>
  <c r="J9803" i="8"/>
  <c r="J9802" i="8"/>
  <c r="J9801" i="8"/>
  <c r="J9800" i="8"/>
  <c r="J9799" i="8"/>
  <c r="J9798" i="8"/>
  <c r="I9794" i="8"/>
  <c r="F43" i="7" s="1"/>
  <c r="J9793" i="8"/>
  <c r="J9792" i="8"/>
  <c r="J9791" i="8"/>
  <c r="J9790" i="8"/>
  <c r="J9789" i="8"/>
  <c r="J9788" i="8"/>
  <c r="J9787" i="8"/>
  <c r="J9786" i="8"/>
  <c r="J9785" i="8"/>
  <c r="J9784" i="8"/>
  <c r="J9783" i="8"/>
  <c r="J9782" i="8"/>
  <c r="J9781" i="8"/>
  <c r="J9780" i="8"/>
  <c r="J9779" i="8"/>
  <c r="I9776" i="8"/>
  <c r="J9775" i="8"/>
  <c r="J9774" i="8"/>
  <c r="J9773" i="8"/>
  <c r="J9772" i="8"/>
  <c r="J9771" i="8"/>
  <c r="J9770" i="8"/>
  <c r="J9769" i="8"/>
  <c r="J9768" i="8"/>
  <c r="J9767" i="8"/>
  <c r="J9766" i="8"/>
  <c r="J9765" i="8"/>
  <c r="J9764" i="8"/>
  <c r="J9763" i="8"/>
  <c r="J9762" i="8"/>
  <c r="J9761" i="8"/>
  <c r="J9758" i="8"/>
  <c r="J9757" i="8"/>
  <c r="J9756" i="8"/>
  <c r="J9755" i="8"/>
  <c r="J9754" i="8"/>
  <c r="J9753" i="8"/>
  <c r="J9752" i="8"/>
  <c r="J9751" i="8"/>
  <c r="J9750" i="8"/>
  <c r="J9749" i="8"/>
  <c r="J9748" i="8"/>
  <c r="J9747" i="8"/>
  <c r="J9746" i="8"/>
  <c r="J9745" i="8"/>
  <c r="J9744" i="8"/>
  <c r="J9743" i="8"/>
  <c r="J9742" i="8"/>
  <c r="J9741" i="8"/>
  <c r="J9740" i="8"/>
  <c r="J9739" i="8"/>
  <c r="J9738" i="8"/>
  <c r="J9737" i="8"/>
  <c r="J9736" i="8"/>
  <c r="J9735" i="8"/>
  <c r="J9734" i="8"/>
  <c r="J9733" i="8"/>
  <c r="J9732" i="8"/>
  <c r="J9731" i="8"/>
  <c r="J9730" i="8"/>
  <c r="J9729" i="8"/>
  <c r="J9728" i="8"/>
  <c r="J9727" i="8"/>
  <c r="J9726" i="8"/>
  <c r="J9725" i="8"/>
  <c r="J9724" i="8"/>
  <c r="J9723" i="8"/>
  <c r="J9722" i="8"/>
  <c r="J9721" i="8"/>
  <c r="J9720" i="8"/>
  <c r="J9719" i="8"/>
  <c r="J9718" i="8"/>
  <c r="J9717" i="8"/>
  <c r="J9716" i="8"/>
  <c r="J9715" i="8"/>
  <c r="J9714" i="8"/>
  <c r="J9713" i="8"/>
  <c r="J9712" i="8"/>
  <c r="J9711" i="8"/>
  <c r="J9710" i="8"/>
  <c r="J9709" i="8"/>
  <c r="J9708" i="8"/>
  <c r="J9707" i="8"/>
  <c r="J9706" i="8"/>
  <c r="J9705" i="8"/>
  <c r="J9704" i="8"/>
  <c r="J9703" i="8"/>
  <c r="J9702" i="8"/>
  <c r="J9701" i="8"/>
  <c r="J9700" i="8"/>
  <c r="J9699" i="8"/>
  <c r="I9695" i="8"/>
  <c r="F41" i="7" s="1"/>
  <c r="J9694" i="8"/>
  <c r="J9693" i="8"/>
  <c r="J9692" i="8"/>
  <c r="J9691" i="8"/>
  <c r="J9690" i="8"/>
  <c r="J9689" i="8"/>
  <c r="J9688" i="8"/>
  <c r="J9687" i="8"/>
  <c r="J9686" i="8"/>
  <c r="J9685" i="8"/>
  <c r="J9684" i="8"/>
  <c r="J9683" i="8"/>
  <c r="J9682" i="8"/>
  <c r="J9681" i="8"/>
  <c r="J9680" i="8"/>
  <c r="I9677" i="8"/>
  <c r="J9676" i="8"/>
  <c r="J9675" i="8"/>
  <c r="J9674" i="8"/>
  <c r="J9673" i="8"/>
  <c r="J9672" i="8"/>
  <c r="J9671" i="8"/>
  <c r="J9670" i="8"/>
  <c r="J9669" i="8"/>
  <c r="J9668" i="8"/>
  <c r="J9667" i="8"/>
  <c r="J9666" i="8"/>
  <c r="J9665" i="8"/>
  <c r="J9664" i="8"/>
  <c r="J9663" i="8"/>
  <c r="J9662" i="8"/>
  <c r="J9659" i="8"/>
  <c r="J9658" i="8"/>
  <c r="J9657" i="8"/>
  <c r="J9656" i="8"/>
  <c r="J9655" i="8"/>
  <c r="J9654" i="8"/>
  <c r="J9653" i="8"/>
  <c r="J9652" i="8"/>
  <c r="J9651" i="8"/>
  <c r="J9650" i="8"/>
  <c r="J9649" i="8"/>
  <c r="J9648" i="8"/>
  <c r="J9647" i="8"/>
  <c r="J9646" i="8"/>
  <c r="J9645" i="8"/>
  <c r="J9644" i="8"/>
  <c r="J9643" i="8"/>
  <c r="J9642" i="8"/>
  <c r="J9641" i="8"/>
  <c r="J9640" i="8"/>
  <c r="J9639" i="8"/>
  <c r="J9638" i="8"/>
  <c r="J9637" i="8"/>
  <c r="J9636" i="8"/>
  <c r="J9635" i="8"/>
  <c r="J9634" i="8"/>
  <c r="J9633" i="8"/>
  <c r="J9632" i="8"/>
  <c r="J9631" i="8"/>
  <c r="J9630" i="8"/>
  <c r="J9629" i="8"/>
  <c r="J9628" i="8"/>
  <c r="J9627" i="8"/>
  <c r="J9626" i="8"/>
  <c r="J9625" i="8"/>
  <c r="J9624" i="8"/>
  <c r="J9623" i="8"/>
  <c r="J9622" i="8"/>
  <c r="J9621" i="8"/>
  <c r="J9620" i="8"/>
  <c r="J9619" i="8"/>
  <c r="J9618" i="8"/>
  <c r="J9617" i="8"/>
  <c r="J9616" i="8"/>
  <c r="J9615" i="8"/>
  <c r="J9614" i="8"/>
  <c r="J9613" i="8"/>
  <c r="J9612" i="8"/>
  <c r="J9611" i="8"/>
  <c r="J9610" i="8"/>
  <c r="J9609" i="8"/>
  <c r="J9608" i="8"/>
  <c r="J9607" i="8"/>
  <c r="J9606" i="8"/>
  <c r="J9605" i="8"/>
  <c r="J9604" i="8"/>
  <c r="J9603" i="8"/>
  <c r="J9602" i="8"/>
  <c r="J9601" i="8"/>
  <c r="J9600" i="8"/>
  <c r="I9596" i="8"/>
  <c r="F37" i="7" s="1"/>
  <c r="J9595" i="8"/>
  <c r="J9594" i="8"/>
  <c r="J9593" i="8"/>
  <c r="J9592" i="8"/>
  <c r="J9591" i="8"/>
  <c r="J9590" i="8"/>
  <c r="J9589" i="8"/>
  <c r="J9588" i="8"/>
  <c r="J9587" i="8"/>
  <c r="J9586" i="8"/>
  <c r="J9585" i="8"/>
  <c r="J9584" i="8"/>
  <c r="J9583" i="8"/>
  <c r="J9582" i="8"/>
  <c r="J9581" i="8"/>
  <c r="E81" i="6"/>
  <c r="J9577" i="8"/>
  <c r="J9576" i="8"/>
  <c r="J9575" i="8"/>
  <c r="J9574" i="8"/>
  <c r="J9573" i="8"/>
  <c r="J9572" i="8"/>
  <c r="J9571" i="8"/>
  <c r="J9570" i="8"/>
  <c r="J9569" i="8"/>
  <c r="J9568" i="8"/>
  <c r="J9567" i="8"/>
  <c r="J9566" i="8"/>
  <c r="J9565" i="8"/>
  <c r="J9564" i="8"/>
  <c r="J9563" i="8"/>
  <c r="C81" i="6"/>
  <c r="J9560" i="8"/>
  <c r="J9559" i="8"/>
  <c r="J9558" i="8"/>
  <c r="J9557" i="8"/>
  <c r="J9556" i="8"/>
  <c r="J9555" i="8"/>
  <c r="J9554" i="8"/>
  <c r="J9553" i="8"/>
  <c r="J9552" i="8"/>
  <c r="J9551" i="8"/>
  <c r="J9550" i="8"/>
  <c r="J9549" i="8"/>
  <c r="J9548" i="8"/>
  <c r="J9547" i="8"/>
  <c r="J9546" i="8"/>
  <c r="J9545" i="8"/>
  <c r="J9544" i="8"/>
  <c r="J9543" i="8"/>
  <c r="J9542" i="8"/>
  <c r="J9541" i="8"/>
  <c r="J9540" i="8"/>
  <c r="J9539" i="8"/>
  <c r="J9538" i="8"/>
  <c r="J9537" i="8"/>
  <c r="J9536" i="8"/>
  <c r="J9535" i="8"/>
  <c r="J9534" i="8"/>
  <c r="J9533" i="8"/>
  <c r="J9532" i="8"/>
  <c r="J9531" i="8"/>
  <c r="J9530" i="8"/>
  <c r="J9529" i="8"/>
  <c r="J9528" i="8"/>
  <c r="J9527" i="8"/>
  <c r="J9526" i="8"/>
  <c r="J9525" i="8"/>
  <c r="J9524" i="8"/>
  <c r="J9523" i="8"/>
  <c r="J9522" i="8"/>
  <c r="J9521" i="8"/>
  <c r="J9520" i="8"/>
  <c r="J9519" i="8"/>
  <c r="J9518" i="8"/>
  <c r="J9517" i="8"/>
  <c r="J9516" i="8"/>
  <c r="J9515" i="8"/>
  <c r="J9514" i="8"/>
  <c r="J9513" i="8"/>
  <c r="J9512" i="8"/>
  <c r="J9511" i="8"/>
  <c r="J9510" i="8"/>
  <c r="J9509" i="8"/>
  <c r="J9508" i="8"/>
  <c r="J9507" i="8"/>
  <c r="J9506" i="8"/>
  <c r="J9505" i="8"/>
  <c r="J9504" i="8"/>
  <c r="J9503" i="8"/>
  <c r="J9502" i="8"/>
  <c r="J9501" i="8"/>
  <c r="J9496" i="8"/>
  <c r="J9495" i="8"/>
  <c r="J9494" i="8"/>
  <c r="J9493" i="8"/>
  <c r="J9492" i="8"/>
  <c r="J9491" i="8"/>
  <c r="J9490" i="8"/>
  <c r="J9489" i="8"/>
  <c r="J9488" i="8"/>
  <c r="J9487" i="8"/>
  <c r="J9486" i="8"/>
  <c r="J9485" i="8"/>
  <c r="J9484" i="8"/>
  <c r="J9483" i="8"/>
  <c r="J9482" i="8"/>
  <c r="I9479" i="8"/>
  <c r="E90" i="6" s="1"/>
  <c r="J9478" i="8"/>
  <c r="J9477" i="8"/>
  <c r="J9476" i="8"/>
  <c r="J9475" i="8"/>
  <c r="J9474" i="8"/>
  <c r="J9473" i="8"/>
  <c r="J9472" i="8"/>
  <c r="J9471" i="8"/>
  <c r="J9470" i="8"/>
  <c r="J9469" i="8"/>
  <c r="J9468" i="8"/>
  <c r="J9467" i="8"/>
  <c r="J9466" i="8"/>
  <c r="J9465" i="8"/>
  <c r="J9464" i="8"/>
  <c r="C90" i="6"/>
  <c r="J9461" i="8"/>
  <c r="J9460" i="8"/>
  <c r="J9459" i="8"/>
  <c r="J9458" i="8"/>
  <c r="J9457" i="8"/>
  <c r="J9456" i="8"/>
  <c r="J9455" i="8"/>
  <c r="J9454" i="8"/>
  <c r="J9453" i="8"/>
  <c r="J9452" i="8"/>
  <c r="J9451" i="8"/>
  <c r="J9450" i="8"/>
  <c r="J9449" i="8"/>
  <c r="J9448" i="8"/>
  <c r="J9447" i="8"/>
  <c r="J9446" i="8"/>
  <c r="J9445" i="8"/>
  <c r="J9444" i="8"/>
  <c r="J9443" i="8"/>
  <c r="J9442" i="8"/>
  <c r="J9441" i="8"/>
  <c r="J9440" i="8"/>
  <c r="J9439" i="8"/>
  <c r="J9438" i="8"/>
  <c r="J9437" i="8"/>
  <c r="J9436" i="8"/>
  <c r="J9435" i="8"/>
  <c r="J9434" i="8"/>
  <c r="J9433" i="8"/>
  <c r="J9432" i="8"/>
  <c r="J9431" i="8"/>
  <c r="J9430" i="8"/>
  <c r="J9429" i="8"/>
  <c r="J9428" i="8"/>
  <c r="J9427" i="8"/>
  <c r="J9426" i="8"/>
  <c r="J9425" i="8"/>
  <c r="J9424" i="8"/>
  <c r="J9423" i="8"/>
  <c r="J9422" i="8"/>
  <c r="J9421" i="8"/>
  <c r="J9420" i="8"/>
  <c r="J9419" i="8"/>
  <c r="J9418" i="8"/>
  <c r="J9417" i="8"/>
  <c r="J9416" i="8"/>
  <c r="J9415" i="8"/>
  <c r="J9414" i="8"/>
  <c r="J9413" i="8"/>
  <c r="J9412" i="8"/>
  <c r="J9411" i="8"/>
  <c r="J9410" i="8"/>
  <c r="J9409" i="8"/>
  <c r="J9408" i="8"/>
  <c r="J9407" i="8"/>
  <c r="J9406" i="8"/>
  <c r="J9405" i="8"/>
  <c r="J9404" i="8"/>
  <c r="J9403" i="8"/>
  <c r="J9402" i="8"/>
  <c r="I9377" i="8"/>
  <c r="F10" i="7" s="1"/>
  <c r="J9376" i="8"/>
  <c r="J9375" i="8"/>
  <c r="J9374" i="8"/>
  <c r="J9373" i="8"/>
  <c r="J9372" i="8"/>
  <c r="J9371" i="8"/>
  <c r="J9370" i="8"/>
  <c r="J9369" i="8"/>
  <c r="J9368" i="8"/>
  <c r="J9367" i="8"/>
  <c r="J9366" i="8"/>
  <c r="J9365" i="8"/>
  <c r="J9364" i="8"/>
  <c r="J9363" i="8"/>
  <c r="J9362" i="8"/>
  <c r="I9359" i="8"/>
  <c r="J9358" i="8"/>
  <c r="J9357" i="8"/>
  <c r="J9356" i="8"/>
  <c r="J9355" i="8"/>
  <c r="J9354" i="8"/>
  <c r="J9353" i="8"/>
  <c r="J9352" i="8"/>
  <c r="J9351" i="8"/>
  <c r="J9350" i="8"/>
  <c r="J9349" i="8"/>
  <c r="J9348" i="8"/>
  <c r="J9347" i="8"/>
  <c r="J9346" i="8"/>
  <c r="J9345" i="8"/>
  <c r="J9344" i="8"/>
  <c r="J9341" i="8"/>
  <c r="J9340" i="8"/>
  <c r="J9339" i="8"/>
  <c r="J9338" i="8"/>
  <c r="J9337" i="8"/>
  <c r="J9336" i="8"/>
  <c r="J9335" i="8"/>
  <c r="J9334" i="8"/>
  <c r="J9333" i="8"/>
  <c r="J9332" i="8"/>
  <c r="J9331" i="8"/>
  <c r="J9330" i="8"/>
  <c r="J9329" i="8"/>
  <c r="J9328" i="8"/>
  <c r="J9327" i="8"/>
  <c r="J9326" i="8"/>
  <c r="J9325" i="8"/>
  <c r="J9324" i="8"/>
  <c r="J9323" i="8"/>
  <c r="J9322" i="8"/>
  <c r="J9321" i="8"/>
  <c r="J9320" i="8"/>
  <c r="J9319" i="8"/>
  <c r="J9318" i="8"/>
  <c r="J9317" i="8"/>
  <c r="J9316" i="8"/>
  <c r="J9315" i="8"/>
  <c r="J9314" i="8"/>
  <c r="J9313" i="8"/>
  <c r="J9312" i="8"/>
  <c r="J9311" i="8"/>
  <c r="J9310" i="8"/>
  <c r="J9309" i="8"/>
  <c r="J9308" i="8"/>
  <c r="J9307" i="8"/>
  <c r="J9306" i="8"/>
  <c r="J9305" i="8"/>
  <c r="J9304" i="8"/>
  <c r="J9303" i="8"/>
  <c r="J9302" i="8"/>
  <c r="J9301" i="8"/>
  <c r="J9300" i="8"/>
  <c r="J9299" i="8"/>
  <c r="J9298" i="8"/>
  <c r="J9297" i="8"/>
  <c r="J9296" i="8"/>
  <c r="J9295" i="8"/>
  <c r="J9294" i="8"/>
  <c r="J9293" i="8"/>
  <c r="J9292" i="8"/>
  <c r="J9291" i="8"/>
  <c r="J9290" i="8"/>
  <c r="J9289" i="8"/>
  <c r="J9288" i="8"/>
  <c r="J9287" i="8"/>
  <c r="J9286" i="8"/>
  <c r="J9285" i="8"/>
  <c r="J9284" i="8"/>
  <c r="J9283" i="8"/>
  <c r="J9282" i="8"/>
  <c r="I9278" i="8"/>
  <c r="J9277" i="8"/>
  <c r="J9276" i="8"/>
  <c r="J9275" i="8"/>
  <c r="J9274" i="8"/>
  <c r="J9273" i="8"/>
  <c r="J9272" i="8"/>
  <c r="J9271" i="8"/>
  <c r="J9270" i="8"/>
  <c r="J9269" i="8"/>
  <c r="J9268" i="8"/>
  <c r="J9267" i="8"/>
  <c r="J9266" i="8"/>
  <c r="J9265" i="8"/>
  <c r="J9264" i="8"/>
  <c r="J9263" i="8"/>
  <c r="I9260" i="8"/>
  <c r="J9259" i="8"/>
  <c r="J9258" i="8"/>
  <c r="J9257" i="8"/>
  <c r="J9256" i="8"/>
  <c r="J9255" i="8"/>
  <c r="J9254" i="8"/>
  <c r="J9253" i="8"/>
  <c r="J9252" i="8"/>
  <c r="J9251" i="8"/>
  <c r="J9250" i="8"/>
  <c r="J9249" i="8"/>
  <c r="J9248" i="8"/>
  <c r="J9247" i="8"/>
  <c r="J9246" i="8"/>
  <c r="J9245" i="8"/>
  <c r="H9260" i="8"/>
  <c r="J9242" i="8"/>
  <c r="J9241" i="8"/>
  <c r="J9240" i="8"/>
  <c r="J9239" i="8"/>
  <c r="J9238" i="8"/>
  <c r="J9237" i="8"/>
  <c r="J9236" i="8"/>
  <c r="J9235" i="8"/>
  <c r="J9234" i="8"/>
  <c r="J9233" i="8"/>
  <c r="J9232" i="8"/>
  <c r="J9231" i="8"/>
  <c r="J9230" i="8"/>
  <c r="J9229" i="8"/>
  <c r="J9228" i="8"/>
  <c r="J9227" i="8"/>
  <c r="J9226" i="8"/>
  <c r="J9225" i="8"/>
  <c r="J9224" i="8"/>
  <c r="J9223" i="8"/>
  <c r="J9222" i="8"/>
  <c r="J9221" i="8"/>
  <c r="J9220" i="8"/>
  <c r="J9219" i="8"/>
  <c r="J9218" i="8"/>
  <c r="J9217" i="8"/>
  <c r="J9216" i="8"/>
  <c r="J9215" i="8"/>
  <c r="J9214" i="8"/>
  <c r="J9213" i="8"/>
  <c r="J9212" i="8"/>
  <c r="J9211" i="8"/>
  <c r="J9210" i="8"/>
  <c r="J9209" i="8"/>
  <c r="J9208" i="8"/>
  <c r="J9207" i="8"/>
  <c r="J9206" i="8"/>
  <c r="J9205" i="8"/>
  <c r="J9204" i="8"/>
  <c r="J9203" i="8"/>
  <c r="J9202" i="8"/>
  <c r="J9201" i="8"/>
  <c r="J9200" i="8"/>
  <c r="J9199" i="8"/>
  <c r="J9198" i="8"/>
  <c r="J9197" i="8"/>
  <c r="J9196" i="8"/>
  <c r="J9195" i="8"/>
  <c r="J9194" i="8"/>
  <c r="J9193" i="8"/>
  <c r="J9192" i="8"/>
  <c r="J9191" i="8"/>
  <c r="J9190" i="8"/>
  <c r="J9189" i="8"/>
  <c r="J9188" i="8"/>
  <c r="J9187" i="8"/>
  <c r="J9186" i="8"/>
  <c r="J9185" i="8"/>
  <c r="J9184" i="8"/>
  <c r="J9183" i="8"/>
  <c r="I9157" i="8"/>
  <c r="H9157" i="8"/>
  <c r="J9156" i="8"/>
  <c r="J9155" i="8"/>
  <c r="J9154" i="8"/>
  <c r="J9153" i="8"/>
  <c r="J9152" i="8"/>
  <c r="J9151" i="8"/>
  <c r="J9150" i="8"/>
  <c r="J9149" i="8"/>
  <c r="J9148" i="8"/>
  <c r="J9147" i="8"/>
  <c r="J9146" i="8"/>
  <c r="J9145" i="8"/>
  <c r="J9144" i="8"/>
  <c r="J9143" i="8"/>
  <c r="J9142" i="8"/>
  <c r="J9141" i="8"/>
  <c r="I8819" i="8"/>
  <c r="H8819" i="8"/>
  <c r="J8818" i="8"/>
  <c r="J8817" i="8"/>
  <c r="J8816" i="8"/>
  <c r="J8815" i="8"/>
  <c r="J8814" i="8"/>
  <c r="J8813" i="8"/>
  <c r="J8812" i="8"/>
  <c r="J8811" i="8"/>
  <c r="J8810" i="8"/>
  <c r="J8809" i="8"/>
  <c r="J8808" i="8"/>
  <c r="J8807" i="8"/>
  <c r="J8806" i="8"/>
  <c r="J8805" i="8"/>
  <c r="J8804" i="8"/>
  <c r="J8803" i="8"/>
  <c r="I9039" i="8"/>
  <c r="J9038" i="8"/>
  <c r="J9037" i="8"/>
  <c r="J9036" i="8"/>
  <c r="J9035" i="8"/>
  <c r="J9034" i="8"/>
  <c r="J9033" i="8"/>
  <c r="J9032" i="8"/>
  <c r="J9031" i="8"/>
  <c r="J9030" i="8"/>
  <c r="J9029" i="8"/>
  <c r="J9028" i="8"/>
  <c r="J9027" i="8"/>
  <c r="J9026" i="8"/>
  <c r="J9025" i="8"/>
  <c r="J9024" i="8"/>
  <c r="I9021" i="8"/>
  <c r="J9020" i="8"/>
  <c r="J9019" i="8"/>
  <c r="J9018" i="8"/>
  <c r="J9017" i="8"/>
  <c r="J9016" i="8"/>
  <c r="J9015" i="8"/>
  <c r="J9014" i="8"/>
  <c r="J9013" i="8"/>
  <c r="J9012" i="8"/>
  <c r="J9011" i="8"/>
  <c r="J9010" i="8"/>
  <c r="J9009" i="8"/>
  <c r="J9008" i="8"/>
  <c r="J9007" i="8"/>
  <c r="J9006" i="8"/>
  <c r="H9021" i="8"/>
  <c r="J9003" i="8"/>
  <c r="J9002" i="8"/>
  <c r="J9001" i="8"/>
  <c r="J9000" i="8"/>
  <c r="J8999" i="8"/>
  <c r="J8998" i="8"/>
  <c r="J8997" i="8"/>
  <c r="J8996" i="8"/>
  <c r="J8995" i="8"/>
  <c r="J8994" i="8"/>
  <c r="J8993" i="8"/>
  <c r="J8992" i="8"/>
  <c r="J8991" i="8"/>
  <c r="J8990" i="8"/>
  <c r="J8989" i="8"/>
  <c r="J8988" i="8"/>
  <c r="J8987" i="8"/>
  <c r="J8986" i="8"/>
  <c r="J8985" i="8"/>
  <c r="J8984" i="8"/>
  <c r="J8983" i="8"/>
  <c r="J8982" i="8"/>
  <c r="J8981" i="8"/>
  <c r="J8980" i="8"/>
  <c r="J8979" i="8"/>
  <c r="J8978" i="8"/>
  <c r="J8977" i="8"/>
  <c r="J8976" i="8"/>
  <c r="J8975" i="8"/>
  <c r="J8974" i="8"/>
  <c r="J8973" i="8"/>
  <c r="J8972" i="8"/>
  <c r="J8971" i="8"/>
  <c r="J8970" i="8"/>
  <c r="J8969" i="8"/>
  <c r="J8968" i="8"/>
  <c r="J8967" i="8"/>
  <c r="J8966" i="8"/>
  <c r="J8965" i="8"/>
  <c r="J8964" i="8"/>
  <c r="J8963" i="8"/>
  <c r="J8962" i="8"/>
  <c r="J8961" i="8"/>
  <c r="J8960" i="8"/>
  <c r="J8959" i="8"/>
  <c r="J8958" i="8"/>
  <c r="J8957" i="8"/>
  <c r="J8956" i="8"/>
  <c r="J8955" i="8"/>
  <c r="J8954" i="8"/>
  <c r="J8953" i="8"/>
  <c r="J8952" i="8"/>
  <c r="J8951" i="8"/>
  <c r="J8950" i="8"/>
  <c r="J8949" i="8"/>
  <c r="J8948" i="8"/>
  <c r="J8947" i="8"/>
  <c r="J8946" i="8"/>
  <c r="J8945" i="8"/>
  <c r="J8944" i="8"/>
  <c r="J8304" i="8"/>
  <c r="J8303" i="8"/>
  <c r="J8302" i="8"/>
  <c r="J8301" i="8"/>
  <c r="J8300" i="8"/>
  <c r="J8299" i="8"/>
  <c r="J8298" i="8"/>
  <c r="J8297" i="8"/>
  <c r="J8296" i="8"/>
  <c r="J8295" i="8"/>
  <c r="J8294" i="8"/>
  <c r="J8293" i="8"/>
  <c r="J8292" i="8"/>
  <c r="J8291" i="8"/>
  <c r="J8290" i="8"/>
  <c r="H8305" i="8"/>
  <c r="D132" i="7" s="1"/>
  <c r="J8286" i="8"/>
  <c r="J8285" i="8"/>
  <c r="J8284" i="8"/>
  <c r="J8283" i="8"/>
  <c r="J8282" i="8"/>
  <c r="J8281" i="8"/>
  <c r="J8280" i="8"/>
  <c r="J8279" i="8"/>
  <c r="J8278" i="8"/>
  <c r="J8277" i="8"/>
  <c r="J8276" i="8"/>
  <c r="J8275" i="8"/>
  <c r="J8274" i="8"/>
  <c r="J8273" i="8"/>
  <c r="J8272" i="8"/>
  <c r="H8287" i="8"/>
  <c r="J8269" i="8"/>
  <c r="J8268" i="8"/>
  <c r="J8267" i="8"/>
  <c r="J8266" i="8"/>
  <c r="J8265" i="8"/>
  <c r="J8264" i="8"/>
  <c r="J8263" i="8"/>
  <c r="J8262" i="8"/>
  <c r="J8261" i="8"/>
  <c r="J8260" i="8"/>
  <c r="J8259" i="8"/>
  <c r="J8258" i="8"/>
  <c r="J8257" i="8"/>
  <c r="J8256" i="8"/>
  <c r="J8255" i="8"/>
  <c r="J8254" i="8"/>
  <c r="J8253" i="8"/>
  <c r="J8252" i="8"/>
  <c r="J8251" i="8"/>
  <c r="J8250" i="8"/>
  <c r="J8249" i="8"/>
  <c r="J8248" i="8"/>
  <c r="J8247" i="8"/>
  <c r="J8246" i="8"/>
  <c r="J8245" i="8"/>
  <c r="J8244" i="8"/>
  <c r="J8243" i="8"/>
  <c r="J8242" i="8"/>
  <c r="J8241" i="8"/>
  <c r="J8240" i="8"/>
  <c r="J8239" i="8"/>
  <c r="J8238" i="8"/>
  <c r="J8237" i="8"/>
  <c r="J8236" i="8"/>
  <c r="J8235" i="8"/>
  <c r="J8234" i="8"/>
  <c r="J8233" i="8"/>
  <c r="J8232" i="8"/>
  <c r="J8231" i="8"/>
  <c r="J8230" i="8"/>
  <c r="J8229" i="8"/>
  <c r="J8228" i="8"/>
  <c r="J8227" i="8"/>
  <c r="J8226" i="8"/>
  <c r="J8225" i="8"/>
  <c r="J8224" i="8"/>
  <c r="J8223" i="8"/>
  <c r="J8222" i="8"/>
  <c r="J8221" i="8"/>
  <c r="J8220" i="8"/>
  <c r="J8219" i="8"/>
  <c r="J8218" i="8"/>
  <c r="J8217" i="8"/>
  <c r="J8216" i="8"/>
  <c r="J8215" i="8"/>
  <c r="J8214" i="8"/>
  <c r="J8213" i="8"/>
  <c r="J8212" i="8"/>
  <c r="J8211" i="8"/>
  <c r="J8210" i="8"/>
  <c r="I9176" i="8"/>
  <c r="H9176" i="8"/>
  <c r="J9175" i="8"/>
  <c r="J9174" i="8"/>
  <c r="J9173" i="8"/>
  <c r="J9172" i="8"/>
  <c r="J9171" i="8"/>
  <c r="J9170" i="8"/>
  <c r="J9169" i="8"/>
  <c r="J9168" i="8"/>
  <c r="J9167" i="8"/>
  <c r="J9166" i="8"/>
  <c r="J9165" i="8"/>
  <c r="J9164" i="8"/>
  <c r="J9163" i="8"/>
  <c r="J9162" i="8"/>
  <c r="J9161" i="8"/>
  <c r="J9160" i="8"/>
  <c r="I9138" i="8"/>
  <c r="F136" i="7" s="1"/>
  <c r="G136" i="7" s="1"/>
  <c r="J9137" i="8"/>
  <c r="J9136" i="8"/>
  <c r="J9135" i="8"/>
  <c r="J9134" i="8"/>
  <c r="J9133" i="8"/>
  <c r="J9132" i="8"/>
  <c r="J9131" i="8"/>
  <c r="J9130" i="8"/>
  <c r="J9129" i="8"/>
  <c r="J9128" i="8"/>
  <c r="J9127" i="8"/>
  <c r="J9126" i="8"/>
  <c r="J9125" i="8"/>
  <c r="J9124" i="8"/>
  <c r="J9123" i="8"/>
  <c r="I9120" i="8"/>
  <c r="J9119" i="8"/>
  <c r="J9118" i="8"/>
  <c r="J9117" i="8"/>
  <c r="J9116" i="8"/>
  <c r="J9115" i="8"/>
  <c r="J9114" i="8"/>
  <c r="J9113" i="8"/>
  <c r="J9112" i="8"/>
  <c r="J9111" i="8"/>
  <c r="J9110" i="8"/>
  <c r="J9109" i="8"/>
  <c r="J9108" i="8"/>
  <c r="J9107" i="8"/>
  <c r="J9106" i="8"/>
  <c r="J9105" i="8"/>
  <c r="J9102" i="8"/>
  <c r="J9101" i="8"/>
  <c r="J9100" i="8"/>
  <c r="J9099" i="8"/>
  <c r="J9098" i="8"/>
  <c r="J9097" i="8"/>
  <c r="J9096" i="8"/>
  <c r="J9095" i="8"/>
  <c r="J9094" i="8"/>
  <c r="J9093" i="8"/>
  <c r="J9092" i="8"/>
  <c r="J9091" i="8"/>
  <c r="J9090" i="8"/>
  <c r="J9089" i="8"/>
  <c r="J9088" i="8"/>
  <c r="J9087" i="8"/>
  <c r="J9086" i="8"/>
  <c r="J9085" i="8"/>
  <c r="J9084" i="8"/>
  <c r="J9083" i="8"/>
  <c r="J9082" i="8"/>
  <c r="J9081" i="8"/>
  <c r="J9080" i="8"/>
  <c r="J9079" i="8"/>
  <c r="J9078" i="8"/>
  <c r="J9077" i="8"/>
  <c r="J9076" i="8"/>
  <c r="J9075" i="8"/>
  <c r="J9074" i="8"/>
  <c r="J9073" i="8"/>
  <c r="J9072" i="8"/>
  <c r="J9071" i="8"/>
  <c r="J9070" i="8"/>
  <c r="J9069" i="8"/>
  <c r="J9068" i="8"/>
  <c r="J9067" i="8"/>
  <c r="J9066" i="8"/>
  <c r="J9065" i="8"/>
  <c r="J9064" i="8"/>
  <c r="J9063" i="8"/>
  <c r="J9062" i="8"/>
  <c r="J9061" i="8"/>
  <c r="J9060" i="8"/>
  <c r="J9059" i="8"/>
  <c r="J9058" i="8"/>
  <c r="J9057" i="8"/>
  <c r="J9056" i="8"/>
  <c r="J9055" i="8"/>
  <c r="J9054" i="8"/>
  <c r="J9053" i="8"/>
  <c r="J9052" i="8"/>
  <c r="J9051" i="8"/>
  <c r="J9050" i="8"/>
  <c r="J9049" i="8"/>
  <c r="J9048" i="8"/>
  <c r="J9047" i="8"/>
  <c r="J9046" i="8"/>
  <c r="J9045" i="8"/>
  <c r="J9044" i="8"/>
  <c r="J9043" i="8"/>
  <c r="I8940" i="8"/>
  <c r="J8939" i="8"/>
  <c r="J8938" i="8"/>
  <c r="J8937" i="8"/>
  <c r="J8936" i="8"/>
  <c r="J8935" i="8"/>
  <c r="J8934" i="8"/>
  <c r="J8933" i="8"/>
  <c r="J8932" i="8"/>
  <c r="J8931" i="8"/>
  <c r="J8930" i="8"/>
  <c r="J8929" i="8"/>
  <c r="J8928" i="8"/>
  <c r="J8927" i="8"/>
  <c r="J8926" i="8"/>
  <c r="J8925" i="8"/>
  <c r="I8922" i="8"/>
  <c r="J8921" i="8"/>
  <c r="J8920" i="8"/>
  <c r="J8919" i="8"/>
  <c r="J8918" i="8"/>
  <c r="J8917" i="8"/>
  <c r="J8916" i="8"/>
  <c r="J8915" i="8"/>
  <c r="J8914" i="8"/>
  <c r="J8913" i="8"/>
  <c r="J8912" i="8"/>
  <c r="J8911" i="8"/>
  <c r="J8910" i="8"/>
  <c r="J8909" i="8"/>
  <c r="J8908" i="8"/>
  <c r="J8907" i="8"/>
  <c r="H8922" i="8"/>
  <c r="J8904" i="8"/>
  <c r="J8903" i="8"/>
  <c r="J8902" i="8"/>
  <c r="J8901" i="8"/>
  <c r="J8900" i="8"/>
  <c r="J8899" i="8"/>
  <c r="J8898" i="8"/>
  <c r="J8897" i="8"/>
  <c r="J8896" i="8"/>
  <c r="J8895" i="8"/>
  <c r="J8894" i="8"/>
  <c r="J8893" i="8"/>
  <c r="J8892" i="8"/>
  <c r="J8891" i="8"/>
  <c r="J8890" i="8"/>
  <c r="J8889" i="8"/>
  <c r="J8888" i="8"/>
  <c r="J8887" i="8"/>
  <c r="J8886" i="8"/>
  <c r="J8885" i="8"/>
  <c r="J8884" i="8"/>
  <c r="J8883" i="8"/>
  <c r="J8882" i="8"/>
  <c r="J8881" i="8"/>
  <c r="J8880" i="8"/>
  <c r="J8879" i="8"/>
  <c r="J8878" i="8"/>
  <c r="J8877" i="8"/>
  <c r="J8876" i="8"/>
  <c r="J8875" i="8"/>
  <c r="J8874" i="8"/>
  <c r="J8873" i="8"/>
  <c r="J8872" i="8"/>
  <c r="J8871" i="8"/>
  <c r="J8870" i="8"/>
  <c r="J8869" i="8"/>
  <c r="J8868" i="8"/>
  <c r="J8867" i="8"/>
  <c r="J8866" i="8"/>
  <c r="J8865" i="8"/>
  <c r="J8864" i="8"/>
  <c r="J8863" i="8"/>
  <c r="J8862" i="8"/>
  <c r="J8861" i="8"/>
  <c r="J8860" i="8"/>
  <c r="J8859" i="8"/>
  <c r="J8858" i="8"/>
  <c r="J8857" i="8"/>
  <c r="J8856" i="8"/>
  <c r="J8855" i="8"/>
  <c r="J8854" i="8"/>
  <c r="J8853" i="8"/>
  <c r="J8852" i="8"/>
  <c r="J8851" i="8"/>
  <c r="J8850" i="8"/>
  <c r="J8849" i="8"/>
  <c r="J8848" i="8"/>
  <c r="J8847" i="8"/>
  <c r="J8846" i="8"/>
  <c r="J8845" i="8"/>
  <c r="I8602" i="8"/>
  <c r="F135" i="7" s="1"/>
  <c r="G135" i="7" s="1"/>
  <c r="J8601" i="8"/>
  <c r="J8600" i="8"/>
  <c r="J8599" i="8"/>
  <c r="J8598" i="8"/>
  <c r="J8597" i="8"/>
  <c r="J8596" i="8"/>
  <c r="J8595" i="8"/>
  <c r="J8594" i="8"/>
  <c r="J8593" i="8"/>
  <c r="J8592" i="8"/>
  <c r="J8591" i="8"/>
  <c r="J8590" i="8"/>
  <c r="J8589" i="8"/>
  <c r="J8588" i="8"/>
  <c r="J8587" i="8"/>
  <c r="I8584" i="8"/>
  <c r="J8583" i="8"/>
  <c r="J8582" i="8"/>
  <c r="J8581" i="8"/>
  <c r="J8580" i="8"/>
  <c r="J8579" i="8"/>
  <c r="J8578" i="8"/>
  <c r="J8577" i="8"/>
  <c r="J8576" i="8"/>
  <c r="J8575" i="8"/>
  <c r="J8574" i="8"/>
  <c r="J8573" i="8"/>
  <c r="J8572" i="8"/>
  <c r="J8571" i="8"/>
  <c r="J8570" i="8"/>
  <c r="J8569" i="8"/>
  <c r="H8584" i="8"/>
  <c r="J8566" i="8"/>
  <c r="J8565" i="8"/>
  <c r="J8564" i="8"/>
  <c r="J8563" i="8"/>
  <c r="J8562" i="8"/>
  <c r="J8561" i="8"/>
  <c r="J8560" i="8"/>
  <c r="J8559" i="8"/>
  <c r="J8558" i="8"/>
  <c r="J8557" i="8"/>
  <c r="J8556" i="8"/>
  <c r="J8555" i="8"/>
  <c r="J8554" i="8"/>
  <c r="J8553" i="8"/>
  <c r="J8552" i="8"/>
  <c r="J8551" i="8"/>
  <c r="J8550" i="8"/>
  <c r="J8549" i="8"/>
  <c r="J8548" i="8"/>
  <c r="J8547" i="8"/>
  <c r="J8546" i="8"/>
  <c r="J8545" i="8"/>
  <c r="J8544" i="8"/>
  <c r="J8543" i="8"/>
  <c r="J8542" i="8"/>
  <c r="J8541" i="8"/>
  <c r="J8540" i="8"/>
  <c r="J8539" i="8"/>
  <c r="J8538" i="8"/>
  <c r="J8537" i="8"/>
  <c r="J8536" i="8"/>
  <c r="J8535" i="8"/>
  <c r="J8534" i="8"/>
  <c r="J8533" i="8"/>
  <c r="J8532" i="8"/>
  <c r="J8531" i="8"/>
  <c r="J8530" i="8"/>
  <c r="J8529" i="8"/>
  <c r="J8528" i="8"/>
  <c r="J8527" i="8"/>
  <c r="J8526" i="8"/>
  <c r="J8525" i="8"/>
  <c r="J8524" i="8"/>
  <c r="J8523" i="8"/>
  <c r="J8522" i="8"/>
  <c r="J8521" i="8"/>
  <c r="J8520" i="8"/>
  <c r="J8519" i="8"/>
  <c r="J8518" i="8"/>
  <c r="J8517" i="8"/>
  <c r="J8516" i="8"/>
  <c r="J8515" i="8"/>
  <c r="J8514" i="8"/>
  <c r="J8513" i="8"/>
  <c r="J8512" i="8"/>
  <c r="J8511" i="8"/>
  <c r="J8510" i="8"/>
  <c r="J8509" i="8"/>
  <c r="J8508" i="8"/>
  <c r="J8507" i="8"/>
  <c r="I8503" i="8"/>
  <c r="F134" i="7" s="1"/>
  <c r="G134" i="7" s="1"/>
  <c r="J8502" i="8"/>
  <c r="J8501" i="8"/>
  <c r="J8500" i="8"/>
  <c r="J8499" i="8"/>
  <c r="J8498" i="8"/>
  <c r="J8497" i="8"/>
  <c r="J8496" i="8"/>
  <c r="J8495" i="8"/>
  <c r="J8494" i="8"/>
  <c r="J8493" i="8"/>
  <c r="J8492" i="8"/>
  <c r="J8491" i="8"/>
  <c r="J8490" i="8"/>
  <c r="J8489" i="8"/>
  <c r="J8488" i="8"/>
  <c r="I8485" i="8"/>
  <c r="J8484" i="8"/>
  <c r="J8483" i="8"/>
  <c r="J8482" i="8"/>
  <c r="J8481" i="8"/>
  <c r="J8480" i="8"/>
  <c r="J8479" i="8"/>
  <c r="J8478" i="8"/>
  <c r="J8477" i="8"/>
  <c r="J8476" i="8"/>
  <c r="J8475" i="8"/>
  <c r="J8474" i="8"/>
  <c r="J8473" i="8"/>
  <c r="J8472" i="8"/>
  <c r="J8471" i="8"/>
  <c r="J8470" i="8"/>
  <c r="H8485" i="8"/>
  <c r="J8467" i="8"/>
  <c r="J8466" i="8"/>
  <c r="J8465" i="8"/>
  <c r="J8464" i="8"/>
  <c r="J8463" i="8"/>
  <c r="J8462" i="8"/>
  <c r="J8461" i="8"/>
  <c r="J8460" i="8"/>
  <c r="J8459" i="8"/>
  <c r="J8458" i="8"/>
  <c r="J8457" i="8"/>
  <c r="J8456" i="8"/>
  <c r="J8455" i="8"/>
  <c r="J8454" i="8"/>
  <c r="J8453" i="8"/>
  <c r="J8452" i="8"/>
  <c r="J8451" i="8"/>
  <c r="J8450" i="8"/>
  <c r="J8449" i="8"/>
  <c r="J8448" i="8"/>
  <c r="J8447" i="8"/>
  <c r="J8446" i="8"/>
  <c r="J8445" i="8"/>
  <c r="J8444" i="8"/>
  <c r="J8443" i="8"/>
  <c r="J8442" i="8"/>
  <c r="J8441" i="8"/>
  <c r="J8440" i="8"/>
  <c r="J8439" i="8"/>
  <c r="J8438" i="8"/>
  <c r="J8437" i="8"/>
  <c r="J8436" i="8"/>
  <c r="J8435" i="8"/>
  <c r="J8434" i="8"/>
  <c r="J8433" i="8"/>
  <c r="J8432" i="8"/>
  <c r="J8431" i="8"/>
  <c r="J8430" i="8"/>
  <c r="J8429" i="8"/>
  <c r="J8428" i="8"/>
  <c r="J8427" i="8"/>
  <c r="J8426" i="8"/>
  <c r="J8425" i="8"/>
  <c r="J8424" i="8"/>
  <c r="J8423" i="8"/>
  <c r="J8422" i="8"/>
  <c r="J8421" i="8"/>
  <c r="J8420" i="8"/>
  <c r="J8419" i="8"/>
  <c r="J8418" i="8"/>
  <c r="J8417" i="8"/>
  <c r="J8416" i="8"/>
  <c r="J8415" i="8"/>
  <c r="J8414" i="8"/>
  <c r="J8413" i="8"/>
  <c r="J8412" i="8"/>
  <c r="J8411" i="8"/>
  <c r="J8410" i="8"/>
  <c r="J8409" i="8"/>
  <c r="J8408" i="8"/>
  <c r="I8386" i="8"/>
  <c r="J8385" i="8"/>
  <c r="J8384" i="8"/>
  <c r="J8383" i="8"/>
  <c r="J8382" i="8"/>
  <c r="J8381" i="8"/>
  <c r="J8380" i="8"/>
  <c r="J8379" i="8"/>
  <c r="J8378" i="8"/>
  <c r="J8377" i="8"/>
  <c r="J8376" i="8"/>
  <c r="J8375" i="8"/>
  <c r="J8374" i="8"/>
  <c r="J8373" i="8"/>
  <c r="J8372" i="8"/>
  <c r="J8371" i="8"/>
  <c r="H8386" i="8"/>
  <c r="I8188" i="8"/>
  <c r="J8187" i="8"/>
  <c r="J8186" i="8"/>
  <c r="J8185" i="8"/>
  <c r="J8184" i="8"/>
  <c r="J8183" i="8"/>
  <c r="J8182" i="8"/>
  <c r="J8181" i="8"/>
  <c r="J8180" i="8"/>
  <c r="J8179" i="8"/>
  <c r="J8178" i="8"/>
  <c r="J8177" i="8"/>
  <c r="J8176" i="8"/>
  <c r="J8175" i="8"/>
  <c r="J8174" i="8"/>
  <c r="J8173" i="8"/>
  <c r="H8188" i="8"/>
  <c r="I1991" i="8"/>
  <c r="H1991" i="8"/>
  <c r="J1990" i="8"/>
  <c r="J1989" i="8"/>
  <c r="J1988" i="8"/>
  <c r="J1987" i="8"/>
  <c r="J1986" i="8"/>
  <c r="J1985" i="8"/>
  <c r="J1984" i="8"/>
  <c r="J1983" i="8"/>
  <c r="J1982" i="8"/>
  <c r="J1981" i="8"/>
  <c r="J1980" i="8"/>
  <c r="J1979" i="8"/>
  <c r="J1978" i="8"/>
  <c r="J1977" i="8"/>
  <c r="J1976" i="8"/>
  <c r="J1975" i="8"/>
  <c r="I6066" i="8"/>
  <c r="J6065" i="8"/>
  <c r="J6064" i="8"/>
  <c r="J6063" i="8"/>
  <c r="J6062" i="8"/>
  <c r="J6061" i="8"/>
  <c r="J6060" i="8"/>
  <c r="J6059" i="8"/>
  <c r="J6058" i="8"/>
  <c r="J6057" i="8"/>
  <c r="J6056" i="8"/>
  <c r="J6055" i="8"/>
  <c r="J6054" i="8"/>
  <c r="J6053" i="8"/>
  <c r="J6052" i="8"/>
  <c r="J6051" i="8"/>
  <c r="H6066" i="8"/>
  <c r="I1954" i="8"/>
  <c r="J1953" i="8"/>
  <c r="J1952" i="8"/>
  <c r="J1951" i="8"/>
  <c r="J1950" i="8"/>
  <c r="J1949" i="8"/>
  <c r="J1948" i="8"/>
  <c r="J1947" i="8"/>
  <c r="J1946" i="8"/>
  <c r="J1945" i="8"/>
  <c r="J1944" i="8"/>
  <c r="J1943" i="8"/>
  <c r="J1942" i="8"/>
  <c r="J1941" i="8"/>
  <c r="J1940" i="8"/>
  <c r="J1939" i="8"/>
  <c r="H1954" i="8"/>
  <c r="I6776" i="8"/>
  <c r="J6775" i="8"/>
  <c r="J6774" i="8"/>
  <c r="J6773" i="8"/>
  <c r="J6772" i="8"/>
  <c r="J6771" i="8"/>
  <c r="J6770" i="8"/>
  <c r="J6769" i="8"/>
  <c r="J6768" i="8"/>
  <c r="J6767" i="8"/>
  <c r="J6766" i="8"/>
  <c r="J6765" i="8"/>
  <c r="J6764" i="8"/>
  <c r="J6763" i="8"/>
  <c r="J6762" i="8"/>
  <c r="J6761" i="8"/>
  <c r="H6776" i="8"/>
  <c r="I6813" i="8"/>
  <c r="H6813" i="8"/>
  <c r="J6812" i="8"/>
  <c r="J6811" i="8"/>
  <c r="J6810" i="8"/>
  <c r="J6809" i="8"/>
  <c r="J6808" i="8"/>
  <c r="J6807" i="8"/>
  <c r="J6806" i="8"/>
  <c r="J6805" i="8"/>
  <c r="J6804" i="8"/>
  <c r="J6803" i="8"/>
  <c r="J6802" i="8"/>
  <c r="J6801" i="8"/>
  <c r="J6800" i="8"/>
  <c r="J6799" i="8"/>
  <c r="J6798" i="8"/>
  <c r="J6797" i="8"/>
  <c r="I6673" i="8"/>
  <c r="J6672" i="8"/>
  <c r="J6671" i="8"/>
  <c r="J6670" i="8"/>
  <c r="J6669" i="8"/>
  <c r="J6668" i="8"/>
  <c r="J6667" i="8"/>
  <c r="J6666" i="8"/>
  <c r="J6665" i="8"/>
  <c r="J6664" i="8"/>
  <c r="J6663" i="8"/>
  <c r="J6662" i="8"/>
  <c r="J6661" i="8"/>
  <c r="J6660" i="8"/>
  <c r="J6659" i="8"/>
  <c r="J6658" i="8"/>
  <c r="I6636" i="8"/>
  <c r="J6635" i="8"/>
  <c r="J6634" i="8"/>
  <c r="J6633" i="8"/>
  <c r="J6632" i="8"/>
  <c r="J6631" i="8"/>
  <c r="J6630" i="8"/>
  <c r="J6629" i="8"/>
  <c r="J6628" i="8"/>
  <c r="J6627" i="8"/>
  <c r="J6626" i="8"/>
  <c r="J6625" i="8"/>
  <c r="J6624" i="8"/>
  <c r="J6623" i="8"/>
  <c r="J6622" i="8"/>
  <c r="J6621" i="8"/>
  <c r="I2308" i="8"/>
  <c r="E19" i="6" s="1"/>
  <c r="J2307" i="8"/>
  <c r="J2306" i="8"/>
  <c r="J2305" i="8"/>
  <c r="J2304" i="8"/>
  <c r="J2303" i="8"/>
  <c r="J2302" i="8"/>
  <c r="J2301" i="8"/>
  <c r="J2300" i="8"/>
  <c r="J2299" i="8"/>
  <c r="J2298" i="8"/>
  <c r="J2297" i="8"/>
  <c r="J2296" i="8"/>
  <c r="J2295" i="8"/>
  <c r="J2294" i="8"/>
  <c r="J2293" i="8"/>
  <c r="J2266" i="8"/>
  <c r="J2265" i="8"/>
  <c r="J2264" i="8"/>
  <c r="J2263" i="8"/>
  <c r="J2262" i="8"/>
  <c r="J2261" i="8"/>
  <c r="J2260" i="8"/>
  <c r="J2259" i="8"/>
  <c r="J2258" i="8"/>
  <c r="J2257" i="8"/>
  <c r="J2256" i="8"/>
  <c r="J2255" i="8"/>
  <c r="J2254" i="8"/>
  <c r="J2253" i="8"/>
  <c r="J2252" i="8"/>
  <c r="J2221" i="8"/>
  <c r="J2220" i="8"/>
  <c r="J2219" i="8"/>
  <c r="J2218" i="8"/>
  <c r="J2217" i="8"/>
  <c r="J2216" i="8"/>
  <c r="J2215" i="8"/>
  <c r="J2214" i="8"/>
  <c r="J2213" i="8"/>
  <c r="J2212" i="8"/>
  <c r="J2211" i="8"/>
  <c r="J2210" i="8"/>
  <c r="J2209" i="8"/>
  <c r="J2208" i="8"/>
  <c r="J2207" i="8"/>
  <c r="E115" i="6"/>
  <c r="J2176" i="8"/>
  <c r="J2175" i="8"/>
  <c r="J2174" i="8"/>
  <c r="J2173" i="8"/>
  <c r="J2172" i="8"/>
  <c r="J2171" i="8"/>
  <c r="J2170" i="8"/>
  <c r="J2169" i="8"/>
  <c r="J2168" i="8"/>
  <c r="J2167" i="8"/>
  <c r="J2166" i="8"/>
  <c r="J2165" i="8"/>
  <c r="J2164" i="8"/>
  <c r="J2163" i="8"/>
  <c r="J2162" i="8"/>
  <c r="I2130" i="8"/>
  <c r="E31" i="6" s="1"/>
  <c r="J2129" i="8"/>
  <c r="J2128" i="8"/>
  <c r="J2127" i="8"/>
  <c r="J2126" i="8"/>
  <c r="J2125" i="8"/>
  <c r="J2124" i="8"/>
  <c r="J2123" i="8"/>
  <c r="J2122" i="8"/>
  <c r="J2121" i="8"/>
  <c r="J2120" i="8"/>
  <c r="J2119" i="8"/>
  <c r="J2118" i="8"/>
  <c r="J2117" i="8"/>
  <c r="J2116" i="8"/>
  <c r="J2115" i="8"/>
  <c r="H2130" i="8"/>
  <c r="C31" i="6" s="1"/>
  <c r="I1855" i="8"/>
  <c r="E24" i="6" s="1"/>
  <c r="J1854" i="8"/>
  <c r="J1853" i="8"/>
  <c r="J1852" i="8"/>
  <c r="J1851" i="8"/>
  <c r="J1850" i="8"/>
  <c r="J1849" i="8"/>
  <c r="J1848" i="8"/>
  <c r="J1847" i="8"/>
  <c r="J1846" i="8"/>
  <c r="J1845" i="8"/>
  <c r="J1844" i="8"/>
  <c r="J1843" i="8"/>
  <c r="J1842" i="8"/>
  <c r="J1841" i="8"/>
  <c r="J1840" i="8"/>
  <c r="H1855" i="8"/>
  <c r="C24" i="6" s="1"/>
  <c r="I4427" i="8"/>
  <c r="E107" i="6" s="1"/>
  <c r="J4426" i="8"/>
  <c r="J4425" i="8"/>
  <c r="J4424" i="8"/>
  <c r="J4423" i="8"/>
  <c r="J4422" i="8"/>
  <c r="J4421" i="8"/>
  <c r="J4420" i="8"/>
  <c r="J4419" i="8"/>
  <c r="J4418" i="8"/>
  <c r="J4417" i="8"/>
  <c r="J4416" i="8"/>
  <c r="J4415" i="8"/>
  <c r="J4414" i="8"/>
  <c r="J4413" i="8"/>
  <c r="J4412" i="8"/>
  <c r="J4411" i="8"/>
  <c r="I4328" i="8"/>
  <c r="E109" i="6" s="1"/>
  <c r="J4327" i="8"/>
  <c r="J4326" i="8"/>
  <c r="J4325" i="8"/>
  <c r="J4324" i="8"/>
  <c r="J4323" i="8"/>
  <c r="J4322" i="8"/>
  <c r="J4321" i="8"/>
  <c r="J4320" i="8"/>
  <c r="J4319" i="8"/>
  <c r="J4318" i="8"/>
  <c r="J4317" i="8"/>
  <c r="J4316" i="8"/>
  <c r="J4315" i="8"/>
  <c r="J4314" i="8"/>
  <c r="J4313" i="8"/>
  <c r="C109" i="6"/>
  <c r="E13" i="6"/>
  <c r="C13" i="6"/>
  <c r="I7611" i="8"/>
  <c r="J7610" i="8"/>
  <c r="J7609" i="8"/>
  <c r="J7608" i="8"/>
  <c r="J7607" i="8"/>
  <c r="J7606" i="8"/>
  <c r="J7605" i="8"/>
  <c r="J7604" i="8"/>
  <c r="J7603" i="8"/>
  <c r="J7602" i="8"/>
  <c r="J7601" i="8"/>
  <c r="J7600" i="8"/>
  <c r="J7599" i="8"/>
  <c r="J7598" i="8"/>
  <c r="J7597" i="8"/>
  <c r="J7596" i="8"/>
  <c r="H7611" i="8"/>
  <c r="C60" i="6" s="1"/>
  <c r="I8048" i="8"/>
  <c r="J8047" i="8"/>
  <c r="J8046" i="8"/>
  <c r="J8045" i="8"/>
  <c r="J8044" i="8"/>
  <c r="J8043" i="8"/>
  <c r="J8042" i="8"/>
  <c r="J8041" i="8"/>
  <c r="J8040" i="8"/>
  <c r="J8039" i="8"/>
  <c r="J8038" i="8"/>
  <c r="J8037" i="8"/>
  <c r="J8036" i="8"/>
  <c r="J8035" i="8"/>
  <c r="J8034" i="8"/>
  <c r="J8033" i="8"/>
  <c r="H8048" i="8"/>
  <c r="I7949" i="8"/>
  <c r="E84" i="6" s="1"/>
  <c r="J7948" i="8"/>
  <c r="J7947" i="8"/>
  <c r="J7946" i="8"/>
  <c r="J7945" i="8"/>
  <c r="J7944" i="8"/>
  <c r="J7943" i="8"/>
  <c r="J7942" i="8"/>
  <c r="J7941" i="8"/>
  <c r="J7940" i="8"/>
  <c r="J7939" i="8"/>
  <c r="J7938" i="8"/>
  <c r="J7937" i="8"/>
  <c r="J7936" i="8"/>
  <c r="J7935" i="8"/>
  <c r="J7934" i="8"/>
  <c r="C84" i="6"/>
  <c r="I7850" i="8"/>
  <c r="J7849" i="8"/>
  <c r="J7848" i="8"/>
  <c r="J7847" i="8"/>
  <c r="J7846" i="8"/>
  <c r="J7845" i="8"/>
  <c r="J7844" i="8"/>
  <c r="J7843" i="8"/>
  <c r="J7842" i="8"/>
  <c r="J7841" i="8"/>
  <c r="J7840" i="8"/>
  <c r="J7839" i="8"/>
  <c r="J7838" i="8"/>
  <c r="J7837" i="8"/>
  <c r="J7836" i="8"/>
  <c r="J7835" i="8"/>
  <c r="H7850" i="8"/>
  <c r="I7751" i="8"/>
  <c r="J7750" i="8"/>
  <c r="J7749" i="8"/>
  <c r="J7748" i="8"/>
  <c r="J7747" i="8"/>
  <c r="J7746" i="8"/>
  <c r="J7745" i="8"/>
  <c r="J7744" i="8"/>
  <c r="J7743" i="8"/>
  <c r="J7742" i="8"/>
  <c r="J7741" i="8"/>
  <c r="J7740" i="8"/>
  <c r="J7739" i="8"/>
  <c r="J7738" i="8"/>
  <c r="J7737" i="8"/>
  <c r="J7736" i="8"/>
  <c r="H7751" i="8"/>
  <c r="I7353" i="8"/>
  <c r="J7352" i="8"/>
  <c r="J7351" i="8"/>
  <c r="J7350" i="8"/>
  <c r="J7349" i="8"/>
  <c r="J7348" i="8"/>
  <c r="J7347" i="8"/>
  <c r="J7346" i="8"/>
  <c r="J7345" i="8"/>
  <c r="J7344" i="8"/>
  <c r="J7343" i="8"/>
  <c r="J7342" i="8"/>
  <c r="J7341" i="8"/>
  <c r="J7340" i="8"/>
  <c r="J7339" i="8"/>
  <c r="J7338" i="8"/>
  <c r="I7254" i="8"/>
  <c r="J7253" i="8"/>
  <c r="J7252" i="8"/>
  <c r="J7251" i="8"/>
  <c r="J7250" i="8"/>
  <c r="J7249" i="8"/>
  <c r="J7248" i="8"/>
  <c r="J7247" i="8"/>
  <c r="J7246" i="8"/>
  <c r="J7245" i="8"/>
  <c r="J7244" i="8"/>
  <c r="J7243" i="8"/>
  <c r="J7242" i="8"/>
  <c r="J7241" i="8"/>
  <c r="J7240" i="8"/>
  <c r="J7239" i="8"/>
  <c r="I7155" i="8"/>
  <c r="J7154" i="8"/>
  <c r="J7153" i="8"/>
  <c r="J7152" i="8"/>
  <c r="J7151" i="8"/>
  <c r="J7150" i="8"/>
  <c r="J7149" i="8"/>
  <c r="J7148" i="8"/>
  <c r="J7147" i="8"/>
  <c r="J7146" i="8"/>
  <c r="J7145" i="8"/>
  <c r="J7144" i="8"/>
  <c r="J7143" i="8"/>
  <c r="J7142" i="8"/>
  <c r="J7141" i="8"/>
  <c r="J7140" i="8"/>
  <c r="J1533" i="8"/>
  <c r="J1532" i="8"/>
  <c r="J1531" i="8"/>
  <c r="J1530" i="8"/>
  <c r="J1529" i="8"/>
  <c r="J1528" i="8"/>
  <c r="J1527" i="8"/>
  <c r="J1526" i="8"/>
  <c r="J1525" i="8"/>
  <c r="J1524" i="8"/>
  <c r="J1523" i="8"/>
  <c r="J1522" i="8"/>
  <c r="J1521" i="8"/>
  <c r="J1520" i="8"/>
  <c r="J1519" i="8"/>
  <c r="J1434" i="8"/>
  <c r="J1433" i="8"/>
  <c r="J1432" i="8"/>
  <c r="J1431" i="8"/>
  <c r="J1430" i="8"/>
  <c r="J1429" i="8"/>
  <c r="J1428" i="8"/>
  <c r="J1427" i="8"/>
  <c r="J1426" i="8"/>
  <c r="J1425" i="8"/>
  <c r="J1424" i="8"/>
  <c r="J1423" i="8"/>
  <c r="J1422" i="8"/>
  <c r="J1421" i="8"/>
  <c r="J1420" i="8"/>
  <c r="J1335" i="8"/>
  <c r="J1334" i="8"/>
  <c r="J1333" i="8"/>
  <c r="J1332" i="8"/>
  <c r="J1331" i="8"/>
  <c r="J1330" i="8"/>
  <c r="J1329" i="8"/>
  <c r="J1328" i="8"/>
  <c r="J1327" i="8"/>
  <c r="J1326" i="8"/>
  <c r="J1325" i="8"/>
  <c r="J1324" i="8"/>
  <c r="J1323" i="8"/>
  <c r="J1322" i="8"/>
  <c r="J1321" i="8"/>
  <c r="J1237" i="8"/>
  <c r="J1236" i="8"/>
  <c r="J1235" i="8"/>
  <c r="J1234" i="8"/>
  <c r="J1233" i="8"/>
  <c r="J1232" i="8"/>
  <c r="J1231" i="8"/>
  <c r="J1230" i="8"/>
  <c r="J1229" i="8"/>
  <c r="J1228" i="8"/>
  <c r="J1227" i="8"/>
  <c r="J1226" i="8"/>
  <c r="J1225" i="8"/>
  <c r="J1224" i="8"/>
  <c r="J1223" i="8"/>
  <c r="I1157" i="8"/>
  <c r="F101" i="7" s="1"/>
  <c r="F100" i="7" s="1"/>
  <c r="J1156" i="8"/>
  <c r="J1155" i="8"/>
  <c r="J1154" i="8"/>
  <c r="J1153" i="8"/>
  <c r="J1152" i="8"/>
  <c r="J1151" i="8"/>
  <c r="J1150" i="8"/>
  <c r="J1149" i="8"/>
  <c r="J1148" i="8"/>
  <c r="J1147" i="8"/>
  <c r="J1146" i="8"/>
  <c r="J1145" i="8"/>
  <c r="J1144" i="8"/>
  <c r="J1143" i="8"/>
  <c r="J1142" i="8"/>
  <c r="E42" i="6"/>
  <c r="J1138" i="8"/>
  <c r="J1137" i="8"/>
  <c r="J1136" i="8"/>
  <c r="J1135" i="8"/>
  <c r="J1134" i="8"/>
  <c r="J1133" i="8"/>
  <c r="J1132" i="8"/>
  <c r="J1131" i="8"/>
  <c r="J1130" i="8"/>
  <c r="J1129" i="8"/>
  <c r="J1128" i="8"/>
  <c r="J1127" i="8"/>
  <c r="J1126" i="8"/>
  <c r="J1125" i="8"/>
  <c r="J1124" i="8"/>
  <c r="C42" i="6"/>
  <c r="J1036" i="8"/>
  <c r="J1035" i="8"/>
  <c r="J1034" i="8"/>
  <c r="J1033" i="8"/>
  <c r="J1032" i="8"/>
  <c r="J1031" i="8"/>
  <c r="J1030" i="8"/>
  <c r="J1029" i="8"/>
  <c r="J1028" i="8"/>
  <c r="J1027" i="8"/>
  <c r="J1026" i="8"/>
  <c r="J1025" i="8"/>
  <c r="J1024" i="8"/>
  <c r="J1023" i="8"/>
  <c r="J1022" i="8"/>
  <c r="J1018" i="8"/>
  <c r="J1017" i="8"/>
  <c r="J1016" i="8"/>
  <c r="J1015" i="8"/>
  <c r="J1014" i="8"/>
  <c r="J1013" i="8"/>
  <c r="J1012" i="8"/>
  <c r="J1011" i="8"/>
  <c r="J1010" i="8"/>
  <c r="J1009" i="8"/>
  <c r="J1008" i="8"/>
  <c r="J1007" i="8"/>
  <c r="J1006" i="8"/>
  <c r="J1005" i="8"/>
  <c r="J1004" i="8"/>
  <c r="I945" i="8"/>
  <c r="F9" i="7" s="1"/>
  <c r="J944" i="8"/>
  <c r="J943" i="8"/>
  <c r="J942" i="8"/>
  <c r="J941" i="8"/>
  <c r="J940" i="8"/>
  <c r="J939" i="8"/>
  <c r="J938" i="8"/>
  <c r="J937" i="8"/>
  <c r="J936" i="8"/>
  <c r="J935" i="8"/>
  <c r="J934" i="8"/>
  <c r="J933" i="8"/>
  <c r="J932" i="8"/>
  <c r="J931" i="8"/>
  <c r="J930" i="8"/>
  <c r="I927" i="8"/>
  <c r="J926" i="8"/>
  <c r="J925" i="8"/>
  <c r="J924" i="8"/>
  <c r="J923" i="8"/>
  <c r="J922" i="8"/>
  <c r="J921" i="8"/>
  <c r="J920" i="8"/>
  <c r="J919" i="8"/>
  <c r="J918" i="8"/>
  <c r="J917" i="8"/>
  <c r="J916" i="8"/>
  <c r="J915" i="8"/>
  <c r="J914" i="8"/>
  <c r="J913" i="8"/>
  <c r="J912" i="8"/>
  <c r="I837" i="8"/>
  <c r="F524" i="7" s="1"/>
  <c r="J836" i="8"/>
  <c r="J835" i="8"/>
  <c r="J834" i="8"/>
  <c r="J833" i="8"/>
  <c r="J832" i="8"/>
  <c r="J831" i="8"/>
  <c r="J830" i="8"/>
  <c r="J829" i="8"/>
  <c r="J828" i="8"/>
  <c r="J827" i="8"/>
  <c r="J826" i="8"/>
  <c r="J825" i="8"/>
  <c r="J824" i="8"/>
  <c r="J823" i="8"/>
  <c r="J822" i="8"/>
  <c r="H837" i="8"/>
  <c r="D524" i="7" s="1"/>
  <c r="I819" i="8"/>
  <c r="J818" i="8"/>
  <c r="J817" i="8"/>
  <c r="J816" i="8"/>
  <c r="J815" i="8"/>
  <c r="J814" i="8"/>
  <c r="J813" i="8"/>
  <c r="J812" i="8"/>
  <c r="J811" i="8"/>
  <c r="J810" i="8"/>
  <c r="J809" i="8"/>
  <c r="J808" i="8"/>
  <c r="J807" i="8"/>
  <c r="J806" i="8"/>
  <c r="J805" i="8"/>
  <c r="J804" i="8"/>
  <c r="H819" i="8"/>
  <c r="I464" i="8"/>
  <c r="J463" i="8"/>
  <c r="J462" i="8"/>
  <c r="J461" i="8"/>
  <c r="J460" i="8"/>
  <c r="J459" i="8"/>
  <c r="J458" i="8"/>
  <c r="J457" i="8"/>
  <c r="J456" i="8"/>
  <c r="J455" i="8"/>
  <c r="J454" i="8"/>
  <c r="J453" i="8"/>
  <c r="J452" i="8"/>
  <c r="J451" i="8"/>
  <c r="J450" i="8"/>
  <c r="J449" i="8"/>
  <c r="E18" i="6"/>
  <c r="J445" i="8"/>
  <c r="J444" i="8"/>
  <c r="J443" i="8"/>
  <c r="J442" i="8"/>
  <c r="J441" i="8"/>
  <c r="J440" i="8"/>
  <c r="J439" i="8"/>
  <c r="J438" i="8"/>
  <c r="J437" i="8"/>
  <c r="J436" i="8"/>
  <c r="J435" i="8"/>
  <c r="J434" i="8"/>
  <c r="J433" i="8"/>
  <c r="J432" i="8"/>
  <c r="J431" i="8"/>
  <c r="C18" i="6"/>
  <c r="J307" i="8"/>
  <c r="I361" i="8"/>
  <c r="I342" i="8"/>
  <c r="I323" i="8"/>
  <c r="H323" i="8"/>
  <c r="J303" i="8"/>
  <c r="J302" i="8"/>
  <c r="J301" i="8"/>
  <c r="J300" i="8"/>
  <c r="J299" i="8"/>
  <c r="J298" i="8"/>
  <c r="J297" i="8"/>
  <c r="J296" i="8"/>
  <c r="J295" i="8"/>
  <c r="J294" i="8"/>
  <c r="J293" i="8"/>
  <c r="J292" i="8"/>
  <c r="J291" i="8"/>
  <c r="J290" i="8"/>
  <c r="J289" i="8"/>
  <c r="J288" i="8"/>
  <c r="I286" i="8"/>
  <c r="I304" i="8" s="1"/>
  <c r="F532" i="7" s="1"/>
  <c r="H286" i="8"/>
  <c r="H304" i="8" s="1"/>
  <c r="D532" i="7" s="1"/>
  <c r="J189" i="8"/>
  <c r="I205" i="8"/>
  <c r="F531" i="7" s="1"/>
  <c r="H187" i="8"/>
  <c r="I106" i="8"/>
  <c r="J87" i="8"/>
  <c r="J86" i="8"/>
  <c r="J85" i="8"/>
  <c r="J84" i="8"/>
  <c r="J83" i="8"/>
  <c r="J82" i="8"/>
  <c r="J81" i="8"/>
  <c r="J80" i="8"/>
  <c r="J79" i="8"/>
  <c r="J78" i="8"/>
  <c r="J77" i="8"/>
  <c r="J76" i="8"/>
  <c r="J75" i="8"/>
  <c r="J74" i="8"/>
  <c r="J73" i="8"/>
  <c r="J204" i="8"/>
  <c r="J203" i="8"/>
  <c r="J202" i="8"/>
  <c r="J201" i="8"/>
  <c r="J200" i="8"/>
  <c r="J199" i="8"/>
  <c r="J198" i="8"/>
  <c r="J197" i="8"/>
  <c r="J196" i="8"/>
  <c r="J195" i="8"/>
  <c r="J194" i="8"/>
  <c r="J193" i="8"/>
  <c r="J192" i="8"/>
  <c r="J191" i="8"/>
  <c r="J190" i="8"/>
  <c r="J209" i="8"/>
  <c r="J210" i="8"/>
  <c r="J211" i="8"/>
  <c r="J212" i="8"/>
  <c r="J213" i="8"/>
  <c r="J214" i="8"/>
  <c r="J743" i="8"/>
  <c r="J742" i="8"/>
  <c r="J13883" i="8" l="1"/>
  <c r="J13899" i="8" s="1"/>
  <c r="H13899" i="8"/>
  <c r="C86" i="6"/>
  <c r="E86" i="6"/>
  <c r="F132" i="7"/>
  <c r="G132" i="7" s="1"/>
  <c r="F8" i="7"/>
  <c r="E17" i="6"/>
  <c r="F35" i="7"/>
  <c r="G35" i="7" s="1"/>
  <c r="D413" i="7"/>
  <c r="B619" i="7" s="1"/>
  <c r="E94" i="6"/>
  <c r="E119" i="6"/>
  <c r="F119" i="6" s="1"/>
  <c r="F466" i="7"/>
  <c r="C63" i="5"/>
  <c r="E93" i="6"/>
  <c r="F93" i="6" s="1"/>
  <c r="C29" i="6"/>
  <c r="E29" i="6"/>
  <c r="J10509" i="8"/>
  <c r="H13252" i="8"/>
  <c r="J13252" i="8" s="1"/>
  <c r="J13268" i="8" s="1"/>
  <c r="H13249" i="8"/>
  <c r="J13233" i="8"/>
  <c r="J13249" i="8" s="1"/>
  <c r="H17226" i="8"/>
  <c r="H17242" i="8" s="1"/>
  <c r="H17223" i="8"/>
  <c r="J10946" i="8"/>
  <c r="J11027" i="8"/>
  <c r="J11045" i="8"/>
  <c r="J11126" i="8"/>
  <c r="J11144" i="8"/>
  <c r="H4766" i="8"/>
  <c r="H4782" i="8" s="1"/>
  <c r="H4763" i="8"/>
  <c r="D469" i="7" s="1"/>
  <c r="D466" i="7" s="1"/>
  <c r="B620" i="7" s="1"/>
  <c r="C85" i="6"/>
  <c r="E85" i="6"/>
  <c r="E60" i="6"/>
  <c r="F60" i="6" s="1"/>
  <c r="J10707" i="8"/>
  <c r="J10726" i="8"/>
  <c r="E30" i="6"/>
  <c r="J10608" i="8"/>
  <c r="E114" i="6"/>
  <c r="F114" i="6" s="1"/>
  <c r="F18" i="6"/>
  <c r="F90" i="6"/>
  <c r="F42" i="6"/>
  <c r="F13" i="6"/>
  <c r="F84" i="6"/>
  <c r="F24" i="6"/>
  <c r="F31" i="6"/>
  <c r="F91" i="6"/>
  <c r="F109" i="6"/>
  <c r="C69" i="6"/>
  <c r="E69" i="6"/>
  <c r="F113" i="6"/>
  <c r="E36" i="6"/>
  <c r="E33" i="6" s="1"/>
  <c r="C45" i="6"/>
  <c r="E45" i="6"/>
  <c r="C17" i="6"/>
  <c r="F17" i="6" s="1"/>
  <c r="E89" i="6"/>
  <c r="E15" i="6"/>
  <c r="E6" i="6" s="1"/>
  <c r="F81" i="6"/>
  <c r="J17048" i="8"/>
  <c r="J17064" i="8" s="1"/>
  <c r="J16810" i="8"/>
  <c r="J16826" i="8" s="1"/>
  <c r="J10928" i="8"/>
  <c r="J10813" i="8"/>
  <c r="J10829" i="8" s="1"/>
  <c r="J10831" i="8"/>
  <c r="J10847" i="8" s="1"/>
  <c r="J4630" i="8"/>
  <c r="J4646" i="8" s="1"/>
  <c r="J4531" i="8"/>
  <c r="J4547" i="8" s="1"/>
  <c r="J4648" i="8"/>
  <c r="J4664" i="8" s="1"/>
  <c r="J4549" i="8"/>
  <c r="J4565" i="8" s="1"/>
  <c r="J10745" i="8"/>
  <c r="J4729" i="8"/>
  <c r="J4745" i="8" s="1"/>
  <c r="J4747" i="8"/>
  <c r="J4763" i="8" s="1"/>
  <c r="J9361" i="8"/>
  <c r="J9377" i="8" s="1"/>
  <c r="J9481" i="8"/>
  <c r="J9497" i="8" s="1"/>
  <c r="J9877" i="8"/>
  <c r="J9893" i="8" s="1"/>
  <c r="J10057" i="8"/>
  <c r="J10073" i="8" s="1"/>
  <c r="J10156" i="8"/>
  <c r="J10172" i="8" s="1"/>
  <c r="J10475" i="8"/>
  <c r="J10491" i="8" s="1"/>
  <c r="J10574" i="8"/>
  <c r="J10590" i="8" s="1"/>
  <c r="J10673" i="8"/>
  <c r="J10689" i="8" s="1"/>
  <c r="J10293" i="8"/>
  <c r="J10392" i="8"/>
  <c r="J10210" i="8"/>
  <c r="J10311" i="8"/>
  <c r="J10410" i="8"/>
  <c r="J10174" i="8"/>
  <c r="J10190" i="8" s="1"/>
  <c r="J9463" i="8"/>
  <c r="J9479" i="8" s="1"/>
  <c r="J10075" i="8"/>
  <c r="J10091" i="8" s="1"/>
  <c r="J9958" i="8"/>
  <c r="J9974" i="8" s="1"/>
  <c r="J9976" i="8"/>
  <c r="J9992" i="8" s="1"/>
  <c r="J9859" i="8"/>
  <c r="J9875" i="8" s="1"/>
  <c r="J9760" i="8"/>
  <c r="J9776" i="8" s="1"/>
  <c r="J9778" i="8"/>
  <c r="J9794" i="8" s="1"/>
  <c r="J9661" i="8"/>
  <c r="J9677" i="8" s="1"/>
  <c r="J9679" i="8"/>
  <c r="J9695" i="8" s="1"/>
  <c r="J9562" i="8"/>
  <c r="J9578" i="8" s="1"/>
  <c r="J9580" i="8"/>
  <c r="J9596" i="8" s="1"/>
  <c r="J9244" i="8"/>
  <c r="J9260" i="8" s="1"/>
  <c r="J9343" i="8"/>
  <c r="J9359" i="8" s="1"/>
  <c r="J9262" i="8"/>
  <c r="J9278" i="8" s="1"/>
  <c r="J8819" i="8"/>
  <c r="J9157" i="8"/>
  <c r="J9005" i="8"/>
  <c r="J9021" i="8" s="1"/>
  <c r="J9023" i="8"/>
  <c r="J9039" i="8" s="1"/>
  <c r="J8271" i="8"/>
  <c r="J8287" i="8" s="1"/>
  <c r="J9176" i="8"/>
  <c r="J8289" i="8"/>
  <c r="J8305" i="8" s="1"/>
  <c r="J8906" i="8"/>
  <c r="J8922" i="8" s="1"/>
  <c r="J8924" i="8"/>
  <c r="J8940" i="8" s="1"/>
  <c r="J9104" i="8"/>
  <c r="J9120" i="8" s="1"/>
  <c r="J9122" i="8"/>
  <c r="J9138" i="8" s="1"/>
  <c r="J8568" i="8"/>
  <c r="J8584" i="8" s="1"/>
  <c r="J8586" i="8"/>
  <c r="J8602" i="8" s="1"/>
  <c r="J8469" i="8"/>
  <c r="J8485" i="8" s="1"/>
  <c r="J8487" i="8"/>
  <c r="J8503" i="8" s="1"/>
  <c r="J8370" i="8"/>
  <c r="J8386" i="8" s="1"/>
  <c r="J1991" i="8"/>
  <c r="J8172" i="8"/>
  <c r="J8188" i="8" s="1"/>
  <c r="J6813" i="8"/>
  <c r="J1938" i="8"/>
  <c r="J1954" i="8" s="1"/>
  <c r="J6050" i="8"/>
  <c r="J6066" i="8" s="1"/>
  <c r="J6760" i="8"/>
  <c r="J6776" i="8" s="1"/>
  <c r="J2114" i="8"/>
  <c r="J2130" i="8" s="1"/>
  <c r="J1839" i="8"/>
  <c r="J1855" i="8" s="1"/>
  <c r="J4427" i="8"/>
  <c r="H4427" i="8"/>
  <c r="C107" i="6" s="1"/>
  <c r="F107" i="6" s="1"/>
  <c r="J4312" i="8"/>
  <c r="J4328" i="8" s="1"/>
  <c r="J7595" i="8"/>
  <c r="J7611" i="8" s="1"/>
  <c r="J8032" i="8"/>
  <c r="J8048" i="8" s="1"/>
  <c r="J7834" i="8"/>
  <c r="J7850" i="8" s="1"/>
  <c r="J7933" i="8"/>
  <c r="J7949" i="8" s="1"/>
  <c r="J7735" i="8"/>
  <c r="J7751" i="8" s="1"/>
  <c r="J7238" i="8"/>
  <c r="J7254" i="8" s="1"/>
  <c r="J7337" i="8"/>
  <c r="J7353" i="8" s="1"/>
  <c r="J7139" i="8"/>
  <c r="J7155" i="8" s="1"/>
  <c r="J1419" i="8"/>
  <c r="J1435" i="8" s="1"/>
  <c r="J1518" i="8"/>
  <c r="J1534" i="8" s="1"/>
  <c r="J1320" i="8"/>
  <c r="J1336" i="8" s="1"/>
  <c r="J1222" i="8"/>
  <c r="J1238" i="8" s="1"/>
  <c r="J1123" i="8"/>
  <c r="J1139" i="8" s="1"/>
  <c r="J1141" i="8"/>
  <c r="J1157" i="8" s="1"/>
  <c r="J821" i="8"/>
  <c r="J837" i="8" s="1"/>
  <c r="J803" i="8"/>
  <c r="J819" i="8" s="1"/>
  <c r="J430" i="8"/>
  <c r="J446" i="8" s="1"/>
  <c r="J448" i="8"/>
  <c r="J464" i="8" s="1"/>
  <c r="J72" i="8"/>
  <c r="J88" i="8" s="1"/>
  <c r="J8318" i="8"/>
  <c r="I8838" i="8"/>
  <c r="J8837" i="8"/>
  <c r="J8836" i="8"/>
  <c r="J8835" i="8"/>
  <c r="J8834" i="8"/>
  <c r="J8833" i="8"/>
  <c r="J8832" i="8"/>
  <c r="J8831" i="8"/>
  <c r="J8830" i="8"/>
  <c r="J8829" i="8"/>
  <c r="J8828" i="8"/>
  <c r="J8827" i="8"/>
  <c r="J8826" i="8"/>
  <c r="J8825" i="8"/>
  <c r="J8824" i="8"/>
  <c r="J8823" i="8"/>
  <c r="H8838" i="8"/>
  <c r="I8404" i="8"/>
  <c r="F160" i="7" s="1"/>
  <c r="J8403" i="8"/>
  <c r="J8402" i="8"/>
  <c r="J8401" i="8"/>
  <c r="J8400" i="8"/>
  <c r="J8399" i="8"/>
  <c r="J8398" i="8"/>
  <c r="J8397" i="8"/>
  <c r="J8396" i="8"/>
  <c r="J8395" i="8"/>
  <c r="J8394" i="8"/>
  <c r="J8393" i="8"/>
  <c r="J8392" i="8"/>
  <c r="J8391" i="8"/>
  <c r="J8390" i="8"/>
  <c r="J8389" i="8"/>
  <c r="J8368" i="8"/>
  <c r="J8367" i="8"/>
  <c r="J8366" i="8"/>
  <c r="J8365" i="8"/>
  <c r="J8364" i="8"/>
  <c r="J8363" i="8"/>
  <c r="J8362" i="8"/>
  <c r="J8361" i="8"/>
  <c r="J8360" i="8"/>
  <c r="J8359" i="8"/>
  <c r="J8358" i="8"/>
  <c r="J8357" i="8"/>
  <c r="J8356" i="8"/>
  <c r="J8355" i="8"/>
  <c r="J8354" i="8"/>
  <c r="J8353" i="8"/>
  <c r="J8352" i="8"/>
  <c r="J8351" i="8"/>
  <c r="J8350" i="8"/>
  <c r="J8349" i="8"/>
  <c r="J8348" i="8"/>
  <c r="J8347" i="8"/>
  <c r="J8346" i="8"/>
  <c r="J8345" i="8"/>
  <c r="J8344" i="8"/>
  <c r="J8343" i="8"/>
  <c r="J8342" i="8"/>
  <c r="J8341" i="8"/>
  <c r="J8340" i="8"/>
  <c r="J8339" i="8"/>
  <c r="J8338" i="8"/>
  <c r="J8337" i="8"/>
  <c r="J8336" i="8"/>
  <c r="J8335" i="8"/>
  <c r="J8334" i="8"/>
  <c r="J8333" i="8"/>
  <c r="J8332" i="8"/>
  <c r="J8331" i="8"/>
  <c r="J8330" i="8"/>
  <c r="J8329" i="8"/>
  <c r="J8328" i="8"/>
  <c r="J8327" i="8"/>
  <c r="J8326" i="8"/>
  <c r="J8325" i="8"/>
  <c r="J8324" i="8"/>
  <c r="J8323" i="8"/>
  <c r="J8322" i="8"/>
  <c r="J8321" i="8"/>
  <c r="J8320" i="8"/>
  <c r="J8319" i="8"/>
  <c r="J8317" i="8"/>
  <c r="J8316" i="8"/>
  <c r="J8315" i="8"/>
  <c r="J8314" i="8"/>
  <c r="J8313" i="8"/>
  <c r="J8312" i="8"/>
  <c r="J8311" i="8"/>
  <c r="J8310" i="8"/>
  <c r="J8309" i="8"/>
  <c r="I8206" i="8"/>
  <c r="F131" i="7" s="1"/>
  <c r="J8205" i="8"/>
  <c r="J8204" i="8"/>
  <c r="J8203" i="8"/>
  <c r="J8202" i="8"/>
  <c r="J8201" i="8"/>
  <c r="J8200" i="8"/>
  <c r="J8199" i="8"/>
  <c r="J8198" i="8"/>
  <c r="J8197" i="8"/>
  <c r="J8196" i="8"/>
  <c r="J8195" i="8"/>
  <c r="J8194" i="8"/>
  <c r="J8193" i="8"/>
  <c r="J8192" i="8"/>
  <c r="J8191" i="8"/>
  <c r="H8206" i="8"/>
  <c r="D131" i="7" s="1"/>
  <c r="D130" i="7" s="1"/>
  <c r="B610" i="7" s="1"/>
  <c r="J8170" i="8"/>
  <c r="J8169" i="8"/>
  <c r="J8168" i="8"/>
  <c r="J8167" i="8"/>
  <c r="J8166" i="8"/>
  <c r="J8165" i="8"/>
  <c r="J8164" i="8"/>
  <c r="J8163" i="8"/>
  <c r="J8162" i="8"/>
  <c r="J8161" i="8"/>
  <c r="J8160" i="8"/>
  <c r="J8159" i="8"/>
  <c r="J8158" i="8"/>
  <c r="J8157" i="8"/>
  <c r="J8156" i="8"/>
  <c r="J8155" i="8"/>
  <c r="J8154" i="8"/>
  <c r="J8153" i="8"/>
  <c r="J8152" i="8"/>
  <c r="J8151" i="8"/>
  <c r="J8150" i="8"/>
  <c r="J8149" i="8"/>
  <c r="J8148" i="8"/>
  <c r="J8147" i="8"/>
  <c r="J8146" i="8"/>
  <c r="J8145" i="8"/>
  <c r="J8144" i="8"/>
  <c r="J8143" i="8"/>
  <c r="J8142" i="8"/>
  <c r="J8141" i="8"/>
  <c r="J8140" i="8"/>
  <c r="J8139" i="8"/>
  <c r="J8138" i="8"/>
  <c r="J8137" i="8"/>
  <c r="J8136" i="8"/>
  <c r="J8135" i="8"/>
  <c r="J8134" i="8"/>
  <c r="J8133" i="8"/>
  <c r="J8132" i="8"/>
  <c r="J8131" i="8"/>
  <c r="J8130" i="8"/>
  <c r="J8129" i="8"/>
  <c r="J8128" i="8"/>
  <c r="J8127" i="8"/>
  <c r="J8126" i="8"/>
  <c r="J8125" i="8"/>
  <c r="J8124" i="8"/>
  <c r="J8123" i="8"/>
  <c r="J8122" i="8"/>
  <c r="J8121" i="8"/>
  <c r="J8120" i="8"/>
  <c r="J8119" i="8"/>
  <c r="J8118" i="8"/>
  <c r="J8117" i="8"/>
  <c r="J8116" i="8"/>
  <c r="J8115" i="8"/>
  <c r="J8114" i="8"/>
  <c r="J8113" i="8"/>
  <c r="J8112" i="8"/>
  <c r="J8111" i="8"/>
  <c r="I6794" i="8"/>
  <c r="F522" i="7" s="1"/>
  <c r="J6793" i="8"/>
  <c r="J6792" i="8"/>
  <c r="J6791" i="8"/>
  <c r="J6790" i="8"/>
  <c r="J6789" i="8"/>
  <c r="J6788" i="8"/>
  <c r="J6787" i="8"/>
  <c r="J6786" i="8"/>
  <c r="J6785" i="8"/>
  <c r="J6784" i="8"/>
  <c r="J6783" i="8"/>
  <c r="J6782" i="8"/>
  <c r="J6781" i="8"/>
  <c r="J6780" i="8"/>
  <c r="J6779" i="8"/>
  <c r="J6758" i="8"/>
  <c r="J6757" i="8"/>
  <c r="J6756" i="8"/>
  <c r="J6755" i="8"/>
  <c r="J6754" i="8"/>
  <c r="J6753" i="8"/>
  <c r="J6752" i="8"/>
  <c r="J6751" i="8"/>
  <c r="J6750" i="8"/>
  <c r="J6749" i="8"/>
  <c r="J6748" i="8"/>
  <c r="J6747" i="8"/>
  <c r="J6746" i="8"/>
  <c r="J6745" i="8"/>
  <c r="J6744" i="8"/>
  <c r="J6743" i="8"/>
  <c r="J6742" i="8"/>
  <c r="J6741" i="8"/>
  <c r="J6740" i="8"/>
  <c r="J6739" i="8"/>
  <c r="J6738" i="8"/>
  <c r="J6737" i="8"/>
  <c r="J6736" i="8"/>
  <c r="J6735" i="8"/>
  <c r="J6734" i="8"/>
  <c r="J6733" i="8"/>
  <c r="J6732" i="8"/>
  <c r="J6731" i="8"/>
  <c r="J6730" i="8"/>
  <c r="J6729" i="8"/>
  <c r="J6728" i="8"/>
  <c r="J6727" i="8"/>
  <c r="J6726" i="8"/>
  <c r="J6725" i="8"/>
  <c r="J6724" i="8"/>
  <c r="J6723" i="8"/>
  <c r="J6722" i="8"/>
  <c r="J6721" i="8"/>
  <c r="J6720" i="8"/>
  <c r="J6719" i="8"/>
  <c r="J6718" i="8"/>
  <c r="J6717" i="8"/>
  <c r="J6716" i="8"/>
  <c r="J6715" i="8"/>
  <c r="J6714" i="8"/>
  <c r="J6713" i="8"/>
  <c r="J6712" i="8"/>
  <c r="J6711" i="8"/>
  <c r="J6710" i="8"/>
  <c r="J6709" i="8"/>
  <c r="J6708" i="8"/>
  <c r="J6707" i="8"/>
  <c r="J6706" i="8"/>
  <c r="J6705" i="8"/>
  <c r="J6704" i="8"/>
  <c r="J6703" i="8"/>
  <c r="J6702" i="8"/>
  <c r="J6701" i="8"/>
  <c r="J6700" i="8"/>
  <c r="J6699" i="8"/>
  <c r="I6832" i="8"/>
  <c r="J6831" i="8"/>
  <c r="J6830" i="8"/>
  <c r="J6829" i="8"/>
  <c r="J6828" i="8"/>
  <c r="J6827" i="8"/>
  <c r="J6826" i="8"/>
  <c r="J6825" i="8"/>
  <c r="J6824" i="8"/>
  <c r="J6823" i="8"/>
  <c r="J6822" i="8"/>
  <c r="J6821" i="8"/>
  <c r="J6820" i="8"/>
  <c r="J6819" i="8"/>
  <c r="J6818" i="8"/>
  <c r="J6817" i="8"/>
  <c r="J6083" i="8"/>
  <c r="J6082" i="8"/>
  <c r="J6081" i="8"/>
  <c r="J6080" i="8"/>
  <c r="J6079" i="8"/>
  <c r="J6078" i="8"/>
  <c r="J6077" i="8"/>
  <c r="J6076" i="8"/>
  <c r="J6075" i="8"/>
  <c r="J6074" i="8"/>
  <c r="J6073" i="8"/>
  <c r="J6072" i="8"/>
  <c r="J6071" i="8"/>
  <c r="J6070" i="8"/>
  <c r="J6069" i="8"/>
  <c r="J6048" i="8"/>
  <c r="J6047" i="8"/>
  <c r="J6046" i="8"/>
  <c r="J6045" i="8"/>
  <c r="J6044" i="8"/>
  <c r="J6043" i="8"/>
  <c r="J6042" i="8"/>
  <c r="J6041" i="8"/>
  <c r="J6040" i="8"/>
  <c r="J6039" i="8"/>
  <c r="J6038" i="8"/>
  <c r="J6037" i="8"/>
  <c r="J6036" i="8"/>
  <c r="J6035" i="8"/>
  <c r="J6034" i="8"/>
  <c r="J6033" i="8"/>
  <c r="J6032" i="8"/>
  <c r="J6031" i="8"/>
  <c r="J6030" i="8"/>
  <c r="J6029" i="8"/>
  <c r="J6028" i="8"/>
  <c r="J6027" i="8"/>
  <c r="J6026" i="8"/>
  <c r="J6025" i="8"/>
  <c r="J6024" i="8"/>
  <c r="J6023" i="8"/>
  <c r="J6022" i="8"/>
  <c r="J6021" i="8"/>
  <c r="J6020" i="8"/>
  <c r="J6019" i="8"/>
  <c r="J6018" i="8"/>
  <c r="J6017" i="8"/>
  <c r="J6016" i="8"/>
  <c r="J6015" i="8"/>
  <c r="J6014" i="8"/>
  <c r="J6013" i="8"/>
  <c r="J6012" i="8"/>
  <c r="J6011" i="8"/>
  <c r="J6010" i="8"/>
  <c r="J6009" i="8"/>
  <c r="J6008" i="8"/>
  <c r="J6007" i="8"/>
  <c r="J6006" i="8"/>
  <c r="J6005" i="8"/>
  <c r="J6004" i="8"/>
  <c r="J6003" i="8"/>
  <c r="J6002" i="8"/>
  <c r="J6001" i="8"/>
  <c r="J6000" i="8"/>
  <c r="J5999" i="8"/>
  <c r="J5998" i="8"/>
  <c r="J5997" i="8"/>
  <c r="J5996" i="8"/>
  <c r="J5995" i="8"/>
  <c r="J5994" i="8"/>
  <c r="J5993" i="8"/>
  <c r="J5992" i="8"/>
  <c r="J5991" i="8"/>
  <c r="J5990" i="8"/>
  <c r="J5989" i="8"/>
  <c r="I6122" i="8"/>
  <c r="J6121" i="8"/>
  <c r="J6120" i="8"/>
  <c r="J6119" i="8"/>
  <c r="J6118" i="8"/>
  <c r="J6117" i="8"/>
  <c r="J6116" i="8"/>
  <c r="J6115" i="8"/>
  <c r="J6114" i="8"/>
  <c r="J6113" i="8"/>
  <c r="J6112" i="8"/>
  <c r="J6111" i="8"/>
  <c r="J6110" i="8"/>
  <c r="J6109" i="8"/>
  <c r="J6108" i="8"/>
  <c r="J6107" i="8"/>
  <c r="H6122" i="8"/>
  <c r="I1972" i="8"/>
  <c r="J1971" i="8"/>
  <c r="J1970" i="8"/>
  <c r="J1969" i="8"/>
  <c r="J1968" i="8"/>
  <c r="J1967" i="8"/>
  <c r="J1966" i="8"/>
  <c r="J1965" i="8"/>
  <c r="J1964" i="8"/>
  <c r="J1963" i="8"/>
  <c r="J1962" i="8"/>
  <c r="J1961" i="8"/>
  <c r="J1960" i="8"/>
  <c r="J1959" i="8"/>
  <c r="J1958" i="8"/>
  <c r="J1957" i="8"/>
  <c r="H1972" i="8"/>
  <c r="J1936" i="8"/>
  <c r="J1935" i="8"/>
  <c r="J1934" i="8"/>
  <c r="J1933" i="8"/>
  <c r="J1932" i="8"/>
  <c r="J1931" i="8"/>
  <c r="J1930" i="8"/>
  <c r="J1929" i="8"/>
  <c r="J1928" i="8"/>
  <c r="J1927" i="8"/>
  <c r="H13268" i="8"/>
  <c r="H17245" i="8"/>
  <c r="H17261" i="8" s="1"/>
  <c r="J17226" i="8"/>
  <c r="J17242" i="8" s="1"/>
  <c r="J4766" i="8"/>
  <c r="J4782" i="8" s="1"/>
  <c r="J6778" i="8"/>
  <c r="H6794" i="8"/>
  <c r="D522" i="7" s="1"/>
  <c r="J8190" i="8"/>
  <c r="J8388" i="8"/>
  <c r="J8822" i="8"/>
  <c r="J6106" i="8"/>
  <c r="J6816" i="8"/>
  <c r="J6068" i="8"/>
  <c r="J1956" i="8"/>
  <c r="I6692" i="8"/>
  <c r="J6691" i="8"/>
  <c r="J6690" i="8"/>
  <c r="J6689" i="8"/>
  <c r="J6688" i="8"/>
  <c r="J6687" i="8"/>
  <c r="J6686" i="8"/>
  <c r="J6685" i="8"/>
  <c r="J6684" i="8"/>
  <c r="J6683" i="8"/>
  <c r="J6682" i="8"/>
  <c r="J6681" i="8"/>
  <c r="J6680" i="8"/>
  <c r="J6679" i="8"/>
  <c r="J6678" i="8"/>
  <c r="J6677" i="8"/>
  <c r="I6654" i="8"/>
  <c r="J6653" i="8"/>
  <c r="J6652" i="8"/>
  <c r="J6651" i="8"/>
  <c r="J6650" i="8"/>
  <c r="J6649" i="8"/>
  <c r="J6648" i="8"/>
  <c r="J6647" i="8"/>
  <c r="J6646" i="8"/>
  <c r="J6645" i="8"/>
  <c r="J6644" i="8"/>
  <c r="J6643" i="8"/>
  <c r="J6642" i="8"/>
  <c r="J6641" i="8"/>
  <c r="J6640" i="8"/>
  <c r="J6639" i="8"/>
  <c r="H6654" i="8"/>
  <c r="D521" i="7" s="1"/>
  <c r="H6657" i="8"/>
  <c r="H6676" i="8" s="1"/>
  <c r="J6638" i="8"/>
  <c r="I6610" i="8"/>
  <c r="J6609" i="8"/>
  <c r="J6608" i="8"/>
  <c r="J6607" i="8"/>
  <c r="J6606" i="8"/>
  <c r="J6605" i="8"/>
  <c r="J6604" i="8"/>
  <c r="J6603" i="8"/>
  <c r="J6602" i="8"/>
  <c r="J6601" i="8"/>
  <c r="J6600" i="8"/>
  <c r="J6599" i="8"/>
  <c r="J6598" i="8"/>
  <c r="J6597" i="8"/>
  <c r="J6596" i="8"/>
  <c r="J6595" i="8"/>
  <c r="J4463" i="8"/>
  <c r="J4462" i="8"/>
  <c r="J4461" i="8"/>
  <c r="J4460" i="8"/>
  <c r="J4459" i="8"/>
  <c r="J4458" i="8"/>
  <c r="J4457" i="8"/>
  <c r="J4456" i="8"/>
  <c r="J4455" i="8"/>
  <c r="J4454" i="8"/>
  <c r="J4453" i="8"/>
  <c r="J4452" i="8"/>
  <c r="J4451" i="8"/>
  <c r="J4450" i="8"/>
  <c r="J4449" i="8"/>
  <c r="J1551" i="8"/>
  <c r="J1550" i="8"/>
  <c r="J1549" i="8"/>
  <c r="J1548" i="8"/>
  <c r="J1547" i="8"/>
  <c r="J1546" i="8"/>
  <c r="J1545" i="8"/>
  <c r="J1544" i="8"/>
  <c r="J1543" i="8"/>
  <c r="J1542" i="8"/>
  <c r="J1541" i="8"/>
  <c r="J1540" i="8"/>
  <c r="J1539" i="8"/>
  <c r="J1538" i="8"/>
  <c r="J1537" i="8"/>
  <c r="J1516" i="8"/>
  <c r="J1515" i="8"/>
  <c r="J1514" i="8"/>
  <c r="J1513" i="8"/>
  <c r="J1512" i="8"/>
  <c r="J1511" i="8"/>
  <c r="J1510" i="8"/>
  <c r="J1509" i="8"/>
  <c r="J1508" i="8"/>
  <c r="J1507" i="8"/>
  <c r="J1506" i="8"/>
  <c r="J1505" i="8"/>
  <c r="J1504" i="8"/>
  <c r="J1503" i="8"/>
  <c r="J1502" i="8"/>
  <c r="J1501" i="8"/>
  <c r="J1500" i="8"/>
  <c r="J1499" i="8"/>
  <c r="J1498" i="8"/>
  <c r="J1497" i="8"/>
  <c r="J1496" i="8"/>
  <c r="J1495" i="8"/>
  <c r="J1494" i="8"/>
  <c r="J1493" i="8"/>
  <c r="J1492" i="8"/>
  <c r="J1491" i="8"/>
  <c r="J1490" i="8"/>
  <c r="J1489" i="8"/>
  <c r="J1488" i="8"/>
  <c r="J1487" i="8"/>
  <c r="J1486" i="8"/>
  <c r="J1485" i="8"/>
  <c r="J1484" i="8"/>
  <c r="J1483" i="8"/>
  <c r="J1482" i="8"/>
  <c r="J1481" i="8"/>
  <c r="J1480" i="8"/>
  <c r="J1479" i="8"/>
  <c r="J1478" i="8"/>
  <c r="J1477" i="8"/>
  <c r="J1476" i="8"/>
  <c r="J1475" i="8"/>
  <c r="J1474" i="8"/>
  <c r="J1473" i="8"/>
  <c r="J1472" i="8"/>
  <c r="J1471" i="8"/>
  <c r="J1470" i="8"/>
  <c r="J1469" i="8"/>
  <c r="J1468" i="8"/>
  <c r="J1467" i="8"/>
  <c r="J1466" i="8"/>
  <c r="J1465" i="8"/>
  <c r="J1464" i="8"/>
  <c r="J1463" i="8"/>
  <c r="J1462" i="8"/>
  <c r="J1461" i="8"/>
  <c r="J1460" i="8"/>
  <c r="J1459" i="8"/>
  <c r="J1458" i="8"/>
  <c r="J1457" i="8"/>
  <c r="J1452" i="8"/>
  <c r="J1451" i="8"/>
  <c r="J1450" i="8"/>
  <c r="J1449" i="8"/>
  <c r="J1448" i="8"/>
  <c r="J1447" i="8"/>
  <c r="J1446" i="8"/>
  <c r="J1445" i="8"/>
  <c r="J1444" i="8"/>
  <c r="J1443" i="8"/>
  <c r="J1442" i="8"/>
  <c r="J1441" i="8"/>
  <c r="J1440" i="8"/>
  <c r="J1439" i="8"/>
  <c r="J1438" i="8"/>
  <c r="J1417" i="8"/>
  <c r="J1416" i="8"/>
  <c r="J1415" i="8"/>
  <c r="J1414" i="8"/>
  <c r="J1413" i="8"/>
  <c r="J1412" i="8"/>
  <c r="J1411" i="8"/>
  <c r="J1410" i="8"/>
  <c r="J1409" i="8"/>
  <c r="J1408" i="8"/>
  <c r="J1407" i="8"/>
  <c r="J1406" i="8"/>
  <c r="J1405" i="8"/>
  <c r="J1404" i="8"/>
  <c r="J1403" i="8"/>
  <c r="J1402" i="8"/>
  <c r="J1401" i="8"/>
  <c r="J1400" i="8"/>
  <c r="J1399" i="8"/>
  <c r="J1398" i="8"/>
  <c r="J1397" i="8"/>
  <c r="J1396" i="8"/>
  <c r="J1395" i="8"/>
  <c r="J1394" i="8"/>
  <c r="J1393" i="8"/>
  <c r="J1392" i="8"/>
  <c r="J1391" i="8"/>
  <c r="J1390" i="8"/>
  <c r="J1389" i="8"/>
  <c r="J1388" i="8"/>
  <c r="J1387" i="8"/>
  <c r="J1386" i="8"/>
  <c r="J1385" i="8"/>
  <c r="J1384" i="8"/>
  <c r="J1383" i="8"/>
  <c r="J1382" i="8"/>
  <c r="J1381" i="8"/>
  <c r="J1380" i="8"/>
  <c r="J1379" i="8"/>
  <c r="J1378" i="8"/>
  <c r="J1377" i="8"/>
  <c r="J1376" i="8"/>
  <c r="J1375" i="8"/>
  <c r="J1374" i="8"/>
  <c r="J1373" i="8"/>
  <c r="J1372" i="8"/>
  <c r="J1371" i="8"/>
  <c r="J1370" i="8"/>
  <c r="J1369" i="8"/>
  <c r="J1368" i="8"/>
  <c r="J1367" i="8"/>
  <c r="J1366" i="8"/>
  <c r="J1365" i="8"/>
  <c r="J1364" i="8"/>
  <c r="J1363" i="8"/>
  <c r="J1362" i="8"/>
  <c r="J1361" i="8"/>
  <c r="J1360" i="8"/>
  <c r="J1359" i="8"/>
  <c r="J1358" i="8"/>
  <c r="J1353" i="8"/>
  <c r="J1352" i="8"/>
  <c r="J1351" i="8"/>
  <c r="J1350" i="8"/>
  <c r="J1349" i="8"/>
  <c r="J1348" i="8"/>
  <c r="J1347" i="8"/>
  <c r="J1346" i="8"/>
  <c r="J1345" i="8"/>
  <c r="J1344" i="8"/>
  <c r="J1343" i="8"/>
  <c r="J1342" i="8"/>
  <c r="J1341" i="8"/>
  <c r="J1340" i="8"/>
  <c r="J1339" i="8"/>
  <c r="J1318" i="8"/>
  <c r="J1317" i="8"/>
  <c r="J1316" i="8"/>
  <c r="J1315" i="8"/>
  <c r="J1314" i="8"/>
  <c r="J1313" i="8"/>
  <c r="J1312" i="8"/>
  <c r="J1311" i="8"/>
  <c r="J1310" i="8"/>
  <c r="J1309" i="8"/>
  <c r="J1308" i="8"/>
  <c r="J1307" i="8"/>
  <c r="J1306" i="8"/>
  <c r="J1305" i="8"/>
  <c r="J1304" i="8"/>
  <c r="J1303" i="8"/>
  <c r="J1302" i="8"/>
  <c r="J1301" i="8"/>
  <c r="J1300" i="8"/>
  <c r="J1299" i="8"/>
  <c r="J1298" i="8"/>
  <c r="J1297" i="8"/>
  <c r="J1296" i="8"/>
  <c r="J1295" i="8"/>
  <c r="J1294" i="8"/>
  <c r="J1293" i="8"/>
  <c r="J1292" i="8"/>
  <c r="J1291" i="8"/>
  <c r="J1290" i="8"/>
  <c r="J1289" i="8"/>
  <c r="J1288" i="8"/>
  <c r="J1287" i="8"/>
  <c r="J1286" i="8"/>
  <c r="J1285" i="8"/>
  <c r="J1284" i="8"/>
  <c r="J1283" i="8"/>
  <c r="J1282" i="8"/>
  <c r="J1281" i="8"/>
  <c r="J1280" i="8"/>
  <c r="J1279" i="8"/>
  <c r="J1278" i="8"/>
  <c r="J1277" i="8"/>
  <c r="J1276" i="8"/>
  <c r="J1275" i="8"/>
  <c r="J1274" i="8"/>
  <c r="J1273" i="8"/>
  <c r="J1272" i="8"/>
  <c r="J1271" i="8"/>
  <c r="J1270" i="8"/>
  <c r="J1269" i="8"/>
  <c r="J1268" i="8"/>
  <c r="J1267" i="8"/>
  <c r="J1266" i="8"/>
  <c r="J1265" i="8"/>
  <c r="J1264" i="8"/>
  <c r="J1263" i="8"/>
  <c r="J1262" i="8"/>
  <c r="J1261" i="8"/>
  <c r="J1260" i="8"/>
  <c r="J1259" i="8"/>
  <c r="J1255" i="8"/>
  <c r="J1254" i="8"/>
  <c r="J1253" i="8"/>
  <c r="J1252" i="8"/>
  <c r="J1251" i="8"/>
  <c r="J1250" i="8"/>
  <c r="J1249" i="8"/>
  <c r="J1248" i="8"/>
  <c r="J1247" i="8"/>
  <c r="J1246" i="8"/>
  <c r="J1245" i="8"/>
  <c r="J1244" i="8"/>
  <c r="J1243" i="8"/>
  <c r="J1242" i="8"/>
  <c r="J1241" i="8"/>
  <c r="J1220" i="8"/>
  <c r="J1219" i="8"/>
  <c r="J1218" i="8"/>
  <c r="J1217" i="8"/>
  <c r="J1216" i="8"/>
  <c r="J1215" i="8"/>
  <c r="J1214" i="8"/>
  <c r="J1213" i="8"/>
  <c r="J1212" i="8"/>
  <c r="J1211" i="8"/>
  <c r="J1210" i="8"/>
  <c r="J1209" i="8"/>
  <c r="J1208" i="8"/>
  <c r="J1207" i="8"/>
  <c r="J1206" i="8"/>
  <c r="J1205" i="8"/>
  <c r="J1204" i="8"/>
  <c r="J1203" i="8"/>
  <c r="J1202" i="8"/>
  <c r="J1201" i="8"/>
  <c r="J1200" i="8"/>
  <c r="J1199" i="8"/>
  <c r="J1198" i="8"/>
  <c r="J1197" i="8"/>
  <c r="J1196" i="8"/>
  <c r="J1195" i="8"/>
  <c r="J1194" i="8"/>
  <c r="J1193" i="8"/>
  <c r="J1192" i="8"/>
  <c r="J1191" i="8"/>
  <c r="J1190" i="8"/>
  <c r="J1189" i="8"/>
  <c r="J1188" i="8"/>
  <c r="J1187" i="8"/>
  <c r="J1186" i="8"/>
  <c r="J1185" i="8"/>
  <c r="J1184" i="8"/>
  <c r="J1183" i="8"/>
  <c r="J1182" i="8"/>
  <c r="J1181" i="8"/>
  <c r="J1180" i="8"/>
  <c r="J1179" i="8"/>
  <c r="J1178" i="8"/>
  <c r="J1177" i="8"/>
  <c r="J1176" i="8"/>
  <c r="J1175" i="8"/>
  <c r="J1174" i="8"/>
  <c r="J1173" i="8"/>
  <c r="J1172" i="8"/>
  <c r="J1171" i="8"/>
  <c r="J1170" i="8"/>
  <c r="J1169" i="8"/>
  <c r="J1168" i="8"/>
  <c r="J1167" i="8"/>
  <c r="J1166" i="8"/>
  <c r="J1165" i="8"/>
  <c r="J1164" i="8"/>
  <c r="J1163" i="8"/>
  <c r="J1162" i="8"/>
  <c r="J1161" i="8"/>
  <c r="J1121" i="8"/>
  <c r="J1120" i="8"/>
  <c r="J1119" i="8"/>
  <c r="J1118" i="8"/>
  <c r="J1117" i="8"/>
  <c r="J1116" i="8"/>
  <c r="J1115" i="8"/>
  <c r="J1114" i="8"/>
  <c r="J1113" i="8"/>
  <c r="J1112" i="8"/>
  <c r="J1111" i="8"/>
  <c r="J1110" i="8"/>
  <c r="J1109" i="8"/>
  <c r="J1108" i="8"/>
  <c r="J1107" i="8"/>
  <c r="J1106" i="8"/>
  <c r="J1105" i="8"/>
  <c r="J1104" i="8"/>
  <c r="J1103" i="8"/>
  <c r="J1102" i="8"/>
  <c r="J1101" i="8"/>
  <c r="J1100" i="8"/>
  <c r="J1099" i="8"/>
  <c r="J1098" i="8"/>
  <c r="J1097" i="8"/>
  <c r="J1096" i="8"/>
  <c r="J1095" i="8"/>
  <c r="J1094" i="8"/>
  <c r="J1093" i="8"/>
  <c r="J1092" i="8"/>
  <c r="J1091" i="8"/>
  <c r="J1090" i="8"/>
  <c r="J1089" i="8"/>
  <c r="J1088" i="8"/>
  <c r="J1087" i="8"/>
  <c r="J1086" i="8"/>
  <c r="J1085" i="8"/>
  <c r="J1084" i="8"/>
  <c r="J1083" i="8"/>
  <c r="J1082" i="8"/>
  <c r="J1081" i="8"/>
  <c r="J1080" i="8"/>
  <c r="J1079" i="8"/>
  <c r="J1078" i="8"/>
  <c r="J1077" i="8"/>
  <c r="J1076" i="8"/>
  <c r="J1075" i="8"/>
  <c r="J1074" i="8"/>
  <c r="J1073" i="8"/>
  <c r="J1072" i="8"/>
  <c r="J1071" i="8"/>
  <c r="J1070" i="8"/>
  <c r="J1069" i="8"/>
  <c r="J1068" i="8"/>
  <c r="J1067" i="8"/>
  <c r="J1066" i="8"/>
  <c r="J1065" i="8"/>
  <c r="J1064" i="8"/>
  <c r="J1063" i="8"/>
  <c r="I4445" i="8"/>
  <c r="F383" i="7" s="1"/>
  <c r="G383" i="7" s="1"/>
  <c r="J4444" i="8"/>
  <c r="J4443" i="8"/>
  <c r="J4442" i="8"/>
  <c r="J4441" i="8"/>
  <c r="J4440" i="8"/>
  <c r="J4439" i="8"/>
  <c r="J4438" i="8"/>
  <c r="J4437" i="8"/>
  <c r="J4436" i="8"/>
  <c r="J4435" i="8"/>
  <c r="J4434" i="8"/>
  <c r="J4433" i="8"/>
  <c r="J4432" i="8"/>
  <c r="J4431" i="8"/>
  <c r="J4430" i="8"/>
  <c r="J4409" i="8"/>
  <c r="J4408" i="8"/>
  <c r="J4407" i="8"/>
  <c r="J4406" i="8"/>
  <c r="J4405" i="8"/>
  <c r="J4404" i="8"/>
  <c r="J4403" i="8"/>
  <c r="J4402" i="8"/>
  <c r="J4401" i="8"/>
  <c r="J4400" i="8"/>
  <c r="J4399" i="8"/>
  <c r="J4398" i="8"/>
  <c r="J4397" i="8"/>
  <c r="J4396" i="8"/>
  <c r="J4395" i="8"/>
  <c r="J4394" i="8"/>
  <c r="J4393" i="8"/>
  <c r="J4392" i="8"/>
  <c r="J4391" i="8"/>
  <c r="J4390" i="8"/>
  <c r="J4389" i="8"/>
  <c r="J4388" i="8"/>
  <c r="J4387" i="8"/>
  <c r="J4386" i="8"/>
  <c r="J4385" i="8"/>
  <c r="J4384" i="8"/>
  <c r="J4383" i="8"/>
  <c r="J4382" i="8"/>
  <c r="J4381" i="8"/>
  <c r="J4380" i="8"/>
  <c r="J4379" i="8"/>
  <c r="J4378" i="8"/>
  <c r="J4377" i="8"/>
  <c r="J4376" i="8"/>
  <c r="J4375" i="8"/>
  <c r="J4374" i="8"/>
  <c r="J4373" i="8"/>
  <c r="J4372" i="8"/>
  <c r="J4371" i="8"/>
  <c r="J4370" i="8"/>
  <c r="J4369" i="8"/>
  <c r="J4368" i="8"/>
  <c r="J4367" i="8"/>
  <c r="J4366" i="8"/>
  <c r="J4365" i="8"/>
  <c r="J4364" i="8"/>
  <c r="J4363" i="8"/>
  <c r="J4362" i="8"/>
  <c r="J4361" i="8"/>
  <c r="J4360" i="8"/>
  <c r="J4359" i="8"/>
  <c r="J4358" i="8"/>
  <c r="J4357" i="8"/>
  <c r="J4356" i="8"/>
  <c r="J4355" i="8"/>
  <c r="J4354" i="8"/>
  <c r="J4353" i="8"/>
  <c r="J4352" i="8"/>
  <c r="J4351" i="8"/>
  <c r="J4350" i="8"/>
  <c r="I4346" i="8"/>
  <c r="F382" i="7" s="1"/>
  <c r="J4345" i="8"/>
  <c r="J4344" i="8"/>
  <c r="J4343" i="8"/>
  <c r="J4342" i="8"/>
  <c r="J4341" i="8"/>
  <c r="J4340" i="8"/>
  <c r="J4339" i="8"/>
  <c r="J4338" i="8"/>
  <c r="J4337" i="8"/>
  <c r="J4336" i="8"/>
  <c r="J4335" i="8"/>
  <c r="J4334" i="8"/>
  <c r="J4333" i="8"/>
  <c r="J4332" i="8"/>
  <c r="J4331" i="8"/>
  <c r="J4310" i="8"/>
  <c r="J4309" i="8"/>
  <c r="J4308" i="8"/>
  <c r="J4307" i="8"/>
  <c r="J4306" i="8"/>
  <c r="J4305" i="8"/>
  <c r="J4304" i="8"/>
  <c r="J4303" i="8"/>
  <c r="J4302" i="8"/>
  <c r="J4301" i="8"/>
  <c r="J4300" i="8"/>
  <c r="J4299" i="8"/>
  <c r="J4298" i="8"/>
  <c r="J4297" i="8"/>
  <c r="J4296" i="8"/>
  <c r="J4295" i="8"/>
  <c r="J4294" i="8"/>
  <c r="J4293" i="8"/>
  <c r="J4292" i="8"/>
  <c r="J4291" i="8"/>
  <c r="J4290" i="8"/>
  <c r="J4289" i="8"/>
  <c r="J4288" i="8"/>
  <c r="J4287" i="8"/>
  <c r="J4286" i="8"/>
  <c r="J4285" i="8"/>
  <c r="J4284" i="8"/>
  <c r="J4283" i="8"/>
  <c r="D350" i="7"/>
  <c r="F350" i="7"/>
  <c r="I3680" i="8"/>
  <c r="J3679" i="8"/>
  <c r="J3678" i="8"/>
  <c r="J3677" i="8"/>
  <c r="J3676" i="8"/>
  <c r="J3675" i="8"/>
  <c r="J3674" i="8"/>
  <c r="J3673" i="8"/>
  <c r="F346" i="7"/>
  <c r="G346" i="7" s="1"/>
  <c r="I7648" i="8"/>
  <c r="J7647" i="8"/>
  <c r="J7646" i="8"/>
  <c r="J7645" i="8"/>
  <c r="J7644" i="8"/>
  <c r="J7643" i="8"/>
  <c r="J7642" i="8"/>
  <c r="J7641" i="8"/>
  <c r="J7640" i="8"/>
  <c r="J7639" i="8"/>
  <c r="J7638" i="8"/>
  <c r="J7637" i="8"/>
  <c r="J7636" i="8"/>
  <c r="J7635" i="8"/>
  <c r="J7634" i="8"/>
  <c r="J7633" i="8"/>
  <c r="H7629" i="8"/>
  <c r="D197" i="7" s="1"/>
  <c r="D196" i="7" s="1"/>
  <c r="I7629" i="8"/>
  <c r="J7628" i="8"/>
  <c r="J7627" i="8"/>
  <c r="J7626" i="8"/>
  <c r="J7625" i="8"/>
  <c r="J7624" i="8"/>
  <c r="J7623" i="8"/>
  <c r="J7622" i="8"/>
  <c r="J7621" i="8"/>
  <c r="J7620" i="8"/>
  <c r="J7619" i="8"/>
  <c r="J7618" i="8"/>
  <c r="J7617" i="8"/>
  <c r="J7616" i="8"/>
  <c r="J7615" i="8"/>
  <c r="J7614" i="8"/>
  <c r="J7593" i="8"/>
  <c r="J7592" i="8"/>
  <c r="J7591" i="8"/>
  <c r="J7590" i="8"/>
  <c r="J7589" i="8"/>
  <c r="J7588" i="8"/>
  <c r="J7587" i="8"/>
  <c r="J7586" i="8"/>
  <c r="J7585" i="8"/>
  <c r="J7584" i="8"/>
  <c r="J7583" i="8"/>
  <c r="J7582" i="8"/>
  <c r="J7581" i="8"/>
  <c r="J7580" i="8"/>
  <c r="J7579" i="8"/>
  <c r="J7578" i="8"/>
  <c r="J7577" i="8"/>
  <c r="J7576" i="8"/>
  <c r="J7575" i="8"/>
  <c r="J7574" i="8"/>
  <c r="J7573" i="8"/>
  <c r="J7572" i="8"/>
  <c r="J7571" i="8"/>
  <c r="J7570" i="8"/>
  <c r="J7569" i="8"/>
  <c r="J7568" i="8"/>
  <c r="J7567" i="8"/>
  <c r="J7566" i="8"/>
  <c r="J7565" i="8"/>
  <c r="J7564" i="8"/>
  <c r="J7563" i="8"/>
  <c r="J7562" i="8"/>
  <c r="J7561" i="8"/>
  <c r="J7560" i="8"/>
  <c r="J7559" i="8"/>
  <c r="J7558" i="8"/>
  <c r="J7557" i="8"/>
  <c r="J7556" i="8"/>
  <c r="J7555" i="8"/>
  <c r="J7554" i="8"/>
  <c r="J7553" i="8"/>
  <c r="J7552" i="8"/>
  <c r="J7551" i="8"/>
  <c r="J7550" i="8"/>
  <c r="J7549" i="8"/>
  <c r="J7548" i="8"/>
  <c r="J7547" i="8"/>
  <c r="J7546" i="8"/>
  <c r="J7545" i="8"/>
  <c r="J7544" i="8"/>
  <c r="J7543" i="8"/>
  <c r="J7542" i="8"/>
  <c r="J7541" i="8"/>
  <c r="J7540" i="8"/>
  <c r="J7539" i="8"/>
  <c r="J7538" i="8"/>
  <c r="J7537" i="8"/>
  <c r="J7536" i="8"/>
  <c r="J7535" i="8"/>
  <c r="J7534" i="8"/>
  <c r="I8085" i="8"/>
  <c r="J8084" i="8"/>
  <c r="J8083" i="8"/>
  <c r="J8082" i="8"/>
  <c r="J8081" i="8"/>
  <c r="J8080" i="8"/>
  <c r="J8079" i="8"/>
  <c r="J8078" i="8"/>
  <c r="J8077" i="8"/>
  <c r="J8076" i="8"/>
  <c r="J8075" i="8"/>
  <c r="J8074" i="8"/>
  <c r="J8073" i="8"/>
  <c r="J8072" i="8"/>
  <c r="J8071" i="8"/>
  <c r="J8070" i="8"/>
  <c r="J7951" i="8"/>
  <c r="I8066" i="8"/>
  <c r="J8065" i="8"/>
  <c r="J8064" i="8"/>
  <c r="J8063" i="8"/>
  <c r="J8062" i="8"/>
  <c r="J8061" i="8"/>
  <c r="J8060" i="8"/>
  <c r="J8059" i="8"/>
  <c r="J8058" i="8"/>
  <c r="J8057" i="8"/>
  <c r="J8056" i="8"/>
  <c r="J8055" i="8"/>
  <c r="J8054" i="8"/>
  <c r="J8053" i="8"/>
  <c r="J8052" i="8"/>
  <c r="J8051" i="8"/>
  <c r="J8030" i="8"/>
  <c r="J8029" i="8"/>
  <c r="J8028" i="8"/>
  <c r="J8027" i="8"/>
  <c r="J8026" i="8"/>
  <c r="J8025" i="8"/>
  <c r="J8024" i="8"/>
  <c r="J8023" i="8"/>
  <c r="J8022" i="8"/>
  <c r="J8021" i="8"/>
  <c r="J8020" i="8"/>
  <c r="J8019" i="8"/>
  <c r="J8018" i="8"/>
  <c r="J8017" i="8"/>
  <c r="J8016" i="8"/>
  <c r="J8015" i="8"/>
  <c r="J8014" i="8"/>
  <c r="J8013" i="8"/>
  <c r="J8012" i="8"/>
  <c r="J8011" i="8"/>
  <c r="J8010" i="8"/>
  <c r="J8009" i="8"/>
  <c r="J8008" i="8"/>
  <c r="J8007" i="8"/>
  <c r="J8006" i="8"/>
  <c r="J8005" i="8"/>
  <c r="J8004" i="8"/>
  <c r="J8003" i="8"/>
  <c r="J8002" i="8"/>
  <c r="J8001" i="8"/>
  <c r="J8000" i="8"/>
  <c r="J7999" i="8"/>
  <c r="J7998" i="8"/>
  <c r="J7997" i="8"/>
  <c r="J7996" i="8"/>
  <c r="J7995" i="8"/>
  <c r="J7994" i="8"/>
  <c r="J7993" i="8"/>
  <c r="J7992" i="8"/>
  <c r="J7991" i="8"/>
  <c r="J7990" i="8"/>
  <c r="J7989" i="8"/>
  <c r="J7988" i="8"/>
  <c r="J7987" i="8"/>
  <c r="J7986" i="8"/>
  <c r="J7985" i="8"/>
  <c r="J7984" i="8"/>
  <c r="J7983" i="8"/>
  <c r="J7982" i="8"/>
  <c r="J7981" i="8"/>
  <c r="J7980" i="8"/>
  <c r="J7979" i="8"/>
  <c r="J7978" i="8"/>
  <c r="J7977" i="8"/>
  <c r="J7976" i="8"/>
  <c r="J7975" i="8"/>
  <c r="J7974" i="8"/>
  <c r="J7973" i="8"/>
  <c r="J7972" i="8"/>
  <c r="J7971" i="8"/>
  <c r="I7967" i="8"/>
  <c r="F180" i="7" s="1"/>
  <c r="G180" i="7" s="1"/>
  <c r="J7966" i="8"/>
  <c r="J7965" i="8"/>
  <c r="J7964" i="8"/>
  <c r="J7963" i="8"/>
  <c r="J7962" i="8"/>
  <c r="J7961" i="8"/>
  <c r="J7960" i="8"/>
  <c r="J7959" i="8"/>
  <c r="J7958" i="8"/>
  <c r="J7957" i="8"/>
  <c r="J7956" i="8"/>
  <c r="J7955" i="8"/>
  <c r="J7954" i="8"/>
  <c r="J7953" i="8"/>
  <c r="J7952" i="8"/>
  <c r="J7931" i="8"/>
  <c r="J7930" i="8"/>
  <c r="J7929" i="8"/>
  <c r="J7928" i="8"/>
  <c r="J7927" i="8"/>
  <c r="J7926" i="8"/>
  <c r="J7925" i="8"/>
  <c r="J7924" i="8"/>
  <c r="J7923" i="8"/>
  <c r="J7922" i="8"/>
  <c r="J7921" i="8"/>
  <c r="J7920" i="8"/>
  <c r="J7919" i="8"/>
  <c r="J7918" i="8"/>
  <c r="J7917" i="8"/>
  <c r="J7916" i="8"/>
  <c r="J7915" i="8"/>
  <c r="J7914" i="8"/>
  <c r="J7913" i="8"/>
  <c r="J7912" i="8"/>
  <c r="J7911" i="8"/>
  <c r="J7910" i="8"/>
  <c r="J7909" i="8"/>
  <c r="J7908" i="8"/>
  <c r="J7907" i="8"/>
  <c r="J7906" i="8"/>
  <c r="J7905" i="8"/>
  <c r="J7904" i="8"/>
  <c r="J7903" i="8"/>
  <c r="J7902" i="8"/>
  <c r="J7901" i="8"/>
  <c r="J7900" i="8"/>
  <c r="J7899" i="8"/>
  <c r="J7898" i="8"/>
  <c r="J7897" i="8"/>
  <c r="J7896" i="8"/>
  <c r="J7895" i="8"/>
  <c r="J7894" i="8"/>
  <c r="J7893" i="8"/>
  <c r="J7892" i="8"/>
  <c r="J7891" i="8"/>
  <c r="J7890" i="8"/>
  <c r="J7889" i="8"/>
  <c r="J7888" i="8"/>
  <c r="J7887" i="8"/>
  <c r="J7886" i="8"/>
  <c r="J7885" i="8"/>
  <c r="J7884" i="8"/>
  <c r="J7883" i="8"/>
  <c r="J7882" i="8"/>
  <c r="J7881" i="8"/>
  <c r="J7880" i="8"/>
  <c r="J7879" i="8"/>
  <c r="J7878" i="8"/>
  <c r="J7877" i="8"/>
  <c r="J7876" i="8"/>
  <c r="J7875" i="8"/>
  <c r="J7874" i="8"/>
  <c r="J7873" i="8"/>
  <c r="J7872" i="8"/>
  <c r="I7868" i="8"/>
  <c r="F178" i="7" s="1"/>
  <c r="J7867" i="8"/>
  <c r="J7866" i="8"/>
  <c r="J7865" i="8"/>
  <c r="J7864" i="8"/>
  <c r="J7863" i="8"/>
  <c r="J7862" i="8"/>
  <c r="J7861" i="8"/>
  <c r="J7860" i="8"/>
  <c r="J7859" i="8"/>
  <c r="J7858" i="8"/>
  <c r="J7857" i="8"/>
  <c r="J7856" i="8"/>
  <c r="J7855" i="8"/>
  <c r="J7854" i="8"/>
  <c r="J7853" i="8"/>
  <c r="H7868" i="8"/>
  <c r="D178" i="7" s="1"/>
  <c r="D176" i="7" s="1"/>
  <c r="J7832" i="8"/>
  <c r="J7831" i="8"/>
  <c r="J7830" i="8"/>
  <c r="J7829" i="8"/>
  <c r="J7828" i="8"/>
  <c r="J7827" i="8"/>
  <c r="J7826" i="8"/>
  <c r="J7825" i="8"/>
  <c r="J7824" i="8"/>
  <c r="J7823" i="8"/>
  <c r="J7822" i="8"/>
  <c r="J7821" i="8"/>
  <c r="J7820" i="8"/>
  <c r="J7819" i="8"/>
  <c r="J7818" i="8"/>
  <c r="J7817" i="8"/>
  <c r="J7816" i="8"/>
  <c r="J7815" i="8"/>
  <c r="J7814" i="8"/>
  <c r="J7813" i="8"/>
  <c r="J7812" i="8"/>
  <c r="J7811" i="8"/>
  <c r="J7810" i="8"/>
  <c r="J7809" i="8"/>
  <c r="J7808" i="8"/>
  <c r="J7807" i="8"/>
  <c r="J7806" i="8"/>
  <c r="J7805" i="8"/>
  <c r="J7804" i="8"/>
  <c r="J7803" i="8"/>
  <c r="J7802" i="8"/>
  <c r="J7801" i="8"/>
  <c r="J7800" i="8"/>
  <c r="J7799" i="8"/>
  <c r="J7798" i="8"/>
  <c r="J7797" i="8"/>
  <c r="J7796" i="8"/>
  <c r="J7795" i="8"/>
  <c r="J7794" i="8"/>
  <c r="J7793" i="8"/>
  <c r="J7792" i="8"/>
  <c r="J7791" i="8"/>
  <c r="J7790" i="8"/>
  <c r="J7789" i="8"/>
  <c r="J7788" i="8"/>
  <c r="J7787" i="8"/>
  <c r="J7786" i="8"/>
  <c r="J7785" i="8"/>
  <c r="J7784" i="8"/>
  <c r="J7783" i="8"/>
  <c r="J7782" i="8"/>
  <c r="J7781" i="8"/>
  <c r="J7780" i="8"/>
  <c r="J7779" i="8"/>
  <c r="J7778" i="8"/>
  <c r="J7777" i="8"/>
  <c r="J7776" i="8"/>
  <c r="J7775" i="8"/>
  <c r="J7774" i="8"/>
  <c r="J7773" i="8"/>
  <c r="I7769" i="8"/>
  <c r="F177" i="7" s="1"/>
  <c r="G177" i="7" s="1"/>
  <c r="J7768" i="8"/>
  <c r="J7767" i="8"/>
  <c r="J7766" i="8"/>
  <c r="J7765" i="8"/>
  <c r="J7764" i="8"/>
  <c r="J7763" i="8"/>
  <c r="J7762" i="8"/>
  <c r="J7761" i="8"/>
  <c r="J7760" i="8"/>
  <c r="J7759" i="8"/>
  <c r="J7758" i="8"/>
  <c r="J7757" i="8"/>
  <c r="J7756" i="8"/>
  <c r="J7755" i="8"/>
  <c r="J7754" i="8"/>
  <c r="J7733" i="8"/>
  <c r="J7732" i="8"/>
  <c r="J7731" i="8"/>
  <c r="J7730" i="8"/>
  <c r="J7729" i="8"/>
  <c r="J7728" i="8"/>
  <c r="J7727" i="8"/>
  <c r="J7726" i="8"/>
  <c r="J7725" i="8"/>
  <c r="J7724" i="8"/>
  <c r="J7723" i="8"/>
  <c r="J7722" i="8"/>
  <c r="J7721" i="8"/>
  <c r="J7720" i="8"/>
  <c r="J7719" i="8"/>
  <c r="J7718" i="8"/>
  <c r="J7717" i="8"/>
  <c r="J7716" i="8"/>
  <c r="J7715" i="8"/>
  <c r="J7714" i="8"/>
  <c r="J7713" i="8"/>
  <c r="J7712" i="8"/>
  <c r="J7711" i="8"/>
  <c r="J7710" i="8"/>
  <c r="J7709" i="8"/>
  <c r="J7708" i="8"/>
  <c r="J7707" i="8"/>
  <c r="J7706" i="8"/>
  <c r="J7705" i="8"/>
  <c r="J7704" i="8"/>
  <c r="J7703" i="8"/>
  <c r="J7702" i="8"/>
  <c r="J7701" i="8"/>
  <c r="J7700" i="8"/>
  <c r="J7699" i="8"/>
  <c r="J7698" i="8"/>
  <c r="J7697" i="8"/>
  <c r="J7696" i="8"/>
  <c r="J7695" i="8"/>
  <c r="J7694" i="8"/>
  <c r="J7693" i="8"/>
  <c r="J7692" i="8"/>
  <c r="J7691" i="8"/>
  <c r="J7690" i="8"/>
  <c r="J7689" i="8"/>
  <c r="J7688" i="8"/>
  <c r="J7687" i="8"/>
  <c r="J7686" i="8"/>
  <c r="J7685" i="8"/>
  <c r="J7684" i="8"/>
  <c r="J7683" i="8"/>
  <c r="J7682" i="8"/>
  <c r="J7681" i="8"/>
  <c r="J7680" i="8"/>
  <c r="J7679" i="8"/>
  <c r="J7678" i="8"/>
  <c r="J7677" i="8"/>
  <c r="J7676" i="8"/>
  <c r="J7675" i="8"/>
  <c r="J7674" i="8"/>
  <c r="J7389" i="8"/>
  <c r="J7388" i="8"/>
  <c r="J7387" i="8"/>
  <c r="J7386" i="8"/>
  <c r="J7385" i="8"/>
  <c r="J7384" i="8"/>
  <c r="J7383" i="8"/>
  <c r="J7382" i="8"/>
  <c r="J7381" i="8"/>
  <c r="J7380" i="8"/>
  <c r="J7379" i="8"/>
  <c r="J7378" i="8"/>
  <c r="J7377" i="8"/>
  <c r="J7376" i="8"/>
  <c r="J7375" i="8"/>
  <c r="I7371" i="8"/>
  <c r="J7370" i="8"/>
  <c r="J7369" i="8"/>
  <c r="J7368" i="8"/>
  <c r="J7367" i="8"/>
  <c r="J7366" i="8"/>
  <c r="J7365" i="8"/>
  <c r="J7364" i="8"/>
  <c r="J7363" i="8"/>
  <c r="J7362" i="8"/>
  <c r="J7361" i="8"/>
  <c r="J7360" i="8"/>
  <c r="J7359" i="8"/>
  <c r="J7358" i="8"/>
  <c r="J7357" i="8"/>
  <c r="J7356" i="8"/>
  <c r="J7335" i="8"/>
  <c r="J7334" i="8"/>
  <c r="J7333" i="8"/>
  <c r="J7332" i="8"/>
  <c r="J7331" i="8"/>
  <c r="J7330" i="8"/>
  <c r="J7329" i="8"/>
  <c r="J7328" i="8"/>
  <c r="J7327" i="8"/>
  <c r="J7326" i="8"/>
  <c r="J7325" i="8"/>
  <c r="J7324" i="8"/>
  <c r="J7323" i="8"/>
  <c r="J7322" i="8"/>
  <c r="J7321" i="8"/>
  <c r="J7320" i="8"/>
  <c r="J7319" i="8"/>
  <c r="J7318" i="8"/>
  <c r="J7317" i="8"/>
  <c r="J7316" i="8"/>
  <c r="J7315" i="8"/>
  <c r="J7314" i="8"/>
  <c r="J7313" i="8"/>
  <c r="J7312" i="8"/>
  <c r="J7311" i="8"/>
  <c r="J7310" i="8"/>
  <c r="J7309" i="8"/>
  <c r="J7308" i="8"/>
  <c r="J7307" i="8"/>
  <c r="J7306" i="8"/>
  <c r="J7305" i="8"/>
  <c r="J7304" i="8"/>
  <c r="J7303" i="8"/>
  <c r="J7302" i="8"/>
  <c r="J7301" i="8"/>
  <c r="J7300" i="8"/>
  <c r="J7299" i="8"/>
  <c r="J7298" i="8"/>
  <c r="J7297" i="8"/>
  <c r="J7296" i="8"/>
  <c r="J7295" i="8"/>
  <c r="J7294" i="8"/>
  <c r="J7293" i="8"/>
  <c r="J7292" i="8"/>
  <c r="J7291" i="8"/>
  <c r="J7290" i="8"/>
  <c r="J7289" i="8"/>
  <c r="J7288" i="8"/>
  <c r="J7287" i="8"/>
  <c r="J7286" i="8"/>
  <c r="J7285" i="8"/>
  <c r="J7284" i="8"/>
  <c r="J7283" i="8"/>
  <c r="J7282" i="8"/>
  <c r="J7281" i="8"/>
  <c r="J7280" i="8"/>
  <c r="J7279" i="8"/>
  <c r="J7278" i="8"/>
  <c r="J7277" i="8"/>
  <c r="J7276" i="8"/>
  <c r="I7272" i="8"/>
  <c r="J7271" i="8"/>
  <c r="J7270" i="8"/>
  <c r="J7269" i="8"/>
  <c r="J7268" i="8"/>
  <c r="J7267" i="8"/>
  <c r="J7266" i="8"/>
  <c r="J7265" i="8"/>
  <c r="J7264" i="8"/>
  <c r="J7263" i="8"/>
  <c r="J7262" i="8"/>
  <c r="J7261" i="8"/>
  <c r="J7260" i="8"/>
  <c r="J7259" i="8"/>
  <c r="J7258" i="8"/>
  <c r="J7257" i="8"/>
  <c r="J7236" i="8"/>
  <c r="J7235" i="8"/>
  <c r="J7234" i="8"/>
  <c r="J7233" i="8"/>
  <c r="J7232" i="8"/>
  <c r="J7231" i="8"/>
  <c r="J7230" i="8"/>
  <c r="J7229" i="8"/>
  <c r="J7228" i="8"/>
  <c r="J7227" i="8"/>
  <c r="J7226" i="8"/>
  <c r="J7225" i="8"/>
  <c r="J7224" i="8"/>
  <c r="J7223" i="8"/>
  <c r="J7222" i="8"/>
  <c r="J7221" i="8"/>
  <c r="J7220" i="8"/>
  <c r="J7219" i="8"/>
  <c r="J7218" i="8"/>
  <c r="J7217" i="8"/>
  <c r="J7216" i="8"/>
  <c r="J7215" i="8"/>
  <c r="J7214" i="8"/>
  <c r="J7213" i="8"/>
  <c r="J7212" i="8"/>
  <c r="J7211" i="8"/>
  <c r="J7210" i="8"/>
  <c r="J7209" i="8"/>
  <c r="J7208" i="8"/>
  <c r="J7207" i="8"/>
  <c r="J7206" i="8"/>
  <c r="J7205" i="8"/>
  <c r="J7204" i="8"/>
  <c r="J7203" i="8"/>
  <c r="J7202" i="8"/>
  <c r="J7201" i="8"/>
  <c r="J7200" i="8"/>
  <c r="J7199" i="8"/>
  <c r="J7198" i="8"/>
  <c r="J7197" i="8"/>
  <c r="J7196" i="8"/>
  <c r="J7195" i="8"/>
  <c r="J7194" i="8"/>
  <c r="J7193" i="8"/>
  <c r="J7192" i="8"/>
  <c r="J7191" i="8"/>
  <c r="J7190" i="8"/>
  <c r="J7189" i="8"/>
  <c r="J7188" i="8"/>
  <c r="J7187" i="8"/>
  <c r="J7186" i="8"/>
  <c r="J7185" i="8"/>
  <c r="J7184" i="8"/>
  <c r="J7183" i="8"/>
  <c r="J7182" i="8"/>
  <c r="J7181" i="8"/>
  <c r="J7180" i="8"/>
  <c r="J7179" i="8"/>
  <c r="J7178" i="8"/>
  <c r="J7177" i="8"/>
  <c r="I7173" i="8"/>
  <c r="F158" i="7" s="1"/>
  <c r="J7172" i="8"/>
  <c r="J7171" i="8"/>
  <c r="J7170" i="8"/>
  <c r="J7169" i="8"/>
  <c r="J7168" i="8"/>
  <c r="J7167" i="8"/>
  <c r="J7166" i="8"/>
  <c r="J7165" i="8"/>
  <c r="J7164" i="8"/>
  <c r="J7163" i="8"/>
  <c r="J7162" i="8"/>
  <c r="J7161" i="8"/>
  <c r="J7160" i="8"/>
  <c r="J7159" i="8"/>
  <c r="J7158" i="8"/>
  <c r="J7137" i="8"/>
  <c r="J7136" i="8"/>
  <c r="J7135" i="8"/>
  <c r="J7134" i="8"/>
  <c r="J7133" i="8"/>
  <c r="J7132" i="8"/>
  <c r="J7131" i="8"/>
  <c r="J7130" i="8"/>
  <c r="J7129" i="8"/>
  <c r="J7128" i="8"/>
  <c r="J7127" i="8"/>
  <c r="J7126" i="8"/>
  <c r="J7125" i="8"/>
  <c r="J7124" i="8"/>
  <c r="J7123" i="8"/>
  <c r="J7122" i="8"/>
  <c r="J7121" i="8"/>
  <c r="J7120" i="8"/>
  <c r="J7119" i="8"/>
  <c r="J7118" i="8"/>
  <c r="J7117" i="8"/>
  <c r="J7116" i="8"/>
  <c r="J7115" i="8"/>
  <c r="J7114" i="8"/>
  <c r="J7113" i="8"/>
  <c r="J7112" i="8"/>
  <c r="J7111" i="8"/>
  <c r="J7110" i="8"/>
  <c r="J7109" i="8"/>
  <c r="J7108" i="8"/>
  <c r="J7107" i="8"/>
  <c r="J7106" i="8"/>
  <c r="J7105" i="8"/>
  <c r="J7104" i="8"/>
  <c r="J7103" i="8"/>
  <c r="J7102" i="8"/>
  <c r="J7101" i="8"/>
  <c r="J7100" i="8"/>
  <c r="J7099" i="8"/>
  <c r="J7098" i="8"/>
  <c r="J7097" i="8"/>
  <c r="J7096" i="8"/>
  <c r="J7095" i="8"/>
  <c r="J7094" i="8"/>
  <c r="J7093" i="8"/>
  <c r="J7092" i="8"/>
  <c r="J7091" i="8"/>
  <c r="J7090" i="8"/>
  <c r="J7089" i="8"/>
  <c r="J7088" i="8"/>
  <c r="J7087" i="8"/>
  <c r="J7086" i="8"/>
  <c r="J7085" i="8"/>
  <c r="J7084" i="8"/>
  <c r="J7083" i="8"/>
  <c r="J7082" i="8"/>
  <c r="J7081" i="8"/>
  <c r="J7080" i="8"/>
  <c r="J7079" i="8"/>
  <c r="J7078" i="8"/>
  <c r="J1041" i="8"/>
  <c r="J1042" i="8"/>
  <c r="J1043" i="8"/>
  <c r="J1044" i="8"/>
  <c r="J1045" i="8"/>
  <c r="J1046" i="8"/>
  <c r="J1047" i="8"/>
  <c r="J1048" i="8"/>
  <c r="J1049" i="8"/>
  <c r="J1050" i="8"/>
  <c r="J1051" i="8"/>
  <c r="J1052" i="8"/>
  <c r="J1055" i="8"/>
  <c r="J1054" i="8"/>
  <c r="J1053" i="8"/>
  <c r="I2345" i="8"/>
  <c r="J2344" i="8"/>
  <c r="J2343" i="8"/>
  <c r="J2342" i="8"/>
  <c r="J2341" i="8"/>
  <c r="J2340" i="8"/>
  <c r="J2339" i="8"/>
  <c r="J2338" i="8"/>
  <c r="J2337" i="8"/>
  <c r="J2336" i="8"/>
  <c r="J2335" i="8"/>
  <c r="J2334" i="8"/>
  <c r="J2333" i="8"/>
  <c r="J2332" i="8"/>
  <c r="J2331" i="8"/>
  <c r="J2330" i="8"/>
  <c r="J2290" i="8"/>
  <c r="J2289" i="8"/>
  <c r="J2247" i="8"/>
  <c r="J2248" i="8"/>
  <c r="J2249" i="8"/>
  <c r="J2246" i="8"/>
  <c r="J2200" i="8"/>
  <c r="J2201" i="8"/>
  <c r="J2202" i="8"/>
  <c r="J2203" i="8"/>
  <c r="J2204" i="8"/>
  <c r="J2199" i="8"/>
  <c r="J2153" i="8"/>
  <c r="J2154" i="8"/>
  <c r="J2155" i="8"/>
  <c r="J2156" i="8"/>
  <c r="J2157" i="8"/>
  <c r="J2158" i="8"/>
  <c r="J2159" i="8"/>
  <c r="J2152" i="8"/>
  <c r="I2326" i="8"/>
  <c r="F530" i="7" s="1"/>
  <c r="J2325" i="8"/>
  <c r="J2324" i="8"/>
  <c r="J2323" i="8"/>
  <c r="J2322" i="8"/>
  <c r="J2321" i="8"/>
  <c r="J2320" i="8"/>
  <c r="J2319" i="8"/>
  <c r="J2318" i="8"/>
  <c r="J2317" i="8"/>
  <c r="J2316" i="8"/>
  <c r="J2315" i="8"/>
  <c r="J2314" i="8"/>
  <c r="J2313" i="8"/>
  <c r="J2312" i="8"/>
  <c r="J2311" i="8"/>
  <c r="J2269" i="8"/>
  <c r="I2285" i="8"/>
  <c r="F529" i="7" s="1"/>
  <c r="G529" i="7" s="1"/>
  <c r="J2284" i="8"/>
  <c r="J2283" i="8"/>
  <c r="J2282" i="8"/>
  <c r="J2281" i="8"/>
  <c r="J2280" i="8"/>
  <c r="J2279" i="8"/>
  <c r="J2278" i="8"/>
  <c r="J2277" i="8"/>
  <c r="J2276" i="8"/>
  <c r="J2275" i="8"/>
  <c r="J2274" i="8"/>
  <c r="J2273" i="8"/>
  <c r="J2272" i="8"/>
  <c r="J2271" i="8"/>
  <c r="J2270" i="8"/>
  <c r="J2179" i="8"/>
  <c r="I2240" i="8"/>
  <c r="F528" i="7" s="1"/>
  <c r="G528" i="7" s="1"/>
  <c r="J2239" i="8"/>
  <c r="J2238" i="8"/>
  <c r="J2237" i="8"/>
  <c r="J2236" i="8"/>
  <c r="J2235" i="8"/>
  <c r="J2234" i="8"/>
  <c r="J2233" i="8"/>
  <c r="J2232" i="8"/>
  <c r="J2231" i="8"/>
  <c r="J2230" i="8"/>
  <c r="J2229" i="8"/>
  <c r="J2228" i="8"/>
  <c r="J2227" i="8"/>
  <c r="J2226" i="8"/>
  <c r="J2225" i="8"/>
  <c r="I2195" i="8"/>
  <c r="F526" i="7" s="1"/>
  <c r="G526" i="7" s="1"/>
  <c r="J2194" i="8"/>
  <c r="J2193" i="8"/>
  <c r="J2192" i="8"/>
  <c r="J2191" i="8"/>
  <c r="J2190" i="8"/>
  <c r="J2189" i="8"/>
  <c r="J2188" i="8"/>
  <c r="J2187" i="8"/>
  <c r="J2186" i="8"/>
  <c r="J2185" i="8"/>
  <c r="J2184" i="8"/>
  <c r="J2183" i="8"/>
  <c r="J2182" i="8"/>
  <c r="J2181" i="8"/>
  <c r="J2180" i="8"/>
  <c r="I2148" i="8"/>
  <c r="F523" i="7" s="1"/>
  <c r="G523" i="7" s="1"/>
  <c r="J2147" i="8"/>
  <c r="J2146" i="8"/>
  <c r="J2145" i="8"/>
  <c r="J2144" i="8"/>
  <c r="J2143" i="8"/>
  <c r="J2142" i="8"/>
  <c r="J2141" i="8"/>
  <c r="J2140" i="8"/>
  <c r="J2139" i="8"/>
  <c r="J2138" i="8"/>
  <c r="J2137" i="8"/>
  <c r="J2136" i="8"/>
  <c r="J2135" i="8"/>
  <c r="J2134" i="8"/>
  <c r="J2133" i="8"/>
  <c r="J2112" i="8"/>
  <c r="J2111" i="8"/>
  <c r="J2110" i="8"/>
  <c r="J2109" i="8"/>
  <c r="J2108" i="8"/>
  <c r="J2107" i="8"/>
  <c r="J2106" i="8"/>
  <c r="J2105" i="8"/>
  <c r="J2104" i="8"/>
  <c r="J2103" i="8"/>
  <c r="J2102" i="8"/>
  <c r="J2101" i="8"/>
  <c r="J2100" i="8"/>
  <c r="J2099" i="8"/>
  <c r="J2098" i="8"/>
  <c r="J2097" i="8"/>
  <c r="J2096" i="8"/>
  <c r="J2095" i="8"/>
  <c r="J2094" i="8"/>
  <c r="J2093" i="8"/>
  <c r="J2092" i="8"/>
  <c r="J2091" i="8"/>
  <c r="J2090" i="8"/>
  <c r="J2089" i="8"/>
  <c r="J2088" i="8"/>
  <c r="J2087" i="8"/>
  <c r="J2086" i="8"/>
  <c r="J2085" i="8"/>
  <c r="J2084" i="8"/>
  <c r="J2083" i="8"/>
  <c r="J2082" i="8"/>
  <c r="J2081" i="8"/>
  <c r="J2080" i="8"/>
  <c r="J2079" i="8"/>
  <c r="J2078" i="8"/>
  <c r="J2077" i="8"/>
  <c r="J2076" i="8"/>
  <c r="J2075" i="8"/>
  <c r="J2074" i="8"/>
  <c r="J2073" i="8"/>
  <c r="J2072" i="8"/>
  <c r="J2071" i="8"/>
  <c r="J2070" i="8"/>
  <c r="J2069" i="8"/>
  <c r="J2068" i="8"/>
  <c r="J2067" i="8"/>
  <c r="J2066" i="8"/>
  <c r="J2065" i="8"/>
  <c r="J2064" i="8"/>
  <c r="J2063" i="8"/>
  <c r="J2062" i="8"/>
  <c r="J2061" i="8"/>
  <c r="J2060" i="8"/>
  <c r="J2059" i="8"/>
  <c r="J2058" i="8"/>
  <c r="J2057" i="8"/>
  <c r="J2056" i="8"/>
  <c r="J2055" i="8"/>
  <c r="J2054" i="8"/>
  <c r="J2053" i="8"/>
  <c r="I1873" i="8"/>
  <c r="F521" i="7" s="1"/>
  <c r="J1872" i="8"/>
  <c r="J1871" i="8"/>
  <c r="J1870" i="8"/>
  <c r="J1869" i="8"/>
  <c r="J1868" i="8"/>
  <c r="J1867" i="8"/>
  <c r="J1866" i="8"/>
  <c r="J1865" i="8"/>
  <c r="J1864" i="8"/>
  <c r="J1863" i="8"/>
  <c r="J1862" i="8"/>
  <c r="J1861" i="8"/>
  <c r="J1860" i="8"/>
  <c r="J1859" i="8"/>
  <c r="J1858" i="8"/>
  <c r="J1837" i="8"/>
  <c r="J1836" i="8"/>
  <c r="J1835" i="8"/>
  <c r="J1834" i="8"/>
  <c r="J1833" i="8"/>
  <c r="J1832" i="8"/>
  <c r="J1831" i="8"/>
  <c r="J1830" i="8"/>
  <c r="J1829" i="8"/>
  <c r="J1828" i="8"/>
  <c r="J1827" i="8"/>
  <c r="J1826" i="8"/>
  <c r="J1825" i="8"/>
  <c r="J1824" i="8"/>
  <c r="J1821" i="8"/>
  <c r="J1820" i="8"/>
  <c r="J1819" i="8"/>
  <c r="J1818" i="8"/>
  <c r="J1817" i="8"/>
  <c r="J1816" i="8"/>
  <c r="J1815" i="8"/>
  <c r="J1814" i="8"/>
  <c r="J1813" i="8"/>
  <c r="J1812" i="8"/>
  <c r="J1811" i="8"/>
  <c r="J1810" i="8"/>
  <c r="J1809" i="8"/>
  <c r="J1808" i="8"/>
  <c r="J1807" i="8"/>
  <c r="J1806" i="8"/>
  <c r="J1805" i="8"/>
  <c r="J1804" i="8"/>
  <c r="J1803" i="8"/>
  <c r="J1802" i="8"/>
  <c r="J1801" i="8"/>
  <c r="J1800" i="8"/>
  <c r="J1799" i="8"/>
  <c r="J1798" i="8"/>
  <c r="J1797" i="8"/>
  <c r="J1796" i="8"/>
  <c r="J1795" i="8"/>
  <c r="J1794" i="8"/>
  <c r="J1793" i="8"/>
  <c r="J1792" i="8"/>
  <c r="J1791" i="8"/>
  <c r="J1790" i="8"/>
  <c r="J1789" i="8"/>
  <c r="J1787" i="8"/>
  <c r="J1786" i="8"/>
  <c r="J1785" i="8"/>
  <c r="J1784" i="8"/>
  <c r="J1783" i="8"/>
  <c r="J1782" i="8"/>
  <c r="J1781" i="8"/>
  <c r="J1780" i="8"/>
  <c r="J1779" i="8"/>
  <c r="J1778" i="8"/>
  <c r="J1777" i="8"/>
  <c r="J1776" i="8"/>
  <c r="J1775" i="8"/>
  <c r="J752" i="8"/>
  <c r="J751" i="8"/>
  <c r="J750" i="8"/>
  <c r="J749" i="8"/>
  <c r="J748" i="8"/>
  <c r="J747" i="8"/>
  <c r="J746" i="8"/>
  <c r="J745" i="8"/>
  <c r="J744" i="8"/>
  <c r="I894" i="8"/>
  <c r="J893" i="8"/>
  <c r="J892" i="8"/>
  <c r="J891" i="8"/>
  <c r="J890" i="8"/>
  <c r="J889" i="8"/>
  <c r="J888" i="8"/>
  <c r="J887" i="8"/>
  <c r="J886" i="8"/>
  <c r="J885" i="8"/>
  <c r="J884" i="8"/>
  <c r="J883" i="8"/>
  <c r="J882" i="8"/>
  <c r="J881" i="8"/>
  <c r="J880" i="8"/>
  <c r="J879" i="8"/>
  <c r="I875" i="8"/>
  <c r="J874" i="8"/>
  <c r="J873" i="8"/>
  <c r="J872" i="8"/>
  <c r="J871" i="8"/>
  <c r="J870" i="8"/>
  <c r="J869" i="8"/>
  <c r="J868" i="8"/>
  <c r="J867" i="8"/>
  <c r="J866" i="8"/>
  <c r="J865" i="8"/>
  <c r="J864" i="8"/>
  <c r="J863" i="8"/>
  <c r="J862" i="8"/>
  <c r="J861" i="8"/>
  <c r="J860" i="8"/>
  <c r="I856" i="8"/>
  <c r="J855" i="8"/>
  <c r="J854" i="8"/>
  <c r="J853" i="8"/>
  <c r="J852" i="8"/>
  <c r="J851" i="8"/>
  <c r="J850" i="8"/>
  <c r="J849" i="8"/>
  <c r="J848" i="8"/>
  <c r="J847" i="8"/>
  <c r="J846" i="8"/>
  <c r="J845" i="8"/>
  <c r="J844" i="8"/>
  <c r="J843" i="8"/>
  <c r="J842" i="8"/>
  <c r="J841" i="8"/>
  <c r="J801" i="8"/>
  <c r="J800" i="8"/>
  <c r="J799" i="8"/>
  <c r="J798" i="8"/>
  <c r="J797" i="8"/>
  <c r="J796" i="8"/>
  <c r="J795" i="8"/>
  <c r="J794" i="8"/>
  <c r="J793" i="8"/>
  <c r="J792" i="8"/>
  <c r="J791" i="8"/>
  <c r="J790" i="8"/>
  <c r="J789" i="8"/>
  <c r="J788" i="8"/>
  <c r="J787" i="8"/>
  <c r="J786" i="8"/>
  <c r="J785" i="8"/>
  <c r="J784" i="8"/>
  <c r="J783" i="8"/>
  <c r="J782" i="8"/>
  <c r="J781" i="8"/>
  <c r="J780" i="8"/>
  <c r="J779" i="8"/>
  <c r="J778" i="8"/>
  <c r="J777" i="8"/>
  <c r="J776" i="8"/>
  <c r="J775" i="8"/>
  <c r="J774" i="8"/>
  <c r="J773" i="8"/>
  <c r="J772" i="8"/>
  <c r="J771" i="8"/>
  <c r="J770" i="8"/>
  <c r="J769" i="8"/>
  <c r="J768" i="8"/>
  <c r="J767" i="8"/>
  <c r="J766" i="8"/>
  <c r="J765" i="8"/>
  <c r="J764" i="8"/>
  <c r="J763" i="8"/>
  <c r="J762" i="8"/>
  <c r="J761" i="8"/>
  <c r="J760" i="8"/>
  <c r="J759" i="8"/>
  <c r="J758" i="8"/>
  <c r="J757" i="8"/>
  <c r="J756" i="8"/>
  <c r="J755" i="8"/>
  <c r="J754" i="8"/>
  <c r="J753" i="8"/>
  <c r="J368" i="8"/>
  <c r="I735" i="8"/>
  <c r="J734" i="8"/>
  <c r="J733" i="8"/>
  <c r="J732" i="8"/>
  <c r="J731" i="8"/>
  <c r="J730" i="8"/>
  <c r="J729" i="8"/>
  <c r="J728" i="8"/>
  <c r="J727" i="8"/>
  <c r="J726" i="8"/>
  <c r="J725" i="8"/>
  <c r="J724" i="8"/>
  <c r="J723" i="8"/>
  <c r="J722" i="8"/>
  <c r="J721" i="8"/>
  <c r="J720" i="8"/>
  <c r="I716" i="8"/>
  <c r="J715" i="8"/>
  <c r="J714" i="8"/>
  <c r="J713" i="8"/>
  <c r="J712" i="8"/>
  <c r="J711" i="8"/>
  <c r="J710" i="8"/>
  <c r="J709" i="8"/>
  <c r="J708" i="8"/>
  <c r="J707" i="8"/>
  <c r="J706" i="8"/>
  <c r="J705" i="8"/>
  <c r="J704" i="8"/>
  <c r="J703" i="8"/>
  <c r="J702" i="8"/>
  <c r="J701" i="8"/>
  <c r="I697" i="8"/>
  <c r="J696" i="8"/>
  <c r="J695" i="8"/>
  <c r="J694" i="8"/>
  <c r="J693" i="8"/>
  <c r="J692" i="8"/>
  <c r="J691" i="8"/>
  <c r="J690" i="8"/>
  <c r="J689" i="8"/>
  <c r="J688" i="8"/>
  <c r="J687" i="8"/>
  <c r="J686" i="8"/>
  <c r="J685" i="8"/>
  <c r="J684" i="8"/>
  <c r="J683" i="8"/>
  <c r="J682" i="8"/>
  <c r="J428" i="8"/>
  <c r="J427" i="8"/>
  <c r="J426" i="8"/>
  <c r="J425" i="8"/>
  <c r="J424" i="8"/>
  <c r="J423" i="8"/>
  <c r="J422" i="8"/>
  <c r="J421" i="8"/>
  <c r="J420" i="8"/>
  <c r="J419" i="8"/>
  <c r="J418" i="8"/>
  <c r="J417" i="8"/>
  <c r="J416" i="8"/>
  <c r="J415" i="8"/>
  <c r="J414" i="8"/>
  <c r="J413" i="8"/>
  <c r="J412" i="8"/>
  <c r="J411" i="8"/>
  <c r="J410" i="8"/>
  <c r="J409" i="8"/>
  <c r="J408" i="8"/>
  <c r="J407" i="8"/>
  <c r="J406" i="8"/>
  <c r="J405" i="8"/>
  <c r="J404" i="8"/>
  <c r="J403" i="8"/>
  <c r="J402" i="8"/>
  <c r="J401" i="8"/>
  <c r="J400" i="8"/>
  <c r="J399" i="8"/>
  <c r="J398" i="8"/>
  <c r="J397" i="8"/>
  <c r="J396" i="8"/>
  <c r="J395" i="8"/>
  <c r="J394" i="8"/>
  <c r="J393" i="8"/>
  <c r="J392" i="8"/>
  <c r="J390" i="8"/>
  <c r="J389" i="8"/>
  <c r="J388" i="8"/>
  <c r="J387" i="8"/>
  <c r="J386" i="8"/>
  <c r="J385" i="8"/>
  <c r="J384" i="8"/>
  <c r="J383" i="8"/>
  <c r="J382" i="8"/>
  <c r="J381" i="8"/>
  <c r="J380" i="8"/>
  <c r="J379" i="8"/>
  <c r="J378" i="8"/>
  <c r="J377" i="8"/>
  <c r="J376" i="8"/>
  <c r="J375" i="8"/>
  <c r="J374" i="8"/>
  <c r="J373" i="8"/>
  <c r="J372" i="8"/>
  <c r="J371" i="8"/>
  <c r="J370" i="8"/>
  <c r="J369" i="8"/>
  <c r="H205" i="8"/>
  <c r="D531" i="7" s="1"/>
  <c r="G531" i="7" s="1"/>
  <c r="J360" i="8"/>
  <c r="J359" i="8"/>
  <c r="J358" i="8"/>
  <c r="J357" i="8"/>
  <c r="J356" i="8"/>
  <c r="J355" i="8"/>
  <c r="J354" i="8"/>
  <c r="J353" i="8"/>
  <c r="J352" i="8"/>
  <c r="J351" i="8"/>
  <c r="J350" i="8"/>
  <c r="J349" i="8"/>
  <c r="J348" i="8"/>
  <c r="J347" i="8"/>
  <c r="J346" i="8"/>
  <c r="J341" i="8"/>
  <c r="J340" i="8"/>
  <c r="J339" i="8"/>
  <c r="J338" i="8"/>
  <c r="J337" i="8"/>
  <c r="J336" i="8"/>
  <c r="J335" i="8"/>
  <c r="J334" i="8"/>
  <c r="J333" i="8"/>
  <c r="J332" i="8"/>
  <c r="J331" i="8"/>
  <c r="J330" i="8"/>
  <c r="J329" i="8"/>
  <c r="J328" i="8"/>
  <c r="J327" i="8"/>
  <c r="J322" i="8"/>
  <c r="J321" i="8"/>
  <c r="J320" i="8"/>
  <c r="J319" i="8"/>
  <c r="J318" i="8"/>
  <c r="J317" i="8"/>
  <c r="J316" i="8"/>
  <c r="J315" i="8"/>
  <c r="J314" i="8"/>
  <c r="J313" i="8"/>
  <c r="J312" i="8"/>
  <c r="J311" i="8"/>
  <c r="J310" i="8"/>
  <c r="J309" i="8"/>
  <c r="J308" i="8"/>
  <c r="J285" i="8"/>
  <c r="J284" i="8"/>
  <c r="J283" i="8"/>
  <c r="J282" i="8"/>
  <c r="J281" i="8"/>
  <c r="J280" i="8"/>
  <c r="J279" i="8"/>
  <c r="J278" i="8"/>
  <c r="J277" i="8"/>
  <c r="J276" i="8"/>
  <c r="J275" i="8"/>
  <c r="J274" i="8"/>
  <c r="J273" i="8"/>
  <c r="J272" i="8"/>
  <c r="J271" i="8"/>
  <c r="J268" i="8"/>
  <c r="J267" i="8"/>
  <c r="J266" i="8"/>
  <c r="J265" i="8"/>
  <c r="J264" i="8"/>
  <c r="J263" i="8"/>
  <c r="J262" i="8"/>
  <c r="J261" i="8"/>
  <c r="J260" i="8"/>
  <c r="J259" i="8"/>
  <c r="J258" i="8"/>
  <c r="J257" i="8"/>
  <c r="J256" i="8"/>
  <c r="J255" i="8"/>
  <c r="J254" i="8"/>
  <c r="J253" i="8"/>
  <c r="J252" i="8"/>
  <c r="J251" i="8"/>
  <c r="J250" i="8"/>
  <c r="J249" i="8"/>
  <c r="J248" i="8"/>
  <c r="J247" i="8"/>
  <c r="J246" i="8"/>
  <c r="J245" i="8"/>
  <c r="J244" i="8"/>
  <c r="J243" i="8"/>
  <c r="J242" i="8"/>
  <c r="J241" i="8"/>
  <c r="J240" i="8"/>
  <c r="J239" i="8"/>
  <c r="J238" i="8"/>
  <c r="J237" i="8"/>
  <c r="J236" i="8"/>
  <c r="J235" i="8"/>
  <c r="J234" i="8"/>
  <c r="J233" i="8"/>
  <c r="J232" i="8"/>
  <c r="J231" i="8"/>
  <c r="J230" i="8"/>
  <c r="J229" i="8"/>
  <c r="J228" i="8"/>
  <c r="J227" i="8"/>
  <c r="J226" i="8"/>
  <c r="J225" i="8"/>
  <c r="J224" i="8"/>
  <c r="J223" i="8"/>
  <c r="J222" i="8"/>
  <c r="J221" i="8"/>
  <c r="J220" i="8"/>
  <c r="J219" i="8"/>
  <c r="J218" i="8"/>
  <c r="J217" i="8"/>
  <c r="J216" i="8"/>
  <c r="J215" i="8"/>
  <c r="J186" i="8"/>
  <c r="J185" i="8"/>
  <c r="J184" i="8"/>
  <c r="J183" i="8"/>
  <c r="J182" i="8"/>
  <c r="J181" i="8"/>
  <c r="J180" i="8"/>
  <c r="J179" i="8"/>
  <c r="J178" i="8"/>
  <c r="J177" i="8"/>
  <c r="J176" i="8"/>
  <c r="J175" i="8"/>
  <c r="J174" i="8"/>
  <c r="J173" i="8"/>
  <c r="J172" i="8"/>
  <c r="J169" i="8"/>
  <c r="J168" i="8"/>
  <c r="J167" i="8"/>
  <c r="J166" i="8"/>
  <c r="J165" i="8"/>
  <c r="J164" i="8"/>
  <c r="J163" i="8"/>
  <c r="J162" i="8"/>
  <c r="J161" i="8"/>
  <c r="J160" i="8"/>
  <c r="J159" i="8"/>
  <c r="J158" i="8"/>
  <c r="J157" i="8"/>
  <c r="J156" i="8"/>
  <c r="J155" i="8"/>
  <c r="J154" i="8"/>
  <c r="J153" i="8"/>
  <c r="J152" i="8"/>
  <c r="J151" i="8"/>
  <c r="J150" i="8"/>
  <c r="J149" i="8"/>
  <c r="J148" i="8"/>
  <c r="J147" i="8"/>
  <c r="J146" i="8"/>
  <c r="J145" i="8"/>
  <c r="J144" i="8"/>
  <c r="J143" i="8"/>
  <c r="J142" i="8"/>
  <c r="J141" i="8"/>
  <c r="J140" i="8"/>
  <c r="J139" i="8"/>
  <c r="J138" i="8"/>
  <c r="J137" i="8"/>
  <c r="J136" i="8"/>
  <c r="J135" i="8"/>
  <c r="J134" i="8"/>
  <c r="J133" i="8"/>
  <c r="J132" i="8"/>
  <c r="J131" i="8"/>
  <c r="J130" i="8"/>
  <c r="J129" i="8"/>
  <c r="J128" i="8"/>
  <c r="J127" i="8"/>
  <c r="J126" i="8"/>
  <c r="J125" i="8"/>
  <c r="J124" i="8"/>
  <c r="J123" i="8"/>
  <c r="J122" i="8"/>
  <c r="J121" i="8"/>
  <c r="J120" i="8"/>
  <c r="J119" i="8"/>
  <c r="J118" i="8"/>
  <c r="J117" i="8"/>
  <c r="J116" i="8"/>
  <c r="J115" i="8"/>
  <c r="J114" i="8"/>
  <c r="J113" i="8"/>
  <c r="J112" i="8"/>
  <c r="J111" i="8"/>
  <c r="J110" i="8"/>
  <c r="J91" i="8"/>
  <c r="J92" i="8"/>
  <c r="J93" i="8"/>
  <c r="J94" i="8"/>
  <c r="J95" i="8"/>
  <c r="J96" i="8"/>
  <c r="J97" i="8"/>
  <c r="J98" i="8"/>
  <c r="J99" i="8"/>
  <c r="J100" i="8"/>
  <c r="J101" i="8"/>
  <c r="J102" i="8"/>
  <c r="J103" i="8"/>
  <c r="J104" i="8"/>
  <c r="J105"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11" i="8"/>
  <c r="G74" i="3"/>
  <c r="G44" i="3"/>
  <c r="F95" i="3"/>
  <c r="F92" i="3"/>
  <c r="F89" i="3"/>
  <c r="F86" i="3"/>
  <c r="F83" i="3"/>
  <c r="F81" i="3"/>
  <c r="F77" i="3"/>
  <c r="F74" i="3"/>
  <c r="F71" i="3"/>
  <c r="F63" i="3"/>
  <c r="F51" i="3"/>
  <c r="F46" i="3"/>
  <c r="F44" i="3"/>
  <c r="F41" i="3"/>
  <c r="F32" i="3"/>
  <c r="F22" i="3"/>
  <c r="F9" i="3"/>
  <c r="H326" i="8"/>
  <c r="H342" i="8" s="1"/>
  <c r="J6657" i="8"/>
  <c r="J6673" i="8" s="1"/>
  <c r="F197" i="7"/>
  <c r="F196" i="7" s="1"/>
  <c r="H7371" i="8"/>
  <c r="D160" i="7" s="1"/>
  <c r="D157" i="7" s="1"/>
  <c r="H4448" i="8"/>
  <c r="H4464" i="8" s="1"/>
  <c r="H4346" i="8"/>
  <c r="D382" i="7" s="1"/>
  <c r="H2326" i="8"/>
  <c r="D530" i="7" s="1"/>
  <c r="J4429" i="8"/>
  <c r="J1240" i="8"/>
  <c r="J1256" i="8" s="1"/>
  <c r="J1536" i="8"/>
  <c r="J1437" i="8"/>
  <c r="J1453" i="8" s="1"/>
  <c r="J1338" i="8"/>
  <c r="J4330" i="8"/>
  <c r="J7256" i="8"/>
  <c r="J7753" i="8"/>
  <c r="J7355" i="8"/>
  <c r="H7648" i="8"/>
  <c r="J7613" i="8"/>
  <c r="J8050" i="8"/>
  <c r="J7852" i="8"/>
  <c r="J7157" i="8"/>
  <c r="J2224" i="8"/>
  <c r="J2310" i="8"/>
  <c r="J2132" i="8"/>
  <c r="J1857" i="8"/>
  <c r="J90" i="8"/>
  <c r="H894" i="8"/>
  <c r="J878" i="8"/>
  <c r="J270" i="8"/>
  <c r="J171" i="8"/>
  <c r="H7390" i="8"/>
  <c r="J2161" i="8"/>
  <c r="J2177" i="8" s="1"/>
  <c r="J7632" i="8"/>
  <c r="J7374" i="8"/>
  <c r="J8069" i="8"/>
  <c r="J681" i="8"/>
  <c r="J840" i="8"/>
  <c r="H697" i="8"/>
  <c r="H716" i="8"/>
  <c r="J700" i="8"/>
  <c r="C115" i="6"/>
  <c r="F115" i="6" s="1"/>
  <c r="H875" i="8"/>
  <c r="H735" i="8"/>
  <c r="J719" i="8"/>
  <c r="G100" i="7"/>
  <c r="G101" i="7"/>
  <c r="G102" i="7"/>
  <c r="G103" i="7"/>
  <c r="G104" i="7"/>
  <c r="G105" i="7"/>
  <c r="G179" i="7"/>
  <c r="G182" i="7"/>
  <c r="G183" i="7"/>
  <c r="G198" i="7"/>
  <c r="G199" i="7"/>
  <c r="G249" i="7"/>
  <c r="G250" i="7"/>
  <c r="G251" i="7"/>
  <c r="G281" i="7"/>
  <c r="G282" i="7"/>
  <c r="G313" i="7"/>
  <c r="G314" i="7"/>
  <c r="G414" i="7"/>
  <c r="G415" i="7"/>
  <c r="G416" i="7"/>
  <c r="G467" i="7"/>
  <c r="G468" i="7"/>
  <c r="G470" i="7"/>
  <c r="G471" i="7"/>
  <c r="G524" i="7"/>
  <c r="G525" i="7"/>
  <c r="G532" i="7"/>
  <c r="G8" i="7"/>
  <c r="G37" i="7"/>
  <c r="G38" i="7"/>
  <c r="G39" i="7"/>
  <c r="G40" i="7"/>
  <c r="G41" i="7"/>
  <c r="G42" i="7"/>
  <c r="G43" i="7"/>
  <c r="G44" i="7"/>
  <c r="G45" i="7"/>
  <c r="G46" i="7"/>
  <c r="G47" i="7"/>
  <c r="G48" i="7"/>
  <c r="G49" i="7"/>
  <c r="G51" i="7"/>
  <c r="G52" i="7"/>
  <c r="G53" i="7"/>
  <c r="G36" i="7"/>
  <c r="G10" i="7"/>
  <c r="G11" i="7"/>
  <c r="G9" i="7"/>
  <c r="J2206" i="8"/>
  <c r="J2222" i="8" s="1"/>
  <c r="C15" i="6"/>
  <c r="H6636" i="8"/>
  <c r="C30" i="6" s="1"/>
  <c r="J6620" i="8"/>
  <c r="J6636" i="8" s="1"/>
  <c r="J2251" i="8"/>
  <c r="J2267" i="8" s="1"/>
  <c r="J859" i="8"/>
  <c r="E85" i="5"/>
  <c r="F85" i="5" s="1"/>
  <c r="F79" i="5"/>
  <c r="F78" i="5"/>
  <c r="F76" i="5"/>
  <c r="E75" i="5"/>
  <c r="F75" i="5" s="1"/>
  <c r="F66" i="5"/>
  <c r="E64" i="5"/>
  <c r="F64" i="5" s="1"/>
  <c r="F55" i="5"/>
  <c r="F53" i="5"/>
  <c r="F51" i="5"/>
  <c r="E49" i="5"/>
  <c r="F49" i="5" s="1"/>
  <c r="E47" i="5"/>
  <c r="F48" i="5"/>
  <c r="F45" i="5"/>
  <c r="F43" i="5"/>
  <c r="E40" i="5"/>
  <c r="F41" i="5"/>
  <c r="F38" i="5"/>
  <c r="F35" i="5"/>
  <c r="F32" i="5"/>
  <c r="F30" i="5"/>
  <c r="F27" i="5"/>
  <c r="F25" i="5"/>
  <c r="F22" i="5"/>
  <c r="F20" i="5"/>
  <c r="F18" i="5"/>
  <c r="F15" i="5"/>
  <c r="F13" i="5"/>
  <c r="F11" i="5"/>
  <c r="F10" i="5"/>
  <c r="F9" i="5"/>
  <c r="D95" i="3"/>
  <c r="D92" i="3"/>
  <c r="G92" i="3" s="1"/>
  <c r="D81" i="3"/>
  <c r="G81" i="3" s="1"/>
  <c r="D89" i="3"/>
  <c r="G89" i="3" s="1"/>
  <c r="D86" i="3"/>
  <c r="G86" i="3" s="1"/>
  <c r="D83" i="3"/>
  <c r="G83" i="3" s="1"/>
  <c r="D77" i="3"/>
  <c r="D74" i="3"/>
  <c r="D71" i="3"/>
  <c r="G71" i="3" s="1"/>
  <c r="D63" i="3"/>
  <c r="D51" i="3"/>
  <c r="D46" i="3"/>
  <c r="D44" i="3"/>
  <c r="D41" i="3"/>
  <c r="G41" i="3" s="1"/>
  <c r="D32" i="3"/>
  <c r="D22" i="3"/>
  <c r="D9" i="3"/>
  <c r="I22" i="16"/>
  <c r="J2292" i="8"/>
  <c r="J2308" i="8" s="1"/>
  <c r="C36" i="6"/>
  <c r="J929" i="8"/>
  <c r="J945" i="8" s="1"/>
  <c r="J911" i="8"/>
  <c r="J927" i="8" s="1"/>
  <c r="F82" i="5"/>
  <c r="F80" i="5"/>
  <c r="F68" i="5"/>
  <c r="F71" i="5"/>
  <c r="F73" i="5"/>
  <c r="E34" i="5"/>
  <c r="F34" i="5" s="1"/>
  <c r="E70" i="5"/>
  <c r="F70" i="5" s="1"/>
  <c r="F77" i="5"/>
  <c r="F12" i="5"/>
  <c r="F14" i="5"/>
  <c r="F17" i="5"/>
  <c r="F19" i="5"/>
  <c r="F21" i="5"/>
  <c r="F24" i="5"/>
  <c r="F26" i="5"/>
  <c r="F28" i="5"/>
  <c r="F31" i="5"/>
  <c r="F33" i="5"/>
  <c r="F36" i="5"/>
  <c r="F39" i="5"/>
  <c r="F42" i="5"/>
  <c r="F44" i="5"/>
  <c r="F46" i="5"/>
  <c r="F50" i="5"/>
  <c r="F52" i="5"/>
  <c r="F54" i="5"/>
  <c r="F65" i="5"/>
  <c r="F67" i="5"/>
  <c r="F69" i="5"/>
  <c r="F72" i="5"/>
  <c r="F86" i="5"/>
  <c r="C47" i="5"/>
  <c r="C87" i="5" s="1"/>
  <c r="I26" i="16"/>
  <c r="H2308" i="8"/>
  <c r="C19" i="6" s="1"/>
  <c r="C89" i="6"/>
  <c r="C87" i="6" s="1"/>
  <c r="J1021" i="8"/>
  <c r="J1037" i="8" s="1"/>
  <c r="J1040" i="8"/>
  <c r="F16" i="5"/>
  <c r="F29" i="5"/>
  <c r="F7" i="5"/>
  <c r="F81" i="5"/>
  <c r="F56" i="5"/>
  <c r="F23" i="5"/>
  <c r="J1003" i="8"/>
  <c r="J1019" i="8" s="1"/>
  <c r="F95" i="6"/>
  <c r="I23" i="16" l="1"/>
  <c r="G95" i="3"/>
  <c r="G22" i="3"/>
  <c r="G46" i="3"/>
  <c r="F91" i="3"/>
  <c r="M10" i="3" s="1"/>
  <c r="G77" i="3"/>
  <c r="G63" i="3"/>
  <c r="G51" i="3"/>
  <c r="G32" i="3"/>
  <c r="G9" i="3"/>
  <c r="F50" i="3"/>
  <c r="D50" i="3"/>
  <c r="H2329" i="8"/>
  <c r="D8" i="3"/>
  <c r="D43" i="3"/>
  <c r="D85" i="3"/>
  <c r="F159" i="7"/>
  <c r="G159" i="7" s="1"/>
  <c r="C40" i="6"/>
  <c r="G469" i="7"/>
  <c r="F86" i="6"/>
  <c r="C80" i="6"/>
  <c r="F133" i="7"/>
  <c r="F130" i="7" s="1"/>
  <c r="G130" i="7" s="1"/>
  <c r="E80" i="6"/>
  <c r="G131" i="7"/>
  <c r="F181" i="7"/>
  <c r="G181" i="7" s="1"/>
  <c r="F185" i="7"/>
  <c r="G185" i="7" s="1"/>
  <c r="F30" i="6"/>
  <c r="D527" i="7"/>
  <c r="D520" i="7" s="1"/>
  <c r="F80" i="6"/>
  <c r="F381" i="7"/>
  <c r="G413" i="7"/>
  <c r="J7868" i="8"/>
  <c r="F527" i="7"/>
  <c r="E87" i="6"/>
  <c r="F87" i="6" s="1"/>
  <c r="F348" i="7"/>
  <c r="F347" i="7"/>
  <c r="G347" i="7" s="1"/>
  <c r="E112" i="6"/>
  <c r="E16" i="6"/>
  <c r="F69" i="6"/>
  <c r="G522" i="7"/>
  <c r="I27" i="16"/>
  <c r="J4448" i="8"/>
  <c r="J4464" i="8" s="1"/>
  <c r="F8" i="3"/>
  <c r="F43" i="3"/>
  <c r="F85" i="3"/>
  <c r="M9" i="3" s="1"/>
  <c r="M11" i="3" s="1"/>
  <c r="F85" i="6"/>
  <c r="H345" i="8"/>
  <c r="H361" i="8" s="1"/>
  <c r="G350" i="7"/>
  <c r="F157" i="7"/>
  <c r="G157" i="7" s="1"/>
  <c r="F29" i="6"/>
  <c r="L9" i="3"/>
  <c r="J187" i="8"/>
  <c r="J205" i="8" s="1"/>
  <c r="J106" i="8"/>
  <c r="J2285" i="8"/>
  <c r="D91" i="3"/>
  <c r="G91" i="3" s="1"/>
  <c r="J8085" i="8"/>
  <c r="H6673" i="8"/>
  <c r="E40" i="6"/>
  <c r="F45" i="6"/>
  <c r="J7371" i="8"/>
  <c r="J4346" i="8"/>
  <c r="J6122" i="8"/>
  <c r="C112" i="6"/>
  <c r="J345" i="8"/>
  <c r="J361" i="8" s="1"/>
  <c r="J7173" i="8"/>
  <c r="J7629" i="8"/>
  <c r="J7769" i="8"/>
  <c r="J1354" i="8"/>
  <c r="J4445" i="8"/>
  <c r="J1972" i="8"/>
  <c r="J8838" i="8"/>
  <c r="J6794" i="8"/>
  <c r="J7967" i="8"/>
  <c r="J323" i="8"/>
  <c r="J2195" i="8"/>
  <c r="J6676" i="8"/>
  <c r="J6692" i="8" s="1"/>
  <c r="H6692" i="8"/>
  <c r="J286" i="8"/>
  <c r="J304" i="8" s="1"/>
  <c r="J1873" i="8"/>
  <c r="J735" i="8"/>
  <c r="J856" i="8"/>
  <c r="J7390" i="8"/>
  <c r="J894" i="8"/>
  <c r="J2148" i="8"/>
  <c r="J2326" i="8"/>
  <c r="J8066" i="8"/>
  <c r="J7272" i="8"/>
  <c r="J17245" i="8"/>
  <c r="J17261" i="8" s="1"/>
  <c r="J6084" i="8"/>
  <c r="J8404" i="8"/>
  <c r="J875" i="8"/>
  <c r="C16" i="6"/>
  <c r="J1056" i="8"/>
  <c r="J716" i="8"/>
  <c r="J697" i="8"/>
  <c r="J7648" i="8"/>
  <c r="J2240" i="8"/>
  <c r="J3680" i="8"/>
  <c r="J1552" i="8"/>
  <c r="J326" i="8"/>
  <c r="J342" i="8" s="1"/>
  <c r="J6654" i="8"/>
  <c r="J6832" i="8"/>
  <c r="J8206" i="8"/>
  <c r="H6594" i="8"/>
  <c r="G521" i="7"/>
  <c r="G530" i="7"/>
  <c r="G466" i="7"/>
  <c r="G178" i="7"/>
  <c r="F19" i="6"/>
  <c r="G197" i="7"/>
  <c r="G160" i="7"/>
  <c r="E87" i="5"/>
  <c r="C6" i="6"/>
  <c r="F15" i="6"/>
  <c r="F6" i="6" s="1"/>
  <c r="C33" i="6"/>
  <c r="F36" i="6"/>
  <c r="F47" i="5"/>
  <c r="C6" i="5"/>
  <c r="I16" i="16" s="1"/>
  <c r="B612" i="7"/>
  <c r="E6" i="5"/>
  <c r="F40" i="5"/>
  <c r="E63" i="5"/>
  <c r="F63" i="5" s="1"/>
  <c r="G158" i="7"/>
  <c r="F89" i="6"/>
  <c r="G382" i="7"/>
  <c r="D381" i="7"/>
  <c r="B613" i="7"/>
  <c r="G196" i="7"/>
  <c r="B611" i="7"/>
  <c r="D345" i="7"/>
  <c r="C94" i="6"/>
  <c r="G85" i="3" l="1"/>
  <c r="G43" i="3"/>
  <c r="G50" i="3"/>
  <c r="G8" i="3"/>
  <c r="D7" i="3"/>
  <c r="H2345" i="8"/>
  <c r="H5628" i="8" s="1"/>
  <c r="J2329" i="8"/>
  <c r="J2345" i="8" s="1"/>
  <c r="F7" i="3"/>
  <c r="F40" i="6"/>
  <c r="G133" i="7"/>
  <c r="F176" i="7"/>
  <c r="G176" i="7" s="1"/>
  <c r="G527" i="7"/>
  <c r="F16" i="6"/>
  <c r="F345" i="7"/>
  <c r="F520" i="7"/>
  <c r="G520" i="7" s="1"/>
  <c r="G348" i="7"/>
  <c r="F112" i="6"/>
  <c r="E141" i="6"/>
  <c r="L10" i="3"/>
  <c r="L11" i="3" s="1"/>
  <c r="F6" i="5"/>
  <c r="H6610" i="8"/>
  <c r="J6594" i="8"/>
  <c r="J6610" i="8" s="1"/>
  <c r="B618" i="7"/>
  <c r="G381" i="7"/>
  <c r="F94" i="6"/>
  <c r="F33" i="6"/>
  <c r="D61" i="5"/>
  <c r="D57" i="5"/>
  <c r="D74" i="5"/>
  <c r="D16" i="5"/>
  <c r="D32" i="5"/>
  <c r="D48" i="5"/>
  <c r="D69" i="5"/>
  <c r="D86" i="5"/>
  <c r="D21" i="5"/>
  <c r="D37" i="5"/>
  <c r="D53" i="5"/>
  <c r="D79" i="5"/>
  <c r="D14" i="5"/>
  <c r="D30" i="5"/>
  <c r="D46" i="5"/>
  <c r="D71" i="5"/>
  <c r="D7" i="5"/>
  <c r="D23" i="5"/>
  <c r="D39" i="5"/>
  <c r="D55" i="5"/>
  <c r="D77" i="5"/>
  <c r="F87" i="5"/>
  <c r="D60" i="5"/>
  <c r="D12" i="5"/>
  <c r="D36" i="5"/>
  <c r="D56" i="5"/>
  <c r="D82" i="5"/>
  <c r="D25" i="5"/>
  <c r="D45" i="5"/>
  <c r="D75" i="5"/>
  <c r="D18" i="5"/>
  <c r="D38" i="5"/>
  <c r="D67" i="5"/>
  <c r="D11" i="5"/>
  <c r="D31" i="5"/>
  <c r="D51" i="5"/>
  <c r="D81" i="5"/>
  <c r="D59" i="5"/>
  <c r="D20" i="5"/>
  <c r="D40" i="5"/>
  <c r="D65" i="5"/>
  <c r="D9" i="5"/>
  <c r="D29" i="5"/>
  <c r="D49" i="5"/>
  <c r="D83" i="5"/>
  <c r="D22" i="5"/>
  <c r="D42" i="5"/>
  <c r="D76" i="5"/>
  <c r="D15" i="5"/>
  <c r="D35" i="5"/>
  <c r="D64" i="5"/>
  <c r="D85" i="5"/>
  <c r="D58" i="5"/>
  <c r="D63" i="5"/>
  <c r="D24" i="5"/>
  <c r="D44" i="5"/>
  <c r="D73" i="5"/>
  <c r="D13" i="5"/>
  <c r="D33" i="5"/>
  <c r="D66" i="5"/>
  <c r="D87" i="5"/>
  <c r="D26" i="5"/>
  <c r="D50" i="5"/>
  <c r="D80" i="5"/>
  <c r="D19" i="5"/>
  <c r="D43" i="5"/>
  <c r="D68" i="5"/>
  <c r="D62" i="5"/>
  <c r="D78" i="5"/>
  <c r="D10" i="5"/>
  <c r="D27" i="5"/>
  <c r="D8" i="5"/>
  <c r="D17" i="5"/>
  <c r="D47" i="5"/>
  <c r="D28" i="5"/>
  <c r="D41" i="5"/>
  <c r="D54" i="5"/>
  <c r="D70" i="5"/>
  <c r="D34" i="5"/>
  <c r="D72" i="5"/>
  <c r="D52" i="5"/>
  <c r="D84" i="5"/>
  <c r="B617" i="7"/>
  <c r="D6" i="5"/>
  <c r="B621" i="7"/>
  <c r="D601" i="7"/>
  <c r="C141" i="6"/>
  <c r="D33" i="6" s="1"/>
  <c r="D98" i="3" l="1"/>
  <c r="E7" i="3" s="1"/>
  <c r="G7" i="3"/>
  <c r="I15" i="16"/>
  <c r="I17" i="16" s="1"/>
  <c r="I20" i="16" s="1"/>
  <c r="D97" i="3"/>
  <c r="H5644" i="8"/>
  <c r="H17087" i="8" s="1"/>
  <c r="H17103" i="8" s="1"/>
  <c r="H17265" i="8" s="1"/>
  <c r="J5628" i="8"/>
  <c r="J5644" i="8" s="1"/>
  <c r="F98" i="3"/>
  <c r="F100" i="3" s="1"/>
  <c r="F97" i="3"/>
  <c r="F601" i="7"/>
  <c r="G601" i="7" s="1"/>
  <c r="G345" i="7"/>
  <c r="D100" i="3"/>
  <c r="E32" i="3"/>
  <c r="J17087" i="8"/>
  <c r="J17103" i="8" s="1"/>
  <c r="E531" i="7"/>
  <c r="E158" i="7"/>
  <c r="E169" i="7"/>
  <c r="E14" i="7"/>
  <c r="E373" i="7"/>
  <c r="E268" i="7"/>
  <c r="E235" i="7"/>
  <c r="E64" i="7"/>
  <c r="E475" i="7"/>
  <c r="E564" i="7"/>
  <c r="E27" i="7"/>
  <c r="E170" i="7"/>
  <c r="E199" i="7"/>
  <c r="E421" i="7"/>
  <c r="E596" i="7"/>
  <c r="E103" i="7"/>
  <c r="E32" i="7"/>
  <c r="E185" i="7"/>
  <c r="E374" i="7"/>
  <c r="E521" i="7"/>
  <c r="E96" i="7"/>
  <c r="E156" i="7"/>
  <c r="E434" i="7"/>
  <c r="E357" i="7"/>
  <c r="E252" i="7"/>
  <c r="E371" i="7"/>
  <c r="E200" i="7"/>
  <c r="E525" i="7"/>
  <c r="E277" i="7"/>
  <c r="E420" i="7"/>
  <c r="E472" i="7"/>
  <c r="E356" i="7"/>
  <c r="E488" i="7"/>
  <c r="E372" i="7"/>
  <c r="E383" i="7"/>
  <c r="E262" i="7"/>
  <c r="E574" i="7"/>
  <c r="E54" i="7"/>
  <c r="E31" i="7"/>
  <c r="E114" i="7"/>
  <c r="E174" i="7"/>
  <c r="E331" i="7"/>
  <c r="E528" i="7"/>
  <c r="E326" i="7"/>
  <c r="E425" i="7"/>
  <c r="E527" i="7"/>
  <c r="E430" i="7"/>
  <c r="E201" i="7"/>
  <c r="E401" i="7"/>
  <c r="E577" i="7"/>
  <c r="E266" i="7"/>
  <c r="E406" i="7"/>
  <c r="E594" i="7"/>
  <c r="E416" i="7"/>
  <c r="E43" i="7"/>
  <c r="E177" i="7"/>
  <c r="E414" i="7"/>
  <c r="E413" i="7"/>
  <c r="E90" i="7"/>
  <c r="E75" i="7"/>
  <c r="E56" i="7"/>
  <c r="E24" i="7"/>
  <c r="E129" i="7"/>
  <c r="E107" i="7"/>
  <c r="E138" i="7"/>
  <c r="E163" i="7"/>
  <c r="E204" i="7"/>
  <c r="E396" i="7"/>
  <c r="E592" i="7"/>
  <c r="E243" i="7"/>
  <c r="E259" i="7"/>
  <c r="E344" i="7"/>
  <c r="E461" i="7"/>
  <c r="E502" i="7"/>
  <c r="E567" i="7"/>
  <c r="E216" i="7"/>
  <c r="E347" i="7"/>
  <c r="E147" i="7"/>
  <c r="E121" i="7"/>
  <c r="E494" i="7"/>
  <c r="E146" i="7"/>
  <c r="E236" i="7"/>
  <c r="E69" i="7"/>
  <c r="E110" i="7"/>
  <c r="E507" i="7"/>
  <c r="E591" i="7"/>
  <c r="E402" i="7"/>
  <c r="E83" i="7"/>
  <c r="E322" i="7"/>
  <c r="E41" i="7"/>
  <c r="E66" i="7"/>
  <c r="E141" i="7"/>
  <c r="E219" i="7"/>
  <c r="E543" i="7"/>
  <c r="E447" i="7"/>
  <c r="E320" i="7"/>
  <c r="E524" i="7"/>
  <c r="E431" i="7"/>
  <c r="E214" i="7"/>
  <c r="E542" i="7"/>
  <c r="E452" i="7"/>
  <c r="E573" i="7"/>
  <c r="E505" i="7"/>
  <c r="E71" i="7"/>
  <c r="E50" i="7"/>
  <c r="E134" i="7"/>
  <c r="E442" i="7"/>
  <c r="E271" i="7"/>
  <c r="E457" i="7"/>
  <c r="E256" i="7"/>
  <c r="E187" i="7"/>
  <c r="E375" i="7"/>
  <c r="E561" i="7"/>
  <c r="E325" i="7"/>
  <c r="E477" i="7"/>
  <c r="E11" i="7"/>
  <c r="E105" i="7"/>
  <c r="E349" i="7"/>
  <c r="E93" i="7"/>
  <c r="E58" i="7"/>
  <c r="E72" i="7"/>
  <c r="E29" i="7"/>
  <c r="E118" i="7"/>
  <c r="E154" i="7"/>
  <c r="E161" i="7"/>
  <c r="E339" i="7"/>
  <c r="E491" i="7"/>
  <c r="E227" i="7"/>
  <c r="E285" i="7"/>
  <c r="E395" i="7"/>
  <c r="E486" i="7"/>
  <c r="E535" i="7"/>
  <c r="E327" i="7"/>
  <c r="E511" i="7"/>
  <c r="E191" i="7"/>
  <c r="E269" i="7"/>
  <c r="E328" i="7"/>
  <c r="E389" i="7"/>
  <c r="E512" i="7"/>
  <c r="E581" i="7"/>
  <c r="E188" i="7"/>
  <c r="E270" i="7"/>
  <c r="E329" i="7"/>
  <c r="E394" i="7"/>
  <c r="E513" i="7"/>
  <c r="E582" i="7"/>
  <c r="E181" i="7"/>
  <c r="E51" i="7"/>
  <c r="E104" i="7"/>
  <c r="E282" i="7"/>
  <c r="E35" i="7"/>
  <c r="E89" i="7"/>
  <c r="E55" i="7"/>
  <c r="E25" i="7"/>
  <c r="E135" i="7"/>
  <c r="E172" i="7"/>
  <c r="E392" i="7"/>
  <c r="E223" i="7"/>
  <c r="E361" i="7"/>
  <c r="E482" i="7"/>
  <c r="E208" i="7"/>
  <c r="E572" i="7"/>
  <c r="E295" i="7"/>
  <c r="E435" i="7"/>
  <c r="E545" i="7"/>
  <c r="E312" i="7"/>
  <c r="E440" i="7"/>
  <c r="E546" i="7"/>
  <c r="E44" i="7"/>
  <c r="E159" i="7"/>
  <c r="E94" i="7"/>
  <c r="E79" i="7"/>
  <c r="E60" i="7"/>
  <c r="E28" i="7"/>
  <c r="E108" i="7"/>
  <c r="E111" i="7"/>
  <c r="E142" i="7"/>
  <c r="E167" i="7"/>
  <c r="E212" i="7"/>
  <c r="E404" i="7"/>
  <c r="E600" i="7"/>
  <c r="E247" i="7"/>
  <c r="E263" i="7"/>
  <c r="E318" i="7"/>
  <c r="E465" i="7"/>
  <c r="E506" i="7"/>
  <c r="E571" i="7"/>
  <c r="E224" i="7"/>
  <c r="E366" i="7"/>
  <c r="E487" i="7"/>
  <c r="E245" i="7"/>
  <c r="E257" i="7"/>
  <c r="E316" i="7"/>
  <c r="E459" i="7"/>
  <c r="E500" i="7"/>
  <c r="E569" i="7"/>
  <c r="E242" i="7"/>
  <c r="E258" i="7"/>
  <c r="E317" i="7"/>
  <c r="E464" i="7"/>
  <c r="E501" i="7"/>
  <c r="E570" i="7"/>
  <c r="E351" i="7"/>
  <c r="E45" i="7"/>
  <c r="E151" i="7"/>
  <c r="E280" i="7"/>
  <c r="E355" i="7"/>
  <c r="E220" i="7"/>
  <c r="E37" i="7"/>
  <c r="E128" i="7"/>
  <c r="E203" i="7"/>
  <c r="E343" i="7"/>
  <c r="E510" i="7"/>
  <c r="E100" i="7"/>
  <c r="E126" i="7"/>
  <c r="E293" i="7"/>
  <c r="E213" i="7"/>
  <c r="E261" i="7"/>
  <c r="E336" i="7"/>
  <c r="E590" i="7"/>
  <c r="E473" i="7"/>
  <c r="E489" i="7"/>
  <c r="E321" i="7"/>
  <c r="E57" i="7"/>
  <c r="E125" i="7"/>
  <c r="E190" i="7"/>
  <c r="E239" i="7"/>
  <c r="E498" i="7"/>
  <c r="E354" i="7"/>
  <c r="E340" i="7"/>
  <c r="E529" i="7"/>
  <c r="E456" i="7"/>
  <c r="E283" i="7"/>
  <c r="E131" i="7"/>
  <c r="E157" i="7"/>
  <c r="E74" i="7"/>
  <c r="E26" i="7"/>
  <c r="E120" i="7"/>
  <c r="E148" i="7"/>
  <c r="E160" i="7"/>
  <c r="E450" i="7"/>
  <c r="E193" i="7"/>
  <c r="E330" i="7"/>
  <c r="E429" i="7"/>
  <c r="E551" i="7"/>
  <c r="E358" i="7"/>
  <c r="E580" i="7"/>
  <c r="E205" i="7"/>
  <c r="E379" i="7"/>
  <c r="E439" i="7"/>
  <c r="E597" i="7"/>
  <c r="E238" i="7"/>
  <c r="E300" i="7"/>
  <c r="E410" i="7"/>
  <c r="E497" i="7"/>
  <c r="E550" i="7"/>
  <c r="E10" i="7"/>
  <c r="E132" i="7"/>
  <c r="E467" i="7"/>
  <c r="E466" i="7"/>
  <c r="E68" i="7"/>
  <c r="E109" i="7"/>
  <c r="E175" i="7"/>
  <c r="E483" i="7"/>
  <c r="E255" i="7"/>
  <c r="E514" i="7"/>
  <c r="E319" i="7"/>
  <c r="E233" i="7"/>
  <c r="E385" i="7"/>
  <c r="E184" i="7"/>
  <c r="E360" i="7"/>
  <c r="E578" i="7"/>
  <c r="E40" i="7"/>
  <c r="E198" i="7"/>
  <c r="E249" i="7"/>
  <c r="E78" i="7"/>
  <c r="E92" i="7"/>
  <c r="E23" i="7"/>
  <c r="E117" i="7"/>
  <c r="E152" i="7"/>
  <c r="E166" i="7"/>
  <c r="E260" i="7"/>
  <c r="E426" i="7"/>
  <c r="E241" i="7"/>
  <c r="E67" i="7"/>
  <c r="E453" i="7"/>
  <c r="E309" i="7"/>
  <c r="E98" i="7"/>
  <c r="E387" i="7"/>
  <c r="E99" i="7"/>
  <c r="E248" i="7"/>
  <c r="E403" i="7"/>
  <c r="E49" i="7"/>
  <c r="E171" i="7"/>
  <c r="E291" i="7"/>
  <c r="E18" i="7"/>
  <c r="E294" i="7"/>
  <c r="E478" i="7"/>
  <c r="E337" i="7"/>
  <c r="E526" i="7"/>
  <c r="E589" i="7"/>
  <c r="E292" i="7"/>
  <c r="E230" i="7"/>
  <c r="E504" i="7"/>
  <c r="E251" i="7"/>
  <c r="E15" i="7"/>
  <c r="E144" i="7"/>
  <c r="E515" i="7"/>
  <c r="E377" i="7"/>
  <c r="E563" i="7"/>
  <c r="E217" i="7"/>
  <c r="E508" i="7"/>
  <c r="E296" i="7"/>
  <c r="E562" i="7"/>
  <c r="E47" i="7"/>
  <c r="E250" i="7"/>
  <c r="E77" i="7"/>
  <c r="E59" i="7"/>
  <c r="E19" i="7"/>
  <c r="E123" i="7"/>
  <c r="E133" i="7"/>
  <c r="E310" i="7"/>
  <c r="E560" i="7"/>
  <c r="E275" i="7"/>
  <c r="E411" i="7"/>
  <c r="E599" i="7"/>
  <c r="E264" i="7"/>
  <c r="E438" i="7"/>
  <c r="E237" i="7"/>
  <c r="E299" i="7"/>
  <c r="E405" i="7"/>
  <c r="E496" i="7"/>
  <c r="E549" i="7"/>
  <c r="E206" i="7"/>
  <c r="E380" i="7"/>
  <c r="E444" i="7"/>
  <c r="E598" i="7"/>
  <c r="E315" i="7"/>
  <c r="E42" i="7"/>
  <c r="E70" i="7"/>
  <c r="E13" i="7"/>
  <c r="E150" i="7"/>
  <c r="E302" i="7"/>
  <c r="E189" i="7"/>
  <c r="E391" i="7"/>
  <c r="E547" i="7"/>
  <c r="E503" i="7"/>
  <c r="E324" i="7"/>
  <c r="E492" i="7"/>
  <c r="E202" i="7"/>
  <c r="E509" i="7"/>
  <c r="E53" i="7"/>
  <c r="E102" i="7"/>
  <c r="E601" i="7"/>
  <c r="E81" i="7"/>
  <c r="E95" i="7"/>
  <c r="E30" i="7"/>
  <c r="E17" i="7"/>
  <c r="E127" i="7"/>
  <c r="E153" i="7"/>
  <c r="E164" i="7"/>
  <c r="E378" i="7"/>
  <c r="E568" i="7"/>
  <c r="E215" i="7"/>
  <c r="E384" i="7"/>
  <c r="E112" i="7"/>
  <c r="E80" i="7"/>
  <c r="E523" i="7"/>
  <c r="E412" i="7"/>
  <c r="E21" i="7"/>
  <c r="E454" i="7"/>
  <c r="E422" i="7"/>
  <c r="E436" i="7"/>
  <c r="E246" i="7"/>
  <c r="E20" i="7"/>
  <c r="E584" i="7"/>
  <c r="E290" i="7"/>
  <c r="E476" i="7"/>
  <c r="E530" i="7"/>
  <c r="E8" i="7"/>
  <c r="E88" i="7"/>
  <c r="E139" i="7"/>
  <c r="E370" i="7"/>
  <c r="E301" i="7"/>
  <c r="E583" i="7"/>
  <c r="E479" i="7"/>
  <c r="E314" i="7"/>
  <c r="E480" i="7"/>
  <c r="E254" i="7"/>
  <c r="E428" i="7"/>
  <c r="E470" i="7"/>
  <c r="E348" i="7"/>
  <c r="E87" i="7"/>
  <c r="E145" i="7"/>
  <c r="E207" i="7"/>
  <c r="E244" i="7"/>
  <c r="E359" i="7"/>
  <c r="E341" i="7"/>
  <c r="E48" i="7"/>
  <c r="E130" i="7"/>
  <c r="E63" i="7"/>
  <c r="E124" i="7"/>
  <c r="E137" i="7"/>
  <c r="E458" i="7"/>
  <c r="E279" i="7"/>
  <c r="E369" i="7"/>
  <c r="E433" i="7"/>
  <c r="E587" i="7"/>
  <c r="E272" i="7"/>
  <c r="E446" i="7"/>
  <c r="E195" i="7"/>
  <c r="E303" i="7"/>
  <c r="E409" i="7"/>
  <c r="E516" i="7"/>
  <c r="E553" i="7"/>
  <c r="E210" i="7"/>
  <c r="E333" i="7"/>
  <c r="E448" i="7"/>
  <c r="E469" i="7"/>
  <c r="E522" i="7"/>
  <c r="E86" i="7"/>
  <c r="E136" i="7"/>
  <c r="E334" i="7"/>
  <c r="E474" i="7"/>
  <c r="E400" i="7"/>
  <c r="E552" i="7"/>
  <c r="E367" i="7"/>
  <c r="E585" i="7"/>
  <c r="E34" i="7"/>
  <c r="E82" i="7"/>
  <c r="E267" i="7"/>
  <c r="E140" i="7"/>
  <c r="E307" i="7"/>
  <c r="E575" i="7"/>
  <c r="E168" i="7"/>
  <c r="E415" i="7"/>
  <c r="E397" i="7"/>
  <c r="E557" i="7"/>
  <c r="E386" i="7"/>
  <c r="E155" i="7"/>
  <c r="E297" i="7"/>
  <c r="E471" i="7"/>
  <c r="E218" i="7"/>
  <c r="E52" i="7"/>
  <c r="E281" i="7"/>
  <c r="E12" i="7"/>
  <c r="E149" i="7"/>
  <c r="E418" i="7"/>
  <c r="E365" i="7"/>
  <c r="E186" i="7"/>
  <c r="E544" i="7"/>
  <c r="E363" i="7"/>
  <c r="E565" i="7"/>
  <c r="E284" i="7"/>
  <c r="E481" i="7"/>
  <c r="E46" i="7"/>
  <c r="E22" i="7"/>
  <c r="E228" i="7"/>
  <c r="E342" i="7"/>
  <c r="E462" i="7"/>
  <c r="E419" i="7"/>
  <c r="E390" i="7"/>
  <c r="E101" i="7"/>
  <c r="E97" i="7"/>
  <c r="E76" i="7"/>
  <c r="E122" i="7"/>
  <c r="E165" i="7"/>
  <c r="E499" i="7"/>
  <c r="E305" i="7"/>
  <c r="E353" i="7"/>
  <c r="E417" i="7"/>
  <c r="E555" i="7"/>
  <c r="E306" i="7"/>
  <c r="E519" i="7"/>
  <c r="E225" i="7"/>
  <c r="E287" i="7"/>
  <c r="E393" i="7"/>
  <c r="E484" i="7"/>
  <c r="E537" i="7"/>
  <c r="E274" i="7"/>
  <c r="E368" i="7"/>
  <c r="E432" i="7"/>
  <c r="E586" i="7"/>
  <c r="E576" i="7"/>
  <c r="E559" i="7"/>
  <c r="E36" i="7"/>
  <c r="E323" i="7"/>
  <c r="E346" i="7"/>
  <c r="E182" i="7"/>
  <c r="E548" i="7"/>
  <c r="E495" i="7"/>
  <c r="E278" i="7"/>
  <c r="E308" i="7"/>
  <c r="E73" i="7"/>
  <c r="E173" i="7"/>
  <c r="E407" i="7"/>
  <c r="E311" i="7"/>
  <c r="E376" i="7"/>
  <c r="E39" i="7"/>
  <c r="E61" i="7"/>
  <c r="E106" i="7"/>
  <c r="E162" i="7"/>
  <c r="E532" i="7"/>
  <c r="E445" i="7"/>
  <c r="E298" i="7"/>
  <c r="E221" i="7"/>
  <c r="E455" i="7"/>
  <c r="E533" i="7"/>
  <c r="E364" i="7"/>
  <c r="E566" i="7"/>
  <c r="E38" i="7"/>
  <c r="E313" i="7"/>
  <c r="E116" i="7"/>
  <c r="E362" i="7"/>
  <c r="E441" i="7"/>
  <c r="E536" i="7"/>
  <c r="E593" i="7"/>
  <c r="E493" i="7"/>
  <c r="E180" i="7"/>
  <c r="E65" i="7"/>
  <c r="E16" i="7"/>
  <c r="E143" i="7"/>
  <c r="E240" i="7"/>
  <c r="E540" i="7"/>
  <c r="E289" i="7"/>
  <c r="E399" i="7"/>
  <c r="E490" i="7"/>
  <c r="E539" i="7"/>
  <c r="E335" i="7"/>
  <c r="E588" i="7"/>
  <c r="E209" i="7"/>
  <c r="E332" i="7"/>
  <c r="E443" i="7"/>
  <c r="E468" i="7"/>
  <c r="E192" i="7"/>
  <c r="E304" i="7"/>
  <c r="E352" i="7"/>
  <c r="E517" i="7"/>
  <c r="E554" i="7"/>
  <c r="E408" i="7"/>
  <c r="E229" i="7"/>
  <c r="E197" i="7"/>
  <c r="E338" i="7"/>
  <c r="E115" i="7"/>
  <c r="E85" i="7"/>
  <c r="E437" i="7"/>
  <c r="E463" i="7"/>
  <c r="E541" i="7"/>
  <c r="E558" i="7"/>
  <c r="E84" i="7"/>
  <c r="E276" i="7"/>
  <c r="E595" i="7"/>
  <c r="E451" i="7"/>
  <c r="E424" i="7"/>
  <c r="E179" i="7"/>
  <c r="E91" i="7"/>
  <c r="E113" i="7"/>
  <c r="E232" i="7"/>
  <c r="E211" i="7"/>
  <c r="E518" i="7"/>
  <c r="E388" i="7"/>
  <c r="E253" i="7"/>
  <c r="E423" i="7"/>
  <c r="E222" i="7"/>
  <c r="E460" i="7"/>
  <c r="E534" i="7"/>
  <c r="E183" i="7"/>
  <c r="E119" i="7"/>
  <c r="E556" i="7"/>
  <c r="E265" i="7"/>
  <c r="E234" i="7"/>
  <c r="E9" i="7"/>
  <c r="E350" i="7"/>
  <c r="E62" i="7"/>
  <c r="E33" i="7"/>
  <c r="E286" i="7"/>
  <c r="E231" i="7"/>
  <c r="E449" i="7"/>
  <c r="E194" i="7"/>
  <c r="E273" i="7"/>
  <c r="E427" i="7"/>
  <c r="E226" i="7"/>
  <c r="E579" i="7"/>
  <c r="E538" i="7"/>
  <c r="E288" i="7"/>
  <c r="E398" i="7"/>
  <c r="E485" i="7"/>
  <c r="E196" i="7"/>
  <c r="E176" i="7"/>
  <c r="E178" i="7"/>
  <c r="E382" i="7"/>
  <c r="D94" i="6"/>
  <c r="E520" i="7"/>
  <c r="E381" i="7"/>
  <c r="D77" i="6"/>
  <c r="D12" i="6"/>
  <c r="D105" i="6"/>
  <c r="D110" i="6"/>
  <c r="D71" i="6"/>
  <c r="D141" i="6"/>
  <c r="D101" i="6"/>
  <c r="D133" i="6"/>
  <c r="D104" i="6"/>
  <c r="D132" i="6"/>
  <c r="D64" i="6"/>
  <c r="D100" i="6"/>
  <c r="D96" i="6"/>
  <c r="D42" i="6"/>
  <c r="D84" i="6"/>
  <c r="D83" i="6"/>
  <c r="D48" i="6"/>
  <c r="D26" i="6"/>
  <c r="D140" i="6"/>
  <c r="D67" i="6"/>
  <c r="D34" i="6"/>
  <c r="D106" i="6"/>
  <c r="D98" i="6"/>
  <c r="D32" i="6"/>
  <c r="D118" i="6"/>
  <c r="D9" i="6"/>
  <c r="F141" i="6"/>
  <c r="D128" i="6"/>
  <c r="D136" i="6"/>
  <c r="D10" i="6"/>
  <c r="D86" i="6"/>
  <c r="D19" i="6"/>
  <c r="D82" i="6"/>
  <c r="D60" i="6"/>
  <c r="D27" i="6"/>
  <c r="D116" i="6"/>
  <c r="D29" i="6"/>
  <c r="D52" i="6"/>
  <c r="D93" i="6"/>
  <c r="D39" i="6"/>
  <c r="D126" i="6"/>
  <c r="D49" i="6"/>
  <c r="D114" i="6"/>
  <c r="D81" i="6"/>
  <c r="D107" i="6"/>
  <c r="D43" i="6"/>
  <c r="D50" i="6"/>
  <c r="D68" i="6"/>
  <c r="D65" i="6"/>
  <c r="D92" i="6"/>
  <c r="D18" i="6"/>
  <c r="D109" i="6"/>
  <c r="D58" i="6"/>
  <c r="D11" i="6"/>
  <c r="D59" i="6"/>
  <c r="D22" i="6"/>
  <c r="D16" i="6"/>
  <c r="D120" i="6"/>
  <c r="D7" i="6"/>
  <c r="D73" i="6"/>
  <c r="D72" i="6"/>
  <c r="D99" i="6"/>
  <c r="D47" i="6"/>
  <c r="D38" i="6"/>
  <c r="D37" i="6"/>
  <c r="D131" i="6"/>
  <c r="D123" i="6"/>
  <c r="D53" i="6"/>
  <c r="D76" i="6"/>
  <c r="D102" i="6"/>
  <c r="D57" i="6"/>
  <c r="D61" i="6"/>
  <c r="D30" i="6"/>
  <c r="D74" i="6"/>
  <c r="D28" i="6"/>
  <c r="D13" i="6"/>
  <c r="D108" i="6"/>
  <c r="D113" i="6"/>
  <c r="D46" i="6"/>
  <c r="D35" i="6"/>
  <c r="D135" i="6"/>
  <c r="D66" i="6"/>
  <c r="D63" i="6"/>
  <c r="D79" i="6"/>
  <c r="D75" i="6"/>
  <c r="D103" i="6"/>
  <c r="D23" i="6"/>
  <c r="D129" i="6"/>
  <c r="D14" i="6"/>
  <c r="D97" i="6"/>
  <c r="D40" i="6"/>
  <c r="D130" i="6"/>
  <c r="D70" i="6"/>
  <c r="D115" i="6"/>
  <c r="D51" i="6"/>
  <c r="D41" i="6"/>
  <c r="D78" i="6"/>
  <c r="D25" i="6"/>
  <c r="D122" i="6"/>
  <c r="D69" i="6"/>
  <c r="D139" i="6"/>
  <c r="D62" i="6"/>
  <c r="D137" i="6"/>
  <c r="D85" i="6"/>
  <c r="D20" i="6"/>
  <c r="D127" i="6"/>
  <c r="D90" i="6"/>
  <c r="D31" i="6"/>
  <c r="D21" i="6"/>
  <c r="D17" i="6"/>
  <c r="D55" i="6"/>
  <c r="D124" i="6"/>
  <c r="D91" i="6"/>
  <c r="D95" i="6"/>
  <c r="D45" i="6"/>
  <c r="D138" i="6"/>
  <c r="D88" i="6"/>
  <c r="D111" i="6"/>
  <c r="D134" i="6"/>
  <c r="D54" i="6"/>
  <c r="D125" i="6"/>
  <c r="D24" i="6"/>
  <c r="D56" i="6"/>
  <c r="D8" i="6"/>
  <c r="D80" i="6"/>
  <c r="D119" i="6"/>
  <c r="D121" i="6"/>
  <c r="D44" i="6"/>
  <c r="D89" i="6"/>
  <c r="D117" i="6"/>
  <c r="D112" i="6"/>
  <c r="D36" i="6"/>
  <c r="D15" i="6"/>
  <c r="D87" i="6"/>
  <c r="D6" i="6"/>
  <c r="E345" i="7"/>
  <c r="E76" i="3" l="1"/>
  <c r="E44" i="3"/>
  <c r="E50" i="3"/>
  <c r="E45" i="3"/>
  <c r="E95" i="3"/>
  <c r="E96" i="3"/>
  <c r="E27" i="3"/>
  <c r="E65" i="3"/>
  <c r="E78" i="3"/>
  <c r="E35" i="3"/>
  <c r="E74" i="3"/>
  <c r="E22" i="3"/>
  <c r="E89" i="3"/>
  <c r="E64" i="3"/>
  <c r="E75" i="3"/>
  <c r="E82" i="3"/>
  <c r="E18" i="3"/>
  <c r="E33" i="3"/>
  <c r="E87" i="3"/>
  <c r="E14" i="3"/>
  <c r="E88" i="3"/>
  <c r="E52" i="3"/>
  <c r="E86" i="3"/>
  <c r="E71" i="3"/>
  <c r="E9" i="3"/>
  <c r="E43" i="3"/>
  <c r="E85" i="3"/>
  <c r="E8" i="3"/>
  <c r="E80" i="3"/>
  <c r="E48" i="3"/>
  <c r="E16" i="3"/>
  <c r="E59" i="3"/>
  <c r="E11" i="3"/>
  <c r="E66" i="3"/>
  <c r="E34" i="3"/>
  <c r="E81" i="3"/>
  <c r="E49" i="3"/>
  <c r="E17" i="3"/>
  <c r="E28" i="3"/>
  <c r="E39" i="3"/>
  <c r="E46" i="3"/>
  <c r="E77" i="3"/>
  <c r="E13" i="3"/>
  <c r="E24" i="3"/>
  <c r="E10" i="3"/>
  <c r="E70" i="3"/>
  <c r="E56" i="3"/>
  <c r="E67" i="3"/>
  <c r="E94" i="3"/>
  <c r="E25" i="3"/>
  <c r="E63" i="3"/>
  <c r="E69" i="3"/>
  <c r="E42" i="3"/>
  <c r="E57" i="3"/>
  <c r="E84" i="3"/>
  <c r="E20" i="3"/>
  <c r="E31" i="3"/>
  <c r="E38" i="3"/>
  <c r="E37" i="3"/>
  <c r="E92" i="3"/>
  <c r="E60" i="3"/>
  <c r="E12" i="3"/>
  <c r="E55" i="3"/>
  <c r="E23" i="3"/>
  <c r="E62" i="3"/>
  <c r="E30" i="3"/>
  <c r="E93" i="3"/>
  <c r="E61" i="3"/>
  <c r="E29" i="3"/>
  <c r="E6" i="3"/>
  <c r="E72" i="3"/>
  <c r="E40" i="3"/>
  <c r="E83" i="3"/>
  <c r="E51" i="3"/>
  <c r="E19" i="3"/>
  <c r="E58" i="3"/>
  <c r="E26" i="3"/>
  <c r="E73" i="3"/>
  <c r="E41" i="3"/>
  <c r="E90" i="3"/>
  <c r="E68" i="3"/>
  <c r="E36" i="3"/>
  <c r="E79" i="3"/>
  <c r="E47" i="3"/>
  <c r="E15" i="3"/>
  <c r="E54" i="3"/>
  <c r="E98" i="3"/>
  <c r="E53" i="3"/>
  <c r="E21" i="3"/>
  <c r="E91" i="3"/>
  <c r="E97" i="3"/>
  <c r="G97" i="3"/>
  <c r="G98" i="3"/>
  <c r="G100" i="3" s="1"/>
  <c r="H17281" i="8"/>
  <c r="J17265" i="8"/>
  <c r="J17281" i="8" s="1"/>
</calcChain>
</file>

<file path=xl/comments1.xml><?xml version="1.0" encoding="utf-8"?>
<comments xmlns="http://schemas.openxmlformats.org/spreadsheetml/2006/main">
  <authors>
    <author>LPA</author>
  </authors>
  <commentList>
    <comment ref="I27" authorId="0" shapeId="0">
      <text>
        <r>
          <rPr>
            <b/>
            <sz val="9"/>
            <color indexed="81"/>
            <rFont val="Tahoma"/>
            <family val="2"/>
          </rPr>
          <t>LPA:</t>
        </r>
        <r>
          <rPr>
            <sz val="9"/>
            <color indexed="81"/>
            <rFont val="Tahoma"/>
            <family val="2"/>
          </rPr>
          <t xml:space="preserve">
Рачун финансирања мора бити једнак укупном фискалном дефициту</t>
        </r>
      </text>
    </comment>
  </commentList>
</comments>
</file>

<file path=xl/comments2.xml><?xml version="1.0" encoding="utf-8"?>
<comments xmlns="http://schemas.openxmlformats.org/spreadsheetml/2006/main">
  <authors>
    <author>LPA</author>
    <author/>
  </authors>
  <commentList>
    <comment ref="C62" authorId="0" shapeId="0">
      <text>
        <r>
          <rPr>
            <b/>
            <sz val="9"/>
            <color indexed="81"/>
            <rFont val="Tahoma"/>
            <family val="2"/>
          </rPr>
          <t>LPA:</t>
        </r>
        <r>
          <rPr>
            <sz val="9"/>
            <color indexed="81"/>
            <rFont val="Tahoma"/>
            <family val="2"/>
          </rPr>
          <t xml:space="preserve">
ukinuto?</t>
        </r>
      </text>
    </comment>
    <comment ref="C72" authorId="1" shapeId="0">
      <text>
        <r>
          <rPr>
            <b/>
            <sz val="8"/>
            <color indexed="8"/>
            <rFont val="Tahoma"/>
            <family val="2"/>
            <charset val="204"/>
          </rPr>
          <t xml:space="preserve">lpa:
</t>
        </r>
        <r>
          <rPr>
            <sz val="8"/>
            <color indexed="8"/>
            <rFont val="Tahoma"/>
            <family val="2"/>
            <charset val="204"/>
          </rPr>
          <t>50% se koristi za održavanje saobraćajne signalizacije ( Zakon o bezbednosti saobraćaja na putevima)</t>
        </r>
      </text>
    </comment>
  </commentList>
</comments>
</file>

<file path=xl/comments3.xml><?xml version="1.0" encoding="utf-8"?>
<comments xmlns="http://schemas.openxmlformats.org/spreadsheetml/2006/main">
  <authors>
    <author>LPA</author>
  </authors>
  <commentList>
    <comment ref="I75" authorId="0" shapeId="0">
      <text>
        <r>
          <rPr>
            <b/>
            <sz val="9"/>
            <color indexed="81"/>
            <rFont val="Tahoma"/>
            <family val="2"/>
          </rPr>
          <t>LPA:</t>
        </r>
        <r>
          <rPr>
            <sz val="9"/>
            <color indexed="81"/>
            <rFont val="Tahoma"/>
            <family val="2"/>
          </rPr>
          <t xml:space="preserve">
проверити збир!
</t>
        </r>
      </text>
    </comment>
    <comment ref="I76" authorId="0" shapeId="0">
      <text>
        <r>
          <rPr>
            <b/>
            <sz val="9"/>
            <color indexed="81"/>
            <rFont val="Tahoma"/>
            <family val="2"/>
          </rPr>
          <t>LPA:</t>
        </r>
        <r>
          <rPr>
            <sz val="9"/>
            <color indexed="81"/>
            <rFont val="Tahoma"/>
            <family val="2"/>
          </rPr>
          <t xml:space="preserve">
проверити збир!
</t>
        </r>
      </text>
    </comment>
    <comment ref="I77" authorId="0" shapeId="0">
      <text>
        <r>
          <rPr>
            <b/>
            <sz val="9"/>
            <color indexed="81"/>
            <rFont val="Tahoma"/>
            <family val="2"/>
          </rPr>
          <t>LPA:</t>
        </r>
        <r>
          <rPr>
            <sz val="9"/>
            <color indexed="81"/>
            <rFont val="Tahoma"/>
            <family val="2"/>
          </rPr>
          <t xml:space="preserve">
проверити збир!
</t>
        </r>
      </text>
    </comment>
    <comment ref="I78" authorId="0" shapeId="0">
      <text>
        <r>
          <rPr>
            <b/>
            <sz val="9"/>
            <color indexed="81"/>
            <rFont val="Tahoma"/>
            <family val="2"/>
          </rPr>
          <t>LPA:</t>
        </r>
        <r>
          <rPr>
            <sz val="9"/>
            <color indexed="81"/>
            <rFont val="Tahoma"/>
            <family val="2"/>
          </rPr>
          <t xml:space="preserve">
проверити збир!
</t>
        </r>
      </text>
    </comment>
    <comment ref="I79" authorId="0" shapeId="0">
      <text>
        <r>
          <rPr>
            <b/>
            <sz val="9"/>
            <color indexed="81"/>
            <rFont val="Tahoma"/>
            <family val="2"/>
          </rPr>
          <t>LPA:</t>
        </r>
        <r>
          <rPr>
            <sz val="9"/>
            <color indexed="81"/>
            <rFont val="Tahoma"/>
            <family val="2"/>
          </rPr>
          <t xml:space="preserve">
проверити збир!
</t>
        </r>
      </text>
    </comment>
    <comment ref="I80" authorId="0" shapeId="0">
      <text>
        <r>
          <rPr>
            <b/>
            <sz val="9"/>
            <color indexed="81"/>
            <rFont val="Tahoma"/>
            <family val="2"/>
          </rPr>
          <t>LPA:</t>
        </r>
        <r>
          <rPr>
            <sz val="9"/>
            <color indexed="81"/>
            <rFont val="Tahoma"/>
            <family val="2"/>
          </rPr>
          <t xml:space="preserve">
проверити збир!
</t>
        </r>
      </text>
    </comment>
    <comment ref="I81" authorId="0" shapeId="0">
      <text>
        <r>
          <rPr>
            <b/>
            <sz val="9"/>
            <color indexed="81"/>
            <rFont val="Tahoma"/>
            <family val="2"/>
          </rPr>
          <t>LPA:</t>
        </r>
        <r>
          <rPr>
            <sz val="9"/>
            <color indexed="81"/>
            <rFont val="Tahoma"/>
            <family val="2"/>
          </rPr>
          <t xml:space="preserve">
проверити збир!
</t>
        </r>
      </text>
    </comment>
    <comment ref="I82" authorId="0" shapeId="0">
      <text>
        <r>
          <rPr>
            <b/>
            <sz val="9"/>
            <color indexed="81"/>
            <rFont val="Tahoma"/>
            <family val="2"/>
          </rPr>
          <t>LPA:</t>
        </r>
        <r>
          <rPr>
            <sz val="9"/>
            <color indexed="81"/>
            <rFont val="Tahoma"/>
            <family val="2"/>
          </rPr>
          <t xml:space="preserve">
проверити збир!
</t>
        </r>
      </text>
    </comment>
    <comment ref="I83" authorId="0" shapeId="0">
      <text>
        <r>
          <rPr>
            <b/>
            <sz val="9"/>
            <color indexed="81"/>
            <rFont val="Tahoma"/>
            <family val="2"/>
          </rPr>
          <t>LPA:</t>
        </r>
        <r>
          <rPr>
            <sz val="9"/>
            <color indexed="81"/>
            <rFont val="Tahoma"/>
            <family val="2"/>
          </rPr>
          <t xml:space="preserve">
проверити збир!
</t>
        </r>
      </text>
    </comment>
    <comment ref="I84" authorId="0" shapeId="0">
      <text>
        <r>
          <rPr>
            <b/>
            <sz val="9"/>
            <color indexed="81"/>
            <rFont val="Tahoma"/>
            <family val="2"/>
          </rPr>
          <t>LPA:</t>
        </r>
        <r>
          <rPr>
            <sz val="9"/>
            <color indexed="81"/>
            <rFont val="Tahoma"/>
            <family val="2"/>
          </rPr>
          <t xml:space="preserve">
проверити збир!
</t>
        </r>
      </text>
    </comment>
    <comment ref="I85" authorId="0" shapeId="0">
      <text>
        <r>
          <rPr>
            <b/>
            <sz val="9"/>
            <color indexed="81"/>
            <rFont val="Tahoma"/>
            <family val="2"/>
          </rPr>
          <t>LPA:</t>
        </r>
        <r>
          <rPr>
            <sz val="9"/>
            <color indexed="81"/>
            <rFont val="Tahoma"/>
            <family val="2"/>
          </rPr>
          <t xml:space="preserve">
проверити збир!
</t>
        </r>
      </text>
    </comment>
    <comment ref="I86" authorId="0" shapeId="0">
      <text>
        <r>
          <rPr>
            <b/>
            <sz val="9"/>
            <color indexed="81"/>
            <rFont val="Tahoma"/>
            <family val="2"/>
          </rPr>
          <t>LPA:</t>
        </r>
        <r>
          <rPr>
            <sz val="9"/>
            <color indexed="81"/>
            <rFont val="Tahoma"/>
            <family val="2"/>
          </rPr>
          <t xml:space="preserve">
проверити збир!
</t>
        </r>
      </text>
    </comment>
    <comment ref="I87" authorId="0" shapeId="0">
      <text>
        <r>
          <rPr>
            <b/>
            <sz val="9"/>
            <color indexed="81"/>
            <rFont val="Tahoma"/>
            <family val="2"/>
          </rPr>
          <t>LPA:</t>
        </r>
        <r>
          <rPr>
            <sz val="9"/>
            <color indexed="81"/>
            <rFont val="Tahoma"/>
            <family val="2"/>
          </rPr>
          <t xml:space="preserve">
проверити збир!
</t>
        </r>
      </text>
    </comment>
    <comment ref="H90" authorId="0" shapeId="0">
      <text>
        <r>
          <rPr>
            <b/>
            <sz val="9"/>
            <color indexed="81"/>
            <rFont val="Tahoma"/>
            <family val="2"/>
          </rPr>
          <t>LPA:</t>
        </r>
        <r>
          <rPr>
            <sz val="9"/>
            <color indexed="81"/>
            <rFont val="Tahoma"/>
            <family val="2"/>
          </rPr>
          <t xml:space="preserve">
проверити збир!</t>
        </r>
      </text>
    </comment>
    <comment ref="I90" authorId="0" shapeId="0">
      <text>
        <r>
          <rPr>
            <b/>
            <sz val="9"/>
            <color indexed="81"/>
            <rFont val="Tahoma"/>
            <family val="2"/>
          </rPr>
          <t>LPA:</t>
        </r>
        <r>
          <rPr>
            <sz val="9"/>
            <color indexed="81"/>
            <rFont val="Tahoma"/>
            <family val="2"/>
          </rPr>
          <t xml:space="preserve">
проверити збир!</t>
        </r>
      </text>
    </comment>
    <comment ref="I91" authorId="0" shapeId="0">
      <text>
        <r>
          <rPr>
            <b/>
            <sz val="9"/>
            <color indexed="81"/>
            <rFont val="Tahoma"/>
            <family val="2"/>
          </rPr>
          <t>LPA:</t>
        </r>
        <r>
          <rPr>
            <sz val="9"/>
            <color indexed="81"/>
            <rFont val="Tahoma"/>
            <family val="2"/>
          </rPr>
          <t xml:space="preserve">
проверити збир!
</t>
        </r>
      </text>
    </comment>
    <comment ref="I92" authorId="0" shapeId="0">
      <text>
        <r>
          <rPr>
            <b/>
            <sz val="9"/>
            <color indexed="81"/>
            <rFont val="Tahoma"/>
            <family val="2"/>
          </rPr>
          <t>LPA:</t>
        </r>
        <r>
          <rPr>
            <sz val="9"/>
            <color indexed="81"/>
            <rFont val="Tahoma"/>
            <family val="2"/>
          </rPr>
          <t xml:space="preserve">
проверити збир!
</t>
        </r>
      </text>
    </comment>
    <comment ref="I93" authorId="0" shapeId="0">
      <text>
        <r>
          <rPr>
            <b/>
            <sz val="9"/>
            <color indexed="81"/>
            <rFont val="Tahoma"/>
            <family val="2"/>
          </rPr>
          <t>LPA:</t>
        </r>
        <r>
          <rPr>
            <sz val="9"/>
            <color indexed="81"/>
            <rFont val="Tahoma"/>
            <family val="2"/>
          </rPr>
          <t xml:space="preserve">
проверити збир!
</t>
        </r>
      </text>
    </comment>
    <comment ref="I94" authorId="0" shapeId="0">
      <text>
        <r>
          <rPr>
            <b/>
            <sz val="9"/>
            <color indexed="81"/>
            <rFont val="Tahoma"/>
            <family val="2"/>
          </rPr>
          <t>LPA:</t>
        </r>
        <r>
          <rPr>
            <sz val="9"/>
            <color indexed="81"/>
            <rFont val="Tahoma"/>
            <family val="2"/>
          </rPr>
          <t xml:space="preserve">
проверити збир!
</t>
        </r>
      </text>
    </comment>
    <comment ref="I95" authorId="0" shapeId="0">
      <text>
        <r>
          <rPr>
            <b/>
            <sz val="9"/>
            <color indexed="81"/>
            <rFont val="Tahoma"/>
            <family val="2"/>
          </rPr>
          <t>LPA:</t>
        </r>
        <r>
          <rPr>
            <sz val="9"/>
            <color indexed="81"/>
            <rFont val="Tahoma"/>
            <family val="2"/>
          </rPr>
          <t xml:space="preserve">
проверити збир!
</t>
        </r>
      </text>
    </comment>
    <comment ref="I96" authorId="0" shapeId="0">
      <text>
        <r>
          <rPr>
            <b/>
            <sz val="9"/>
            <color indexed="81"/>
            <rFont val="Tahoma"/>
            <family val="2"/>
          </rPr>
          <t>LPA:</t>
        </r>
        <r>
          <rPr>
            <sz val="9"/>
            <color indexed="81"/>
            <rFont val="Tahoma"/>
            <family val="2"/>
          </rPr>
          <t xml:space="preserve">
проверити збир!
</t>
        </r>
      </text>
    </comment>
    <comment ref="I97" authorId="0" shapeId="0">
      <text>
        <r>
          <rPr>
            <b/>
            <sz val="9"/>
            <color indexed="81"/>
            <rFont val="Tahoma"/>
            <family val="2"/>
          </rPr>
          <t>LPA:</t>
        </r>
        <r>
          <rPr>
            <sz val="9"/>
            <color indexed="81"/>
            <rFont val="Tahoma"/>
            <family val="2"/>
          </rPr>
          <t xml:space="preserve">
проверити збир!
</t>
        </r>
      </text>
    </comment>
    <comment ref="I98" authorId="0" shapeId="0">
      <text>
        <r>
          <rPr>
            <b/>
            <sz val="9"/>
            <color indexed="81"/>
            <rFont val="Tahoma"/>
            <family val="2"/>
          </rPr>
          <t>LPA:</t>
        </r>
        <r>
          <rPr>
            <sz val="9"/>
            <color indexed="81"/>
            <rFont val="Tahoma"/>
            <family val="2"/>
          </rPr>
          <t xml:space="preserve">
проверити збир!
</t>
        </r>
      </text>
    </comment>
    <comment ref="I99" authorId="0" shapeId="0">
      <text>
        <r>
          <rPr>
            <b/>
            <sz val="9"/>
            <color indexed="81"/>
            <rFont val="Tahoma"/>
            <family val="2"/>
          </rPr>
          <t>LPA:</t>
        </r>
        <r>
          <rPr>
            <sz val="9"/>
            <color indexed="81"/>
            <rFont val="Tahoma"/>
            <family val="2"/>
          </rPr>
          <t xml:space="preserve">
проверити збир!
</t>
        </r>
      </text>
    </comment>
    <comment ref="I100" authorId="0" shapeId="0">
      <text>
        <r>
          <rPr>
            <b/>
            <sz val="9"/>
            <color indexed="81"/>
            <rFont val="Tahoma"/>
            <family val="2"/>
          </rPr>
          <t>LPA:</t>
        </r>
        <r>
          <rPr>
            <sz val="9"/>
            <color indexed="81"/>
            <rFont val="Tahoma"/>
            <family val="2"/>
          </rPr>
          <t xml:space="preserve">
проверити збир!
</t>
        </r>
      </text>
    </comment>
    <comment ref="I101" authorId="0" shapeId="0">
      <text>
        <r>
          <rPr>
            <b/>
            <sz val="9"/>
            <color indexed="81"/>
            <rFont val="Tahoma"/>
            <family val="2"/>
          </rPr>
          <t>LPA:</t>
        </r>
        <r>
          <rPr>
            <sz val="9"/>
            <color indexed="81"/>
            <rFont val="Tahoma"/>
            <family val="2"/>
          </rPr>
          <t xml:space="preserve">
проверити збир!
</t>
        </r>
      </text>
    </comment>
    <comment ref="I102" authorId="0" shapeId="0">
      <text>
        <r>
          <rPr>
            <b/>
            <sz val="9"/>
            <color indexed="81"/>
            <rFont val="Tahoma"/>
            <family val="2"/>
          </rPr>
          <t>LPA:</t>
        </r>
        <r>
          <rPr>
            <sz val="9"/>
            <color indexed="81"/>
            <rFont val="Tahoma"/>
            <family val="2"/>
          </rPr>
          <t xml:space="preserve">
проверити збир!
</t>
        </r>
      </text>
    </comment>
    <comment ref="I103" authorId="0" shapeId="0">
      <text>
        <r>
          <rPr>
            <b/>
            <sz val="9"/>
            <color indexed="81"/>
            <rFont val="Tahoma"/>
            <family val="2"/>
          </rPr>
          <t>LPA:</t>
        </r>
        <r>
          <rPr>
            <sz val="9"/>
            <color indexed="81"/>
            <rFont val="Tahoma"/>
            <family val="2"/>
          </rPr>
          <t xml:space="preserve">
проверити збир!
</t>
        </r>
      </text>
    </comment>
    <comment ref="I104" authorId="0" shapeId="0">
      <text>
        <r>
          <rPr>
            <b/>
            <sz val="9"/>
            <color indexed="81"/>
            <rFont val="Tahoma"/>
            <family val="2"/>
          </rPr>
          <t>LPA:</t>
        </r>
        <r>
          <rPr>
            <sz val="9"/>
            <color indexed="81"/>
            <rFont val="Tahoma"/>
            <family val="2"/>
          </rPr>
          <t xml:space="preserve">
проверити збир!
</t>
        </r>
      </text>
    </comment>
    <comment ref="I105" authorId="0" shapeId="0">
      <text>
        <r>
          <rPr>
            <b/>
            <sz val="9"/>
            <color indexed="81"/>
            <rFont val="Tahoma"/>
            <family val="2"/>
          </rPr>
          <t>LPA:</t>
        </r>
        <r>
          <rPr>
            <sz val="9"/>
            <color indexed="81"/>
            <rFont val="Tahoma"/>
            <family val="2"/>
          </rPr>
          <t xml:space="preserve">
проверити збир!
</t>
        </r>
      </text>
    </comment>
    <comment ref="I174" authorId="0" shapeId="0">
      <text>
        <r>
          <rPr>
            <b/>
            <sz val="9"/>
            <color indexed="81"/>
            <rFont val="Tahoma"/>
            <family val="2"/>
          </rPr>
          <t>LPA:</t>
        </r>
        <r>
          <rPr>
            <sz val="9"/>
            <color indexed="81"/>
            <rFont val="Tahoma"/>
            <family val="2"/>
          </rPr>
          <t xml:space="preserve">
проверити збир!
</t>
        </r>
      </text>
    </comment>
    <comment ref="I175" authorId="0" shapeId="0">
      <text>
        <r>
          <rPr>
            <b/>
            <sz val="9"/>
            <color indexed="81"/>
            <rFont val="Tahoma"/>
            <family val="2"/>
          </rPr>
          <t>LPA:</t>
        </r>
        <r>
          <rPr>
            <sz val="9"/>
            <color indexed="81"/>
            <rFont val="Tahoma"/>
            <family val="2"/>
          </rPr>
          <t xml:space="preserve">
проверити збир!
</t>
        </r>
      </text>
    </comment>
    <comment ref="I176" authorId="0" shapeId="0">
      <text>
        <r>
          <rPr>
            <b/>
            <sz val="9"/>
            <color indexed="81"/>
            <rFont val="Tahoma"/>
            <family val="2"/>
          </rPr>
          <t>LPA:</t>
        </r>
        <r>
          <rPr>
            <sz val="9"/>
            <color indexed="81"/>
            <rFont val="Tahoma"/>
            <family val="2"/>
          </rPr>
          <t xml:space="preserve">
проверити збир!
</t>
        </r>
      </text>
    </comment>
    <comment ref="I177" authorId="0" shapeId="0">
      <text>
        <r>
          <rPr>
            <b/>
            <sz val="9"/>
            <color indexed="81"/>
            <rFont val="Tahoma"/>
            <family val="2"/>
          </rPr>
          <t>LPA:</t>
        </r>
        <r>
          <rPr>
            <sz val="9"/>
            <color indexed="81"/>
            <rFont val="Tahoma"/>
            <family val="2"/>
          </rPr>
          <t xml:space="preserve">
проверити збир!
</t>
        </r>
      </text>
    </comment>
    <comment ref="I178" authorId="0" shapeId="0">
      <text>
        <r>
          <rPr>
            <b/>
            <sz val="9"/>
            <color indexed="81"/>
            <rFont val="Tahoma"/>
            <family val="2"/>
          </rPr>
          <t>LPA:</t>
        </r>
        <r>
          <rPr>
            <sz val="9"/>
            <color indexed="81"/>
            <rFont val="Tahoma"/>
            <family val="2"/>
          </rPr>
          <t xml:space="preserve">
проверити збир!
</t>
        </r>
      </text>
    </comment>
    <comment ref="I179" authorId="0" shapeId="0">
      <text>
        <r>
          <rPr>
            <b/>
            <sz val="9"/>
            <color indexed="81"/>
            <rFont val="Tahoma"/>
            <family val="2"/>
          </rPr>
          <t>LPA:</t>
        </r>
        <r>
          <rPr>
            <sz val="9"/>
            <color indexed="81"/>
            <rFont val="Tahoma"/>
            <family val="2"/>
          </rPr>
          <t xml:space="preserve">
проверити збир!
</t>
        </r>
      </text>
    </comment>
    <comment ref="I180" authorId="0" shapeId="0">
      <text>
        <r>
          <rPr>
            <b/>
            <sz val="9"/>
            <color indexed="81"/>
            <rFont val="Tahoma"/>
            <family val="2"/>
          </rPr>
          <t>LPA:</t>
        </r>
        <r>
          <rPr>
            <sz val="9"/>
            <color indexed="81"/>
            <rFont val="Tahoma"/>
            <family val="2"/>
          </rPr>
          <t xml:space="preserve">
проверити збир!
</t>
        </r>
      </text>
    </comment>
    <comment ref="I181" authorId="0" shapeId="0">
      <text>
        <r>
          <rPr>
            <b/>
            <sz val="9"/>
            <color indexed="81"/>
            <rFont val="Tahoma"/>
            <family val="2"/>
          </rPr>
          <t>LPA:</t>
        </r>
        <r>
          <rPr>
            <sz val="9"/>
            <color indexed="81"/>
            <rFont val="Tahoma"/>
            <family val="2"/>
          </rPr>
          <t xml:space="preserve">
проверити збир!
</t>
        </r>
      </text>
    </comment>
    <comment ref="I182" authorId="0" shapeId="0">
      <text>
        <r>
          <rPr>
            <b/>
            <sz val="9"/>
            <color indexed="81"/>
            <rFont val="Tahoma"/>
            <family val="2"/>
          </rPr>
          <t>LPA:</t>
        </r>
        <r>
          <rPr>
            <sz val="9"/>
            <color indexed="81"/>
            <rFont val="Tahoma"/>
            <family val="2"/>
          </rPr>
          <t xml:space="preserve">
проверити збир!
</t>
        </r>
      </text>
    </comment>
    <comment ref="I183" authorId="0" shapeId="0">
      <text>
        <r>
          <rPr>
            <b/>
            <sz val="9"/>
            <color indexed="81"/>
            <rFont val="Tahoma"/>
            <family val="2"/>
          </rPr>
          <t>LPA:</t>
        </r>
        <r>
          <rPr>
            <sz val="9"/>
            <color indexed="81"/>
            <rFont val="Tahoma"/>
            <family val="2"/>
          </rPr>
          <t xml:space="preserve">
проверити збир!
</t>
        </r>
      </text>
    </comment>
    <comment ref="I184" authorId="0" shapeId="0">
      <text>
        <r>
          <rPr>
            <b/>
            <sz val="9"/>
            <color indexed="81"/>
            <rFont val="Tahoma"/>
            <family val="2"/>
          </rPr>
          <t>LPA:</t>
        </r>
        <r>
          <rPr>
            <sz val="9"/>
            <color indexed="81"/>
            <rFont val="Tahoma"/>
            <family val="2"/>
          </rPr>
          <t xml:space="preserve">
проверити збир!
</t>
        </r>
      </text>
    </comment>
    <comment ref="I185" authorId="0" shapeId="0">
      <text>
        <r>
          <rPr>
            <b/>
            <sz val="9"/>
            <color indexed="81"/>
            <rFont val="Tahoma"/>
            <family val="2"/>
          </rPr>
          <t>LPA:</t>
        </r>
        <r>
          <rPr>
            <sz val="9"/>
            <color indexed="81"/>
            <rFont val="Tahoma"/>
            <family val="2"/>
          </rPr>
          <t xml:space="preserve">
проверити збир!
</t>
        </r>
      </text>
    </comment>
    <comment ref="I186" authorId="0" shapeId="0">
      <text>
        <r>
          <rPr>
            <b/>
            <sz val="9"/>
            <color indexed="81"/>
            <rFont val="Tahoma"/>
            <family val="2"/>
          </rPr>
          <t>LPA:</t>
        </r>
        <r>
          <rPr>
            <sz val="9"/>
            <color indexed="81"/>
            <rFont val="Tahoma"/>
            <family val="2"/>
          </rPr>
          <t xml:space="preserve">
проверити збир!
</t>
        </r>
      </text>
    </comment>
    <comment ref="H189" authorId="0" shapeId="0">
      <text>
        <r>
          <rPr>
            <b/>
            <sz val="9"/>
            <color indexed="81"/>
            <rFont val="Tahoma"/>
            <family val="2"/>
          </rPr>
          <t>LPA:</t>
        </r>
        <r>
          <rPr>
            <sz val="9"/>
            <color indexed="81"/>
            <rFont val="Tahoma"/>
            <family val="2"/>
          </rPr>
          <t xml:space="preserve">
проверити збир!</t>
        </r>
      </text>
    </comment>
    <comment ref="I189" authorId="0" shapeId="0">
      <text>
        <r>
          <rPr>
            <b/>
            <sz val="9"/>
            <color indexed="81"/>
            <rFont val="Tahoma"/>
            <family val="2"/>
          </rPr>
          <t>LPA:</t>
        </r>
        <r>
          <rPr>
            <sz val="9"/>
            <color indexed="81"/>
            <rFont val="Tahoma"/>
            <family val="2"/>
          </rPr>
          <t xml:space="preserve">
проверити збир!</t>
        </r>
      </text>
    </comment>
    <comment ref="I190" authorId="0" shapeId="0">
      <text>
        <r>
          <rPr>
            <b/>
            <sz val="9"/>
            <color indexed="81"/>
            <rFont val="Tahoma"/>
            <family val="2"/>
          </rPr>
          <t>LPA:</t>
        </r>
        <r>
          <rPr>
            <sz val="9"/>
            <color indexed="81"/>
            <rFont val="Tahoma"/>
            <family val="2"/>
          </rPr>
          <t xml:space="preserve">
проверити збир!
</t>
        </r>
      </text>
    </comment>
    <comment ref="I191" authorId="0" shapeId="0">
      <text>
        <r>
          <rPr>
            <b/>
            <sz val="9"/>
            <color indexed="81"/>
            <rFont val="Tahoma"/>
            <family val="2"/>
          </rPr>
          <t>LPA:</t>
        </r>
        <r>
          <rPr>
            <sz val="9"/>
            <color indexed="81"/>
            <rFont val="Tahoma"/>
            <family val="2"/>
          </rPr>
          <t xml:space="preserve">
проверити збир!
</t>
        </r>
      </text>
    </comment>
    <comment ref="I192" authorId="0" shapeId="0">
      <text>
        <r>
          <rPr>
            <b/>
            <sz val="9"/>
            <color indexed="81"/>
            <rFont val="Tahoma"/>
            <family val="2"/>
          </rPr>
          <t>LPA:</t>
        </r>
        <r>
          <rPr>
            <sz val="9"/>
            <color indexed="81"/>
            <rFont val="Tahoma"/>
            <family val="2"/>
          </rPr>
          <t xml:space="preserve">
проверити збир!
</t>
        </r>
      </text>
    </comment>
    <comment ref="I193" authorId="0" shapeId="0">
      <text>
        <r>
          <rPr>
            <b/>
            <sz val="9"/>
            <color indexed="81"/>
            <rFont val="Tahoma"/>
            <family val="2"/>
          </rPr>
          <t>LPA:</t>
        </r>
        <r>
          <rPr>
            <sz val="9"/>
            <color indexed="81"/>
            <rFont val="Tahoma"/>
            <family val="2"/>
          </rPr>
          <t xml:space="preserve">
проверити збир!
</t>
        </r>
      </text>
    </comment>
    <comment ref="I194" authorId="0" shapeId="0">
      <text>
        <r>
          <rPr>
            <b/>
            <sz val="9"/>
            <color indexed="81"/>
            <rFont val="Tahoma"/>
            <family val="2"/>
          </rPr>
          <t>LPA:</t>
        </r>
        <r>
          <rPr>
            <sz val="9"/>
            <color indexed="81"/>
            <rFont val="Tahoma"/>
            <family val="2"/>
          </rPr>
          <t xml:space="preserve">
проверити збир!
</t>
        </r>
      </text>
    </comment>
    <comment ref="I195" authorId="0" shapeId="0">
      <text>
        <r>
          <rPr>
            <b/>
            <sz val="9"/>
            <color indexed="81"/>
            <rFont val="Tahoma"/>
            <family val="2"/>
          </rPr>
          <t>LPA:</t>
        </r>
        <r>
          <rPr>
            <sz val="9"/>
            <color indexed="81"/>
            <rFont val="Tahoma"/>
            <family val="2"/>
          </rPr>
          <t xml:space="preserve">
проверити збир!
</t>
        </r>
      </text>
    </comment>
    <comment ref="I196" authorId="0" shapeId="0">
      <text>
        <r>
          <rPr>
            <b/>
            <sz val="9"/>
            <color indexed="81"/>
            <rFont val="Tahoma"/>
            <family val="2"/>
          </rPr>
          <t>LPA:</t>
        </r>
        <r>
          <rPr>
            <sz val="9"/>
            <color indexed="81"/>
            <rFont val="Tahoma"/>
            <family val="2"/>
          </rPr>
          <t xml:space="preserve">
проверити збир!
</t>
        </r>
      </text>
    </comment>
    <comment ref="I197" authorId="0" shapeId="0">
      <text>
        <r>
          <rPr>
            <b/>
            <sz val="9"/>
            <color indexed="81"/>
            <rFont val="Tahoma"/>
            <family val="2"/>
          </rPr>
          <t>LPA:</t>
        </r>
        <r>
          <rPr>
            <sz val="9"/>
            <color indexed="81"/>
            <rFont val="Tahoma"/>
            <family val="2"/>
          </rPr>
          <t xml:space="preserve">
проверити збир!
</t>
        </r>
      </text>
    </comment>
    <comment ref="I198" authorId="0" shapeId="0">
      <text>
        <r>
          <rPr>
            <b/>
            <sz val="9"/>
            <color indexed="81"/>
            <rFont val="Tahoma"/>
            <family val="2"/>
          </rPr>
          <t>LPA:</t>
        </r>
        <r>
          <rPr>
            <sz val="9"/>
            <color indexed="81"/>
            <rFont val="Tahoma"/>
            <family val="2"/>
          </rPr>
          <t xml:space="preserve">
проверити збир!
</t>
        </r>
      </text>
    </comment>
    <comment ref="I199" authorId="0" shapeId="0">
      <text>
        <r>
          <rPr>
            <b/>
            <sz val="9"/>
            <color indexed="81"/>
            <rFont val="Tahoma"/>
            <family val="2"/>
          </rPr>
          <t>LPA:</t>
        </r>
        <r>
          <rPr>
            <sz val="9"/>
            <color indexed="81"/>
            <rFont val="Tahoma"/>
            <family val="2"/>
          </rPr>
          <t xml:space="preserve">
проверити збир!
</t>
        </r>
      </text>
    </comment>
    <comment ref="I200" authorId="0" shapeId="0">
      <text>
        <r>
          <rPr>
            <b/>
            <sz val="9"/>
            <color indexed="81"/>
            <rFont val="Tahoma"/>
            <family val="2"/>
          </rPr>
          <t>LPA:</t>
        </r>
        <r>
          <rPr>
            <sz val="9"/>
            <color indexed="81"/>
            <rFont val="Tahoma"/>
            <family val="2"/>
          </rPr>
          <t xml:space="preserve">
проверити збир!
</t>
        </r>
      </text>
    </comment>
    <comment ref="I201" authorId="0" shapeId="0">
      <text>
        <r>
          <rPr>
            <b/>
            <sz val="9"/>
            <color indexed="81"/>
            <rFont val="Tahoma"/>
            <family val="2"/>
          </rPr>
          <t>LPA:</t>
        </r>
        <r>
          <rPr>
            <sz val="9"/>
            <color indexed="81"/>
            <rFont val="Tahoma"/>
            <family val="2"/>
          </rPr>
          <t xml:space="preserve">
проверити збир!
</t>
        </r>
      </text>
    </comment>
    <comment ref="I202" authorId="0" shapeId="0">
      <text>
        <r>
          <rPr>
            <b/>
            <sz val="9"/>
            <color indexed="81"/>
            <rFont val="Tahoma"/>
            <family val="2"/>
          </rPr>
          <t>LPA:</t>
        </r>
        <r>
          <rPr>
            <sz val="9"/>
            <color indexed="81"/>
            <rFont val="Tahoma"/>
            <family val="2"/>
          </rPr>
          <t xml:space="preserve">
проверити збир!
</t>
        </r>
      </text>
    </comment>
    <comment ref="I203" authorId="0" shapeId="0">
      <text>
        <r>
          <rPr>
            <b/>
            <sz val="9"/>
            <color indexed="81"/>
            <rFont val="Tahoma"/>
            <family val="2"/>
          </rPr>
          <t>LPA:</t>
        </r>
        <r>
          <rPr>
            <sz val="9"/>
            <color indexed="81"/>
            <rFont val="Tahoma"/>
            <family val="2"/>
          </rPr>
          <t xml:space="preserve">
проверити збир!
</t>
        </r>
      </text>
    </comment>
    <comment ref="I204" authorId="0" shapeId="0">
      <text>
        <r>
          <rPr>
            <b/>
            <sz val="9"/>
            <color indexed="81"/>
            <rFont val="Tahoma"/>
            <family val="2"/>
          </rPr>
          <t>LPA:</t>
        </r>
        <r>
          <rPr>
            <sz val="9"/>
            <color indexed="81"/>
            <rFont val="Tahoma"/>
            <family val="2"/>
          </rPr>
          <t xml:space="preserve">
проверити збир!
</t>
        </r>
      </text>
    </comment>
    <comment ref="I273" authorId="0" shapeId="0">
      <text>
        <r>
          <rPr>
            <b/>
            <sz val="9"/>
            <color indexed="81"/>
            <rFont val="Tahoma"/>
            <family val="2"/>
          </rPr>
          <t>LPA:</t>
        </r>
        <r>
          <rPr>
            <sz val="9"/>
            <color indexed="81"/>
            <rFont val="Tahoma"/>
            <family val="2"/>
          </rPr>
          <t xml:space="preserve">
проверити збир!
</t>
        </r>
      </text>
    </comment>
    <comment ref="I274" authorId="0" shapeId="0">
      <text>
        <r>
          <rPr>
            <b/>
            <sz val="9"/>
            <color indexed="81"/>
            <rFont val="Tahoma"/>
            <family val="2"/>
          </rPr>
          <t>LPA:</t>
        </r>
        <r>
          <rPr>
            <sz val="9"/>
            <color indexed="81"/>
            <rFont val="Tahoma"/>
            <family val="2"/>
          </rPr>
          <t xml:space="preserve">
проверити збир!
</t>
        </r>
      </text>
    </comment>
    <comment ref="I275" authorId="0" shapeId="0">
      <text>
        <r>
          <rPr>
            <b/>
            <sz val="9"/>
            <color indexed="81"/>
            <rFont val="Tahoma"/>
            <family val="2"/>
          </rPr>
          <t>LPA:</t>
        </r>
        <r>
          <rPr>
            <sz val="9"/>
            <color indexed="81"/>
            <rFont val="Tahoma"/>
            <family val="2"/>
          </rPr>
          <t xml:space="preserve">
проверити збир!
</t>
        </r>
      </text>
    </comment>
    <comment ref="I276" authorId="0" shapeId="0">
      <text>
        <r>
          <rPr>
            <b/>
            <sz val="9"/>
            <color indexed="81"/>
            <rFont val="Tahoma"/>
            <family val="2"/>
          </rPr>
          <t>LPA:</t>
        </r>
        <r>
          <rPr>
            <sz val="9"/>
            <color indexed="81"/>
            <rFont val="Tahoma"/>
            <family val="2"/>
          </rPr>
          <t xml:space="preserve">
проверити збир!
</t>
        </r>
      </text>
    </comment>
    <comment ref="I277" authorId="0" shapeId="0">
      <text>
        <r>
          <rPr>
            <b/>
            <sz val="9"/>
            <color indexed="81"/>
            <rFont val="Tahoma"/>
            <family val="2"/>
          </rPr>
          <t>LPA:</t>
        </r>
        <r>
          <rPr>
            <sz val="9"/>
            <color indexed="81"/>
            <rFont val="Tahoma"/>
            <family val="2"/>
          </rPr>
          <t xml:space="preserve">
проверити збир!
</t>
        </r>
      </text>
    </comment>
    <comment ref="I278" authorId="0" shapeId="0">
      <text>
        <r>
          <rPr>
            <b/>
            <sz val="9"/>
            <color indexed="81"/>
            <rFont val="Tahoma"/>
            <family val="2"/>
          </rPr>
          <t>LPA:</t>
        </r>
        <r>
          <rPr>
            <sz val="9"/>
            <color indexed="81"/>
            <rFont val="Tahoma"/>
            <family val="2"/>
          </rPr>
          <t xml:space="preserve">
проверити збир!
</t>
        </r>
      </text>
    </comment>
    <comment ref="I279" authorId="0" shapeId="0">
      <text>
        <r>
          <rPr>
            <b/>
            <sz val="9"/>
            <color indexed="81"/>
            <rFont val="Tahoma"/>
            <family val="2"/>
          </rPr>
          <t>LPA:</t>
        </r>
        <r>
          <rPr>
            <sz val="9"/>
            <color indexed="81"/>
            <rFont val="Tahoma"/>
            <family val="2"/>
          </rPr>
          <t xml:space="preserve">
проверити збир!
</t>
        </r>
      </text>
    </comment>
    <comment ref="I280" authorId="0" shapeId="0">
      <text>
        <r>
          <rPr>
            <b/>
            <sz val="9"/>
            <color indexed="81"/>
            <rFont val="Tahoma"/>
            <family val="2"/>
          </rPr>
          <t>LPA:</t>
        </r>
        <r>
          <rPr>
            <sz val="9"/>
            <color indexed="81"/>
            <rFont val="Tahoma"/>
            <family val="2"/>
          </rPr>
          <t xml:space="preserve">
проверити збир!
</t>
        </r>
      </text>
    </comment>
    <comment ref="I281" authorId="0" shapeId="0">
      <text>
        <r>
          <rPr>
            <b/>
            <sz val="9"/>
            <color indexed="81"/>
            <rFont val="Tahoma"/>
            <family val="2"/>
          </rPr>
          <t>LPA:</t>
        </r>
        <r>
          <rPr>
            <sz val="9"/>
            <color indexed="81"/>
            <rFont val="Tahoma"/>
            <family val="2"/>
          </rPr>
          <t xml:space="preserve">
проверити збир!
</t>
        </r>
      </text>
    </comment>
    <comment ref="I282" authorId="0" shapeId="0">
      <text>
        <r>
          <rPr>
            <b/>
            <sz val="9"/>
            <color indexed="81"/>
            <rFont val="Tahoma"/>
            <family val="2"/>
          </rPr>
          <t>LPA:</t>
        </r>
        <r>
          <rPr>
            <sz val="9"/>
            <color indexed="81"/>
            <rFont val="Tahoma"/>
            <family val="2"/>
          </rPr>
          <t xml:space="preserve">
проверити збир!
</t>
        </r>
      </text>
    </comment>
    <comment ref="I283" authorId="0" shapeId="0">
      <text>
        <r>
          <rPr>
            <b/>
            <sz val="9"/>
            <color indexed="81"/>
            <rFont val="Tahoma"/>
            <family val="2"/>
          </rPr>
          <t>LPA:</t>
        </r>
        <r>
          <rPr>
            <sz val="9"/>
            <color indexed="81"/>
            <rFont val="Tahoma"/>
            <family val="2"/>
          </rPr>
          <t xml:space="preserve">
проверити збир!
</t>
        </r>
      </text>
    </comment>
    <comment ref="I284" authorId="0" shapeId="0">
      <text>
        <r>
          <rPr>
            <b/>
            <sz val="9"/>
            <color indexed="81"/>
            <rFont val="Tahoma"/>
            <family val="2"/>
          </rPr>
          <t>LPA:</t>
        </r>
        <r>
          <rPr>
            <sz val="9"/>
            <color indexed="81"/>
            <rFont val="Tahoma"/>
            <family val="2"/>
          </rPr>
          <t xml:space="preserve">
проверити збир!
</t>
        </r>
      </text>
    </comment>
    <comment ref="I285" authorId="0" shapeId="0">
      <text>
        <r>
          <rPr>
            <b/>
            <sz val="9"/>
            <color indexed="81"/>
            <rFont val="Tahoma"/>
            <family val="2"/>
          </rPr>
          <t>LPA:</t>
        </r>
        <r>
          <rPr>
            <sz val="9"/>
            <color indexed="81"/>
            <rFont val="Tahoma"/>
            <family val="2"/>
          </rPr>
          <t xml:space="preserve">
проверити збир!
</t>
        </r>
      </text>
    </comment>
    <comment ref="H288" authorId="0" shapeId="0">
      <text>
        <r>
          <rPr>
            <b/>
            <sz val="9"/>
            <color indexed="81"/>
            <rFont val="Tahoma"/>
            <family val="2"/>
          </rPr>
          <t>LPA:</t>
        </r>
        <r>
          <rPr>
            <sz val="9"/>
            <color indexed="81"/>
            <rFont val="Tahoma"/>
            <family val="2"/>
          </rPr>
          <t xml:space="preserve">
проверити збир!</t>
        </r>
      </text>
    </comment>
    <comment ref="I288" authorId="0" shapeId="0">
      <text>
        <r>
          <rPr>
            <b/>
            <sz val="9"/>
            <color indexed="81"/>
            <rFont val="Tahoma"/>
            <family val="2"/>
          </rPr>
          <t>LPA:</t>
        </r>
        <r>
          <rPr>
            <sz val="9"/>
            <color indexed="81"/>
            <rFont val="Tahoma"/>
            <family val="2"/>
          </rPr>
          <t xml:space="preserve">
проверити збир!</t>
        </r>
      </text>
    </comment>
    <comment ref="I289" authorId="0" shapeId="0">
      <text>
        <r>
          <rPr>
            <b/>
            <sz val="9"/>
            <color indexed="81"/>
            <rFont val="Tahoma"/>
            <family val="2"/>
          </rPr>
          <t>LPA:</t>
        </r>
        <r>
          <rPr>
            <sz val="9"/>
            <color indexed="81"/>
            <rFont val="Tahoma"/>
            <family val="2"/>
          </rPr>
          <t xml:space="preserve">
проверити збир!
</t>
        </r>
      </text>
    </comment>
    <comment ref="I290" authorId="0" shapeId="0">
      <text>
        <r>
          <rPr>
            <b/>
            <sz val="9"/>
            <color indexed="81"/>
            <rFont val="Tahoma"/>
            <family val="2"/>
          </rPr>
          <t>LPA:</t>
        </r>
        <r>
          <rPr>
            <sz val="9"/>
            <color indexed="81"/>
            <rFont val="Tahoma"/>
            <family val="2"/>
          </rPr>
          <t xml:space="preserve">
проверити збир!
</t>
        </r>
      </text>
    </comment>
    <comment ref="I291" authorId="0" shapeId="0">
      <text>
        <r>
          <rPr>
            <b/>
            <sz val="9"/>
            <color indexed="81"/>
            <rFont val="Tahoma"/>
            <family val="2"/>
          </rPr>
          <t>LPA:</t>
        </r>
        <r>
          <rPr>
            <sz val="9"/>
            <color indexed="81"/>
            <rFont val="Tahoma"/>
            <family val="2"/>
          </rPr>
          <t xml:space="preserve">
проверити збир!
</t>
        </r>
      </text>
    </comment>
    <comment ref="I292" authorId="0" shapeId="0">
      <text>
        <r>
          <rPr>
            <b/>
            <sz val="9"/>
            <color indexed="81"/>
            <rFont val="Tahoma"/>
            <family val="2"/>
          </rPr>
          <t>LPA:</t>
        </r>
        <r>
          <rPr>
            <sz val="9"/>
            <color indexed="81"/>
            <rFont val="Tahoma"/>
            <family val="2"/>
          </rPr>
          <t xml:space="preserve">
проверити збир!
</t>
        </r>
      </text>
    </comment>
    <comment ref="I293" authorId="0" shapeId="0">
      <text>
        <r>
          <rPr>
            <b/>
            <sz val="9"/>
            <color indexed="81"/>
            <rFont val="Tahoma"/>
            <family val="2"/>
          </rPr>
          <t>LPA:</t>
        </r>
        <r>
          <rPr>
            <sz val="9"/>
            <color indexed="81"/>
            <rFont val="Tahoma"/>
            <family val="2"/>
          </rPr>
          <t xml:space="preserve">
проверити збир!
</t>
        </r>
      </text>
    </comment>
    <comment ref="I294" authorId="0" shapeId="0">
      <text>
        <r>
          <rPr>
            <b/>
            <sz val="9"/>
            <color indexed="81"/>
            <rFont val="Tahoma"/>
            <family val="2"/>
          </rPr>
          <t>LPA:</t>
        </r>
        <r>
          <rPr>
            <sz val="9"/>
            <color indexed="81"/>
            <rFont val="Tahoma"/>
            <family val="2"/>
          </rPr>
          <t xml:space="preserve">
проверити збир!
</t>
        </r>
      </text>
    </comment>
    <comment ref="I295" authorId="0" shapeId="0">
      <text>
        <r>
          <rPr>
            <b/>
            <sz val="9"/>
            <color indexed="81"/>
            <rFont val="Tahoma"/>
            <family val="2"/>
          </rPr>
          <t>LPA:</t>
        </r>
        <r>
          <rPr>
            <sz val="9"/>
            <color indexed="81"/>
            <rFont val="Tahoma"/>
            <family val="2"/>
          </rPr>
          <t xml:space="preserve">
проверити збир!
</t>
        </r>
      </text>
    </comment>
    <comment ref="I296" authorId="0" shapeId="0">
      <text>
        <r>
          <rPr>
            <b/>
            <sz val="9"/>
            <color indexed="81"/>
            <rFont val="Tahoma"/>
            <family val="2"/>
          </rPr>
          <t>LPA:</t>
        </r>
        <r>
          <rPr>
            <sz val="9"/>
            <color indexed="81"/>
            <rFont val="Tahoma"/>
            <family val="2"/>
          </rPr>
          <t xml:space="preserve">
проверити збир!
</t>
        </r>
      </text>
    </comment>
    <comment ref="I297" authorId="0" shapeId="0">
      <text>
        <r>
          <rPr>
            <b/>
            <sz val="9"/>
            <color indexed="81"/>
            <rFont val="Tahoma"/>
            <family val="2"/>
          </rPr>
          <t>LPA:</t>
        </r>
        <r>
          <rPr>
            <sz val="9"/>
            <color indexed="81"/>
            <rFont val="Tahoma"/>
            <family val="2"/>
          </rPr>
          <t xml:space="preserve">
проверити збир!
</t>
        </r>
      </text>
    </comment>
    <comment ref="I298" authorId="0" shapeId="0">
      <text>
        <r>
          <rPr>
            <b/>
            <sz val="9"/>
            <color indexed="81"/>
            <rFont val="Tahoma"/>
            <family val="2"/>
          </rPr>
          <t>LPA:</t>
        </r>
        <r>
          <rPr>
            <sz val="9"/>
            <color indexed="81"/>
            <rFont val="Tahoma"/>
            <family val="2"/>
          </rPr>
          <t xml:space="preserve">
проверити збир!
</t>
        </r>
      </text>
    </comment>
    <comment ref="I299" authorId="0" shapeId="0">
      <text>
        <r>
          <rPr>
            <b/>
            <sz val="9"/>
            <color indexed="81"/>
            <rFont val="Tahoma"/>
            <family val="2"/>
          </rPr>
          <t>LPA:</t>
        </r>
        <r>
          <rPr>
            <sz val="9"/>
            <color indexed="81"/>
            <rFont val="Tahoma"/>
            <family val="2"/>
          </rPr>
          <t xml:space="preserve">
проверити збир!
</t>
        </r>
      </text>
    </comment>
    <comment ref="I300" authorId="0" shapeId="0">
      <text>
        <r>
          <rPr>
            <b/>
            <sz val="9"/>
            <color indexed="81"/>
            <rFont val="Tahoma"/>
            <family val="2"/>
          </rPr>
          <t>LPA:</t>
        </r>
        <r>
          <rPr>
            <sz val="9"/>
            <color indexed="81"/>
            <rFont val="Tahoma"/>
            <family val="2"/>
          </rPr>
          <t xml:space="preserve">
проверити збир!
</t>
        </r>
      </text>
    </comment>
    <comment ref="I301" authorId="0" shapeId="0">
      <text>
        <r>
          <rPr>
            <b/>
            <sz val="9"/>
            <color indexed="81"/>
            <rFont val="Tahoma"/>
            <family val="2"/>
          </rPr>
          <t>LPA:</t>
        </r>
        <r>
          <rPr>
            <sz val="9"/>
            <color indexed="81"/>
            <rFont val="Tahoma"/>
            <family val="2"/>
          </rPr>
          <t xml:space="preserve">
проверити збир!
</t>
        </r>
      </text>
    </comment>
    <comment ref="I302" authorId="0" shapeId="0">
      <text>
        <r>
          <rPr>
            <b/>
            <sz val="9"/>
            <color indexed="81"/>
            <rFont val="Tahoma"/>
            <family val="2"/>
          </rPr>
          <t>LPA:</t>
        </r>
        <r>
          <rPr>
            <sz val="9"/>
            <color indexed="81"/>
            <rFont val="Tahoma"/>
            <family val="2"/>
          </rPr>
          <t xml:space="preserve">
проверити збир!
</t>
        </r>
      </text>
    </comment>
    <comment ref="I303" authorId="0" shapeId="0">
      <text>
        <r>
          <rPr>
            <b/>
            <sz val="9"/>
            <color indexed="81"/>
            <rFont val="Tahoma"/>
            <family val="2"/>
          </rPr>
          <t>LPA:</t>
        </r>
        <r>
          <rPr>
            <sz val="9"/>
            <color indexed="81"/>
            <rFont val="Tahoma"/>
            <family val="2"/>
          </rPr>
          <t xml:space="preserve">
проверити збир!
</t>
        </r>
      </text>
    </comment>
    <comment ref="H307" authorId="0" shapeId="0">
      <text>
        <r>
          <rPr>
            <b/>
            <sz val="9"/>
            <color indexed="81"/>
            <rFont val="Tahoma"/>
            <family val="2"/>
          </rPr>
          <t>LPA:</t>
        </r>
        <r>
          <rPr>
            <sz val="9"/>
            <color indexed="81"/>
            <rFont val="Tahoma"/>
            <family val="2"/>
          </rPr>
          <t xml:space="preserve">
проверити збир!</t>
        </r>
      </text>
    </comment>
    <comment ref="I307" authorId="0" shapeId="0">
      <text>
        <r>
          <rPr>
            <b/>
            <sz val="9"/>
            <color indexed="81"/>
            <rFont val="Tahoma"/>
            <family val="2"/>
          </rPr>
          <t>LPA:</t>
        </r>
        <r>
          <rPr>
            <sz val="9"/>
            <color indexed="81"/>
            <rFont val="Tahoma"/>
            <family val="2"/>
          </rPr>
          <t xml:space="preserve">
проверити збир!
</t>
        </r>
      </text>
    </comment>
    <comment ref="I308" authorId="0" shapeId="0">
      <text>
        <r>
          <rPr>
            <b/>
            <sz val="9"/>
            <color indexed="81"/>
            <rFont val="Tahoma"/>
            <family val="2"/>
          </rPr>
          <t>LPA:</t>
        </r>
        <r>
          <rPr>
            <sz val="9"/>
            <color indexed="81"/>
            <rFont val="Tahoma"/>
            <family val="2"/>
          </rPr>
          <t xml:space="preserve">
проверити збир!
</t>
        </r>
      </text>
    </comment>
    <comment ref="I309" authorId="0" shapeId="0">
      <text>
        <r>
          <rPr>
            <b/>
            <sz val="9"/>
            <color indexed="81"/>
            <rFont val="Tahoma"/>
            <family val="2"/>
          </rPr>
          <t>LPA:</t>
        </r>
        <r>
          <rPr>
            <sz val="9"/>
            <color indexed="81"/>
            <rFont val="Tahoma"/>
            <family val="2"/>
          </rPr>
          <t xml:space="preserve">
проверити збир!
</t>
        </r>
      </text>
    </comment>
    <comment ref="I310" authorId="0" shapeId="0">
      <text>
        <r>
          <rPr>
            <b/>
            <sz val="9"/>
            <color indexed="81"/>
            <rFont val="Tahoma"/>
            <family val="2"/>
          </rPr>
          <t>LPA:</t>
        </r>
        <r>
          <rPr>
            <sz val="9"/>
            <color indexed="81"/>
            <rFont val="Tahoma"/>
            <family val="2"/>
          </rPr>
          <t xml:space="preserve">
проверити збир!
</t>
        </r>
      </text>
    </comment>
    <comment ref="I311" authorId="0" shapeId="0">
      <text>
        <r>
          <rPr>
            <b/>
            <sz val="9"/>
            <color indexed="81"/>
            <rFont val="Tahoma"/>
            <family val="2"/>
          </rPr>
          <t>LPA:</t>
        </r>
        <r>
          <rPr>
            <sz val="9"/>
            <color indexed="81"/>
            <rFont val="Tahoma"/>
            <family val="2"/>
          </rPr>
          <t xml:space="preserve">
проверити збир!
</t>
        </r>
      </text>
    </comment>
    <comment ref="I312" authorId="0" shapeId="0">
      <text>
        <r>
          <rPr>
            <b/>
            <sz val="9"/>
            <color indexed="81"/>
            <rFont val="Tahoma"/>
            <family val="2"/>
          </rPr>
          <t>LPA:</t>
        </r>
        <r>
          <rPr>
            <sz val="9"/>
            <color indexed="81"/>
            <rFont val="Tahoma"/>
            <family val="2"/>
          </rPr>
          <t xml:space="preserve">
проверити збир!
</t>
        </r>
      </text>
    </comment>
    <comment ref="I313" authorId="0" shapeId="0">
      <text>
        <r>
          <rPr>
            <b/>
            <sz val="9"/>
            <color indexed="81"/>
            <rFont val="Tahoma"/>
            <family val="2"/>
          </rPr>
          <t>LPA:</t>
        </r>
        <r>
          <rPr>
            <sz val="9"/>
            <color indexed="81"/>
            <rFont val="Tahoma"/>
            <family val="2"/>
          </rPr>
          <t xml:space="preserve">
проверити збир!
</t>
        </r>
      </text>
    </comment>
    <comment ref="I314" authorId="0" shapeId="0">
      <text>
        <r>
          <rPr>
            <b/>
            <sz val="9"/>
            <color indexed="81"/>
            <rFont val="Tahoma"/>
            <family val="2"/>
          </rPr>
          <t>LPA:</t>
        </r>
        <r>
          <rPr>
            <sz val="9"/>
            <color indexed="81"/>
            <rFont val="Tahoma"/>
            <family val="2"/>
          </rPr>
          <t xml:space="preserve">
проверити збир!
</t>
        </r>
      </text>
    </comment>
    <comment ref="I315" authorId="0" shapeId="0">
      <text>
        <r>
          <rPr>
            <b/>
            <sz val="9"/>
            <color indexed="81"/>
            <rFont val="Tahoma"/>
            <family val="2"/>
          </rPr>
          <t>LPA:</t>
        </r>
        <r>
          <rPr>
            <sz val="9"/>
            <color indexed="81"/>
            <rFont val="Tahoma"/>
            <family val="2"/>
          </rPr>
          <t xml:space="preserve">
проверити збир!
</t>
        </r>
      </text>
    </comment>
    <comment ref="I316" authorId="0" shapeId="0">
      <text>
        <r>
          <rPr>
            <b/>
            <sz val="9"/>
            <color indexed="81"/>
            <rFont val="Tahoma"/>
            <family val="2"/>
          </rPr>
          <t>LPA:</t>
        </r>
        <r>
          <rPr>
            <sz val="9"/>
            <color indexed="81"/>
            <rFont val="Tahoma"/>
            <family val="2"/>
          </rPr>
          <t xml:space="preserve">
проверити збир!
</t>
        </r>
      </text>
    </comment>
    <comment ref="I317" authorId="0" shapeId="0">
      <text>
        <r>
          <rPr>
            <b/>
            <sz val="9"/>
            <color indexed="81"/>
            <rFont val="Tahoma"/>
            <family val="2"/>
          </rPr>
          <t>LPA:</t>
        </r>
        <r>
          <rPr>
            <sz val="9"/>
            <color indexed="81"/>
            <rFont val="Tahoma"/>
            <family val="2"/>
          </rPr>
          <t xml:space="preserve">
проверити збир!
</t>
        </r>
      </text>
    </comment>
    <comment ref="I318" authorId="0" shapeId="0">
      <text>
        <r>
          <rPr>
            <b/>
            <sz val="9"/>
            <color indexed="81"/>
            <rFont val="Tahoma"/>
            <family val="2"/>
          </rPr>
          <t>LPA:</t>
        </r>
        <r>
          <rPr>
            <sz val="9"/>
            <color indexed="81"/>
            <rFont val="Tahoma"/>
            <family val="2"/>
          </rPr>
          <t xml:space="preserve">
проверити збир!
</t>
        </r>
      </text>
    </comment>
    <comment ref="I319" authorId="0" shapeId="0">
      <text>
        <r>
          <rPr>
            <b/>
            <sz val="9"/>
            <color indexed="81"/>
            <rFont val="Tahoma"/>
            <family val="2"/>
          </rPr>
          <t>LPA:</t>
        </r>
        <r>
          <rPr>
            <sz val="9"/>
            <color indexed="81"/>
            <rFont val="Tahoma"/>
            <family val="2"/>
          </rPr>
          <t xml:space="preserve">
проверити збир!
</t>
        </r>
      </text>
    </comment>
    <comment ref="I320" authorId="0" shapeId="0">
      <text>
        <r>
          <rPr>
            <b/>
            <sz val="9"/>
            <color indexed="81"/>
            <rFont val="Tahoma"/>
            <family val="2"/>
          </rPr>
          <t>LPA:</t>
        </r>
        <r>
          <rPr>
            <sz val="9"/>
            <color indexed="81"/>
            <rFont val="Tahoma"/>
            <family val="2"/>
          </rPr>
          <t xml:space="preserve">
проверити збир!
</t>
        </r>
      </text>
    </comment>
    <comment ref="I321" authorId="0" shapeId="0">
      <text>
        <r>
          <rPr>
            <b/>
            <sz val="9"/>
            <color indexed="81"/>
            <rFont val="Tahoma"/>
            <family val="2"/>
          </rPr>
          <t>LPA:</t>
        </r>
        <r>
          <rPr>
            <sz val="9"/>
            <color indexed="81"/>
            <rFont val="Tahoma"/>
            <family val="2"/>
          </rPr>
          <t xml:space="preserve">
проверити збир!
</t>
        </r>
      </text>
    </comment>
    <comment ref="I322" authorId="0" shapeId="0">
      <text>
        <r>
          <rPr>
            <b/>
            <sz val="9"/>
            <color indexed="81"/>
            <rFont val="Tahoma"/>
            <family val="2"/>
          </rPr>
          <t>LPA:</t>
        </r>
        <r>
          <rPr>
            <sz val="9"/>
            <color indexed="81"/>
            <rFont val="Tahoma"/>
            <family val="2"/>
          </rPr>
          <t xml:space="preserve">
проверити збир!
</t>
        </r>
      </text>
    </comment>
    <comment ref="H326" authorId="0" shapeId="0">
      <text>
        <r>
          <rPr>
            <b/>
            <sz val="9"/>
            <color indexed="81"/>
            <rFont val="Tahoma"/>
            <family val="2"/>
          </rPr>
          <t>LPA:</t>
        </r>
        <r>
          <rPr>
            <sz val="9"/>
            <color indexed="81"/>
            <rFont val="Tahoma"/>
            <family val="2"/>
          </rPr>
          <t xml:space="preserve">
провери збир!</t>
        </r>
      </text>
    </comment>
    <comment ref="I326" authorId="0" shapeId="0">
      <text>
        <r>
          <rPr>
            <b/>
            <sz val="9"/>
            <color indexed="81"/>
            <rFont val="Tahoma"/>
            <family val="2"/>
          </rPr>
          <t>LPA:</t>
        </r>
        <r>
          <rPr>
            <sz val="9"/>
            <color indexed="81"/>
            <rFont val="Tahoma"/>
            <family val="2"/>
          </rPr>
          <t xml:space="preserve">
проверити збир!
</t>
        </r>
      </text>
    </comment>
    <comment ref="I327" authorId="0" shapeId="0">
      <text>
        <r>
          <rPr>
            <b/>
            <sz val="9"/>
            <color indexed="81"/>
            <rFont val="Tahoma"/>
            <family val="2"/>
          </rPr>
          <t>LPA:</t>
        </r>
        <r>
          <rPr>
            <sz val="9"/>
            <color indexed="81"/>
            <rFont val="Tahoma"/>
            <family val="2"/>
          </rPr>
          <t xml:space="preserve">
проверити збир!
</t>
        </r>
      </text>
    </comment>
    <comment ref="I328" authorId="0" shapeId="0">
      <text>
        <r>
          <rPr>
            <b/>
            <sz val="9"/>
            <color indexed="81"/>
            <rFont val="Tahoma"/>
            <family val="2"/>
          </rPr>
          <t>LPA:</t>
        </r>
        <r>
          <rPr>
            <sz val="9"/>
            <color indexed="81"/>
            <rFont val="Tahoma"/>
            <family val="2"/>
          </rPr>
          <t xml:space="preserve">
проверити збир!
</t>
        </r>
      </text>
    </comment>
    <comment ref="I329" authorId="0" shapeId="0">
      <text>
        <r>
          <rPr>
            <b/>
            <sz val="9"/>
            <color indexed="81"/>
            <rFont val="Tahoma"/>
            <family val="2"/>
          </rPr>
          <t>LPA:</t>
        </r>
        <r>
          <rPr>
            <sz val="9"/>
            <color indexed="81"/>
            <rFont val="Tahoma"/>
            <family val="2"/>
          </rPr>
          <t xml:space="preserve">
проверити збир!
</t>
        </r>
      </text>
    </comment>
    <comment ref="I330" authorId="0" shapeId="0">
      <text>
        <r>
          <rPr>
            <b/>
            <sz val="9"/>
            <color indexed="81"/>
            <rFont val="Tahoma"/>
            <family val="2"/>
          </rPr>
          <t>LPA:</t>
        </r>
        <r>
          <rPr>
            <sz val="9"/>
            <color indexed="81"/>
            <rFont val="Tahoma"/>
            <family val="2"/>
          </rPr>
          <t xml:space="preserve">
проверити збир!
</t>
        </r>
      </text>
    </comment>
    <comment ref="I331" authorId="0" shapeId="0">
      <text>
        <r>
          <rPr>
            <b/>
            <sz val="9"/>
            <color indexed="81"/>
            <rFont val="Tahoma"/>
            <family val="2"/>
          </rPr>
          <t>LPA:</t>
        </r>
        <r>
          <rPr>
            <sz val="9"/>
            <color indexed="81"/>
            <rFont val="Tahoma"/>
            <family val="2"/>
          </rPr>
          <t xml:space="preserve">
проверити збир!
</t>
        </r>
      </text>
    </comment>
    <comment ref="I332" authorId="0" shapeId="0">
      <text>
        <r>
          <rPr>
            <b/>
            <sz val="9"/>
            <color indexed="81"/>
            <rFont val="Tahoma"/>
            <family val="2"/>
          </rPr>
          <t>LPA:</t>
        </r>
        <r>
          <rPr>
            <sz val="9"/>
            <color indexed="81"/>
            <rFont val="Tahoma"/>
            <family val="2"/>
          </rPr>
          <t xml:space="preserve">
проверити збир!
</t>
        </r>
      </text>
    </comment>
    <comment ref="I333" authorId="0" shapeId="0">
      <text>
        <r>
          <rPr>
            <b/>
            <sz val="9"/>
            <color indexed="81"/>
            <rFont val="Tahoma"/>
            <family val="2"/>
          </rPr>
          <t>LPA:</t>
        </r>
        <r>
          <rPr>
            <sz val="9"/>
            <color indexed="81"/>
            <rFont val="Tahoma"/>
            <family val="2"/>
          </rPr>
          <t xml:space="preserve">
проверити збир!
</t>
        </r>
      </text>
    </comment>
    <comment ref="I334" authorId="0" shapeId="0">
      <text>
        <r>
          <rPr>
            <b/>
            <sz val="9"/>
            <color indexed="81"/>
            <rFont val="Tahoma"/>
            <family val="2"/>
          </rPr>
          <t>LPA:</t>
        </r>
        <r>
          <rPr>
            <sz val="9"/>
            <color indexed="81"/>
            <rFont val="Tahoma"/>
            <family val="2"/>
          </rPr>
          <t xml:space="preserve">
проверити збир!
</t>
        </r>
      </text>
    </comment>
    <comment ref="I335" authorId="0" shapeId="0">
      <text>
        <r>
          <rPr>
            <b/>
            <sz val="9"/>
            <color indexed="81"/>
            <rFont val="Tahoma"/>
            <family val="2"/>
          </rPr>
          <t>LPA:</t>
        </r>
        <r>
          <rPr>
            <sz val="9"/>
            <color indexed="81"/>
            <rFont val="Tahoma"/>
            <family val="2"/>
          </rPr>
          <t xml:space="preserve">
проверити збир!
</t>
        </r>
      </text>
    </comment>
    <comment ref="I336" authorId="0" shapeId="0">
      <text>
        <r>
          <rPr>
            <b/>
            <sz val="9"/>
            <color indexed="81"/>
            <rFont val="Tahoma"/>
            <family val="2"/>
          </rPr>
          <t>LPA:</t>
        </r>
        <r>
          <rPr>
            <sz val="9"/>
            <color indexed="81"/>
            <rFont val="Tahoma"/>
            <family val="2"/>
          </rPr>
          <t xml:space="preserve">
проверити збир!
</t>
        </r>
      </text>
    </comment>
    <comment ref="I337" authorId="0" shapeId="0">
      <text>
        <r>
          <rPr>
            <b/>
            <sz val="9"/>
            <color indexed="81"/>
            <rFont val="Tahoma"/>
            <family val="2"/>
          </rPr>
          <t>LPA:</t>
        </r>
        <r>
          <rPr>
            <sz val="9"/>
            <color indexed="81"/>
            <rFont val="Tahoma"/>
            <family val="2"/>
          </rPr>
          <t xml:space="preserve">
проверити збир!
</t>
        </r>
      </text>
    </comment>
    <comment ref="I338" authorId="0" shapeId="0">
      <text>
        <r>
          <rPr>
            <b/>
            <sz val="9"/>
            <color indexed="81"/>
            <rFont val="Tahoma"/>
            <family val="2"/>
          </rPr>
          <t>LPA:</t>
        </r>
        <r>
          <rPr>
            <sz val="9"/>
            <color indexed="81"/>
            <rFont val="Tahoma"/>
            <family val="2"/>
          </rPr>
          <t xml:space="preserve">
проверити збир!
</t>
        </r>
      </text>
    </comment>
    <comment ref="I339" authorId="0" shapeId="0">
      <text>
        <r>
          <rPr>
            <b/>
            <sz val="9"/>
            <color indexed="81"/>
            <rFont val="Tahoma"/>
            <family val="2"/>
          </rPr>
          <t>LPA:</t>
        </r>
        <r>
          <rPr>
            <sz val="9"/>
            <color indexed="81"/>
            <rFont val="Tahoma"/>
            <family val="2"/>
          </rPr>
          <t xml:space="preserve">
проверити збир!
</t>
        </r>
      </text>
    </comment>
    <comment ref="I340" authorId="0" shapeId="0">
      <text>
        <r>
          <rPr>
            <b/>
            <sz val="9"/>
            <color indexed="81"/>
            <rFont val="Tahoma"/>
            <family val="2"/>
          </rPr>
          <t>LPA:</t>
        </r>
        <r>
          <rPr>
            <sz val="9"/>
            <color indexed="81"/>
            <rFont val="Tahoma"/>
            <family val="2"/>
          </rPr>
          <t xml:space="preserve">
проверити збир!
</t>
        </r>
      </text>
    </comment>
    <comment ref="I341" authorId="0" shapeId="0">
      <text>
        <r>
          <rPr>
            <b/>
            <sz val="9"/>
            <color indexed="81"/>
            <rFont val="Tahoma"/>
            <family val="2"/>
          </rPr>
          <t>LPA:</t>
        </r>
        <r>
          <rPr>
            <sz val="9"/>
            <color indexed="81"/>
            <rFont val="Tahoma"/>
            <family val="2"/>
          </rPr>
          <t xml:space="preserve">
проверити збир!
</t>
        </r>
      </text>
    </comment>
    <comment ref="H345" authorId="0" shapeId="0">
      <text>
        <r>
          <rPr>
            <b/>
            <sz val="9"/>
            <color indexed="81"/>
            <rFont val="Tahoma"/>
            <family val="2"/>
          </rPr>
          <t>LPA:</t>
        </r>
        <r>
          <rPr>
            <sz val="9"/>
            <color indexed="81"/>
            <rFont val="Tahoma"/>
            <family val="2"/>
          </rPr>
          <t xml:space="preserve">
проверити збир!</t>
        </r>
      </text>
    </comment>
    <comment ref="I348" authorId="0" shapeId="0">
      <text>
        <r>
          <rPr>
            <b/>
            <sz val="9"/>
            <color indexed="81"/>
            <rFont val="Tahoma"/>
            <family val="2"/>
          </rPr>
          <t>LPA:</t>
        </r>
        <r>
          <rPr>
            <sz val="9"/>
            <color indexed="81"/>
            <rFont val="Tahoma"/>
            <family val="2"/>
          </rPr>
          <t xml:space="preserve">
проверити збир!
</t>
        </r>
      </text>
    </comment>
    <comment ref="I349" authorId="0" shapeId="0">
      <text>
        <r>
          <rPr>
            <b/>
            <sz val="9"/>
            <color indexed="81"/>
            <rFont val="Tahoma"/>
            <family val="2"/>
          </rPr>
          <t>LPA:</t>
        </r>
        <r>
          <rPr>
            <sz val="9"/>
            <color indexed="81"/>
            <rFont val="Tahoma"/>
            <family val="2"/>
          </rPr>
          <t xml:space="preserve">
проверити збир!
</t>
        </r>
      </text>
    </comment>
    <comment ref="I350" authorId="0" shapeId="0">
      <text>
        <r>
          <rPr>
            <b/>
            <sz val="9"/>
            <color indexed="81"/>
            <rFont val="Tahoma"/>
            <family val="2"/>
          </rPr>
          <t>LPA:</t>
        </r>
        <r>
          <rPr>
            <sz val="9"/>
            <color indexed="81"/>
            <rFont val="Tahoma"/>
            <family val="2"/>
          </rPr>
          <t xml:space="preserve">
проверити збир!
</t>
        </r>
      </text>
    </comment>
    <comment ref="I351" authorId="0" shapeId="0">
      <text>
        <r>
          <rPr>
            <b/>
            <sz val="9"/>
            <color indexed="81"/>
            <rFont val="Tahoma"/>
            <family val="2"/>
          </rPr>
          <t>LPA:</t>
        </r>
        <r>
          <rPr>
            <sz val="9"/>
            <color indexed="81"/>
            <rFont val="Tahoma"/>
            <family val="2"/>
          </rPr>
          <t xml:space="preserve">
проверити збир!
</t>
        </r>
      </text>
    </comment>
    <comment ref="I352" authorId="0" shapeId="0">
      <text>
        <r>
          <rPr>
            <b/>
            <sz val="9"/>
            <color indexed="81"/>
            <rFont val="Tahoma"/>
            <family val="2"/>
          </rPr>
          <t>LPA:</t>
        </r>
        <r>
          <rPr>
            <sz val="9"/>
            <color indexed="81"/>
            <rFont val="Tahoma"/>
            <family val="2"/>
          </rPr>
          <t xml:space="preserve">
проверити збир!
</t>
        </r>
      </text>
    </comment>
    <comment ref="I353" authorId="0" shapeId="0">
      <text>
        <r>
          <rPr>
            <b/>
            <sz val="9"/>
            <color indexed="81"/>
            <rFont val="Tahoma"/>
            <family val="2"/>
          </rPr>
          <t>LPA:</t>
        </r>
        <r>
          <rPr>
            <sz val="9"/>
            <color indexed="81"/>
            <rFont val="Tahoma"/>
            <family val="2"/>
          </rPr>
          <t xml:space="preserve">
проверити збир!
</t>
        </r>
      </text>
    </comment>
    <comment ref="I354" authorId="0" shapeId="0">
      <text>
        <r>
          <rPr>
            <b/>
            <sz val="9"/>
            <color indexed="81"/>
            <rFont val="Tahoma"/>
            <family val="2"/>
          </rPr>
          <t>LPA:</t>
        </r>
        <r>
          <rPr>
            <sz val="9"/>
            <color indexed="81"/>
            <rFont val="Tahoma"/>
            <family val="2"/>
          </rPr>
          <t xml:space="preserve">
проверити збир!
</t>
        </r>
      </text>
    </comment>
    <comment ref="I355" authorId="0" shapeId="0">
      <text>
        <r>
          <rPr>
            <b/>
            <sz val="9"/>
            <color indexed="81"/>
            <rFont val="Tahoma"/>
            <family val="2"/>
          </rPr>
          <t>LPA:</t>
        </r>
        <r>
          <rPr>
            <sz val="9"/>
            <color indexed="81"/>
            <rFont val="Tahoma"/>
            <family val="2"/>
          </rPr>
          <t xml:space="preserve">
проверити збир!
</t>
        </r>
      </text>
    </comment>
    <comment ref="I356" authorId="0" shapeId="0">
      <text>
        <r>
          <rPr>
            <b/>
            <sz val="9"/>
            <color indexed="81"/>
            <rFont val="Tahoma"/>
            <family val="2"/>
          </rPr>
          <t>LPA:</t>
        </r>
        <r>
          <rPr>
            <sz val="9"/>
            <color indexed="81"/>
            <rFont val="Tahoma"/>
            <family val="2"/>
          </rPr>
          <t xml:space="preserve">
проверити збир!
</t>
        </r>
      </text>
    </comment>
    <comment ref="I357" authorId="0" shapeId="0">
      <text>
        <r>
          <rPr>
            <b/>
            <sz val="9"/>
            <color indexed="81"/>
            <rFont val="Tahoma"/>
            <family val="2"/>
          </rPr>
          <t>LPA:</t>
        </r>
        <r>
          <rPr>
            <sz val="9"/>
            <color indexed="81"/>
            <rFont val="Tahoma"/>
            <family val="2"/>
          </rPr>
          <t xml:space="preserve">
проверити збир!
</t>
        </r>
      </text>
    </comment>
    <comment ref="I358" authorId="0" shapeId="0">
      <text>
        <r>
          <rPr>
            <b/>
            <sz val="9"/>
            <color indexed="81"/>
            <rFont val="Tahoma"/>
            <family val="2"/>
          </rPr>
          <t>LPA:</t>
        </r>
        <r>
          <rPr>
            <sz val="9"/>
            <color indexed="81"/>
            <rFont val="Tahoma"/>
            <family val="2"/>
          </rPr>
          <t xml:space="preserve">
проверити збир!
</t>
        </r>
      </text>
    </comment>
    <comment ref="I359" authorId="0" shapeId="0">
      <text>
        <r>
          <rPr>
            <b/>
            <sz val="9"/>
            <color indexed="81"/>
            <rFont val="Tahoma"/>
            <family val="2"/>
          </rPr>
          <t>LPA:</t>
        </r>
        <r>
          <rPr>
            <sz val="9"/>
            <color indexed="81"/>
            <rFont val="Tahoma"/>
            <family val="2"/>
          </rPr>
          <t xml:space="preserve">
проверити збир!
</t>
        </r>
      </text>
    </comment>
    <comment ref="I360" authorId="0" shapeId="0">
      <text>
        <r>
          <rPr>
            <b/>
            <sz val="9"/>
            <color indexed="81"/>
            <rFont val="Tahoma"/>
            <family val="2"/>
          </rPr>
          <t>LPA:</t>
        </r>
        <r>
          <rPr>
            <sz val="9"/>
            <color indexed="81"/>
            <rFont val="Tahoma"/>
            <family val="2"/>
          </rPr>
          <t xml:space="preserve">
проверити збир!
</t>
        </r>
      </text>
    </comment>
    <comment ref="I433" authorId="0" shapeId="0">
      <text>
        <r>
          <rPr>
            <b/>
            <sz val="9"/>
            <color indexed="81"/>
            <rFont val="Tahoma"/>
            <family val="2"/>
          </rPr>
          <t>LPA:</t>
        </r>
        <r>
          <rPr>
            <sz val="9"/>
            <color indexed="81"/>
            <rFont val="Tahoma"/>
            <family val="2"/>
          </rPr>
          <t xml:space="preserve">
проверити збир!
</t>
        </r>
      </text>
    </comment>
    <comment ref="I434" authorId="0" shapeId="0">
      <text>
        <r>
          <rPr>
            <b/>
            <sz val="9"/>
            <color indexed="81"/>
            <rFont val="Tahoma"/>
            <family val="2"/>
          </rPr>
          <t>LPA:</t>
        </r>
        <r>
          <rPr>
            <sz val="9"/>
            <color indexed="81"/>
            <rFont val="Tahoma"/>
            <family val="2"/>
          </rPr>
          <t xml:space="preserve">
проверити збир!
</t>
        </r>
      </text>
    </comment>
    <comment ref="I435" authorId="0" shapeId="0">
      <text>
        <r>
          <rPr>
            <b/>
            <sz val="9"/>
            <color indexed="81"/>
            <rFont val="Tahoma"/>
            <family val="2"/>
          </rPr>
          <t>LPA:</t>
        </r>
        <r>
          <rPr>
            <sz val="9"/>
            <color indexed="81"/>
            <rFont val="Tahoma"/>
            <family val="2"/>
          </rPr>
          <t xml:space="preserve">
проверити збир!
</t>
        </r>
      </text>
    </comment>
    <comment ref="I436" authorId="0" shapeId="0">
      <text>
        <r>
          <rPr>
            <b/>
            <sz val="9"/>
            <color indexed="81"/>
            <rFont val="Tahoma"/>
            <family val="2"/>
          </rPr>
          <t>LPA:</t>
        </r>
        <r>
          <rPr>
            <sz val="9"/>
            <color indexed="81"/>
            <rFont val="Tahoma"/>
            <family val="2"/>
          </rPr>
          <t xml:space="preserve">
проверити збир!
</t>
        </r>
      </text>
    </comment>
    <comment ref="I437" authorId="0" shapeId="0">
      <text>
        <r>
          <rPr>
            <b/>
            <sz val="9"/>
            <color indexed="81"/>
            <rFont val="Tahoma"/>
            <family val="2"/>
          </rPr>
          <t>LPA:</t>
        </r>
        <r>
          <rPr>
            <sz val="9"/>
            <color indexed="81"/>
            <rFont val="Tahoma"/>
            <family val="2"/>
          </rPr>
          <t xml:space="preserve">
проверити збир!
</t>
        </r>
      </text>
    </comment>
    <comment ref="I438" authorId="0" shapeId="0">
      <text>
        <r>
          <rPr>
            <b/>
            <sz val="9"/>
            <color indexed="81"/>
            <rFont val="Tahoma"/>
            <family val="2"/>
          </rPr>
          <t>LPA:</t>
        </r>
        <r>
          <rPr>
            <sz val="9"/>
            <color indexed="81"/>
            <rFont val="Tahoma"/>
            <family val="2"/>
          </rPr>
          <t xml:space="preserve">
проверити збир!
</t>
        </r>
      </text>
    </comment>
    <comment ref="I439" authorId="0" shapeId="0">
      <text>
        <r>
          <rPr>
            <b/>
            <sz val="9"/>
            <color indexed="81"/>
            <rFont val="Tahoma"/>
            <family val="2"/>
          </rPr>
          <t>LPA:</t>
        </r>
        <r>
          <rPr>
            <sz val="9"/>
            <color indexed="81"/>
            <rFont val="Tahoma"/>
            <family val="2"/>
          </rPr>
          <t xml:space="preserve">
проверити збир!
</t>
        </r>
      </text>
    </comment>
    <comment ref="I440" authorId="0" shapeId="0">
      <text>
        <r>
          <rPr>
            <b/>
            <sz val="9"/>
            <color indexed="81"/>
            <rFont val="Tahoma"/>
            <family val="2"/>
          </rPr>
          <t>LPA:</t>
        </r>
        <r>
          <rPr>
            <sz val="9"/>
            <color indexed="81"/>
            <rFont val="Tahoma"/>
            <family val="2"/>
          </rPr>
          <t xml:space="preserve">
проверити збир!
</t>
        </r>
      </text>
    </comment>
    <comment ref="I441" authorId="0" shapeId="0">
      <text>
        <r>
          <rPr>
            <b/>
            <sz val="9"/>
            <color indexed="81"/>
            <rFont val="Tahoma"/>
            <family val="2"/>
          </rPr>
          <t>LPA:</t>
        </r>
        <r>
          <rPr>
            <sz val="9"/>
            <color indexed="81"/>
            <rFont val="Tahoma"/>
            <family val="2"/>
          </rPr>
          <t xml:space="preserve">
проверити збир!
</t>
        </r>
      </text>
    </comment>
    <comment ref="I442" authorId="0" shapeId="0">
      <text>
        <r>
          <rPr>
            <b/>
            <sz val="9"/>
            <color indexed="81"/>
            <rFont val="Tahoma"/>
            <family val="2"/>
          </rPr>
          <t>LPA:</t>
        </r>
        <r>
          <rPr>
            <sz val="9"/>
            <color indexed="81"/>
            <rFont val="Tahoma"/>
            <family val="2"/>
          </rPr>
          <t xml:space="preserve">
проверити збир!
</t>
        </r>
      </text>
    </comment>
    <comment ref="I443" authorId="0" shapeId="0">
      <text>
        <r>
          <rPr>
            <b/>
            <sz val="9"/>
            <color indexed="81"/>
            <rFont val="Tahoma"/>
            <family val="2"/>
          </rPr>
          <t>LPA:</t>
        </r>
        <r>
          <rPr>
            <sz val="9"/>
            <color indexed="81"/>
            <rFont val="Tahoma"/>
            <family val="2"/>
          </rPr>
          <t xml:space="preserve">
проверити збир!
</t>
        </r>
      </text>
    </comment>
    <comment ref="I444" authorId="0" shapeId="0">
      <text>
        <r>
          <rPr>
            <b/>
            <sz val="9"/>
            <color indexed="81"/>
            <rFont val="Tahoma"/>
            <family val="2"/>
          </rPr>
          <t>LPA:</t>
        </r>
        <r>
          <rPr>
            <sz val="9"/>
            <color indexed="81"/>
            <rFont val="Tahoma"/>
            <family val="2"/>
          </rPr>
          <t xml:space="preserve">
проверити збир!
</t>
        </r>
      </text>
    </comment>
    <comment ref="I445" authorId="0" shapeId="0">
      <text>
        <r>
          <rPr>
            <b/>
            <sz val="9"/>
            <color indexed="81"/>
            <rFont val="Tahoma"/>
            <family val="2"/>
          </rPr>
          <t>LPA:</t>
        </r>
        <r>
          <rPr>
            <sz val="9"/>
            <color indexed="81"/>
            <rFont val="Tahoma"/>
            <family val="2"/>
          </rPr>
          <t xml:space="preserve">
проверити збир!
</t>
        </r>
      </text>
    </comment>
    <comment ref="H448" authorId="0" shapeId="0">
      <text>
        <r>
          <rPr>
            <b/>
            <sz val="9"/>
            <color indexed="81"/>
            <rFont val="Tahoma"/>
            <family val="2"/>
          </rPr>
          <t>LPA:</t>
        </r>
        <r>
          <rPr>
            <sz val="9"/>
            <color indexed="81"/>
            <rFont val="Tahoma"/>
            <family val="2"/>
          </rPr>
          <t xml:space="preserve">
проверити збир!</t>
        </r>
      </text>
    </comment>
    <comment ref="I448" authorId="0" shapeId="0">
      <text>
        <r>
          <rPr>
            <b/>
            <sz val="9"/>
            <color indexed="81"/>
            <rFont val="Tahoma"/>
            <family val="2"/>
          </rPr>
          <t>LPA:</t>
        </r>
        <r>
          <rPr>
            <sz val="9"/>
            <color indexed="81"/>
            <rFont val="Tahoma"/>
            <family val="2"/>
          </rPr>
          <t xml:space="preserve">
проверити збир!</t>
        </r>
      </text>
    </comment>
    <comment ref="I449" authorId="0" shapeId="0">
      <text>
        <r>
          <rPr>
            <b/>
            <sz val="9"/>
            <color indexed="81"/>
            <rFont val="Tahoma"/>
            <family val="2"/>
          </rPr>
          <t>LPA:</t>
        </r>
        <r>
          <rPr>
            <sz val="9"/>
            <color indexed="81"/>
            <rFont val="Tahoma"/>
            <family val="2"/>
          </rPr>
          <t xml:space="preserve">
проверити збир!
</t>
        </r>
      </text>
    </comment>
    <comment ref="I450" authorId="0" shapeId="0">
      <text>
        <r>
          <rPr>
            <b/>
            <sz val="9"/>
            <color indexed="81"/>
            <rFont val="Tahoma"/>
            <family val="2"/>
          </rPr>
          <t>LPA:</t>
        </r>
        <r>
          <rPr>
            <sz val="9"/>
            <color indexed="81"/>
            <rFont val="Tahoma"/>
            <family val="2"/>
          </rPr>
          <t xml:space="preserve">
проверити збир!
</t>
        </r>
      </text>
    </comment>
    <comment ref="I451" authorId="0" shapeId="0">
      <text>
        <r>
          <rPr>
            <b/>
            <sz val="9"/>
            <color indexed="81"/>
            <rFont val="Tahoma"/>
            <family val="2"/>
          </rPr>
          <t>LPA:</t>
        </r>
        <r>
          <rPr>
            <sz val="9"/>
            <color indexed="81"/>
            <rFont val="Tahoma"/>
            <family val="2"/>
          </rPr>
          <t xml:space="preserve">
проверити збир!
</t>
        </r>
      </text>
    </comment>
    <comment ref="I452" authorId="0" shapeId="0">
      <text>
        <r>
          <rPr>
            <b/>
            <sz val="9"/>
            <color indexed="81"/>
            <rFont val="Tahoma"/>
            <family val="2"/>
          </rPr>
          <t>LPA:</t>
        </r>
        <r>
          <rPr>
            <sz val="9"/>
            <color indexed="81"/>
            <rFont val="Tahoma"/>
            <family val="2"/>
          </rPr>
          <t xml:space="preserve">
проверити збир!
</t>
        </r>
      </text>
    </comment>
    <comment ref="I453" authorId="0" shapeId="0">
      <text>
        <r>
          <rPr>
            <b/>
            <sz val="9"/>
            <color indexed="81"/>
            <rFont val="Tahoma"/>
            <family val="2"/>
          </rPr>
          <t>LPA:</t>
        </r>
        <r>
          <rPr>
            <sz val="9"/>
            <color indexed="81"/>
            <rFont val="Tahoma"/>
            <family val="2"/>
          </rPr>
          <t xml:space="preserve">
проверити збир!
</t>
        </r>
      </text>
    </comment>
    <comment ref="I454" authorId="0" shapeId="0">
      <text>
        <r>
          <rPr>
            <b/>
            <sz val="9"/>
            <color indexed="81"/>
            <rFont val="Tahoma"/>
            <family val="2"/>
          </rPr>
          <t>LPA:</t>
        </r>
        <r>
          <rPr>
            <sz val="9"/>
            <color indexed="81"/>
            <rFont val="Tahoma"/>
            <family val="2"/>
          </rPr>
          <t xml:space="preserve">
проверити збир!
</t>
        </r>
      </text>
    </comment>
    <comment ref="I455" authorId="0" shapeId="0">
      <text>
        <r>
          <rPr>
            <b/>
            <sz val="9"/>
            <color indexed="81"/>
            <rFont val="Tahoma"/>
            <family val="2"/>
          </rPr>
          <t>LPA:</t>
        </r>
        <r>
          <rPr>
            <sz val="9"/>
            <color indexed="81"/>
            <rFont val="Tahoma"/>
            <family val="2"/>
          </rPr>
          <t xml:space="preserve">
проверити збир!
</t>
        </r>
      </text>
    </comment>
    <comment ref="I456" authorId="0" shapeId="0">
      <text>
        <r>
          <rPr>
            <b/>
            <sz val="9"/>
            <color indexed="81"/>
            <rFont val="Tahoma"/>
            <family val="2"/>
          </rPr>
          <t>LPA:</t>
        </r>
        <r>
          <rPr>
            <sz val="9"/>
            <color indexed="81"/>
            <rFont val="Tahoma"/>
            <family val="2"/>
          </rPr>
          <t xml:space="preserve">
проверити збир!
</t>
        </r>
      </text>
    </comment>
    <comment ref="I457" authorId="0" shapeId="0">
      <text>
        <r>
          <rPr>
            <b/>
            <sz val="9"/>
            <color indexed="81"/>
            <rFont val="Tahoma"/>
            <family val="2"/>
          </rPr>
          <t>LPA:</t>
        </r>
        <r>
          <rPr>
            <sz val="9"/>
            <color indexed="81"/>
            <rFont val="Tahoma"/>
            <family val="2"/>
          </rPr>
          <t xml:space="preserve">
проверити збир!
</t>
        </r>
      </text>
    </comment>
    <comment ref="I458" authorId="0" shapeId="0">
      <text>
        <r>
          <rPr>
            <b/>
            <sz val="9"/>
            <color indexed="81"/>
            <rFont val="Tahoma"/>
            <family val="2"/>
          </rPr>
          <t>LPA:</t>
        </r>
        <r>
          <rPr>
            <sz val="9"/>
            <color indexed="81"/>
            <rFont val="Tahoma"/>
            <family val="2"/>
          </rPr>
          <t xml:space="preserve">
проверити збир!
</t>
        </r>
      </text>
    </comment>
    <comment ref="I459" authorId="0" shapeId="0">
      <text>
        <r>
          <rPr>
            <b/>
            <sz val="9"/>
            <color indexed="81"/>
            <rFont val="Tahoma"/>
            <family val="2"/>
          </rPr>
          <t>LPA:</t>
        </r>
        <r>
          <rPr>
            <sz val="9"/>
            <color indexed="81"/>
            <rFont val="Tahoma"/>
            <family val="2"/>
          </rPr>
          <t xml:space="preserve">
проверити збир!
</t>
        </r>
      </text>
    </comment>
    <comment ref="I460" authorId="0" shapeId="0">
      <text>
        <r>
          <rPr>
            <b/>
            <sz val="9"/>
            <color indexed="81"/>
            <rFont val="Tahoma"/>
            <family val="2"/>
          </rPr>
          <t>LPA:</t>
        </r>
        <r>
          <rPr>
            <sz val="9"/>
            <color indexed="81"/>
            <rFont val="Tahoma"/>
            <family val="2"/>
          </rPr>
          <t xml:space="preserve">
проверити збир!
</t>
        </r>
      </text>
    </comment>
    <comment ref="I461" authorId="0" shapeId="0">
      <text>
        <r>
          <rPr>
            <b/>
            <sz val="9"/>
            <color indexed="81"/>
            <rFont val="Tahoma"/>
            <family val="2"/>
          </rPr>
          <t>LPA:</t>
        </r>
        <r>
          <rPr>
            <sz val="9"/>
            <color indexed="81"/>
            <rFont val="Tahoma"/>
            <family val="2"/>
          </rPr>
          <t xml:space="preserve">
проверити збир!
</t>
        </r>
      </text>
    </comment>
    <comment ref="I462" authorId="0" shapeId="0">
      <text>
        <r>
          <rPr>
            <b/>
            <sz val="9"/>
            <color indexed="81"/>
            <rFont val="Tahoma"/>
            <family val="2"/>
          </rPr>
          <t>LPA:</t>
        </r>
        <r>
          <rPr>
            <sz val="9"/>
            <color indexed="81"/>
            <rFont val="Tahoma"/>
            <family val="2"/>
          </rPr>
          <t xml:space="preserve">
проверити збир!
</t>
        </r>
      </text>
    </comment>
    <comment ref="I463" authorId="0" shapeId="0">
      <text>
        <r>
          <rPr>
            <b/>
            <sz val="9"/>
            <color indexed="81"/>
            <rFont val="Tahoma"/>
            <family val="2"/>
          </rPr>
          <t>LPA:</t>
        </r>
        <r>
          <rPr>
            <sz val="9"/>
            <color indexed="81"/>
            <rFont val="Tahoma"/>
            <family val="2"/>
          </rPr>
          <t xml:space="preserve">
проверити збир!
</t>
        </r>
      </text>
    </comment>
    <comment ref="I533" authorId="0" shapeId="0">
      <text>
        <r>
          <rPr>
            <b/>
            <sz val="9"/>
            <color indexed="81"/>
            <rFont val="Tahoma"/>
            <family val="2"/>
          </rPr>
          <t>LPA:</t>
        </r>
        <r>
          <rPr>
            <sz val="9"/>
            <color indexed="81"/>
            <rFont val="Tahoma"/>
            <family val="2"/>
          </rPr>
          <t xml:space="preserve">
проверити збир!
</t>
        </r>
      </text>
    </comment>
    <comment ref="I534" authorId="0" shapeId="0">
      <text>
        <r>
          <rPr>
            <b/>
            <sz val="9"/>
            <color indexed="81"/>
            <rFont val="Tahoma"/>
            <family val="2"/>
          </rPr>
          <t>LPA:</t>
        </r>
        <r>
          <rPr>
            <sz val="9"/>
            <color indexed="81"/>
            <rFont val="Tahoma"/>
            <family val="2"/>
          </rPr>
          <t xml:space="preserve">
проверити збир!
</t>
        </r>
      </text>
    </comment>
    <comment ref="I535" authorId="0" shapeId="0">
      <text>
        <r>
          <rPr>
            <b/>
            <sz val="9"/>
            <color indexed="81"/>
            <rFont val="Tahoma"/>
            <family val="2"/>
          </rPr>
          <t>LPA:</t>
        </r>
        <r>
          <rPr>
            <sz val="9"/>
            <color indexed="81"/>
            <rFont val="Tahoma"/>
            <family val="2"/>
          </rPr>
          <t xml:space="preserve">
проверити збир!
</t>
        </r>
      </text>
    </comment>
    <comment ref="I536" authorId="0" shapeId="0">
      <text>
        <r>
          <rPr>
            <b/>
            <sz val="9"/>
            <color indexed="81"/>
            <rFont val="Tahoma"/>
            <family val="2"/>
          </rPr>
          <t>LPA:</t>
        </r>
        <r>
          <rPr>
            <sz val="9"/>
            <color indexed="81"/>
            <rFont val="Tahoma"/>
            <family val="2"/>
          </rPr>
          <t xml:space="preserve">
проверити збир!
</t>
        </r>
      </text>
    </comment>
    <comment ref="I537" authorId="0" shapeId="0">
      <text>
        <r>
          <rPr>
            <b/>
            <sz val="9"/>
            <color indexed="81"/>
            <rFont val="Tahoma"/>
            <family val="2"/>
          </rPr>
          <t>LPA:</t>
        </r>
        <r>
          <rPr>
            <sz val="9"/>
            <color indexed="81"/>
            <rFont val="Tahoma"/>
            <family val="2"/>
          </rPr>
          <t xml:space="preserve">
проверити збир!
</t>
        </r>
      </text>
    </comment>
    <comment ref="I538" authorId="0" shapeId="0">
      <text>
        <r>
          <rPr>
            <b/>
            <sz val="9"/>
            <color indexed="81"/>
            <rFont val="Tahoma"/>
            <family val="2"/>
          </rPr>
          <t>LPA:</t>
        </r>
        <r>
          <rPr>
            <sz val="9"/>
            <color indexed="81"/>
            <rFont val="Tahoma"/>
            <family val="2"/>
          </rPr>
          <t xml:space="preserve">
проверити збир!
</t>
        </r>
      </text>
    </comment>
    <comment ref="I539" authorId="0" shapeId="0">
      <text>
        <r>
          <rPr>
            <b/>
            <sz val="9"/>
            <color indexed="81"/>
            <rFont val="Tahoma"/>
            <family val="2"/>
          </rPr>
          <t>LPA:</t>
        </r>
        <r>
          <rPr>
            <sz val="9"/>
            <color indexed="81"/>
            <rFont val="Tahoma"/>
            <family val="2"/>
          </rPr>
          <t xml:space="preserve">
проверити збир!
</t>
        </r>
      </text>
    </comment>
    <comment ref="I540" authorId="0" shapeId="0">
      <text>
        <r>
          <rPr>
            <b/>
            <sz val="9"/>
            <color indexed="81"/>
            <rFont val="Tahoma"/>
            <family val="2"/>
          </rPr>
          <t>LPA:</t>
        </r>
        <r>
          <rPr>
            <sz val="9"/>
            <color indexed="81"/>
            <rFont val="Tahoma"/>
            <family val="2"/>
          </rPr>
          <t xml:space="preserve">
проверити збир!
</t>
        </r>
      </text>
    </comment>
    <comment ref="I541" authorId="0" shapeId="0">
      <text>
        <r>
          <rPr>
            <b/>
            <sz val="9"/>
            <color indexed="81"/>
            <rFont val="Tahoma"/>
            <family val="2"/>
          </rPr>
          <t>LPA:</t>
        </r>
        <r>
          <rPr>
            <sz val="9"/>
            <color indexed="81"/>
            <rFont val="Tahoma"/>
            <family val="2"/>
          </rPr>
          <t xml:space="preserve">
проверити збир!
</t>
        </r>
      </text>
    </comment>
    <comment ref="I542" authorId="0" shapeId="0">
      <text>
        <r>
          <rPr>
            <b/>
            <sz val="9"/>
            <color indexed="81"/>
            <rFont val="Tahoma"/>
            <family val="2"/>
          </rPr>
          <t>LPA:</t>
        </r>
        <r>
          <rPr>
            <sz val="9"/>
            <color indexed="81"/>
            <rFont val="Tahoma"/>
            <family val="2"/>
          </rPr>
          <t xml:space="preserve">
проверити збир!
</t>
        </r>
      </text>
    </comment>
    <comment ref="I543" authorId="0" shapeId="0">
      <text>
        <r>
          <rPr>
            <b/>
            <sz val="9"/>
            <color indexed="81"/>
            <rFont val="Tahoma"/>
            <family val="2"/>
          </rPr>
          <t>LPA:</t>
        </r>
        <r>
          <rPr>
            <sz val="9"/>
            <color indexed="81"/>
            <rFont val="Tahoma"/>
            <family val="2"/>
          </rPr>
          <t xml:space="preserve">
проверити збир!
</t>
        </r>
      </text>
    </comment>
    <comment ref="I544" authorId="0" shapeId="0">
      <text>
        <r>
          <rPr>
            <b/>
            <sz val="9"/>
            <color indexed="81"/>
            <rFont val="Tahoma"/>
            <family val="2"/>
          </rPr>
          <t>LPA:</t>
        </r>
        <r>
          <rPr>
            <sz val="9"/>
            <color indexed="81"/>
            <rFont val="Tahoma"/>
            <family val="2"/>
          </rPr>
          <t xml:space="preserve">
проверити збир!
</t>
        </r>
      </text>
    </comment>
    <comment ref="I545" authorId="0" shapeId="0">
      <text>
        <r>
          <rPr>
            <b/>
            <sz val="9"/>
            <color indexed="81"/>
            <rFont val="Tahoma"/>
            <family val="2"/>
          </rPr>
          <t>LPA:</t>
        </r>
        <r>
          <rPr>
            <sz val="9"/>
            <color indexed="81"/>
            <rFont val="Tahoma"/>
            <family val="2"/>
          </rPr>
          <t xml:space="preserve">
проверити збир!
</t>
        </r>
      </text>
    </comment>
    <comment ref="H548" authorId="0" shapeId="0">
      <text>
        <r>
          <rPr>
            <b/>
            <sz val="9"/>
            <color indexed="81"/>
            <rFont val="Tahoma"/>
            <family val="2"/>
          </rPr>
          <t>LPA:</t>
        </r>
        <r>
          <rPr>
            <sz val="9"/>
            <color indexed="81"/>
            <rFont val="Tahoma"/>
            <family val="2"/>
          </rPr>
          <t xml:space="preserve">
проверити збир!</t>
        </r>
      </text>
    </comment>
    <comment ref="I548" authorId="0" shapeId="0">
      <text>
        <r>
          <rPr>
            <b/>
            <sz val="9"/>
            <color indexed="81"/>
            <rFont val="Tahoma"/>
            <family val="2"/>
          </rPr>
          <t>LPA:</t>
        </r>
        <r>
          <rPr>
            <sz val="9"/>
            <color indexed="81"/>
            <rFont val="Tahoma"/>
            <family val="2"/>
          </rPr>
          <t xml:space="preserve">
проверити збир!</t>
        </r>
      </text>
    </comment>
    <comment ref="I549" authorId="0" shapeId="0">
      <text>
        <r>
          <rPr>
            <b/>
            <sz val="9"/>
            <color indexed="81"/>
            <rFont val="Tahoma"/>
            <family val="2"/>
          </rPr>
          <t>LPA:</t>
        </r>
        <r>
          <rPr>
            <sz val="9"/>
            <color indexed="81"/>
            <rFont val="Tahoma"/>
            <family val="2"/>
          </rPr>
          <t xml:space="preserve">
проверити збир!
</t>
        </r>
      </text>
    </comment>
    <comment ref="I550" authorId="0" shapeId="0">
      <text>
        <r>
          <rPr>
            <b/>
            <sz val="9"/>
            <color indexed="81"/>
            <rFont val="Tahoma"/>
            <family val="2"/>
          </rPr>
          <t>LPA:</t>
        </r>
        <r>
          <rPr>
            <sz val="9"/>
            <color indexed="81"/>
            <rFont val="Tahoma"/>
            <family val="2"/>
          </rPr>
          <t xml:space="preserve">
проверити збир!
</t>
        </r>
      </text>
    </comment>
    <comment ref="I551" authorId="0" shapeId="0">
      <text>
        <r>
          <rPr>
            <b/>
            <sz val="9"/>
            <color indexed="81"/>
            <rFont val="Tahoma"/>
            <family val="2"/>
          </rPr>
          <t>LPA:</t>
        </r>
        <r>
          <rPr>
            <sz val="9"/>
            <color indexed="81"/>
            <rFont val="Tahoma"/>
            <family val="2"/>
          </rPr>
          <t xml:space="preserve">
проверити збир!
</t>
        </r>
      </text>
    </comment>
    <comment ref="I552" authorId="0" shapeId="0">
      <text>
        <r>
          <rPr>
            <b/>
            <sz val="9"/>
            <color indexed="81"/>
            <rFont val="Tahoma"/>
            <family val="2"/>
          </rPr>
          <t>LPA:</t>
        </r>
        <r>
          <rPr>
            <sz val="9"/>
            <color indexed="81"/>
            <rFont val="Tahoma"/>
            <family val="2"/>
          </rPr>
          <t xml:space="preserve">
проверити збир!
</t>
        </r>
      </text>
    </comment>
    <comment ref="I553" authorId="0" shapeId="0">
      <text>
        <r>
          <rPr>
            <b/>
            <sz val="9"/>
            <color indexed="81"/>
            <rFont val="Tahoma"/>
            <family val="2"/>
          </rPr>
          <t>LPA:</t>
        </r>
        <r>
          <rPr>
            <sz val="9"/>
            <color indexed="81"/>
            <rFont val="Tahoma"/>
            <family val="2"/>
          </rPr>
          <t xml:space="preserve">
проверити збир!
</t>
        </r>
      </text>
    </comment>
    <comment ref="I554" authorId="0" shapeId="0">
      <text>
        <r>
          <rPr>
            <b/>
            <sz val="9"/>
            <color indexed="81"/>
            <rFont val="Tahoma"/>
            <family val="2"/>
          </rPr>
          <t>LPA:</t>
        </r>
        <r>
          <rPr>
            <sz val="9"/>
            <color indexed="81"/>
            <rFont val="Tahoma"/>
            <family val="2"/>
          </rPr>
          <t xml:space="preserve">
проверити збир!
</t>
        </r>
      </text>
    </comment>
    <comment ref="I555" authorId="0" shapeId="0">
      <text>
        <r>
          <rPr>
            <b/>
            <sz val="9"/>
            <color indexed="81"/>
            <rFont val="Tahoma"/>
            <family val="2"/>
          </rPr>
          <t>LPA:</t>
        </r>
        <r>
          <rPr>
            <sz val="9"/>
            <color indexed="81"/>
            <rFont val="Tahoma"/>
            <family val="2"/>
          </rPr>
          <t xml:space="preserve">
проверити збир!
</t>
        </r>
      </text>
    </comment>
    <comment ref="I556" authorId="0" shapeId="0">
      <text>
        <r>
          <rPr>
            <b/>
            <sz val="9"/>
            <color indexed="81"/>
            <rFont val="Tahoma"/>
            <family val="2"/>
          </rPr>
          <t>LPA:</t>
        </r>
        <r>
          <rPr>
            <sz val="9"/>
            <color indexed="81"/>
            <rFont val="Tahoma"/>
            <family val="2"/>
          </rPr>
          <t xml:space="preserve">
проверити збир!
</t>
        </r>
      </text>
    </comment>
    <comment ref="I557" authorId="0" shapeId="0">
      <text>
        <r>
          <rPr>
            <b/>
            <sz val="9"/>
            <color indexed="81"/>
            <rFont val="Tahoma"/>
            <family val="2"/>
          </rPr>
          <t>LPA:</t>
        </r>
        <r>
          <rPr>
            <sz val="9"/>
            <color indexed="81"/>
            <rFont val="Tahoma"/>
            <family val="2"/>
          </rPr>
          <t xml:space="preserve">
проверити збир!
</t>
        </r>
      </text>
    </comment>
    <comment ref="I558" authorId="0" shapeId="0">
      <text>
        <r>
          <rPr>
            <b/>
            <sz val="9"/>
            <color indexed="81"/>
            <rFont val="Tahoma"/>
            <family val="2"/>
          </rPr>
          <t>LPA:</t>
        </r>
        <r>
          <rPr>
            <sz val="9"/>
            <color indexed="81"/>
            <rFont val="Tahoma"/>
            <family val="2"/>
          </rPr>
          <t xml:space="preserve">
проверити збир!
</t>
        </r>
      </text>
    </comment>
    <comment ref="I559" authorId="0" shapeId="0">
      <text>
        <r>
          <rPr>
            <b/>
            <sz val="9"/>
            <color indexed="81"/>
            <rFont val="Tahoma"/>
            <family val="2"/>
          </rPr>
          <t>LPA:</t>
        </r>
        <r>
          <rPr>
            <sz val="9"/>
            <color indexed="81"/>
            <rFont val="Tahoma"/>
            <family val="2"/>
          </rPr>
          <t xml:space="preserve">
проверити збир!
</t>
        </r>
      </text>
    </comment>
    <comment ref="I560" authorId="0" shapeId="0">
      <text>
        <r>
          <rPr>
            <b/>
            <sz val="9"/>
            <color indexed="81"/>
            <rFont val="Tahoma"/>
            <family val="2"/>
          </rPr>
          <t>LPA:</t>
        </r>
        <r>
          <rPr>
            <sz val="9"/>
            <color indexed="81"/>
            <rFont val="Tahoma"/>
            <family val="2"/>
          </rPr>
          <t xml:space="preserve">
проверити збир!
</t>
        </r>
      </text>
    </comment>
    <comment ref="I561" authorId="0" shapeId="0">
      <text>
        <r>
          <rPr>
            <b/>
            <sz val="9"/>
            <color indexed="81"/>
            <rFont val="Tahoma"/>
            <family val="2"/>
          </rPr>
          <t>LPA:</t>
        </r>
        <r>
          <rPr>
            <sz val="9"/>
            <color indexed="81"/>
            <rFont val="Tahoma"/>
            <family val="2"/>
          </rPr>
          <t xml:space="preserve">
проверити збир!
</t>
        </r>
      </text>
    </comment>
    <comment ref="I562" authorId="0" shapeId="0">
      <text>
        <r>
          <rPr>
            <b/>
            <sz val="9"/>
            <color indexed="81"/>
            <rFont val="Tahoma"/>
            <family val="2"/>
          </rPr>
          <t>LPA:</t>
        </r>
        <r>
          <rPr>
            <sz val="9"/>
            <color indexed="81"/>
            <rFont val="Tahoma"/>
            <family val="2"/>
          </rPr>
          <t xml:space="preserve">
проверити збир!
</t>
        </r>
      </text>
    </comment>
    <comment ref="I563" authorId="0" shapeId="0">
      <text>
        <r>
          <rPr>
            <b/>
            <sz val="9"/>
            <color indexed="81"/>
            <rFont val="Tahoma"/>
            <family val="2"/>
          </rPr>
          <t>LPA:</t>
        </r>
        <r>
          <rPr>
            <sz val="9"/>
            <color indexed="81"/>
            <rFont val="Tahoma"/>
            <family val="2"/>
          </rPr>
          <t xml:space="preserve">
проверити збир!
</t>
        </r>
      </text>
    </comment>
    <comment ref="H681" authorId="0" shapeId="0">
      <text>
        <r>
          <rPr>
            <b/>
            <sz val="9"/>
            <color indexed="81"/>
            <rFont val="Tahoma"/>
            <family val="2"/>
          </rPr>
          <t>LPA:</t>
        </r>
        <r>
          <rPr>
            <sz val="9"/>
            <color indexed="81"/>
            <rFont val="Tahoma"/>
            <family val="2"/>
          </rPr>
          <t xml:space="preserve">
проверити збир!</t>
        </r>
      </text>
    </comment>
    <comment ref="I681" authorId="0" shapeId="0">
      <text>
        <r>
          <rPr>
            <b/>
            <sz val="9"/>
            <color indexed="81"/>
            <rFont val="Tahoma"/>
            <family val="2"/>
          </rPr>
          <t>LPA:</t>
        </r>
        <r>
          <rPr>
            <sz val="9"/>
            <color indexed="81"/>
            <rFont val="Tahoma"/>
            <family val="2"/>
          </rPr>
          <t xml:space="preserve">
проверити збир!
</t>
        </r>
      </text>
    </comment>
    <comment ref="I682" authorId="0" shapeId="0">
      <text>
        <r>
          <rPr>
            <b/>
            <sz val="9"/>
            <color indexed="81"/>
            <rFont val="Tahoma"/>
            <family val="2"/>
          </rPr>
          <t>LPA:</t>
        </r>
        <r>
          <rPr>
            <sz val="9"/>
            <color indexed="81"/>
            <rFont val="Tahoma"/>
            <family val="2"/>
          </rPr>
          <t xml:space="preserve">
проверити збир!
</t>
        </r>
      </text>
    </comment>
    <comment ref="I683" authorId="0" shapeId="0">
      <text>
        <r>
          <rPr>
            <b/>
            <sz val="9"/>
            <color indexed="81"/>
            <rFont val="Tahoma"/>
            <family val="2"/>
          </rPr>
          <t>LPA:</t>
        </r>
        <r>
          <rPr>
            <sz val="9"/>
            <color indexed="81"/>
            <rFont val="Tahoma"/>
            <family val="2"/>
          </rPr>
          <t xml:space="preserve">
проверити збир!
</t>
        </r>
      </text>
    </comment>
    <comment ref="I684" authorId="0" shapeId="0">
      <text>
        <r>
          <rPr>
            <b/>
            <sz val="9"/>
            <color indexed="81"/>
            <rFont val="Tahoma"/>
            <family val="2"/>
          </rPr>
          <t>LPA:</t>
        </r>
        <r>
          <rPr>
            <sz val="9"/>
            <color indexed="81"/>
            <rFont val="Tahoma"/>
            <family val="2"/>
          </rPr>
          <t xml:space="preserve">
проверити збир!
</t>
        </r>
      </text>
    </comment>
    <comment ref="I685" authorId="0" shapeId="0">
      <text>
        <r>
          <rPr>
            <b/>
            <sz val="9"/>
            <color indexed="81"/>
            <rFont val="Tahoma"/>
            <family val="2"/>
          </rPr>
          <t>LPA:</t>
        </r>
        <r>
          <rPr>
            <sz val="9"/>
            <color indexed="81"/>
            <rFont val="Tahoma"/>
            <family val="2"/>
          </rPr>
          <t xml:space="preserve">
проверити збир!
</t>
        </r>
      </text>
    </comment>
    <comment ref="I686" authorId="0" shapeId="0">
      <text>
        <r>
          <rPr>
            <b/>
            <sz val="9"/>
            <color indexed="81"/>
            <rFont val="Tahoma"/>
            <family val="2"/>
          </rPr>
          <t>LPA:</t>
        </r>
        <r>
          <rPr>
            <sz val="9"/>
            <color indexed="81"/>
            <rFont val="Tahoma"/>
            <family val="2"/>
          </rPr>
          <t xml:space="preserve">
проверити збир!
</t>
        </r>
      </text>
    </comment>
    <comment ref="I687" authorId="0" shapeId="0">
      <text>
        <r>
          <rPr>
            <b/>
            <sz val="9"/>
            <color indexed="81"/>
            <rFont val="Tahoma"/>
            <family val="2"/>
          </rPr>
          <t>LPA:</t>
        </r>
        <r>
          <rPr>
            <sz val="9"/>
            <color indexed="81"/>
            <rFont val="Tahoma"/>
            <family val="2"/>
          </rPr>
          <t xml:space="preserve">
проверити збир!
</t>
        </r>
      </text>
    </comment>
    <comment ref="I688" authorId="0" shapeId="0">
      <text>
        <r>
          <rPr>
            <b/>
            <sz val="9"/>
            <color indexed="81"/>
            <rFont val="Tahoma"/>
            <family val="2"/>
          </rPr>
          <t>LPA:</t>
        </r>
        <r>
          <rPr>
            <sz val="9"/>
            <color indexed="81"/>
            <rFont val="Tahoma"/>
            <family val="2"/>
          </rPr>
          <t xml:space="preserve">
проверити збир!
</t>
        </r>
      </text>
    </comment>
    <comment ref="I689" authorId="0" shapeId="0">
      <text>
        <r>
          <rPr>
            <b/>
            <sz val="9"/>
            <color indexed="81"/>
            <rFont val="Tahoma"/>
            <family val="2"/>
          </rPr>
          <t>LPA:</t>
        </r>
        <r>
          <rPr>
            <sz val="9"/>
            <color indexed="81"/>
            <rFont val="Tahoma"/>
            <family val="2"/>
          </rPr>
          <t xml:space="preserve">
проверити збир!
</t>
        </r>
      </text>
    </comment>
    <comment ref="I690" authorId="0" shapeId="0">
      <text>
        <r>
          <rPr>
            <b/>
            <sz val="9"/>
            <color indexed="81"/>
            <rFont val="Tahoma"/>
            <family val="2"/>
          </rPr>
          <t>LPA:</t>
        </r>
        <r>
          <rPr>
            <sz val="9"/>
            <color indexed="81"/>
            <rFont val="Tahoma"/>
            <family val="2"/>
          </rPr>
          <t xml:space="preserve">
проверити збир!
</t>
        </r>
      </text>
    </comment>
    <comment ref="I691" authorId="0" shapeId="0">
      <text>
        <r>
          <rPr>
            <b/>
            <sz val="9"/>
            <color indexed="81"/>
            <rFont val="Tahoma"/>
            <family val="2"/>
          </rPr>
          <t>LPA:</t>
        </r>
        <r>
          <rPr>
            <sz val="9"/>
            <color indexed="81"/>
            <rFont val="Tahoma"/>
            <family val="2"/>
          </rPr>
          <t xml:space="preserve">
проверити збир!
</t>
        </r>
      </text>
    </comment>
    <comment ref="I692" authorId="0" shapeId="0">
      <text>
        <r>
          <rPr>
            <b/>
            <sz val="9"/>
            <color indexed="81"/>
            <rFont val="Tahoma"/>
            <family val="2"/>
          </rPr>
          <t>LPA:</t>
        </r>
        <r>
          <rPr>
            <sz val="9"/>
            <color indexed="81"/>
            <rFont val="Tahoma"/>
            <family val="2"/>
          </rPr>
          <t xml:space="preserve">
проверити збир!
</t>
        </r>
      </text>
    </comment>
    <comment ref="I693" authorId="0" shapeId="0">
      <text>
        <r>
          <rPr>
            <b/>
            <sz val="9"/>
            <color indexed="81"/>
            <rFont val="Tahoma"/>
            <family val="2"/>
          </rPr>
          <t>LPA:</t>
        </r>
        <r>
          <rPr>
            <sz val="9"/>
            <color indexed="81"/>
            <rFont val="Tahoma"/>
            <family val="2"/>
          </rPr>
          <t xml:space="preserve">
проверити збир!
</t>
        </r>
      </text>
    </comment>
    <comment ref="I694" authorId="0" shapeId="0">
      <text>
        <r>
          <rPr>
            <b/>
            <sz val="9"/>
            <color indexed="81"/>
            <rFont val="Tahoma"/>
            <family val="2"/>
          </rPr>
          <t>LPA:</t>
        </r>
        <r>
          <rPr>
            <sz val="9"/>
            <color indexed="81"/>
            <rFont val="Tahoma"/>
            <family val="2"/>
          </rPr>
          <t xml:space="preserve">
проверити збир!
</t>
        </r>
      </text>
    </comment>
    <comment ref="I695" authorId="0" shapeId="0">
      <text>
        <r>
          <rPr>
            <b/>
            <sz val="9"/>
            <color indexed="81"/>
            <rFont val="Tahoma"/>
            <family val="2"/>
          </rPr>
          <t>LPA:</t>
        </r>
        <r>
          <rPr>
            <sz val="9"/>
            <color indexed="81"/>
            <rFont val="Tahoma"/>
            <family val="2"/>
          </rPr>
          <t xml:space="preserve">
проверити збир!
</t>
        </r>
      </text>
    </comment>
    <comment ref="I696" authorId="0" shapeId="0">
      <text>
        <r>
          <rPr>
            <b/>
            <sz val="9"/>
            <color indexed="81"/>
            <rFont val="Tahoma"/>
            <family val="2"/>
          </rPr>
          <t>LPA:</t>
        </r>
        <r>
          <rPr>
            <sz val="9"/>
            <color indexed="81"/>
            <rFont val="Tahoma"/>
            <family val="2"/>
          </rPr>
          <t xml:space="preserve">
проверити збир!
</t>
        </r>
      </text>
    </comment>
    <comment ref="H700" authorId="0" shapeId="0">
      <text>
        <r>
          <rPr>
            <b/>
            <sz val="9"/>
            <color indexed="81"/>
            <rFont val="Tahoma"/>
            <family val="2"/>
          </rPr>
          <t>LPA:</t>
        </r>
        <r>
          <rPr>
            <sz val="9"/>
            <color indexed="81"/>
            <rFont val="Tahoma"/>
            <family val="2"/>
          </rPr>
          <t xml:space="preserve">
провери збир!</t>
        </r>
      </text>
    </comment>
    <comment ref="I700" authorId="0" shapeId="0">
      <text>
        <r>
          <rPr>
            <b/>
            <sz val="9"/>
            <color indexed="81"/>
            <rFont val="Tahoma"/>
            <family val="2"/>
          </rPr>
          <t>LPA:</t>
        </r>
        <r>
          <rPr>
            <sz val="9"/>
            <color indexed="81"/>
            <rFont val="Tahoma"/>
            <family val="2"/>
          </rPr>
          <t xml:space="preserve">
проверити збир!
</t>
        </r>
      </text>
    </comment>
    <comment ref="I701" authorId="0" shapeId="0">
      <text>
        <r>
          <rPr>
            <b/>
            <sz val="9"/>
            <color indexed="81"/>
            <rFont val="Tahoma"/>
            <family val="2"/>
          </rPr>
          <t>LPA:</t>
        </r>
        <r>
          <rPr>
            <sz val="9"/>
            <color indexed="81"/>
            <rFont val="Tahoma"/>
            <family val="2"/>
          </rPr>
          <t xml:space="preserve">
проверити збир!
</t>
        </r>
      </text>
    </comment>
    <comment ref="I702" authorId="0" shapeId="0">
      <text>
        <r>
          <rPr>
            <b/>
            <sz val="9"/>
            <color indexed="81"/>
            <rFont val="Tahoma"/>
            <family val="2"/>
          </rPr>
          <t>LPA:</t>
        </r>
        <r>
          <rPr>
            <sz val="9"/>
            <color indexed="81"/>
            <rFont val="Tahoma"/>
            <family val="2"/>
          </rPr>
          <t xml:space="preserve">
проверити збир!
</t>
        </r>
      </text>
    </comment>
    <comment ref="I703" authorId="0" shapeId="0">
      <text>
        <r>
          <rPr>
            <b/>
            <sz val="9"/>
            <color indexed="81"/>
            <rFont val="Tahoma"/>
            <family val="2"/>
          </rPr>
          <t>LPA:</t>
        </r>
        <r>
          <rPr>
            <sz val="9"/>
            <color indexed="81"/>
            <rFont val="Tahoma"/>
            <family val="2"/>
          </rPr>
          <t xml:space="preserve">
проверити збир!
</t>
        </r>
      </text>
    </comment>
    <comment ref="I704" authorId="0" shapeId="0">
      <text>
        <r>
          <rPr>
            <b/>
            <sz val="9"/>
            <color indexed="81"/>
            <rFont val="Tahoma"/>
            <family val="2"/>
          </rPr>
          <t>LPA:</t>
        </r>
        <r>
          <rPr>
            <sz val="9"/>
            <color indexed="81"/>
            <rFont val="Tahoma"/>
            <family val="2"/>
          </rPr>
          <t xml:space="preserve">
проверити збир!
</t>
        </r>
      </text>
    </comment>
    <comment ref="I705" authorId="0" shapeId="0">
      <text>
        <r>
          <rPr>
            <b/>
            <sz val="9"/>
            <color indexed="81"/>
            <rFont val="Tahoma"/>
            <family val="2"/>
          </rPr>
          <t>LPA:</t>
        </r>
        <r>
          <rPr>
            <sz val="9"/>
            <color indexed="81"/>
            <rFont val="Tahoma"/>
            <family val="2"/>
          </rPr>
          <t xml:space="preserve">
проверити збир!
</t>
        </r>
      </text>
    </comment>
    <comment ref="I706" authorId="0" shapeId="0">
      <text>
        <r>
          <rPr>
            <b/>
            <sz val="9"/>
            <color indexed="81"/>
            <rFont val="Tahoma"/>
            <family val="2"/>
          </rPr>
          <t>LPA:</t>
        </r>
        <r>
          <rPr>
            <sz val="9"/>
            <color indexed="81"/>
            <rFont val="Tahoma"/>
            <family val="2"/>
          </rPr>
          <t xml:space="preserve">
проверити збир!
</t>
        </r>
      </text>
    </comment>
    <comment ref="I707" authorId="0" shapeId="0">
      <text>
        <r>
          <rPr>
            <b/>
            <sz val="9"/>
            <color indexed="81"/>
            <rFont val="Tahoma"/>
            <family val="2"/>
          </rPr>
          <t>LPA:</t>
        </r>
        <r>
          <rPr>
            <sz val="9"/>
            <color indexed="81"/>
            <rFont val="Tahoma"/>
            <family val="2"/>
          </rPr>
          <t xml:space="preserve">
проверити збир!
</t>
        </r>
      </text>
    </comment>
    <comment ref="I708" authorId="0" shapeId="0">
      <text>
        <r>
          <rPr>
            <b/>
            <sz val="9"/>
            <color indexed="81"/>
            <rFont val="Tahoma"/>
            <family val="2"/>
          </rPr>
          <t>LPA:</t>
        </r>
        <r>
          <rPr>
            <sz val="9"/>
            <color indexed="81"/>
            <rFont val="Tahoma"/>
            <family val="2"/>
          </rPr>
          <t xml:space="preserve">
проверити збир!
</t>
        </r>
      </text>
    </comment>
    <comment ref="I709" authorId="0" shapeId="0">
      <text>
        <r>
          <rPr>
            <b/>
            <sz val="9"/>
            <color indexed="81"/>
            <rFont val="Tahoma"/>
            <family val="2"/>
          </rPr>
          <t>LPA:</t>
        </r>
        <r>
          <rPr>
            <sz val="9"/>
            <color indexed="81"/>
            <rFont val="Tahoma"/>
            <family val="2"/>
          </rPr>
          <t xml:space="preserve">
проверити збир!
</t>
        </r>
      </text>
    </comment>
    <comment ref="I710" authorId="0" shapeId="0">
      <text>
        <r>
          <rPr>
            <b/>
            <sz val="9"/>
            <color indexed="81"/>
            <rFont val="Tahoma"/>
            <family val="2"/>
          </rPr>
          <t>LPA:</t>
        </r>
        <r>
          <rPr>
            <sz val="9"/>
            <color indexed="81"/>
            <rFont val="Tahoma"/>
            <family val="2"/>
          </rPr>
          <t xml:space="preserve">
проверити збир!
</t>
        </r>
      </text>
    </comment>
    <comment ref="I711" authorId="0" shapeId="0">
      <text>
        <r>
          <rPr>
            <b/>
            <sz val="9"/>
            <color indexed="81"/>
            <rFont val="Tahoma"/>
            <family val="2"/>
          </rPr>
          <t>LPA:</t>
        </r>
        <r>
          <rPr>
            <sz val="9"/>
            <color indexed="81"/>
            <rFont val="Tahoma"/>
            <family val="2"/>
          </rPr>
          <t xml:space="preserve">
проверити збир!
</t>
        </r>
      </text>
    </comment>
    <comment ref="I712" authorId="0" shapeId="0">
      <text>
        <r>
          <rPr>
            <b/>
            <sz val="9"/>
            <color indexed="81"/>
            <rFont val="Tahoma"/>
            <family val="2"/>
          </rPr>
          <t>LPA:</t>
        </r>
        <r>
          <rPr>
            <sz val="9"/>
            <color indexed="81"/>
            <rFont val="Tahoma"/>
            <family val="2"/>
          </rPr>
          <t xml:space="preserve">
проверити збир!
</t>
        </r>
      </text>
    </comment>
    <comment ref="I713" authorId="0" shapeId="0">
      <text>
        <r>
          <rPr>
            <b/>
            <sz val="9"/>
            <color indexed="81"/>
            <rFont val="Tahoma"/>
            <family val="2"/>
          </rPr>
          <t>LPA:</t>
        </r>
        <r>
          <rPr>
            <sz val="9"/>
            <color indexed="81"/>
            <rFont val="Tahoma"/>
            <family val="2"/>
          </rPr>
          <t xml:space="preserve">
проверити збир!
</t>
        </r>
      </text>
    </comment>
    <comment ref="I714" authorId="0" shapeId="0">
      <text>
        <r>
          <rPr>
            <b/>
            <sz val="9"/>
            <color indexed="81"/>
            <rFont val="Tahoma"/>
            <family val="2"/>
          </rPr>
          <t>LPA:</t>
        </r>
        <r>
          <rPr>
            <sz val="9"/>
            <color indexed="81"/>
            <rFont val="Tahoma"/>
            <family val="2"/>
          </rPr>
          <t xml:space="preserve">
проверити збир!
</t>
        </r>
      </text>
    </comment>
    <comment ref="I715" authorId="0" shapeId="0">
      <text>
        <r>
          <rPr>
            <b/>
            <sz val="9"/>
            <color indexed="81"/>
            <rFont val="Tahoma"/>
            <family val="2"/>
          </rPr>
          <t>LPA:</t>
        </r>
        <r>
          <rPr>
            <sz val="9"/>
            <color indexed="81"/>
            <rFont val="Tahoma"/>
            <family val="2"/>
          </rPr>
          <t xml:space="preserve">
проверити збир!
</t>
        </r>
      </text>
    </comment>
    <comment ref="H719" authorId="0" shapeId="0">
      <text>
        <r>
          <rPr>
            <b/>
            <sz val="9"/>
            <color indexed="81"/>
            <rFont val="Tahoma"/>
            <family val="2"/>
          </rPr>
          <t>LPA:</t>
        </r>
        <r>
          <rPr>
            <sz val="9"/>
            <color indexed="81"/>
            <rFont val="Tahoma"/>
            <family val="2"/>
          </rPr>
          <t xml:space="preserve">
проверити збир!</t>
        </r>
      </text>
    </comment>
    <comment ref="I719" authorId="0" shapeId="0">
      <text>
        <r>
          <rPr>
            <b/>
            <sz val="9"/>
            <color indexed="81"/>
            <rFont val="Tahoma"/>
            <family val="2"/>
          </rPr>
          <t>LPA:</t>
        </r>
        <r>
          <rPr>
            <sz val="9"/>
            <color indexed="81"/>
            <rFont val="Tahoma"/>
            <family val="2"/>
          </rPr>
          <t xml:space="preserve">
проверити збир!
</t>
        </r>
      </text>
    </comment>
    <comment ref="I720" authorId="0" shapeId="0">
      <text>
        <r>
          <rPr>
            <b/>
            <sz val="9"/>
            <color indexed="81"/>
            <rFont val="Tahoma"/>
            <family val="2"/>
          </rPr>
          <t>LPA:</t>
        </r>
        <r>
          <rPr>
            <sz val="9"/>
            <color indexed="81"/>
            <rFont val="Tahoma"/>
            <family val="2"/>
          </rPr>
          <t xml:space="preserve">
проверити збир!
</t>
        </r>
      </text>
    </comment>
    <comment ref="I721" authorId="0" shapeId="0">
      <text>
        <r>
          <rPr>
            <b/>
            <sz val="9"/>
            <color indexed="81"/>
            <rFont val="Tahoma"/>
            <family val="2"/>
          </rPr>
          <t>LPA:</t>
        </r>
        <r>
          <rPr>
            <sz val="9"/>
            <color indexed="81"/>
            <rFont val="Tahoma"/>
            <family val="2"/>
          </rPr>
          <t xml:space="preserve">
проверити збир!
</t>
        </r>
      </text>
    </comment>
    <comment ref="I722" authorId="0" shapeId="0">
      <text>
        <r>
          <rPr>
            <b/>
            <sz val="9"/>
            <color indexed="81"/>
            <rFont val="Tahoma"/>
            <family val="2"/>
          </rPr>
          <t>LPA:</t>
        </r>
        <r>
          <rPr>
            <sz val="9"/>
            <color indexed="81"/>
            <rFont val="Tahoma"/>
            <family val="2"/>
          </rPr>
          <t xml:space="preserve">
проверити збир!
</t>
        </r>
      </text>
    </comment>
    <comment ref="I723" authorId="0" shapeId="0">
      <text>
        <r>
          <rPr>
            <b/>
            <sz val="9"/>
            <color indexed="81"/>
            <rFont val="Tahoma"/>
            <family val="2"/>
          </rPr>
          <t>LPA:</t>
        </r>
        <r>
          <rPr>
            <sz val="9"/>
            <color indexed="81"/>
            <rFont val="Tahoma"/>
            <family val="2"/>
          </rPr>
          <t xml:space="preserve">
проверити збир!
</t>
        </r>
      </text>
    </comment>
    <comment ref="I724" authorId="0" shapeId="0">
      <text>
        <r>
          <rPr>
            <b/>
            <sz val="9"/>
            <color indexed="81"/>
            <rFont val="Tahoma"/>
            <family val="2"/>
          </rPr>
          <t>LPA:</t>
        </r>
        <r>
          <rPr>
            <sz val="9"/>
            <color indexed="81"/>
            <rFont val="Tahoma"/>
            <family val="2"/>
          </rPr>
          <t xml:space="preserve">
проверити збир!
</t>
        </r>
      </text>
    </comment>
    <comment ref="I725" authorId="0" shapeId="0">
      <text>
        <r>
          <rPr>
            <b/>
            <sz val="9"/>
            <color indexed="81"/>
            <rFont val="Tahoma"/>
            <family val="2"/>
          </rPr>
          <t>LPA:</t>
        </r>
        <r>
          <rPr>
            <sz val="9"/>
            <color indexed="81"/>
            <rFont val="Tahoma"/>
            <family val="2"/>
          </rPr>
          <t xml:space="preserve">
проверити збир!
</t>
        </r>
      </text>
    </comment>
    <comment ref="I726" authorId="0" shapeId="0">
      <text>
        <r>
          <rPr>
            <b/>
            <sz val="9"/>
            <color indexed="81"/>
            <rFont val="Tahoma"/>
            <family val="2"/>
          </rPr>
          <t>LPA:</t>
        </r>
        <r>
          <rPr>
            <sz val="9"/>
            <color indexed="81"/>
            <rFont val="Tahoma"/>
            <family val="2"/>
          </rPr>
          <t xml:space="preserve">
проверити збир!
</t>
        </r>
      </text>
    </comment>
    <comment ref="I727" authorId="0" shapeId="0">
      <text>
        <r>
          <rPr>
            <b/>
            <sz val="9"/>
            <color indexed="81"/>
            <rFont val="Tahoma"/>
            <family val="2"/>
          </rPr>
          <t>LPA:</t>
        </r>
        <r>
          <rPr>
            <sz val="9"/>
            <color indexed="81"/>
            <rFont val="Tahoma"/>
            <family val="2"/>
          </rPr>
          <t xml:space="preserve">
проверити збир!
</t>
        </r>
      </text>
    </comment>
    <comment ref="I728" authorId="0" shapeId="0">
      <text>
        <r>
          <rPr>
            <b/>
            <sz val="9"/>
            <color indexed="81"/>
            <rFont val="Tahoma"/>
            <family val="2"/>
          </rPr>
          <t>LPA:</t>
        </r>
        <r>
          <rPr>
            <sz val="9"/>
            <color indexed="81"/>
            <rFont val="Tahoma"/>
            <family val="2"/>
          </rPr>
          <t xml:space="preserve">
проверити збир!
</t>
        </r>
      </text>
    </comment>
    <comment ref="I729" authorId="0" shapeId="0">
      <text>
        <r>
          <rPr>
            <b/>
            <sz val="9"/>
            <color indexed="81"/>
            <rFont val="Tahoma"/>
            <family val="2"/>
          </rPr>
          <t>LPA:</t>
        </r>
        <r>
          <rPr>
            <sz val="9"/>
            <color indexed="81"/>
            <rFont val="Tahoma"/>
            <family val="2"/>
          </rPr>
          <t xml:space="preserve">
проверити збир!
</t>
        </r>
      </text>
    </comment>
    <comment ref="I730" authorId="0" shapeId="0">
      <text>
        <r>
          <rPr>
            <b/>
            <sz val="9"/>
            <color indexed="81"/>
            <rFont val="Tahoma"/>
            <family val="2"/>
          </rPr>
          <t>LPA:</t>
        </r>
        <r>
          <rPr>
            <sz val="9"/>
            <color indexed="81"/>
            <rFont val="Tahoma"/>
            <family val="2"/>
          </rPr>
          <t xml:space="preserve">
проверити збир!
</t>
        </r>
      </text>
    </comment>
    <comment ref="I731" authorId="0" shapeId="0">
      <text>
        <r>
          <rPr>
            <b/>
            <sz val="9"/>
            <color indexed="81"/>
            <rFont val="Tahoma"/>
            <family val="2"/>
          </rPr>
          <t>LPA:</t>
        </r>
        <r>
          <rPr>
            <sz val="9"/>
            <color indexed="81"/>
            <rFont val="Tahoma"/>
            <family val="2"/>
          </rPr>
          <t xml:space="preserve">
проверити збир!
</t>
        </r>
      </text>
    </comment>
    <comment ref="I732" authorId="0" shapeId="0">
      <text>
        <r>
          <rPr>
            <b/>
            <sz val="9"/>
            <color indexed="81"/>
            <rFont val="Tahoma"/>
            <family val="2"/>
          </rPr>
          <t>LPA:</t>
        </r>
        <r>
          <rPr>
            <sz val="9"/>
            <color indexed="81"/>
            <rFont val="Tahoma"/>
            <family val="2"/>
          </rPr>
          <t xml:space="preserve">
проверити збир!
</t>
        </r>
      </text>
    </comment>
    <comment ref="I733" authorId="0" shapeId="0">
      <text>
        <r>
          <rPr>
            <b/>
            <sz val="9"/>
            <color indexed="81"/>
            <rFont val="Tahoma"/>
            <family val="2"/>
          </rPr>
          <t>LPA:</t>
        </r>
        <r>
          <rPr>
            <sz val="9"/>
            <color indexed="81"/>
            <rFont val="Tahoma"/>
            <family val="2"/>
          </rPr>
          <t xml:space="preserve">
проверити збир!
</t>
        </r>
      </text>
    </comment>
    <comment ref="I734" authorId="0" shapeId="0">
      <text>
        <r>
          <rPr>
            <b/>
            <sz val="9"/>
            <color indexed="81"/>
            <rFont val="Tahoma"/>
            <family val="2"/>
          </rPr>
          <t>LPA:</t>
        </r>
        <r>
          <rPr>
            <sz val="9"/>
            <color indexed="81"/>
            <rFont val="Tahoma"/>
            <family val="2"/>
          </rPr>
          <t xml:space="preserve">
проверити збир!
</t>
        </r>
      </text>
    </comment>
    <comment ref="I806" authorId="0" shapeId="0">
      <text>
        <r>
          <rPr>
            <b/>
            <sz val="9"/>
            <color indexed="81"/>
            <rFont val="Tahoma"/>
            <family val="2"/>
          </rPr>
          <t>LPA:</t>
        </r>
        <r>
          <rPr>
            <sz val="9"/>
            <color indexed="81"/>
            <rFont val="Tahoma"/>
            <family val="2"/>
          </rPr>
          <t xml:space="preserve">
проверити збир!
</t>
        </r>
      </text>
    </comment>
    <comment ref="I807" authorId="0" shapeId="0">
      <text>
        <r>
          <rPr>
            <b/>
            <sz val="9"/>
            <color indexed="81"/>
            <rFont val="Tahoma"/>
            <family val="2"/>
          </rPr>
          <t>LPA:</t>
        </r>
        <r>
          <rPr>
            <sz val="9"/>
            <color indexed="81"/>
            <rFont val="Tahoma"/>
            <family val="2"/>
          </rPr>
          <t xml:space="preserve">
проверити збир!
</t>
        </r>
      </text>
    </comment>
    <comment ref="I808" authorId="0" shapeId="0">
      <text>
        <r>
          <rPr>
            <b/>
            <sz val="9"/>
            <color indexed="81"/>
            <rFont val="Tahoma"/>
            <family val="2"/>
          </rPr>
          <t>LPA:</t>
        </r>
        <r>
          <rPr>
            <sz val="9"/>
            <color indexed="81"/>
            <rFont val="Tahoma"/>
            <family val="2"/>
          </rPr>
          <t xml:space="preserve">
проверити збир!
</t>
        </r>
      </text>
    </comment>
    <comment ref="I809" authorId="0" shapeId="0">
      <text>
        <r>
          <rPr>
            <b/>
            <sz val="9"/>
            <color indexed="81"/>
            <rFont val="Tahoma"/>
            <family val="2"/>
          </rPr>
          <t>LPA:</t>
        </r>
        <r>
          <rPr>
            <sz val="9"/>
            <color indexed="81"/>
            <rFont val="Tahoma"/>
            <family val="2"/>
          </rPr>
          <t xml:space="preserve">
проверити збир!
</t>
        </r>
      </text>
    </comment>
    <comment ref="I810" authorId="0" shapeId="0">
      <text>
        <r>
          <rPr>
            <b/>
            <sz val="9"/>
            <color indexed="81"/>
            <rFont val="Tahoma"/>
            <family val="2"/>
          </rPr>
          <t>LPA:</t>
        </r>
        <r>
          <rPr>
            <sz val="9"/>
            <color indexed="81"/>
            <rFont val="Tahoma"/>
            <family val="2"/>
          </rPr>
          <t xml:space="preserve">
проверити збир!
</t>
        </r>
      </text>
    </comment>
    <comment ref="I811" authorId="0" shapeId="0">
      <text>
        <r>
          <rPr>
            <b/>
            <sz val="9"/>
            <color indexed="81"/>
            <rFont val="Tahoma"/>
            <family val="2"/>
          </rPr>
          <t>LPA:</t>
        </r>
        <r>
          <rPr>
            <sz val="9"/>
            <color indexed="81"/>
            <rFont val="Tahoma"/>
            <family val="2"/>
          </rPr>
          <t xml:space="preserve">
проверити збир!
</t>
        </r>
      </text>
    </comment>
    <comment ref="I812" authorId="0" shapeId="0">
      <text>
        <r>
          <rPr>
            <b/>
            <sz val="9"/>
            <color indexed="81"/>
            <rFont val="Tahoma"/>
            <family val="2"/>
          </rPr>
          <t>LPA:</t>
        </r>
        <r>
          <rPr>
            <sz val="9"/>
            <color indexed="81"/>
            <rFont val="Tahoma"/>
            <family val="2"/>
          </rPr>
          <t xml:space="preserve">
проверити збир!
</t>
        </r>
      </text>
    </comment>
    <comment ref="I813" authorId="0" shapeId="0">
      <text>
        <r>
          <rPr>
            <b/>
            <sz val="9"/>
            <color indexed="81"/>
            <rFont val="Tahoma"/>
            <family val="2"/>
          </rPr>
          <t>LPA:</t>
        </r>
        <r>
          <rPr>
            <sz val="9"/>
            <color indexed="81"/>
            <rFont val="Tahoma"/>
            <family val="2"/>
          </rPr>
          <t xml:space="preserve">
проверити збир!
</t>
        </r>
      </text>
    </comment>
    <comment ref="I814" authorId="0" shapeId="0">
      <text>
        <r>
          <rPr>
            <b/>
            <sz val="9"/>
            <color indexed="81"/>
            <rFont val="Tahoma"/>
            <family val="2"/>
          </rPr>
          <t>LPA:</t>
        </r>
        <r>
          <rPr>
            <sz val="9"/>
            <color indexed="81"/>
            <rFont val="Tahoma"/>
            <family val="2"/>
          </rPr>
          <t xml:space="preserve">
проверити збир!
</t>
        </r>
      </text>
    </comment>
    <comment ref="I815" authorId="0" shapeId="0">
      <text>
        <r>
          <rPr>
            <b/>
            <sz val="9"/>
            <color indexed="81"/>
            <rFont val="Tahoma"/>
            <family val="2"/>
          </rPr>
          <t>LPA:</t>
        </r>
        <r>
          <rPr>
            <sz val="9"/>
            <color indexed="81"/>
            <rFont val="Tahoma"/>
            <family val="2"/>
          </rPr>
          <t xml:space="preserve">
проверити збир!
</t>
        </r>
      </text>
    </comment>
    <comment ref="I816" authorId="0" shapeId="0">
      <text>
        <r>
          <rPr>
            <b/>
            <sz val="9"/>
            <color indexed="81"/>
            <rFont val="Tahoma"/>
            <family val="2"/>
          </rPr>
          <t>LPA:</t>
        </r>
        <r>
          <rPr>
            <sz val="9"/>
            <color indexed="81"/>
            <rFont val="Tahoma"/>
            <family val="2"/>
          </rPr>
          <t xml:space="preserve">
проверити збир!
</t>
        </r>
      </text>
    </comment>
    <comment ref="I817" authorId="0" shapeId="0">
      <text>
        <r>
          <rPr>
            <b/>
            <sz val="9"/>
            <color indexed="81"/>
            <rFont val="Tahoma"/>
            <family val="2"/>
          </rPr>
          <t>LPA:</t>
        </r>
        <r>
          <rPr>
            <sz val="9"/>
            <color indexed="81"/>
            <rFont val="Tahoma"/>
            <family val="2"/>
          </rPr>
          <t xml:space="preserve">
проверити збир!
</t>
        </r>
      </text>
    </comment>
    <comment ref="I818" authorId="0" shapeId="0">
      <text>
        <r>
          <rPr>
            <b/>
            <sz val="9"/>
            <color indexed="81"/>
            <rFont val="Tahoma"/>
            <family val="2"/>
          </rPr>
          <t>LPA:</t>
        </r>
        <r>
          <rPr>
            <sz val="9"/>
            <color indexed="81"/>
            <rFont val="Tahoma"/>
            <family val="2"/>
          </rPr>
          <t xml:space="preserve">
проверити збир!
</t>
        </r>
      </text>
    </comment>
    <comment ref="H821" authorId="0" shapeId="0">
      <text>
        <r>
          <rPr>
            <b/>
            <sz val="9"/>
            <color indexed="81"/>
            <rFont val="Tahoma"/>
            <family val="2"/>
          </rPr>
          <t>LPA:</t>
        </r>
        <r>
          <rPr>
            <sz val="9"/>
            <color indexed="81"/>
            <rFont val="Tahoma"/>
            <family val="2"/>
          </rPr>
          <t xml:space="preserve">
проверити збир!</t>
        </r>
      </text>
    </comment>
    <comment ref="I821" authorId="0" shapeId="0">
      <text>
        <r>
          <rPr>
            <b/>
            <sz val="9"/>
            <color indexed="81"/>
            <rFont val="Tahoma"/>
            <family val="2"/>
          </rPr>
          <t>LPA:</t>
        </r>
        <r>
          <rPr>
            <sz val="9"/>
            <color indexed="81"/>
            <rFont val="Tahoma"/>
            <family val="2"/>
          </rPr>
          <t xml:space="preserve">
проверити збир!</t>
        </r>
      </text>
    </comment>
    <comment ref="I822" authorId="0" shapeId="0">
      <text>
        <r>
          <rPr>
            <b/>
            <sz val="9"/>
            <color indexed="81"/>
            <rFont val="Tahoma"/>
            <family val="2"/>
          </rPr>
          <t>LPA:</t>
        </r>
        <r>
          <rPr>
            <sz val="9"/>
            <color indexed="81"/>
            <rFont val="Tahoma"/>
            <family val="2"/>
          </rPr>
          <t xml:space="preserve">
проверити збир!
</t>
        </r>
      </text>
    </comment>
    <comment ref="I823" authorId="0" shapeId="0">
      <text>
        <r>
          <rPr>
            <b/>
            <sz val="9"/>
            <color indexed="81"/>
            <rFont val="Tahoma"/>
            <family val="2"/>
          </rPr>
          <t>LPA:</t>
        </r>
        <r>
          <rPr>
            <sz val="9"/>
            <color indexed="81"/>
            <rFont val="Tahoma"/>
            <family val="2"/>
          </rPr>
          <t xml:space="preserve">
проверити збир!
</t>
        </r>
      </text>
    </comment>
    <comment ref="I824" authorId="0" shapeId="0">
      <text>
        <r>
          <rPr>
            <b/>
            <sz val="9"/>
            <color indexed="81"/>
            <rFont val="Tahoma"/>
            <family val="2"/>
          </rPr>
          <t>LPA:</t>
        </r>
        <r>
          <rPr>
            <sz val="9"/>
            <color indexed="81"/>
            <rFont val="Tahoma"/>
            <family val="2"/>
          </rPr>
          <t xml:space="preserve">
проверити збир!
</t>
        </r>
      </text>
    </comment>
    <comment ref="I825" authorId="0" shapeId="0">
      <text>
        <r>
          <rPr>
            <b/>
            <sz val="9"/>
            <color indexed="81"/>
            <rFont val="Tahoma"/>
            <family val="2"/>
          </rPr>
          <t>LPA:</t>
        </r>
        <r>
          <rPr>
            <sz val="9"/>
            <color indexed="81"/>
            <rFont val="Tahoma"/>
            <family val="2"/>
          </rPr>
          <t xml:space="preserve">
проверити збир!
</t>
        </r>
      </text>
    </comment>
    <comment ref="I826" authorId="0" shapeId="0">
      <text>
        <r>
          <rPr>
            <b/>
            <sz val="9"/>
            <color indexed="81"/>
            <rFont val="Tahoma"/>
            <family val="2"/>
          </rPr>
          <t>LPA:</t>
        </r>
        <r>
          <rPr>
            <sz val="9"/>
            <color indexed="81"/>
            <rFont val="Tahoma"/>
            <family val="2"/>
          </rPr>
          <t xml:space="preserve">
проверити збир!
</t>
        </r>
      </text>
    </comment>
    <comment ref="I827" authorId="0" shapeId="0">
      <text>
        <r>
          <rPr>
            <b/>
            <sz val="9"/>
            <color indexed="81"/>
            <rFont val="Tahoma"/>
            <family val="2"/>
          </rPr>
          <t>LPA:</t>
        </r>
        <r>
          <rPr>
            <sz val="9"/>
            <color indexed="81"/>
            <rFont val="Tahoma"/>
            <family val="2"/>
          </rPr>
          <t xml:space="preserve">
проверити збир!
</t>
        </r>
      </text>
    </comment>
    <comment ref="I828" authorId="0" shapeId="0">
      <text>
        <r>
          <rPr>
            <b/>
            <sz val="9"/>
            <color indexed="81"/>
            <rFont val="Tahoma"/>
            <family val="2"/>
          </rPr>
          <t>LPA:</t>
        </r>
        <r>
          <rPr>
            <sz val="9"/>
            <color indexed="81"/>
            <rFont val="Tahoma"/>
            <family val="2"/>
          </rPr>
          <t xml:space="preserve">
проверити збир!
</t>
        </r>
      </text>
    </comment>
    <comment ref="I829" authorId="0" shapeId="0">
      <text>
        <r>
          <rPr>
            <b/>
            <sz val="9"/>
            <color indexed="81"/>
            <rFont val="Tahoma"/>
            <family val="2"/>
          </rPr>
          <t>LPA:</t>
        </r>
        <r>
          <rPr>
            <sz val="9"/>
            <color indexed="81"/>
            <rFont val="Tahoma"/>
            <family val="2"/>
          </rPr>
          <t xml:space="preserve">
проверити збир!
</t>
        </r>
      </text>
    </comment>
    <comment ref="I830" authorId="0" shapeId="0">
      <text>
        <r>
          <rPr>
            <b/>
            <sz val="9"/>
            <color indexed="81"/>
            <rFont val="Tahoma"/>
            <family val="2"/>
          </rPr>
          <t>LPA:</t>
        </r>
        <r>
          <rPr>
            <sz val="9"/>
            <color indexed="81"/>
            <rFont val="Tahoma"/>
            <family val="2"/>
          </rPr>
          <t xml:space="preserve">
проверити збир!
</t>
        </r>
      </text>
    </comment>
    <comment ref="I831" authorId="0" shapeId="0">
      <text>
        <r>
          <rPr>
            <b/>
            <sz val="9"/>
            <color indexed="81"/>
            <rFont val="Tahoma"/>
            <family val="2"/>
          </rPr>
          <t>LPA:</t>
        </r>
        <r>
          <rPr>
            <sz val="9"/>
            <color indexed="81"/>
            <rFont val="Tahoma"/>
            <family val="2"/>
          </rPr>
          <t xml:space="preserve">
проверити збир!
</t>
        </r>
      </text>
    </comment>
    <comment ref="I832" authorId="0" shapeId="0">
      <text>
        <r>
          <rPr>
            <b/>
            <sz val="9"/>
            <color indexed="81"/>
            <rFont val="Tahoma"/>
            <family val="2"/>
          </rPr>
          <t>LPA:</t>
        </r>
        <r>
          <rPr>
            <sz val="9"/>
            <color indexed="81"/>
            <rFont val="Tahoma"/>
            <family val="2"/>
          </rPr>
          <t xml:space="preserve">
проверити збир!
</t>
        </r>
      </text>
    </comment>
    <comment ref="I833" authorId="0" shapeId="0">
      <text>
        <r>
          <rPr>
            <b/>
            <sz val="9"/>
            <color indexed="81"/>
            <rFont val="Tahoma"/>
            <family val="2"/>
          </rPr>
          <t>LPA:</t>
        </r>
        <r>
          <rPr>
            <sz val="9"/>
            <color indexed="81"/>
            <rFont val="Tahoma"/>
            <family val="2"/>
          </rPr>
          <t xml:space="preserve">
проверити збир!
</t>
        </r>
      </text>
    </comment>
    <comment ref="I834" authorId="0" shapeId="0">
      <text>
        <r>
          <rPr>
            <b/>
            <sz val="9"/>
            <color indexed="81"/>
            <rFont val="Tahoma"/>
            <family val="2"/>
          </rPr>
          <t>LPA:</t>
        </r>
        <r>
          <rPr>
            <sz val="9"/>
            <color indexed="81"/>
            <rFont val="Tahoma"/>
            <family val="2"/>
          </rPr>
          <t xml:space="preserve">
проверити збир!
</t>
        </r>
      </text>
    </comment>
    <comment ref="I835" authorId="0" shapeId="0">
      <text>
        <r>
          <rPr>
            <b/>
            <sz val="9"/>
            <color indexed="81"/>
            <rFont val="Tahoma"/>
            <family val="2"/>
          </rPr>
          <t>LPA:</t>
        </r>
        <r>
          <rPr>
            <sz val="9"/>
            <color indexed="81"/>
            <rFont val="Tahoma"/>
            <family val="2"/>
          </rPr>
          <t xml:space="preserve">
проверити збир!
</t>
        </r>
      </text>
    </comment>
    <comment ref="I836" authorId="0" shapeId="0">
      <text>
        <r>
          <rPr>
            <b/>
            <sz val="9"/>
            <color indexed="81"/>
            <rFont val="Tahoma"/>
            <family val="2"/>
          </rPr>
          <t>LPA:</t>
        </r>
        <r>
          <rPr>
            <sz val="9"/>
            <color indexed="81"/>
            <rFont val="Tahoma"/>
            <family val="2"/>
          </rPr>
          <t xml:space="preserve">
проверити збир!
</t>
        </r>
      </text>
    </comment>
    <comment ref="H840" authorId="0" shapeId="0">
      <text>
        <r>
          <rPr>
            <b/>
            <sz val="9"/>
            <color indexed="81"/>
            <rFont val="Tahoma"/>
            <family val="2"/>
          </rPr>
          <t>LPA:</t>
        </r>
        <r>
          <rPr>
            <sz val="9"/>
            <color indexed="81"/>
            <rFont val="Tahoma"/>
            <family val="2"/>
          </rPr>
          <t xml:space="preserve">
проверити збир!</t>
        </r>
      </text>
    </comment>
    <comment ref="I840" authorId="0" shapeId="0">
      <text>
        <r>
          <rPr>
            <b/>
            <sz val="9"/>
            <color indexed="81"/>
            <rFont val="Tahoma"/>
            <family val="2"/>
          </rPr>
          <t>LPA:</t>
        </r>
        <r>
          <rPr>
            <sz val="9"/>
            <color indexed="81"/>
            <rFont val="Tahoma"/>
            <family val="2"/>
          </rPr>
          <t xml:space="preserve">
проверити збир!
</t>
        </r>
      </text>
    </comment>
    <comment ref="I841" authorId="0" shapeId="0">
      <text>
        <r>
          <rPr>
            <b/>
            <sz val="9"/>
            <color indexed="81"/>
            <rFont val="Tahoma"/>
            <family val="2"/>
          </rPr>
          <t>LPA:</t>
        </r>
        <r>
          <rPr>
            <sz val="9"/>
            <color indexed="81"/>
            <rFont val="Tahoma"/>
            <family val="2"/>
          </rPr>
          <t xml:space="preserve">
проверити збир!
</t>
        </r>
      </text>
    </comment>
    <comment ref="I842" authorId="0" shapeId="0">
      <text>
        <r>
          <rPr>
            <b/>
            <sz val="9"/>
            <color indexed="81"/>
            <rFont val="Tahoma"/>
            <family val="2"/>
          </rPr>
          <t>LPA:</t>
        </r>
        <r>
          <rPr>
            <sz val="9"/>
            <color indexed="81"/>
            <rFont val="Tahoma"/>
            <family val="2"/>
          </rPr>
          <t xml:space="preserve">
проверити збир!
</t>
        </r>
      </text>
    </comment>
    <comment ref="I843" authorId="0" shapeId="0">
      <text>
        <r>
          <rPr>
            <b/>
            <sz val="9"/>
            <color indexed="81"/>
            <rFont val="Tahoma"/>
            <family val="2"/>
          </rPr>
          <t>LPA:</t>
        </r>
        <r>
          <rPr>
            <sz val="9"/>
            <color indexed="81"/>
            <rFont val="Tahoma"/>
            <family val="2"/>
          </rPr>
          <t xml:space="preserve">
проверити збир!
</t>
        </r>
      </text>
    </comment>
    <comment ref="I844" authorId="0" shapeId="0">
      <text>
        <r>
          <rPr>
            <b/>
            <sz val="9"/>
            <color indexed="81"/>
            <rFont val="Tahoma"/>
            <family val="2"/>
          </rPr>
          <t>LPA:</t>
        </r>
        <r>
          <rPr>
            <sz val="9"/>
            <color indexed="81"/>
            <rFont val="Tahoma"/>
            <family val="2"/>
          </rPr>
          <t xml:space="preserve">
проверити збир!
</t>
        </r>
      </text>
    </comment>
    <comment ref="I845" authorId="0" shapeId="0">
      <text>
        <r>
          <rPr>
            <b/>
            <sz val="9"/>
            <color indexed="81"/>
            <rFont val="Tahoma"/>
            <family val="2"/>
          </rPr>
          <t>LPA:</t>
        </r>
        <r>
          <rPr>
            <sz val="9"/>
            <color indexed="81"/>
            <rFont val="Tahoma"/>
            <family val="2"/>
          </rPr>
          <t xml:space="preserve">
проверити збир!
</t>
        </r>
      </text>
    </comment>
    <comment ref="I846" authorId="0" shapeId="0">
      <text>
        <r>
          <rPr>
            <b/>
            <sz val="9"/>
            <color indexed="81"/>
            <rFont val="Tahoma"/>
            <family val="2"/>
          </rPr>
          <t>LPA:</t>
        </r>
        <r>
          <rPr>
            <sz val="9"/>
            <color indexed="81"/>
            <rFont val="Tahoma"/>
            <family val="2"/>
          </rPr>
          <t xml:space="preserve">
проверити збир!
</t>
        </r>
      </text>
    </comment>
    <comment ref="I847" authorId="0" shapeId="0">
      <text>
        <r>
          <rPr>
            <b/>
            <sz val="9"/>
            <color indexed="81"/>
            <rFont val="Tahoma"/>
            <family val="2"/>
          </rPr>
          <t>LPA:</t>
        </r>
        <r>
          <rPr>
            <sz val="9"/>
            <color indexed="81"/>
            <rFont val="Tahoma"/>
            <family val="2"/>
          </rPr>
          <t xml:space="preserve">
проверити збир!
</t>
        </r>
      </text>
    </comment>
    <comment ref="I848" authorId="0" shapeId="0">
      <text>
        <r>
          <rPr>
            <b/>
            <sz val="9"/>
            <color indexed="81"/>
            <rFont val="Tahoma"/>
            <family val="2"/>
          </rPr>
          <t>LPA:</t>
        </r>
        <r>
          <rPr>
            <sz val="9"/>
            <color indexed="81"/>
            <rFont val="Tahoma"/>
            <family val="2"/>
          </rPr>
          <t xml:space="preserve">
проверити збир!
</t>
        </r>
      </text>
    </comment>
    <comment ref="I849" authorId="0" shapeId="0">
      <text>
        <r>
          <rPr>
            <b/>
            <sz val="9"/>
            <color indexed="81"/>
            <rFont val="Tahoma"/>
            <family val="2"/>
          </rPr>
          <t>LPA:</t>
        </r>
        <r>
          <rPr>
            <sz val="9"/>
            <color indexed="81"/>
            <rFont val="Tahoma"/>
            <family val="2"/>
          </rPr>
          <t xml:space="preserve">
проверити збир!
</t>
        </r>
      </text>
    </comment>
    <comment ref="I850" authorId="0" shapeId="0">
      <text>
        <r>
          <rPr>
            <b/>
            <sz val="9"/>
            <color indexed="81"/>
            <rFont val="Tahoma"/>
            <family val="2"/>
          </rPr>
          <t>LPA:</t>
        </r>
        <r>
          <rPr>
            <sz val="9"/>
            <color indexed="81"/>
            <rFont val="Tahoma"/>
            <family val="2"/>
          </rPr>
          <t xml:space="preserve">
проверити збир!
</t>
        </r>
      </text>
    </comment>
    <comment ref="I851" authorId="0" shapeId="0">
      <text>
        <r>
          <rPr>
            <b/>
            <sz val="9"/>
            <color indexed="81"/>
            <rFont val="Tahoma"/>
            <family val="2"/>
          </rPr>
          <t>LPA:</t>
        </r>
        <r>
          <rPr>
            <sz val="9"/>
            <color indexed="81"/>
            <rFont val="Tahoma"/>
            <family val="2"/>
          </rPr>
          <t xml:space="preserve">
проверити збир!
</t>
        </r>
      </text>
    </comment>
    <comment ref="I852" authorId="0" shapeId="0">
      <text>
        <r>
          <rPr>
            <b/>
            <sz val="9"/>
            <color indexed="81"/>
            <rFont val="Tahoma"/>
            <family val="2"/>
          </rPr>
          <t>LPA:</t>
        </r>
        <r>
          <rPr>
            <sz val="9"/>
            <color indexed="81"/>
            <rFont val="Tahoma"/>
            <family val="2"/>
          </rPr>
          <t xml:space="preserve">
проверити збир!
</t>
        </r>
      </text>
    </comment>
    <comment ref="I853" authorId="0" shapeId="0">
      <text>
        <r>
          <rPr>
            <b/>
            <sz val="9"/>
            <color indexed="81"/>
            <rFont val="Tahoma"/>
            <family val="2"/>
          </rPr>
          <t>LPA:</t>
        </r>
        <r>
          <rPr>
            <sz val="9"/>
            <color indexed="81"/>
            <rFont val="Tahoma"/>
            <family val="2"/>
          </rPr>
          <t xml:space="preserve">
проверити збир!
</t>
        </r>
      </text>
    </comment>
    <comment ref="I854" authorId="0" shapeId="0">
      <text>
        <r>
          <rPr>
            <b/>
            <sz val="9"/>
            <color indexed="81"/>
            <rFont val="Tahoma"/>
            <family val="2"/>
          </rPr>
          <t>LPA:</t>
        </r>
        <r>
          <rPr>
            <sz val="9"/>
            <color indexed="81"/>
            <rFont val="Tahoma"/>
            <family val="2"/>
          </rPr>
          <t xml:space="preserve">
проверити збир!
</t>
        </r>
      </text>
    </comment>
    <comment ref="I855" authorId="0" shapeId="0">
      <text>
        <r>
          <rPr>
            <b/>
            <sz val="9"/>
            <color indexed="81"/>
            <rFont val="Tahoma"/>
            <family val="2"/>
          </rPr>
          <t>LPA:</t>
        </r>
        <r>
          <rPr>
            <sz val="9"/>
            <color indexed="81"/>
            <rFont val="Tahoma"/>
            <family val="2"/>
          </rPr>
          <t xml:space="preserve">
проверити збир!
</t>
        </r>
      </text>
    </comment>
    <comment ref="H859" authorId="0" shapeId="0">
      <text>
        <r>
          <rPr>
            <b/>
            <sz val="9"/>
            <color indexed="81"/>
            <rFont val="Tahoma"/>
            <family val="2"/>
          </rPr>
          <t>LPA:</t>
        </r>
        <r>
          <rPr>
            <sz val="9"/>
            <color indexed="81"/>
            <rFont val="Tahoma"/>
            <family val="2"/>
          </rPr>
          <t xml:space="preserve">
провери збир!</t>
        </r>
      </text>
    </comment>
    <comment ref="I859" authorId="0" shapeId="0">
      <text>
        <r>
          <rPr>
            <b/>
            <sz val="9"/>
            <color indexed="81"/>
            <rFont val="Tahoma"/>
            <family val="2"/>
          </rPr>
          <t>LPA:</t>
        </r>
        <r>
          <rPr>
            <sz val="9"/>
            <color indexed="81"/>
            <rFont val="Tahoma"/>
            <family val="2"/>
          </rPr>
          <t xml:space="preserve">
проверити збир!
</t>
        </r>
      </text>
    </comment>
    <comment ref="I860" authorId="0" shapeId="0">
      <text>
        <r>
          <rPr>
            <b/>
            <sz val="9"/>
            <color indexed="81"/>
            <rFont val="Tahoma"/>
            <family val="2"/>
          </rPr>
          <t>LPA:</t>
        </r>
        <r>
          <rPr>
            <sz val="9"/>
            <color indexed="81"/>
            <rFont val="Tahoma"/>
            <family val="2"/>
          </rPr>
          <t xml:space="preserve">
проверити збир!
</t>
        </r>
      </text>
    </comment>
    <comment ref="I861" authorId="0" shapeId="0">
      <text>
        <r>
          <rPr>
            <b/>
            <sz val="9"/>
            <color indexed="81"/>
            <rFont val="Tahoma"/>
            <family val="2"/>
          </rPr>
          <t>LPA:</t>
        </r>
        <r>
          <rPr>
            <sz val="9"/>
            <color indexed="81"/>
            <rFont val="Tahoma"/>
            <family val="2"/>
          </rPr>
          <t xml:space="preserve">
проверити збир!
</t>
        </r>
      </text>
    </comment>
    <comment ref="I862" authorId="0" shapeId="0">
      <text>
        <r>
          <rPr>
            <b/>
            <sz val="9"/>
            <color indexed="81"/>
            <rFont val="Tahoma"/>
            <family val="2"/>
          </rPr>
          <t>LPA:</t>
        </r>
        <r>
          <rPr>
            <sz val="9"/>
            <color indexed="81"/>
            <rFont val="Tahoma"/>
            <family val="2"/>
          </rPr>
          <t xml:space="preserve">
проверити збир!
</t>
        </r>
      </text>
    </comment>
    <comment ref="I863" authorId="0" shapeId="0">
      <text>
        <r>
          <rPr>
            <b/>
            <sz val="9"/>
            <color indexed="81"/>
            <rFont val="Tahoma"/>
            <family val="2"/>
          </rPr>
          <t>LPA:</t>
        </r>
        <r>
          <rPr>
            <sz val="9"/>
            <color indexed="81"/>
            <rFont val="Tahoma"/>
            <family val="2"/>
          </rPr>
          <t xml:space="preserve">
проверити збир!
</t>
        </r>
      </text>
    </comment>
    <comment ref="I864" authorId="0" shapeId="0">
      <text>
        <r>
          <rPr>
            <b/>
            <sz val="9"/>
            <color indexed="81"/>
            <rFont val="Tahoma"/>
            <family val="2"/>
          </rPr>
          <t>LPA:</t>
        </r>
        <r>
          <rPr>
            <sz val="9"/>
            <color indexed="81"/>
            <rFont val="Tahoma"/>
            <family val="2"/>
          </rPr>
          <t xml:space="preserve">
проверити збир!
</t>
        </r>
      </text>
    </comment>
    <comment ref="I865" authorId="0" shapeId="0">
      <text>
        <r>
          <rPr>
            <b/>
            <sz val="9"/>
            <color indexed="81"/>
            <rFont val="Tahoma"/>
            <family val="2"/>
          </rPr>
          <t>LPA:</t>
        </r>
        <r>
          <rPr>
            <sz val="9"/>
            <color indexed="81"/>
            <rFont val="Tahoma"/>
            <family val="2"/>
          </rPr>
          <t xml:space="preserve">
проверити збир!
</t>
        </r>
      </text>
    </comment>
    <comment ref="I866" authorId="0" shapeId="0">
      <text>
        <r>
          <rPr>
            <b/>
            <sz val="9"/>
            <color indexed="81"/>
            <rFont val="Tahoma"/>
            <family val="2"/>
          </rPr>
          <t>LPA:</t>
        </r>
        <r>
          <rPr>
            <sz val="9"/>
            <color indexed="81"/>
            <rFont val="Tahoma"/>
            <family val="2"/>
          </rPr>
          <t xml:space="preserve">
проверити збир!
</t>
        </r>
      </text>
    </comment>
    <comment ref="I867" authorId="0" shapeId="0">
      <text>
        <r>
          <rPr>
            <b/>
            <sz val="9"/>
            <color indexed="81"/>
            <rFont val="Tahoma"/>
            <family val="2"/>
          </rPr>
          <t>LPA:</t>
        </r>
        <r>
          <rPr>
            <sz val="9"/>
            <color indexed="81"/>
            <rFont val="Tahoma"/>
            <family val="2"/>
          </rPr>
          <t xml:space="preserve">
проверити збир!
</t>
        </r>
      </text>
    </comment>
    <comment ref="I868" authorId="0" shapeId="0">
      <text>
        <r>
          <rPr>
            <b/>
            <sz val="9"/>
            <color indexed="81"/>
            <rFont val="Tahoma"/>
            <family val="2"/>
          </rPr>
          <t>LPA:</t>
        </r>
        <r>
          <rPr>
            <sz val="9"/>
            <color indexed="81"/>
            <rFont val="Tahoma"/>
            <family val="2"/>
          </rPr>
          <t xml:space="preserve">
проверити збир!
</t>
        </r>
      </text>
    </comment>
    <comment ref="I869" authorId="0" shapeId="0">
      <text>
        <r>
          <rPr>
            <b/>
            <sz val="9"/>
            <color indexed="81"/>
            <rFont val="Tahoma"/>
            <family val="2"/>
          </rPr>
          <t>LPA:</t>
        </r>
        <r>
          <rPr>
            <sz val="9"/>
            <color indexed="81"/>
            <rFont val="Tahoma"/>
            <family val="2"/>
          </rPr>
          <t xml:space="preserve">
проверити збир!
</t>
        </r>
      </text>
    </comment>
    <comment ref="I870" authorId="0" shapeId="0">
      <text>
        <r>
          <rPr>
            <b/>
            <sz val="9"/>
            <color indexed="81"/>
            <rFont val="Tahoma"/>
            <family val="2"/>
          </rPr>
          <t>LPA:</t>
        </r>
        <r>
          <rPr>
            <sz val="9"/>
            <color indexed="81"/>
            <rFont val="Tahoma"/>
            <family val="2"/>
          </rPr>
          <t xml:space="preserve">
проверити збир!
</t>
        </r>
      </text>
    </comment>
    <comment ref="I871" authorId="0" shapeId="0">
      <text>
        <r>
          <rPr>
            <b/>
            <sz val="9"/>
            <color indexed="81"/>
            <rFont val="Tahoma"/>
            <family val="2"/>
          </rPr>
          <t>LPA:</t>
        </r>
        <r>
          <rPr>
            <sz val="9"/>
            <color indexed="81"/>
            <rFont val="Tahoma"/>
            <family val="2"/>
          </rPr>
          <t xml:space="preserve">
проверити збир!
</t>
        </r>
      </text>
    </comment>
    <comment ref="I872" authorId="0" shapeId="0">
      <text>
        <r>
          <rPr>
            <b/>
            <sz val="9"/>
            <color indexed="81"/>
            <rFont val="Tahoma"/>
            <family val="2"/>
          </rPr>
          <t>LPA:</t>
        </r>
        <r>
          <rPr>
            <sz val="9"/>
            <color indexed="81"/>
            <rFont val="Tahoma"/>
            <family val="2"/>
          </rPr>
          <t xml:space="preserve">
проверити збир!
</t>
        </r>
      </text>
    </comment>
    <comment ref="I873" authorId="0" shapeId="0">
      <text>
        <r>
          <rPr>
            <b/>
            <sz val="9"/>
            <color indexed="81"/>
            <rFont val="Tahoma"/>
            <family val="2"/>
          </rPr>
          <t>LPA:</t>
        </r>
        <r>
          <rPr>
            <sz val="9"/>
            <color indexed="81"/>
            <rFont val="Tahoma"/>
            <family val="2"/>
          </rPr>
          <t xml:space="preserve">
проверити збир!
</t>
        </r>
      </text>
    </comment>
    <comment ref="I874" authorId="0" shapeId="0">
      <text>
        <r>
          <rPr>
            <b/>
            <sz val="9"/>
            <color indexed="81"/>
            <rFont val="Tahoma"/>
            <family val="2"/>
          </rPr>
          <t>LPA:</t>
        </r>
        <r>
          <rPr>
            <sz val="9"/>
            <color indexed="81"/>
            <rFont val="Tahoma"/>
            <family val="2"/>
          </rPr>
          <t xml:space="preserve">
проверити збир!
</t>
        </r>
      </text>
    </comment>
    <comment ref="H878" authorId="0" shapeId="0">
      <text>
        <r>
          <rPr>
            <b/>
            <sz val="9"/>
            <color indexed="81"/>
            <rFont val="Tahoma"/>
            <family val="2"/>
          </rPr>
          <t>LPA:</t>
        </r>
        <r>
          <rPr>
            <sz val="9"/>
            <color indexed="81"/>
            <rFont val="Tahoma"/>
            <family val="2"/>
          </rPr>
          <t xml:space="preserve">
проверити збир!</t>
        </r>
      </text>
    </comment>
    <comment ref="I878" authorId="0" shapeId="0">
      <text>
        <r>
          <rPr>
            <b/>
            <sz val="9"/>
            <color indexed="81"/>
            <rFont val="Tahoma"/>
            <family val="2"/>
          </rPr>
          <t>LPA:</t>
        </r>
        <r>
          <rPr>
            <sz val="9"/>
            <color indexed="81"/>
            <rFont val="Tahoma"/>
            <family val="2"/>
          </rPr>
          <t xml:space="preserve">
проверити збир!
</t>
        </r>
      </text>
    </comment>
    <comment ref="I879" authorId="0" shapeId="0">
      <text>
        <r>
          <rPr>
            <b/>
            <sz val="9"/>
            <color indexed="81"/>
            <rFont val="Tahoma"/>
            <family val="2"/>
          </rPr>
          <t>LPA:</t>
        </r>
        <r>
          <rPr>
            <sz val="9"/>
            <color indexed="81"/>
            <rFont val="Tahoma"/>
            <family val="2"/>
          </rPr>
          <t xml:space="preserve">
проверити збир!
</t>
        </r>
      </text>
    </comment>
    <comment ref="I880" authorId="0" shapeId="0">
      <text>
        <r>
          <rPr>
            <b/>
            <sz val="9"/>
            <color indexed="81"/>
            <rFont val="Tahoma"/>
            <family val="2"/>
          </rPr>
          <t>LPA:</t>
        </r>
        <r>
          <rPr>
            <sz val="9"/>
            <color indexed="81"/>
            <rFont val="Tahoma"/>
            <family val="2"/>
          </rPr>
          <t xml:space="preserve">
проверити збир!
</t>
        </r>
      </text>
    </comment>
    <comment ref="I881" authorId="0" shapeId="0">
      <text>
        <r>
          <rPr>
            <b/>
            <sz val="9"/>
            <color indexed="81"/>
            <rFont val="Tahoma"/>
            <family val="2"/>
          </rPr>
          <t>LPA:</t>
        </r>
        <r>
          <rPr>
            <sz val="9"/>
            <color indexed="81"/>
            <rFont val="Tahoma"/>
            <family val="2"/>
          </rPr>
          <t xml:space="preserve">
проверити збир!
</t>
        </r>
      </text>
    </comment>
    <comment ref="I882" authorId="0" shapeId="0">
      <text>
        <r>
          <rPr>
            <b/>
            <sz val="9"/>
            <color indexed="81"/>
            <rFont val="Tahoma"/>
            <family val="2"/>
          </rPr>
          <t>LPA:</t>
        </r>
        <r>
          <rPr>
            <sz val="9"/>
            <color indexed="81"/>
            <rFont val="Tahoma"/>
            <family val="2"/>
          </rPr>
          <t xml:space="preserve">
проверити збир!
</t>
        </r>
      </text>
    </comment>
    <comment ref="I883" authorId="0" shapeId="0">
      <text>
        <r>
          <rPr>
            <b/>
            <sz val="9"/>
            <color indexed="81"/>
            <rFont val="Tahoma"/>
            <family val="2"/>
          </rPr>
          <t>LPA:</t>
        </r>
        <r>
          <rPr>
            <sz val="9"/>
            <color indexed="81"/>
            <rFont val="Tahoma"/>
            <family val="2"/>
          </rPr>
          <t xml:space="preserve">
проверити збир!
</t>
        </r>
      </text>
    </comment>
    <comment ref="I884" authorId="0" shapeId="0">
      <text>
        <r>
          <rPr>
            <b/>
            <sz val="9"/>
            <color indexed="81"/>
            <rFont val="Tahoma"/>
            <family val="2"/>
          </rPr>
          <t>LPA:</t>
        </r>
        <r>
          <rPr>
            <sz val="9"/>
            <color indexed="81"/>
            <rFont val="Tahoma"/>
            <family val="2"/>
          </rPr>
          <t xml:space="preserve">
проверити збир!
</t>
        </r>
      </text>
    </comment>
    <comment ref="I885" authorId="0" shapeId="0">
      <text>
        <r>
          <rPr>
            <b/>
            <sz val="9"/>
            <color indexed="81"/>
            <rFont val="Tahoma"/>
            <family val="2"/>
          </rPr>
          <t>LPA:</t>
        </r>
        <r>
          <rPr>
            <sz val="9"/>
            <color indexed="81"/>
            <rFont val="Tahoma"/>
            <family val="2"/>
          </rPr>
          <t xml:space="preserve">
проверити збир!
</t>
        </r>
      </text>
    </comment>
    <comment ref="I886" authorId="0" shapeId="0">
      <text>
        <r>
          <rPr>
            <b/>
            <sz val="9"/>
            <color indexed="81"/>
            <rFont val="Tahoma"/>
            <family val="2"/>
          </rPr>
          <t>LPA:</t>
        </r>
        <r>
          <rPr>
            <sz val="9"/>
            <color indexed="81"/>
            <rFont val="Tahoma"/>
            <family val="2"/>
          </rPr>
          <t xml:space="preserve">
проверити збир!
</t>
        </r>
      </text>
    </comment>
    <comment ref="I887" authorId="0" shapeId="0">
      <text>
        <r>
          <rPr>
            <b/>
            <sz val="9"/>
            <color indexed="81"/>
            <rFont val="Tahoma"/>
            <family val="2"/>
          </rPr>
          <t>LPA:</t>
        </r>
        <r>
          <rPr>
            <sz val="9"/>
            <color indexed="81"/>
            <rFont val="Tahoma"/>
            <family val="2"/>
          </rPr>
          <t xml:space="preserve">
проверити збир!
</t>
        </r>
      </text>
    </comment>
    <comment ref="I888" authorId="0" shapeId="0">
      <text>
        <r>
          <rPr>
            <b/>
            <sz val="9"/>
            <color indexed="81"/>
            <rFont val="Tahoma"/>
            <family val="2"/>
          </rPr>
          <t>LPA:</t>
        </r>
        <r>
          <rPr>
            <sz val="9"/>
            <color indexed="81"/>
            <rFont val="Tahoma"/>
            <family val="2"/>
          </rPr>
          <t xml:space="preserve">
проверити збир!
</t>
        </r>
      </text>
    </comment>
    <comment ref="I889" authorId="0" shapeId="0">
      <text>
        <r>
          <rPr>
            <b/>
            <sz val="9"/>
            <color indexed="81"/>
            <rFont val="Tahoma"/>
            <family val="2"/>
          </rPr>
          <t>LPA:</t>
        </r>
        <r>
          <rPr>
            <sz val="9"/>
            <color indexed="81"/>
            <rFont val="Tahoma"/>
            <family val="2"/>
          </rPr>
          <t xml:space="preserve">
проверити збир!
</t>
        </r>
      </text>
    </comment>
    <comment ref="I890" authorId="0" shapeId="0">
      <text>
        <r>
          <rPr>
            <b/>
            <sz val="9"/>
            <color indexed="81"/>
            <rFont val="Tahoma"/>
            <family val="2"/>
          </rPr>
          <t>LPA:</t>
        </r>
        <r>
          <rPr>
            <sz val="9"/>
            <color indexed="81"/>
            <rFont val="Tahoma"/>
            <family val="2"/>
          </rPr>
          <t xml:space="preserve">
проверити збир!
</t>
        </r>
      </text>
    </comment>
    <comment ref="I891" authorId="0" shapeId="0">
      <text>
        <r>
          <rPr>
            <b/>
            <sz val="9"/>
            <color indexed="81"/>
            <rFont val="Tahoma"/>
            <family val="2"/>
          </rPr>
          <t>LPA:</t>
        </r>
        <r>
          <rPr>
            <sz val="9"/>
            <color indexed="81"/>
            <rFont val="Tahoma"/>
            <family val="2"/>
          </rPr>
          <t xml:space="preserve">
проверити збир!
</t>
        </r>
      </text>
    </comment>
    <comment ref="I892" authorId="0" shapeId="0">
      <text>
        <r>
          <rPr>
            <b/>
            <sz val="9"/>
            <color indexed="81"/>
            <rFont val="Tahoma"/>
            <family val="2"/>
          </rPr>
          <t>LPA:</t>
        </r>
        <r>
          <rPr>
            <sz val="9"/>
            <color indexed="81"/>
            <rFont val="Tahoma"/>
            <family val="2"/>
          </rPr>
          <t xml:space="preserve">
проверити збир!
</t>
        </r>
      </text>
    </comment>
    <comment ref="I893" authorId="0" shapeId="0">
      <text>
        <r>
          <rPr>
            <b/>
            <sz val="9"/>
            <color indexed="81"/>
            <rFont val="Tahoma"/>
            <family val="2"/>
          </rPr>
          <t>LPA:</t>
        </r>
        <r>
          <rPr>
            <sz val="9"/>
            <color indexed="81"/>
            <rFont val="Tahoma"/>
            <family val="2"/>
          </rPr>
          <t xml:space="preserve">
проверити збир!
</t>
        </r>
      </text>
    </comment>
    <comment ref="I914" authorId="0" shapeId="0">
      <text>
        <r>
          <rPr>
            <b/>
            <sz val="9"/>
            <color indexed="81"/>
            <rFont val="Tahoma"/>
            <family val="2"/>
          </rPr>
          <t>LPA:</t>
        </r>
        <r>
          <rPr>
            <sz val="9"/>
            <color indexed="81"/>
            <rFont val="Tahoma"/>
            <family val="2"/>
          </rPr>
          <t xml:space="preserve">
проверити збир!
</t>
        </r>
      </text>
    </comment>
    <comment ref="I915" authorId="0" shapeId="0">
      <text>
        <r>
          <rPr>
            <b/>
            <sz val="9"/>
            <color indexed="81"/>
            <rFont val="Tahoma"/>
            <family val="2"/>
          </rPr>
          <t>LPA:</t>
        </r>
        <r>
          <rPr>
            <sz val="9"/>
            <color indexed="81"/>
            <rFont val="Tahoma"/>
            <family val="2"/>
          </rPr>
          <t xml:space="preserve">
проверити збир!
</t>
        </r>
      </text>
    </comment>
    <comment ref="I916" authorId="0" shapeId="0">
      <text>
        <r>
          <rPr>
            <b/>
            <sz val="9"/>
            <color indexed="81"/>
            <rFont val="Tahoma"/>
            <family val="2"/>
          </rPr>
          <t>LPA:</t>
        </r>
        <r>
          <rPr>
            <sz val="9"/>
            <color indexed="81"/>
            <rFont val="Tahoma"/>
            <family val="2"/>
          </rPr>
          <t xml:space="preserve">
проверити збир!
</t>
        </r>
      </text>
    </comment>
    <comment ref="I917" authorId="0" shapeId="0">
      <text>
        <r>
          <rPr>
            <b/>
            <sz val="9"/>
            <color indexed="81"/>
            <rFont val="Tahoma"/>
            <family val="2"/>
          </rPr>
          <t>LPA:</t>
        </r>
        <r>
          <rPr>
            <sz val="9"/>
            <color indexed="81"/>
            <rFont val="Tahoma"/>
            <family val="2"/>
          </rPr>
          <t xml:space="preserve">
проверити збир!
</t>
        </r>
      </text>
    </comment>
    <comment ref="I918" authorId="0" shapeId="0">
      <text>
        <r>
          <rPr>
            <b/>
            <sz val="9"/>
            <color indexed="81"/>
            <rFont val="Tahoma"/>
            <family val="2"/>
          </rPr>
          <t>LPA:</t>
        </r>
        <r>
          <rPr>
            <sz val="9"/>
            <color indexed="81"/>
            <rFont val="Tahoma"/>
            <family val="2"/>
          </rPr>
          <t xml:space="preserve">
проверити збир!
</t>
        </r>
      </text>
    </comment>
    <comment ref="I919" authorId="0" shapeId="0">
      <text>
        <r>
          <rPr>
            <b/>
            <sz val="9"/>
            <color indexed="81"/>
            <rFont val="Tahoma"/>
            <family val="2"/>
          </rPr>
          <t>LPA:</t>
        </r>
        <r>
          <rPr>
            <sz val="9"/>
            <color indexed="81"/>
            <rFont val="Tahoma"/>
            <family val="2"/>
          </rPr>
          <t xml:space="preserve">
проверити збир!
</t>
        </r>
      </text>
    </comment>
    <comment ref="I920" authorId="0" shapeId="0">
      <text>
        <r>
          <rPr>
            <b/>
            <sz val="9"/>
            <color indexed="81"/>
            <rFont val="Tahoma"/>
            <family val="2"/>
          </rPr>
          <t>LPA:</t>
        </r>
        <r>
          <rPr>
            <sz val="9"/>
            <color indexed="81"/>
            <rFont val="Tahoma"/>
            <family val="2"/>
          </rPr>
          <t xml:space="preserve">
проверити збир!
</t>
        </r>
      </text>
    </comment>
    <comment ref="I921" authorId="0" shapeId="0">
      <text>
        <r>
          <rPr>
            <b/>
            <sz val="9"/>
            <color indexed="81"/>
            <rFont val="Tahoma"/>
            <family val="2"/>
          </rPr>
          <t>LPA:</t>
        </r>
        <r>
          <rPr>
            <sz val="9"/>
            <color indexed="81"/>
            <rFont val="Tahoma"/>
            <family val="2"/>
          </rPr>
          <t xml:space="preserve">
проверити збир!
</t>
        </r>
      </text>
    </comment>
    <comment ref="I922" authorId="0" shapeId="0">
      <text>
        <r>
          <rPr>
            <b/>
            <sz val="9"/>
            <color indexed="81"/>
            <rFont val="Tahoma"/>
            <family val="2"/>
          </rPr>
          <t>LPA:</t>
        </r>
        <r>
          <rPr>
            <sz val="9"/>
            <color indexed="81"/>
            <rFont val="Tahoma"/>
            <family val="2"/>
          </rPr>
          <t xml:space="preserve">
проверити збир!
</t>
        </r>
      </text>
    </comment>
    <comment ref="I923" authorId="0" shapeId="0">
      <text>
        <r>
          <rPr>
            <b/>
            <sz val="9"/>
            <color indexed="81"/>
            <rFont val="Tahoma"/>
            <family val="2"/>
          </rPr>
          <t>LPA:</t>
        </r>
        <r>
          <rPr>
            <sz val="9"/>
            <color indexed="81"/>
            <rFont val="Tahoma"/>
            <family val="2"/>
          </rPr>
          <t xml:space="preserve">
проверити збир!
</t>
        </r>
      </text>
    </comment>
    <comment ref="I924" authorId="0" shapeId="0">
      <text>
        <r>
          <rPr>
            <b/>
            <sz val="9"/>
            <color indexed="81"/>
            <rFont val="Tahoma"/>
            <family val="2"/>
          </rPr>
          <t>LPA:</t>
        </r>
        <r>
          <rPr>
            <sz val="9"/>
            <color indexed="81"/>
            <rFont val="Tahoma"/>
            <family val="2"/>
          </rPr>
          <t xml:space="preserve">
проверити збир!
</t>
        </r>
      </text>
    </comment>
    <comment ref="I925" authorId="0" shapeId="0">
      <text>
        <r>
          <rPr>
            <b/>
            <sz val="9"/>
            <color indexed="81"/>
            <rFont val="Tahoma"/>
            <family val="2"/>
          </rPr>
          <t>LPA:</t>
        </r>
        <r>
          <rPr>
            <sz val="9"/>
            <color indexed="81"/>
            <rFont val="Tahoma"/>
            <family val="2"/>
          </rPr>
          <t xml:space="preserve">
проверити збир!
</t>
        </r>
      </text>
    </comment>
    <comment ref="I926" authorId="0" shapeId="0">
      <text>
        <r>
          <rPr>
            <b/>
            <sz val="9"/>
            <color indexed="81"/>
            <rFont val="Tahoma"/>
            <family val="2"/>
          </rPr>
          <t>LPA:</t>
        </r>
        <r>
          <rPr>
            <sz val="9"/>
            <color indexed="81"/>
            <rFont val="Tahoma"/>
            <family val="2"/>
          </rPr>
          <t xml:space="preserve">
проверити збир!
</t>
        </r>
      </text>
    </comment>
    <comment ref="H929" authorId="0" shapeId="0">
      <text>
        <r>
          <rPr>
            <b/>
            <sz val="9"/>
            <color indexed="81"/>
            <rFont val="Tahoma"/>
            <family val="2"/>
          </rPr>
          <t>LPA:</t>
        </r>
        <r>
          <rPr>
            <sz val="9"/>
            <color indexed="81"/>
            <rFont val="Tahoma"/>
            <family val="2"/>
          </rPr>
          <t xml:space="preserve">
проверити збир!</t>
        </r>
      </text>
    </comment>
    <comment ref="I929" authorId="0" shapeId="0">
      <text>
        <r>
          <rPr>
            <b/>
            <sz val="9"/>
            <color indexed="81"/>
            <rFont val="Tahoma"/>
            <family val="2"/>
          </rPr>
          <t>LPA:</t>
        </r>
        <r>
          <rPr>
            <sz val="9"/>
            <color indexed="81"/>
            <rFont val="Tahoma"/>
            <family val="2"/>
          </rPr>
          <t xml:space="preserve">
проверити збир!</t>
        </r>
      </text>
    </comment>
    <comment ref="I930" authorId="0" shapeId="0">
      <text>
        <r>
          <rPr>
            <b/>
            <sz val="9"/>
            <color indexed="81"/>
            <rFont val="Tahoma"/>
            <family val="2"/>
          </rPr>
          <t>LPA:</t>
        </r>
        <r>
          <rPr>
            <sz val="9"/>
            <color indexed="81"/>
            <rFont val="Tahoma"/>
            <family val="2"/>
          </rPr>
          <t xml:space="preserve">
проверити збир!
</t>
        </r>
      </text>
    </comment>
    <comment ref="I931" authorId="0" shapeId="0">
      <text>
        <r>
          <rPr>
            <b/>
            <sz val="9"/>
            <color indexed="81"/>
            <rFont val="Tahoma"/>
            <family val="2"/>
          </rPr>
          <t>LPA:</t>
        </r>
        <r>
          <rPr>
            <sz val="9"/>
            <color indexed="81"/>
            <rFont val="Tahoma"/>
            <family val="2"/>
          </rPr>
          <t xml:space="preserve">
проверити збир!
</t>
        </r>
      </text>
    </comment>
    <comment ref="I932" authorId="0" shapeId="0">
      <text>
        <r>
          <rPr>
            <b/>
            <sz val="9"/>
            <color indexed="81"/>
            <rFont val="Tahoma"/>
            <family val="2"/>
          </rPr>
          <t>LPA:</t>
        </r>
        <r>
          <rPr>
            <sz val="9"/>
            <color indexed="81"/>
            <rFont val="Tahoma"/>
            <family val="2"/>
          </rPr>
          <t xml:space="preserve">
проверити збир!
</t>
        </r>
      </text>
    </comment>
    <comment ref="I933" authorId="0" shapeId="0">
      <text>
        <r>
          <rPr>
            <b/>
            <sz val="9"/>
            <color indexed="81"/>
            <rFont val="Tahoma"/>
            <family val="2"/>
          </rPr>
          <t>LPA:</t>
        </r>
        <r>
          <rPr>
            <sz val="9"/>
            <color indexed="81"/>
            <rFont val="Tahoma"/>
            <family val="2"/>
          </rPr>
          <t xml:space="preserve">
проверити збир!
</t>
        </r>
      </text>
    </comment>
    <comment ref="I934" authorId="0" shapeId="0">
      <text>
        <r>
          <rPr>
            <b/>
            <sz val="9"/>
            <color indexed="81"/>
            <rFont val="Tahoma"/>
            <family val="2"/>
          </rPr>
          <t>LPA:</t>
        </r>
        <r>
          <rPr>
            <sz val="9"/>
            <color indexed="81"/>
            <rFont val="Tahoma"/>
            <family val="2"/>
          </rPr>
          <t xml:space="preserve">
проверити збир!
</t>
        </r>
      </text>
    </comment>
    <comment ref="I935" authorId="0" shapeId="0">
      <text>
        <r>
          <rPr>
            <b/>
            <sz val="9"/>
            <color indexed="81"/>
            <rFont val="Tahoma"/>
            <family val="2"/>
          </rPr>
          <t>LPA:</t>
        </r>
        <r>
          <rPr>
            <sz val="9"/>
            <color indexed="81"/>
            <rFont val="Tahoma"/>
            <family val="2"/>
          </rPr>
          <t xml:space="preserve">
проверити збир!
</t>
        </r>
      </text>
    </comment>
    <comment ref="I936" authorId="0" shapeId="0">
      <text>
        <r>
          <rPr>
            <b/>
            <sz val="9"/>
            <color indexed="81"/>
            <rFont val="Tahoma"/>
            <family val="2"/>
          </rPr>
          <t>LPA:</t>
        </r>
        <r>
          <rPr>
            <sz val="9"/>
            <color indexed="81"/>
            <rFont val="Tahoma"/>
            <family val="2"/>
          </rPr>
          <t xml:space="preserve">
проверити збир!
</t>
        </r>
      </text>
    </comment>
    <comment ref="I937" authorId="0" shapeId="0">
      <text>
        <r>
          <rPr>
            <b/>
            <sz val="9"/>
            <color indexed="81"/>
            <rFont val="Tahoma"/>
            <family val="2"/>
          </rPr>
          <t>LPA:</t>
        </r>
        <r>
          <rPr>
            <sz val="9"/>
            <color indexed="81"/>
            <rFont val="Tahoma"/>
            <family val="2"/>
          </rPr>
          <t xml:space="preserve">
проверити збир!
</t>
        </r>
      </text>
    </comment>
    <comment ref="I938" authorId="0" shapeId="0">
      <text>
        <r>
          <rPr>
            <b/>
            <sz val="9"/>
            <color indexed="81"/>
            <rFont val="Tahoma"/>
            <family val="2"/>
          </rPr>
          <t>LPA:</t>
        </r>
        <r>
          <rPr>
            <sz val="9"/>
            <color indexed="81"/>
            <rFont val="Tahoma"/>
            <family val="2"/>
          </rPr>
          <t xml:space="preserve">
проверити збир!
</t>
        </r>
      </text>
    </comment>
    <comment ref="I939" authorId="0" shapeId="0">
      <text>
        <r>
          <rPr>
            <b/>
            <sz val="9"/>
            <color indexed="81"/>
            <rFont val="Tahoma"/>
            <family val="2"/>
          </rPr>
          <t>LPA:</t>
        </r>
        <r>
          <rPr>
            <sz val="9"/>
            <color indexed="81"/>
            <rFont val="Tahoma"/>
            <family val="2"/>
          </rPr>
          <t xml:space="preserve">
проверити збир!
</t>
        </r>
      </text>
    </comment>
    <comment ref="I940" authorId="0" shapeId="0">
      <text>
        <r>
          <rPr>
            <b/>
            <sz val="9"/>
            <color indexed="81"/>
            <rFont val="Tahoma"/>
            <family val="2"/>
          </rPr>
          <t>LPA:</t>
        </r>
        <r>
          <rPr>
            <sz val="9"/>
            <color indexed="81"/>
            <rFont val="Tahoma"/>
            <family val="2"/>
          </rPr>
          <t xml:space="preserve">
проверити збир!
</t>
        </r>
      </text>
    </comment>
    <comment ref="I941" authorId="0" shapeId="0">
      <text>
        <r>
          <rPr>
            <b/>
            <sz val="9"/>
            <color indexed="81"/>
            <rFont val="Tahoma"/>
            <family val="2"/>
          </rPr>
          <t>LPA:</t>
        </r>
        <r>
          <rPr>
            <sz val="9"/>
            <color indexed="81"/>
            <rFont val="Tahoma"/>
            <family val="2"/>
          </rPr>
          <t xml:space="preserve">
проверити збир!
</t>
        </r>
      </text>
    </comment>
    <comment ref="I942" authorId="0" shapeId="0">
      <text>
        <r>
          <rPr>
            <b/>
            <sz val="9"/>
            <color indexed="81"/>
            <rFont val="Tahoma"/>
            <family val="2"/>
          </rPr>
          <t>LPA:</t>
        </r>
        <r>
          <rPr>
            <sz val="9"/>
            <color indexed="81"/>
            <rFont val="Tahoma"/>
            <family val="2"/>
          </rPr>
          <t xml:space="preserve">
проверити збир!
</t>
        </r>
      </text>
    </comment>
    <comment ref="I943" authorId="0" shapeId="0">
      <text>
        <r>
          <rPr>
            <b/>
            <sz val="9"/>
            <color indexed="81"/>
            <rFont val="Tahoma"/>
            <family val="2"/>
          </rPr>
          <t>LPA:</t>
        </r>
        <r>
          <rPr>
            <sz val="9"/>
            <color indexed="81"/>
            <rFont val="Tahoma"/>
            <family val="2"/>
          </rPr>
          <t xml:space="preserve">
проверити збир!
</t>
        </r>
      </text>
    </comment>
    <comment ref="I944" authorId="0" shapeId="0">
      <text>
        <r>
          <rPr>
            <b/>
            <sz val="9"/>
            <color indexed="81"/>
            <rFont val="Tahoma"/>
            <family val="2"/>
          </rPr>
          <t>LPA:</t>
        </r>
        <r>
          <rPr>
            <sz val="9"/>
            <color indexed="81"/>
            <rFont val="Tahoma"/>
            <family val="2"/>
          </rPr>
          <t xml:space="preserve">
проверити збир!
</t>
        </r>
      </text>
    </comment>
    <comment ref="H953" authorId="0" shapeId="0">
      <text>
        <r>
          <rPr>
            <b/>
            <sz val="9"/>
            <color indexed="81"/>
            <rFont val="Tahoma"/>
            <family val="2"/>
            <charset val="238"/>
          </rPr>
          <t>LPA:</t>
        </r>
        <r>
          <rPr>
            <sz val="9"/>
            <color indexed="81"/>
            <rFont val="Tahoma"/>
            <family val="2"/>
            <charset val="238"/>
          </rPr>
          <t xml:space="preserve">
суфинансирање пројеката са међународним организацијама</t>
        </r>
      </text>
    </comment>
    <comment ref="H957" authorId="0" shapeId="0">
      <text>
        <r>
          <rPr>
            <b/>
            <sz val="9"/>
            <color indexed="81"/>
            <rFont val="Tahoma"/>
            <family val="2"/>
            <charset val="238"/>
          </rPr>
          <t>LPA:</t>
        </r>
        <r>
          <rPr>
            <sz val="9"/>
            <color indexed="81"/>
            <rFont val="Tahoma"/>
            <family val="2"/>
            <charset val="238"/>
          </rPr>
          <t xml:space="preserve">
ово су позиције из развојног фонда, за опремање индустријске зоне, израду пројектне документације и пројекти у сарадњи са међународним организацијама и републичким органима</t>
        </r>
      </text>
    </comment>
    <comment ref="H958" authorId="0" shapeId="0">
      <text>
        <r>
          <rPr>
            <b/>
            <sz val="9"/>
            <color indexed="81"/>
            <rFont val="Tahoma"/>
            <family val="2"/>
            <charset val="238"/>
          </rPr>
          <t>LPA:</t>
        </r>
        <r>
          <rPr>
            <sz val="9"/>
            <color indexed="81"/>
            <rFont val="Tahoma"/>
            <family val="2"/>
            <charset val="238"/>
          </rPr>
          <t xml:space="preserve">
експропријација за заобилазницу</t>
        </r>
      </text>
    </comment>
    <comment ref="I963" authorId="0" shapeId="0">
      <text>
        <r>
          <rPr>
            <b/>
            <sz val="9"/>
            <color indexed="81"/>
            <rFont val="Tahoma"/>
            <family val="2"/>
          </rPr>
          <t>LPA:</t>
        </r>
        <r>
          <rPr>
            <sz val="9"/>
            <color indexed="81"/>
            <rFont val="Tahoma"/>
            <family val="2"/>
          </rPr>
          <t xml:space="preserve">
проверити збир!
</t>
        </r>
      </text>
    </comment>
    <comment ref="I964" authorId="0" shapeId="0">
      <text>
        <r>
          <rPr>
            <b/>
            <sz val="9"/>
            <color indexed="81"/>
            <rFont val="Tahoma"/>
            <family val="2"/>
          </rPr>
          <t>LPA:</t>
        </r>
        <r>
          <rPr>
            <sz val="9"/>
            <color indexed="81"/>
            <rFont val="Tahoma"/>
            <family val="2"/>
          </rPr>
          <t xml:space="preserve">
проверити збир!
</t>
        </r>
      </text>
    </comment>
    <comment ref="I965" authorId="0" shapeId="0">
      <text>
        <r>
          <rPr>
            <b/>
            <sz val="9"/>
            <color indexed="81"/>
            <rFont val="Tahoma"/>
            <family val="2"/>
          </rPr>
          <t>LPA:</t>
        </r>
        <r>
          <rPr>
            <sz val="9"/>
            <color indexed="81"/>
            <rFont val="Tahoma"/>
            <family val="2"/>
          </rPr>
          <t xml:space="preserve">
проверити збир!
</t>
        </r>
      </text>
    </comment>
    <comment ref="I966" authorId="0" shapeId="0">
      <text>
        <r>
          <rPr>
            <b/>
            <sz val="9"/>
            <color indexed="81"/>
            <rFont val="Tahoma"/>
            <family val="2"/>
          </rPr>
          <t>LPA:</t>
        </r>
        <r>
          <rPr>
            <sz val="9"/>
            <color indexed="81"/>
            <rFont val="Tahoma"/>
            <family val="2"/>
          </rPr>
          <t xml:space="preserve">
проверити збир!
</t>
        </r>
      </text>
    </comment>
    <comment ref="I967" authorId="0" shapeId="0">
      <text>
        <r>
          <rPr>
            <b/>
            <sz val="9"/>
            <color indexed="81"/>
            <rFont val="Tahoma"/>
            <family val="2"/>
          </rPr>
          <t>LPA:</t>
        </r>
        <r>
          <rPr>
            <sz val="9"/>
            <color indexed="81"/>
            <rFont val="Tahoma"/>
            <family val="2"/>
          </rPr>
          <t xml:space="preserve">
проверити збир!
</t>
        </r>
      </text>
    </comment>
    <comment ref="I968" authorId="0" shapeId="0">
      <text>
        <r>
          <rPr>
            <b/>
            <sz val="9"/>
            <color indexed="81"/>
            <rFont val="Tahoma"/>
            <family val="2"/>
          </rPr>
          <t>LPA:</t>
        </r>
        <r>
          <rPr>
            <sz val="9"/>
            <color indexed="81"/>
            <rFont val="Tahoma"/>
            <family val="2"/>
          </rPr>
          <t xml:space="preserve">
проверити збир!
</t>
        </r>
      </text>
    </comment>
    <comment ref="I969" authorId="0" shapeId="0">
      <text>
        <r>
          <rPr>
            <b/>
            <sz val="9"/>
            <color indexed="81"/>
            <rFont val="Tahoma"/>
            <family val="2"/>
          </rPr>
          <t>LPA:</t>
        </r>
        <r>
          <rPr>
            <sz val="9"/>
            <color indexed="81"/>
            <rFont val="Tahoma"/>
            <family val="2"/>
          </rPr>
          <t xml:space="preserve">
проверити збир!
</t>
        </r>
      </text>
    </comment>
    <comment ref="I970" authorId="0" shapeId="0">
      <text>
        <r>
          <rPr>
            <b/>
            <sz val="9"/>
            <color indexed="81"/>
            <rFont val="Tahoma"/>
            <family val="2"/>
          </rPr>
          <t>LPA:</t>
        </r>
        <r>
          <rPr>
            <sz val="9"/>
            <color indexed="81"/>
            <rFont val="Tahoma"/>
            <family val="2"/>
          </rPr>
          <t xml:space="preserve">
проверити збир!
</t>
        </r>
      </text>
    </comment>
    <comment ref="I971" authorId="0" shapeId="0">
      <text>
        <r>
          <rPr>
            <b/>
            <sz val="9"/>
            <color indexed="81"/>
            <rFont val="Tahoma"/>
            <family val="2"/>
          </rPr>
          <t>LPA:</t>
        </r>
        <r>
          <rPr>
            <sz val="9"/>
            <color indexed="81"/>
            <rFont val="Tahoma"/>
            <family val="2"/>
          </rPr>
          <t xml:space="preserve">
проверити збир!
</t>
        </r>
      </text>
    </comment>
    <comment ref="I972" authorId="0" shapeId="0">
      <text>
        <r>
          <rPr>
            <b/>
            <sz val="9"/>
            <color indexed="81"/>
            <rFont val="Tahoma"/>
            <family val="2"/>
          </rPr>
          <t>LPA:</t>
        </r>
        <r>
          <rPr>
            <sz val="9"/>
            <color indexed="81"/>
            <rFont val="Tahoma"/>
            <family val="2"/>
          </rPr>
          <t xml:space="preserve">
проверити збир!
</t>
        </r>
      </text>
    </comment>
    <comment ref="I973" authorId="0" shapeId="0">
      <text>
        <r>
          <rPr>
            <b/>
            <sz val="9"/>
            <color indexed="81"/>
            <rFont val="Tahoma"/>
            <family val="2"/>
          </rPr>
          <t>LPA:</t>
        </r>
        <r>
          <rPr>
            <sz val="9"/>
            <color indexed="81"/>
            <rFont val="Tahoma"/>
            <family val="2"/>
          </rPr>
          <t xml:space="preserve">
проверити збир!
</t>
        </r>
      </text>
    </comment>
    <comment ref="I974" authorId="0" shapeId="0">
      <text>
        <r>
          <rPr>
            <b/>
            <sz val="9"/>
            <color indexed="81"/>
            <rFont val="Tahoma"/>
            <family val="2"/>
          </rPr>
          <t>LPA:</t>
        </r>
        <r>
          <rPr>
            <sz val="9"/>
            <color indexed="81"/>
            <rFont val="Tahoma"/>
            <family val="2"/>
          </rPr>
          <t xml:space="preserve">
проверити збир!
</t>
        </r>
      </text>
    </comment>
    <comment ref="I975" authorId="0" shapeId="0">
      <text>
        <r>
          <rPr>
            <b/>
            <sz val="9"/>
            <color indexed="81"/>
            <rFont val="Tahoma"/>
            <family val="2"/>
          </rPr>
          <t>LPA:</t>
        </r>
        <r>
          <rPr>
            <sz val="9"/>
            <color indexed="81"/>
            <rFont val="Tahoma"/>
            <family val="2"/>
          </rPr>
          <t xml:space="preserve">
проверити збир!
</t>
        </r>
      </text>
    </comment>
    <comment ref="H978" authorId="0" shapeId="0">
      <text>
        <r>
          <rPr>
            <b/>
            <sz val="9"/>
            <color indexed="81"/>
            <rFont val="Tahoma"/>
            <family val="2"/>
          </rPr>
          <t>LPA:</t>
        </r>
        <r>
          <rPr>
            <sz val="9"/>
            <color indexed="81"/>
            <rFont val="Tahoma"/>
            <family val="2"/>
          </rPr>
          <t xml:space="preserve">
проверити збир!</t>
        </r>
      </text>
    </comment>
    <comment ref="I978" authorId="0" shapeId="0">
      <text>
        <r>
          <rPr>
            <b/>
            <sz val="9"/>
            <color indexed="81"/>
            <rFont val="Tahoma"/>
            <family val="2"/>
          </rPr>
          <t>LPA:</t>
        </r>
        <r>
          <rPr>
            <sz val="9"/>
            <color indexed="81"/>
            <rFont val="Tahoma"/>
            <family val="2"/>
          </rPr>
          <t xml:space="preserve">
проверити збир!</t>
        </r>
      </text>
    </comment>
    <comment ref="I979" authorId="0" shapeId="0">
      <text>
        <r>
          <rPr>
            <b/>
            <sz val="9"/>
            <color indexed="81"/>
            <rFont val="Tahoma"/>
            <family val="2"/>
          </rPr>
          <t>LPA:</t>
        </r>
        <r>
          <rPr>
            <sz val="9"/>
            <color indexed="81"/>
            <rFont val="Tahoma"/>
            <family val="2"/>
          </rPr>
          <t xml:space="preserve">
проверити збир!
</t>
        </r>
      </text>
    </comment>
    <comment ref="I980" authorId="0" shapeId="0">
      <text>
        <r>
          <rPr>
            <b/>
            <sz val="9"/>
            <color indexed="81"/>
            <rFont val="Tahoma"/>
            <family val="2"/>
          </rPr>
          <t>LPA:</t>
        </r>
        <r>
          <rPr>
            <sz val="9"/>
            <color indexed="81"/>
            <rFont val="Tahoma"/>
            <family val="2"/>
          </rPr>
          <t xml:space="preserve">
проверити збир!
</t>
        </r>
      </text>
    </comment>
    <comment ref="I981" authorId="0" shapeId="0">
      <text>
        <r>
          <rPr>
            <b/>
            <sz val="9"/>
            <color indexed="81"/>
            <rFont val="Tahoma"/>
            <family val="2"/>
          </rPr>
          <t>LPA:</t>
        </r>
        <r>
          <rPr>
            <sz val="9"/>
            <color indexed="81"/>
            <rFont val="Tahoma"/>
            <family val="2"/>
          </rPr>
          <t xml:space="preserve">
проверити збир!
</t>
        </r>
      </text>
    </comment>
    <comment ref="I982" authorId="0" shapeId="0">
      <text>
        <r>
          <rPr>
            <b/>
            <sz val="9"/>
            <color indexed="81"/>
            <rFont val="Tahoma"/>
            <family val="2"/>
          </rPr>
          <t>LPA:</t>
        </r>
        <r>
          <rPr>
            <sz val="9"/>
            <color indexed="81"/>
            <rFont val="Tahoma"/>
            <family val="2"/>
          </rPr>
          <t xml:space="preserve">
проверити збир!
</t>
        </r>
      </text>
    </comment>
    <comment ref="I983" authorId="0" shapeId="0">
      <text>
        <r>
          <rPr>
            <b/>
            <sz val="9"/>
            <color indexed="81"/>
            <rFont val="Tahoma"/>
            <family val="2"/>
          </rPr>
          <t>LPA:</t>
        </r>
        <r>
          <rPr>
            <sz val="9"/>
            <color indexed="81"/>
            <rFont val="Tahoma"/>
            <family val="2"/>
          </rPr>
          <t xml:space="preserve">
проверити збир!
</t>
        </r>
      </text>
    </comment>
    <comment ref="I984" authorId="0" shapeId="0">
      <text>
        <r>
          <rPr>
            <b/>
            <sz val="9"/>
            <color indexed="81"/>
            <rFont val="Tahoma"/>
            <family val="2"/>
          </rPr>
          <t>LPA:</t>
        </r>
        <r>
          <rPr>
            <sz val="9"/>
            <color indexed="81"/>
            <rFont val="Tahoma"/>
            <family val="2"/>
          </rPr>
          <t xml:space="preserve">
проверити збир!
</t>
        </r>
      </text>
    </comment>
    <comment ref="I985" authorId="0" shapeId="0">
      <text>
        <r>
          <rPr>
            <b/>
            <sz val="9"/>
            <color indexed="81"/>
            <rFont val="Tahoma"/>
            <family val="2"/>
          </rPr>
          <t>LPA:</t>
        </r>
        <r>
          <rPr>
            <sz val="9"/>
            <color indexed="81"/>
            <rFont val="Tahoma"/>
            <family val="2"/>
          </rPr>
          <t xml:space="preserve">
проверити збир!
</t>
        </r>
      </text>
    </comment>
    <comment ref="I986" authorId="0" shapeId="0">
      <text>
        <r>
          <rPr>
            <b/>
            <sz val="9"/>
            <color indexed="81"/>
            <rFont val="Tahoma"/>
            <family val="2"/>
          </rPr>
          <t>LPA:</t>
        </r>
        <r>
          <rPr>
            <sz val="9"/>
            <color indexed="81"/>
            <rFont val="Tahoma"/>
            <family val="2"/>
          </rPr>
          <t xml:space="preserve">
проверити збир!
</t>
        </r>
      </text>
    </comment>
    <comment ref="I987" authorId="0" shapeId="0">
      <text>
        <r>
          <rPr>
            <b/>
            <sz val="9"/>
            <color indexed="81"/>
            <rFont val="Tahoma"/>
            <family val="2"/>
          </rPr>
          <t>LPA:</t>
        </r>
        <r>
          <rPr>
            <sz val="9"/>
            <color indexed="81"/>
            <rFont val="Tahoma"/>
            <family val="2"/>
          </rPr>
          <t xml:space="preserve">
проверити збир!
</t>
        </r>
      </text>
    </comment>
    <comment ref="I988" authorId="0" shapeId="0">
      <text>
        <r>
          <rPr>
            <b/>
            <sz val="9"/>
            <color indexed="81"/>
            <rFont val="Tahoma"/>
            <family val="2"/>
          </rPr>
          <t>LPA:</t>
        </r>
        <r>
          <rPr>
            <sz val="9"/>
            <color indexed="81"/>
            <rFont val="Tahoma"/>
            <family val="2"/>
          </rPr>
          <t xml:space="preserve">
проверити збир!
</t>
        </r>
      </text>
    </comment>
    <comment ref="I989" authorId="0" shapeId="0">
      <text>
        <r>
          <rPr>
            <b/>
            <sz val="9"/>
            <color indexed="81"/>
            <rFont val="Tahoma"/>
            <family val="2"/>
          </rPr>
          <t>LPA:</t>
        </r>
        <r>
          <rPr>
            <sz val="9"/>
            <color indexed="81"/>
            <rFont val="Tahoma"/>
            <family val="2"/>
          </rPr>
          <t xml:space="preserve">
проверити збир!
</t>
        </r>
      </text>
    </comment>
    <comment ref="I990" authorId="0" shapeId="0">
      <text>
        <r>
          <rPr>
            <b/>
            <sz val="9"/>
            <color indexed="81"/>
            <rFont val="Tahoma"/>
            <family val="2"/>
          </rPr>
          <t>LPA:</t>
        </r>
        <r>
          <rPr>
            <sz val="9"/>
            <color indexed="81"/>
            <rFont val="Tahoma"/>
            <family val="2"/>
          </rPr>
          <t xml:space="preserve">
проверити збир!
</t>
        </r>
      </text>
    </comment>
    <comment ref="I991" authorId="0" shapeId="0">
      <text>
        <r>
          <rPr>
            <b/>
            <sz val="9"/>
            <color indexed="81"/>
            <rFont val="Tahoma"/>
            <family val="2"/>
          </rPr>
          <t>LPA:</t>
        </r>
        <r>
          <rPr>
            <sz val="9"/>
            <color indexed="81"/>
            <rFont val="Tahoma"/>
            <family val="2"/>
          </rPr>
          <t xml:space="preserve">
проверити збир!
</t>
        </r>
      </text>
    </comment>
    <comment ref="I992" authorId="0" shapeId="0">
      <text>
        <r>
          <rPr>
            <b/>
            <sz val="9"/>
            <color indexed="81"/>
            <rFont val="Tahoma"/>
            <family val="2"/>
          </rPr>
          <t>LPA:</t>
        </r>
        <r>
          <rPr>
            <sz val="9"/>
            <color indexed="81"/>
            <rFont val="Tahoma"/>
            <family val="2"/>
          </rPr>
          <t xml:space="preserve">
проверити збир!
</t>
        </r>
      </text>
    </comment>
    <comment ref="I993" authorId="0" shapeId="0">
      <text>
        <r>
          <rPr>
            <b/>
            <sz val="9"/>
            <color indexed="81"/>
            <rFont val="Tahoma"/>
            <family val="2"/>
          </rPr>
          <t>LPA:</t>
        </r>
        <r>
          <rPr>
            <sz val="9"/>
            <color indexed="81"/>
            <rFont val="Tahoma"/>
            <family val="2"/>
          </rPr>
          <t xml:space="preserve">
проверити збир!
</t>
        </r>
      </text>
    </comment>
    <comment ref="I1006" authorId="0" shapeId="0">
      <text>
        <r>
          <rPr>
            <b/>
            <sz val="9"/>
            <color indexed="81"/>
            <rFont val="Tahoma"/>
            <family val="2"/>
          </rPr>
          <t>LPA:</t>
        </r>
        <r>
          <rPr>
            <sz val="9"/>
            <color indexed="81"/>
            <rFont val="Tahoma"/>
            <family val="2"/>
          </rPr>
          <t xml:space="preserve">
проверити збир!
</t>
        </r>
      </text>
    </comment>
    <comment ref="I1007" authorId="0" shapeId="0">
      <text>
        <r>
          <rPr>
            <b/>
            <sz val="9"/>
            <color indexed="81"/>
            <rFont val="Tahoma"/>
            <family val="2"/>
          </rPr>
          <t>LPA:</t>
        </r>
        <r>
          <rPr>
            <sz val="9"/>
            <color indexed="81"/>
            <rFont val="Tahoma"/>
            <family val="2"/>
          </rPr>
          <t xml:space="preserve">
проверити збир!
</t>
        </r>
      </text>
    </comment>
    <comment ref="I1008" authorId="0" shapeId="0">
      <text>
        <r>
          <rPr>
            <b/>
            <sz val="9"/>
            <color indexed="81"/>
            <rFont val="Tahoma"/>
            <family val="2"/>
          </rPr>
          <t>LPA:</t>
        </r>
        <r>
          <rPr>
            <sz val="9"/>
            <color indexed="81"/>
            <rFont val="Tahoma"/>
            <family val="2"/>
          </rPr>
          <t xml:space="preserve">
проверити збир!
</t>
        </r>
      </text>
    </comment>
    <comment ref="I1009" authorId="0" shapeId="0">
      <text>
        <r>
          <rPr>
            <b/>
            <sz val="9"/>
            <color indexed="81"/>
            <rFont val="Tahoma"/>
            <family val="2"/>
          </rPr>
          <t>LPA:</t>
        </r>
        <r>
          <rPr>
            <sz val="9"/>
            <color indexed="81"/>
            <rFont val="Tahoma"/>
            <family val="2"/>
          </rPr>
          <t xml:space="preserve">
проверити збир!
</t>
        </r>
      </text>
    </comment>
    <comment ref="I1010" authorId="0" shapeId="0">
      <text>
        <r>
          <rPr>
            <b/>
            <sz val="9"/>
            <color indexed="81"/>
            <rFont val="Tahoma"/>
            <family val="2"/>
          </rPr>
          <t>LPA:</t>
        </r>
        <r>
          <rPr>
            <sz val="9"/>
            <color indexed="81"/>
            <rFont val="Tahoma"/>
            <family val="2"/>
          </rPr>
          <t xml:space="preserve">
проверити збир!
</t>
        </r>
      </text>
    </comment>
    <comment ref="I1011" authorId="0" shapeId="0">
      <text>
        <r>
          <rPr>
            <b/>
            <sz val="9"/>
            <color indexed="81"/>
            <rFont val="Tahoma"/>
            <family val="2"/>
          </rPr>
          <t>LPA:</t>
        </r>
        <r>
          <rPr>
            <sz val="9"/>
            <color indexed="81"/>
            <rFont val="Tahoma"/>
            <family val="2"/>
          </rPr>
          <t xml:space="preserve">
проверити збир!
</t>
        </r>
      </text>
    </comment>
    <comment ref="I1012" authorId="0" shapeId="0">
      <text>
        <r>
          <rPr>
            <b/>
            <sz val="9"/>
            <color indexed="81"/>
            <rFont val="Tahoma"/>
            <family val="2"/>
          </rPr>
          <t>LPA:</t>
        </r>
        <r>
          <rPr>
            <sz val="9"/>
            <color indexed="81"/>
            <rFont val="Tahoma"/>
            <family val="2"/>
          </rPr>
          <t xml:space="preserve">
проверити збир!
</t>
        </r>
      </text>
    </comment>
    <comment ref="I1013" authorId="0" shapeId="0">
      <text>
        <r>
          <rPr>
            <b/>
            <sz val="9"/>
            <color indexed="81"/>
            <rFont val="Tahoma"/>
            <family val="2"/>
          </rPr>
          <t>LPA:</t>
        </r>
        <r>
          <rPr>
            <sz val="9"/>
            <color indexed="81"/>
            <rFont val="Tahoma"/>
            <family val="2"/>
          </rPr>
          <t xml:space="preserve">
проверити збир!
</t>
        </r>
      </text>
    </comment>
    <comment ref="I1014" authorId="0" shapeId="0">
      <text>
        <r>
          <rPr>
            <b/>
            <sz val="9"/>
            <color indexed="81"/>
            <rFont val="Tahoma"/>
            <family val="2"/>
          </rPr>
          <t>LPA:</t>
        </r>
        <r>
          <rPr>
            <sz val="9"/>
            <color indexed="81"/>
            <rFont val="Tahoma"/>
            <family val="2"/>
          </rPr>
          <t xml:space="preserve">
проверити збир!
</t>
        </r>
      </text>
    </comment>
    <comment ref="I1015" authorId="0" shapeId="0">
      <text>
        <r>
          <rPr>
            <b/>
            <sz val="9"/>
            <color indexed="81"/>
            <rFont val="Tahoma"/>
            <family val="2"/>
          </rPr>
          <t>LPA:</t>
        </r>
        <r>
          <rPr>
            <sz val="9"/>
            <color indexed="81"/>
            <rFont val="Tahoma"/>
            <family val="2"/>
          </rPr>
          <t xml:space="preserve">
проверити збир!
</t>
        </r>
      </text>
    </comment>
    <comment ref="I1016" authorId="0" shapeId="0">
      <text>
        <r>
          <rPr>
            <b/>
            <sz val="9"/>
            <color indexed="81"/>
            <rFont val="Tahoma"/>
            <family val="2"/>
          </rPr>
          <t>LPA:</t>
        </r>
        <r>
          <rPr>
            <sz val="9"/>
            <color indexed="81"/>
            <rFont val="Tahoma"/>
            <family val="2"/>
          </rPr>
          <t xml:space="preserve">
проверити збир!
</t>
        </r>
      </text>
    </comment>
    <comment ref="I1017" authorId="0" shapeId="0">
      <text>
        <r>
          <rPr>
            <b/>
            <sz val="9"/>
            <color indexed="81"/>
            <rFont val="Tahoma"/>
            <family val="2"/>
          </rPr>
          <t>LPA:</t>
        </r>
        <r>
          <rPr>
            <sz val="9"/>
            <color indexed="81"/>
            <rFont val="Tahoma"/>
            <family val="2"/>
          </rPr>
          <t xml:space="preserve">
проверити збир!
</t>
        </r>
      </text>
    </comment>
    <comment ref="I1018" authorId="0" shapeId="0">
      <text>
        <r>
          <rPr>
            <b/>
            <sz val="9"/>
            <color indexed="81"/>
            <rFont val="Tahoma"/>
            <family val="2"/>
          </rPr>
          <t>LPA:</t>
        </r>
        <r>
          <rPr>
            <sz val="9"/>
            <color indexed="81"/>
            <rFont val="Tahoma"/>
            <family val="2"/>
          </rPr>
          <t xml:space="preserve">
проверити збир!
</t>
        </r>
      </text>
    </comment>
    <comment ref="H1021" authorId="0" shapeId="0">
      <text>
        <r>
          <rPr>
            <b/>
            <sz val="9"/>
            <color indexed="81"/>
            <rFont val="Tahoma"/>
            <family val="2"/>
          </rPr>
          <t>LPA:</t>
        </r>
        <r>
          <rPr>
            <sz val="9"/>
            <color indexed="81"/>
            <rFont val="Tahoma"/>
            <family val="2"/>
          </rPr>
          <t xml:space="preserve">
проверити збир!</t>
        </r>
      </text>
    </comment>
    <comment ref="I1021" authorId="0" shapeId="0">
      <text>
        <r>
          <rPr>
            <b/>
            <sz val="9"/>
            <color indexed="81"/>
            <rFont val="Tahoma"/>
            <family val="2"/>
          </rPr>
          <t>LPA:</t>
        </r>
        <r>
          <rPr>
            <sz val="9"/>
            <color indexed="81"/>
            <rFont val="Tahoma"/>
            <family val="2"/>
          </rPr>
          <t xml:space="preserve">
проверити збир!</t>
        </r>
      </text>
    </comment>
    <comment ref="I1022" authorId="0" shapeId="0">
      <text>
        <r>
          <rPr>
            <b/>
            <sz val="9"/>
            <color indexed="81"/>
            <rFont val="Tahoma"/>
            <family val="2"/>
          </rPr>
          <t>LPA:</t>
        </r>
        <r>
          <rPr>
            <sz val="9"/>
            <color indexed="81"/>
            <rFont val="Tahoma"/>
            <family val="2"/>
          </rPr>
          <t xml:space="preserve">
проверити збир!
</t>
        </r>
      </text>
    </comment>
    <comment ref="I1023" authorId="0" shapeId="0">
      <text>
        <r>
          <rPr>
            <b/>
            <sz val="9"/>
            <color indexed="81"/>
            <rFont val="Tahoma"/>
            <family val="2"/>
          </rPr>
          <t>LPA:</t>
        </r>
        <r>
          <rPr>
            <sz val="9"/>
            <color indexed="81"/>
            <rFont val="Tahoma"/>
            <family val="2"/>
          </rPr>
          <t xml:space="preserve">
проверити збир!
</t>
        </r>
      </text>
    </comment>
    <comment ref="I1024" authorId="0" shapeId="0">
      <text>
        <r>
          <rPr>
            <b/>
            <sz val="9"/>
            <color indexed="81"/>
            <rFont val="Tahoma"/>
            <family val="2"/>
          </rPr>
          <t>LPA:</t>
        </r>
        <r>
          <rPr>
            <sz val="9"/>
            <color indexed="81"/>
            <rFont val="Tahoma"/>
            <family val="2"/>
          </rPr>
          <t xml:space="preserve">
проверити збир!
</t>
        </r>
      </text>
    </comment>
    <comment ref="I1025" authorId="0" shapeId="0">
      <text>
        <r>
          <rPr>
            <b/>
            <sz val="9"/>
            <color indexed="81"/>
            <rFont val="Tahoma"/>
            <family val="2"/>
          </rPr>
          <t>LPA:</t>
        </r>
        <r>
          <rPr>
            <sz val="9"/>
            <color indexed="81"/>
            <rFont val="Tahoma"/>
            <family val="2"/>
          </rPr>
          <t xml:space="preserve">
проверити збир!
</t>
        </r>
      </text>
    </comment>
    <comment ref="I1026" authorId="0" shapeId="0">
      <text>
        <r>
          <rPr>
            <b/>
            <sz val="9"/>
            <color indexed="81"/>
            <rFont val="Tahoma"/>
            <family val="2"/>
          </rPr>
          <t>LPA:</t>
        </r>
        <r>
          <rPr>
            <sz val="9"/>
            <color indexed="81"/>
            <rFont val="Tahoma"/>
            <family val="2"/>
          </rPr>
          <t xml:space="preserve">
проверити збир!
</t>
        </r>
      </text>
    </comment>
    <comment ref="I1027" authorId="0" shapeId="0">
      <text>
        <r>
          <rPr>
            <b/>
            <sz val="9"/>
            <color indexed="81"/>
            <rFont val="Tahoma"/>
            <family val="2"/>
          </rPr>
          <t>LPA:</t>
        </r>
        <r>
          <rPr>
            <sz val="9"/>
            <color indexed="81"/>
            <rFont val="Tahoma"/>
            <family val="2"/>
          </rPr>
          <t xml:space="preserve">
проверити збир!
</t>
        </r>
      </text>
    </comment>
    <comment ref="I1028" authorId="0" shapeId="0">
      <text>
        <r>
          <rPr>
            <b/>
            <sz val="9"/>
            <color indexed="81"/>
            <rFont val="Tahoma"/>
            <family val="2"/>
          </rPr>
          <t>LPA:</t>
        </r>
        <r>
          <rPr>
            <sz val="9"/>
            <color indexed="81"/>
            <rFont val="Tahoma"/>
            <family val="2"/>
          </rPr>
          <t xml:space="preserve">
проверити збир!
</t>
        </r>
      </text>
    </comment>
    <comment ref="I1029" authorId="0" shapeId="0">
      <text>
        <r>
          <rPr>
            <b/>
            <sz val="9"/>
            <color indexed="81"/>
            <rFont val="Tahoma"/>
            <family val="2"/>
          </rPr>
          <t>LPA:</t>
        </r>
        <r>
          <rPr>
            <sz val="9"/>
            <color indexed="81"/>
            <rFont val="Tahoma"/>
            <family val="2"/>
          </rPr>
          <t xml:space="preserve">
проверити збир!
</t>
        </r>
      </text>
    </comment>
    <comment ref="I1030" authorId="0" shapeId="0">
      <text>
        <r>
          <rPr>
            <b/>
            <sz val="9"/>
            <color indexed="81"/>
            <rFont val="Tahoma"/>
            <family val="2"/>
          </rPr>
          <t>LPA:</t>
        </r>
        <r>
          <rPr>
            <sz val="9"/>
            <color indexed="81"/>
            <rFont val="Tahoma"/>
            <family val="2"/>
          </rPr>
          <t xml:space="preserve">
проверити збир!
</t>
        </r>
      </text>
    </comment>
    <comment ref="I1031" authorId="0" shapeId="0">
      <text>
        <r>
          <rPr>
            <b/>
            <sz val="9"/>
            <color indexed="81"/>
            <rFont val="Tahoma"/>
            <family val="2"/>
          </rPr>
          <t>LPA:</t>
        </r>
        <r>
          <rPr>
            <sz val="9"/>
            <color indexed="81"/>
            <rFont val="Tahoma"/>
            <family val="2"/>
          </rPr>
          <t xml:space="preserve">
проверити збир!
</t>
        </r>
      </text>
    </comment>
    <comment ref="I1032" authorId="0" shapeId="0">
      <text>
        <r>
          <rPr>
            <b/>
            <sz val="9"/>
            <color indexed="81"/>
            <rFont val="Tahoma"/>
            <family val="2"/>
          </rPr>
          <t>LPA:</t>
        </r>
        <r>
          <rPr>
            <sz val="9"/>
            <color indexed="81"/>
            <rFont val="Tahoma"/>
            <family val="2"/>
          </rPr>
          <t xml:space="preserve">
проверити збир!
</t>
        </r>
      </text>
    </comment>
    <comment ref="I1033" authorId="0" shapeId="0">
      <text>
        <r>
          <rPr>
            <b/>
            <sz val="9"/>
            <color indexed="81"/>
            <rFont val="Tahoma"/>
            <family val="2"/>
          </rPr>
          <t>LPA:</t>
        </r>
        <r>
          <rPr>
            <sz val="9"/>
            <color indexed="81"/>
            <rFont val="Tahoma"/>
            <family val="2"/>
          </rPr>
          <t xml:space="preserve">
проверити збир!
</t>
        </r>
      </text>
    </comment>
    <comment ref="I1034" authorId="0" shapeId="0">
      <text>
        <r>
          <rPr>
            <b/>
            <sz val="9"/>
            <color indexed="81"/>
            <rFont val="Tahoma"/>
            <family val="2"/>
          </rPr>
          <t>LPA:</t>
        </r>
        <r>
          <rPr>
            <sz val="9"/>
            <color indexed="81"/>
            <rFont val="Tahoma"/>
            <family val="2"/>
          </rPr>
          <t xml:space="preserve">
проверити збир!
</t>
        </r>
      </text>
    </comment>
    <comment ref="I1035" authorId="0" shapeId="0">
      <text>
        <r>
          <rPr>
            <b/>
            <sz val="9"/>
            <color indexed="81"/>
            <rFont val="Tahoma"/>
            <family val="2"/>
          </rPr>
          <t>LPA:</t>
        </r>
        <r>
          <rPr>
            <sz val="9"/>
            <color indexed="81"/>
            <rFont val="Tahoma"/>
            <family val="2"/>
          </rPr>
          <t xml:space="preserve">
проверити збир!
</t>
        </r>
      </text>
    </comment>
    <comment ref="I1036" authorId="0" shapeId="0">
      <text>
        <r>
          <rPr>
            <b/>
            <sz val="9"/>
            <color indexed="81"/>
            <rFont val="Tahoma"/>
            <family val="2"/>
          </rPr>
          <t>LPA:</t>
        </r>
        <r>
          <rPr>
            <sz val="9"/>
            <color indexed="81"/>
            <rFont val="Tahoma"/>
            <family val="2"/>
          </rPr>
          <t xml:space="preserve">
проверити збир!
</t>
        </r>
      </text>
    </comment>
    <comment ref="H1040" authorId="0" shapeId="0">
      <text>
        <r>
          <rPr>
            <b/>
            <sz val="9"/>
            <color indexed="81"/>
            <rFont val="Tahoma"/>
            <family val="2"/>
          </rPr>
          <t>LPA:</t>
        </r>
        <r>
          <rPr>
            <sz val="9"/>
            <color indexed="81"/>
            <rFont val="Tahoma"/>
            <family val="2"/>
          </rPr>
          <t xml:space="preserve">
проверити збир!</t>
        </r>
      </text>
    </comment>
    <comment ref="I1040" authorId="0" shapeId="0">
      <text>
        <r>
          <rPr>
            <b/>
            <sz val="9"/>
            <color indexed="81"/>
            <rFont val="Tahoma"/>
            <family val="2"/>
          </rPr>
          <t>LPA:</t>
        </r>
        <r>
          <rPr>
            <sz val="9"/>
            <color indexed="81"/>
            <rFont val="Tahoma"/>
            <family val="2"/>
          </rPr>
          <t xml:space="preserve">
проверити збир!
</t>
        </r>
      </text>
    </comment>
    <comment ref="I1041" authorId="0" shapeId="0">
      <text>
        <r>
          <rPr>
            <b/>
            <sz val="9"/>
            <color indexed="81"/>
            <rFont val="Tahoma"/>
            <family val="2"/>
          </rPr>
          <t>LPA:</t>
        </r>
        <r>
          <rPr>
            <sz val="9"/>
            <color indexed="81"/>
            <rFont val="Tahoma"/>
            <family val="2"/>
          </rPr>
          <t xml:space="preserve">
проверити збир!
</t>
        </r>
      </text>
    </comment>
    <comment ref="I1042" authorId="0" shapeId="0">
      <text>
        <r>
          <rPr>
            <b/>
            <sz val="9"/>
            <color indexed="81"/>
            <rFont val="Tahoma"/>
            <family val="2"/>
          </rPr>
          <t>LPA:</t>
        </r>
        <r>
          <rPr>
            <sz val="9"/>
            <color indexed="81"/>
            <rFont val="Tahoma"/>
            <family val="2"/>
          </rPr>
          <t xml:space="preserve">
проверити збир!
</t>
        </r>
      </text>
    </comment>
    <comment ref="I1043" authorId="0" shapeId="0">
      <text>
        <r>
          <rPr>
            <b/>
            <sz val="9"/>
            <color indexed="81"/>
            <rFont val="Tahoma"/>
            <family val="2"/>
          </rPr>
          <t>LPA:</t>
        </r>
        <r>
          <rPr>
            <sz val="9"/>
            <color indexed="81"/>
            <rFont val="Tahoma"/>
            <family val="2"/>
          </rPr>
          <t xml:space="preserve">
проверити збир!
</t>
        </r>
      </text>
    </comment>
    <comment ref="I1044" authorId="0" shapeId="0">
      <text>
        <r>
          <rPr>
            <b/>
            <sz val="9"/>
            <color indexed="81"/>
            <rFont val="Tahoma"/>
            <family val="2"/>
          </rPr>
          <t>LPA:</t>
        </r>
        <r>
          <rPr>
            <sz val="9"/>
            <color indexed="81"/>
            <rFont val="Tahoma"/>
            <family val="2"/>
          </rPr>
          <t xml:space="preserve">
проверити збир!
</t>
        </r>
      </text>
    </comment>
    <comment ref="I1045" authorId="0" shapeId="0">
      <text>
        <r>
          <rPr>
            <b/>
            <sz val="9"/>
            <color indexed="81"/>
            <rFont val="Tahoma"/>
            <family val="2"/>
          </rPr>
          <t>LPA:</t>
        </r>
        <r>
          <rPr>
            <sz val="9"/>
            <color indexed="81"/>
            <rFont val="Tahoma"/>
            <family val="2"/>
          </rPr>
          <t xml:space="preserve">
проверити збир!
</t>
        </r>
      </text>
    </comment>
    <comment ref="I1046" authorId="0" shapeId="0">
      <text>
        <r>
          <rPr>
            <b/>
            <sz val="9"/>
            <color indexed="81"/>
            <rFont val="Tahoma"/>
            <family val="2"/>
          </rPr>
          <t>LPA:</t>
        </r>
        <r>
          <rPr>
            <sz val="9"/>
            <color indexed="81"/>
            <rFont val="Tahoma"/>
            <family val="2"/>
          </rPr>
          <t xml:space="preserve">
проверити збир!
</t>
        </r>
      </text>
    </comment>
    <comment ref="I1047" authorId="0" shapeId="0">
      <text>
        <r>
          <rPr>
            <b/>
            <sz val="9"/>
            <color indexed="81"/>
            <rFont val="Tahoma"/>
            <family val="2"/>
          </rPr>
          <t>LPA:</t>
        </r>
        <r>
          <rPr>
            <sz val="9"/>
            <color indexed="81"/>
            <rFont val="Tahoma"/>
            <family val="2"/>
          </rPr>
          <t xml:space="preserve">
проверити збир!
</t>
        </r>
      </text>
    </comment>
    <comment ref="I1048" authorId="0" shapeId="0">
      <text>
        <r>
          <rPr>
            <b/>
            <sz val="9"/>
            <color indexed="81"/>
            <rFont val="Tahoma"/>
            <family val="2"/>
          </rPr>
          <t>LPA:</t>
        </r>
        <r>
          <rPr>
            <sz val="9"/>
            <color indexed="81"/>
            <rFont val="Tahoma"/>
            <family val="2"/>
          </rPr>
          <t xml:space="preserve">
проверити збир!
</t>
        </r>
      </text>
    </comment>
    <comment ref="I1049" authorId="0" shapeId="0">
      <text>
        <r>
          <rPr>
            <b/>
            <sz val="9"/>
            <color indexed="81"/>
            <rFont val="Tahoma"/>
            <family val="2"/>
          </rPr>
          <t>LPA:</t>
        </r>
        <r>
          <rPr>
            <sz val="9"/>
            <color indexed="81"/>
            <rFont val="Tahoma"/>
            <family val="2"/>
          </rPr>
          <t xml:space="preserve">
проверити збир!
</t>
        </r>
      </text>
    </comment>
    <comment ref="I1050" authorId="0" shapeId="0">
      <text>
        <r>
          <rPr>
            <b/>
            <sz val="9"/>
            <color indexed="81"/>
            <rFont val="Tahoma"/>
            <family val="2"/>
          </rPr>
          <t>LPA:</t>
        </r>
        <r>
          <rPr>
            <sz val="9"/>
            <color indexed="81"/>
            <rFont val="Tahoma"/>
            <family val="2"/>
          </rPr>
          <t xml:space="preserve">
проверити збир!
</t>
        </r>
      </text>
    </comment>
    <comment ref="I1051" authorId="0" shapeId="0">
      <text>
        <r>
          <rPr>
            <b/>
            <sz val="9"/>
            <color indexed="81"/>
            <rFont val="Tahoma"/>
            <family val="2"/>
          </rPr>
          <t>LPA:</t>
        </r>
        <r>
          <rPr>
            <sz val="9"/>
            <color indexed="81"/>
            <rFont val="Tahoma"/>
            <family val="2"/>
          </rPr>
          <t xml:space="preserve">
проверити збир!
</t>
        </r>
      </text>
    </comment>
    <comment ref="I1052" authorId="0" shapeId="0">
      <text>
        <r>
          <rPr>
            <b/>
            <sz val="9"/>
            <color indexed="81"/>
            <rFont val="Tahoma"/>
            <family val="2"/>
          </rPr>
          <t>LPA:</t>
        </r>
        <r>
          <rPr>
            <sz val="9"/>
            <color indexed="81"/>
            <rFont val="Tahoma"/>
            <family val="2"/>
          </rPr>
          <t xml:space="preserve">
проверити збир!
</t>
        </r>
      </text>
    </comment>
    <comment ref="I1053" authorId="0" shapeId="0">
      <text>
        <r>
          <rPr>
            <b/>
            <sz val="9"/>
            <color indexed="81"/>
            <rFont val="Tahoma"/>
            <family val="2"/>
          </rPr>
          <t>LPA:</t>
        </r>
        <r>
          <rPr>
            <sz val="9"/>
            <color indexed="81"/>
            <rFont val="Tahoma"/>
            <family val="2"/>
          </rPr>
          <t xml:space="preserve">
проверити збир!
</t>
        </r>
      </text>
    </comment>
    <comment ref="I1054" authorId="0" shapeId="0">
      <text>
        <r>
          <rPr>
            <b/>
            <sz val="9"/>
            <color indexed="81"/>
            <rFont val="Tahoma"/>
            <family val="2"/>
          </rPr>
          <t>LPA:</t>
        </r>
        <r>
          <rPr>
            <sz val="9"/>
            <color indexed="81"/>
            <rFont val="Tahoma"/>
            <family val="2"/>
          </rPr>
          <t xml:space="preserve">
проверити збир!
</t>
        </r>
      </text>
    </comment>
    <comment ref="I1055" authorId="0" shapeId="0">
      <text>
        <r>
          <rPr>
            <b/>
            <sz val="9"/>
            <color indexed="81"/>
            <rFont val="Tahoma"/>
            <family val="2"/>
          </rPr>
          <t>LPA:</t>
        </r>
        <r>
          <rPr>
            <sz val="9"/>
            <color indexed="81"/>
            <rFont val="Tahoma"/>
            <family val="2"/>
          </rPr>
          <t xml:space="preserve">
проверити збир!
</t>
        </r>
      </text>
    </comment>
    <comment ref="I1126" authorId="0" shapeId="0">
      <text>
        <r>
          <rPr>
            <b/>
            <sz val="9"/>
            <color indexed="81"/>
            <rFont val="Tahoma"/>
            <family val="2"/>
          </rPr>
          <t>LPA:</t>
        </r>
        <r>
          <rPr>
            <sz val="9"/>
            <color indexed="81"/>
            <rFont val="Tahoma"/>
            <family val="2"/>
          </rPr>
          <t xml:space="preserve">
проверити збир!
</t>
        </r>
      </text>
    </comment>
    <comment ref="I1127" authorId="0" shapeId="0">
      <text>
        <r>
          <rPr>
            <b/>
            <sz val="9"/>
            <color indexed="81"/>
            <rFont val="Tahoma"/>
            <family val="2"/>
          </rPr>
          <t>LPA:</t>
        </r>
        <r>
          <rPr>
            <sz val="9"/>
            <color indexed="81"/>
            <rFont val="Tahoma"/>
            <family val="2"/>
          </rPr>
          <t xml:space="preserve">
проверити збир!
</t>
        </r>
      </text>
    </comment>
    <comment ref="I1128" authorId="0" shapeId="0">
      <text>
        <r>
          <rPr>
            <b/>
            <sz val="9"/>
            <color indexed="81"/>
            <rFont val="Tahoma"/>
            <family val="2"/>
          </rPr>
          <t>LPA:</t>
        </r>
        <r>
          <rPr>
            <sz val="9"/>
            <color indexed="81"/>
            <rFont val="Tahoma"/>
            <family val="2"/>
          </rPr>
          <t xml:space="preserve">
проверити збир!
</t>
        </r>
      </text>
    </comment>
    <comment ref="I1129" authorId="0" shapeId="0">
      <text>
        <r>
          <rPr>
            <b/>
            <sz val="9"/>
            <color indexed="81"/>
            <rFont val="Tahoma"/>
            <family val="2"/>
          </rPr>
          <t>LPA:</t>
        </r>
        <r>
          <rPr>
            <sz val="9"/>
            <color indexed="81"/>
            <rFont val="Tahoma"/>
            <family val="2"/>
          </rPr>
          <t xml:space="preserve">
проверити збир!
</t>
        </r>
      </text>
    </comment>
    <comment ref="I1130" authorId="0" shapeId="0">
      <text>
        <r>
          <rPr>
            <b/>
            <sz val="9"/>
            <color indexed="81"/>
            <rFont val="Tahoma"/>
            <family val="2"/>
          </rPr>
          <t>LPA:</t>
        </r>
        <r>
          <rPr>
            <sz val="9"/>
            <color indexed="81"/>
            <rFont val="Tahoma"/>
            <family val="2"/>
          </rPr>
          <t xml:space="preserve">
проверити збир!
</t>
        </r>
      </text>
    </comment>
    <comment ref="I1131" authorId="0" shapeId="0">
      <text>
        <r>
          <rPr>
            <b/>
            <sz val="9"/>
            <color indexed="81"/>
            <rFont val="Tahoma"/>
            <family val="2"/>
          </rPr>
          <t>LPA:</t>
        </r>
        <r>
          <rPr>
            <sz val="9"/>
            <color indexed="81"/>
            <rFont val="Tahoma"/>
            <family val="2"/>
          </rPr>
          <t xml:space="preserve">
проверити збир!
</t>
        </r>
      </text>
    </comment>
    <comment ref="I1132" authorId="0" shapeId="0">
      <text>
        <r>
          <rPr>
            <b/>
            <sz val="9"/>
            <color indexed="81"/>
            <rFont val="Tahoma"/>
            <family val="2"/>
          </rPr>
          <t>LPA:</t>
        </r>
        <r>
          <rPr>
            <sz val="9"/>
            <color indexed="81"/>
            <rFont val="Tahoma"/>
            <family val="2"/>
          </rPr>
          <t xml:space="preserve">
проверити збир!
</t>
        </r>
      </text>
    </comment>
    <comment ref="I1133" authorId="0" shapeId="0">
      <text>
        <r>
          <rPr>
            <b/>
            <sz val="9"/>
            <color indexed="81"/>
            <rFont val="Tahoma"/>
            <family val="2"/>
          </rPr>
          <t>LPA:</t>
        </r>
        <r>
          <rPr>
            <sz val="9"/>
            <color indexed="81"/>
            <rFont val="Tahoma"/>
            <family val="2"/>
          </rPr>
          <t xml:space="preserve">
проверити збир!
</t>
        </r>
      </text>
    </comment>
    <comment ref="I1134" authorId="0" shapeId="0">
      <text>
        <r>
          <rPr>
            <b/>
            <sz val="9"/>
            <color indexed="81"/>
            <rFont val="Tahoma"/>
            <family val="2"/>
          </rPr>
          <t>LPA:</t>
        </r>
        <r>
          <rPr>
            <sz val="9"/>
            <color indexed="81"/>
            <rFont val="Tahoma"/>
            <family val="2"/>
          </rPr>
          <t xml:space="preserve">
проверити збир!
</t>
        </r>
      </text>
    </comment>
    <comment ref="I1135" authorId="0" shapeId="0">
      <text>
        <r>
          <rPr>
            <b/>
            <sz val="9"/>
            <color indexed="81"/>
            <rFont val="Tahoma"/>
            <family val="2"/>
          </rPr>
          <t>LPA:</t>
        </r>
        <r>
          <rPr>
            <sz val="9"/>
            <color indexed="81"/>
            <rFont val="Tahoma"/>
            <family val="2"/>
          </rPr>
          <t xml:space="preserve">
проверити збир!
</t>
        </r>
      </text>
    </comment>
    <comment ref="I1136" authorId="0" shapeId="0">
      <text>
        <r>
          <rPr>
            <b/>
            <sz val="9"/>
            <color indexed="81"/>
            <rFont val="Tahoma"/>
            <family val="2"/>
          </rPr>
          <t>LPA:</t>
        </r>
        <r>
          <rPr>
            <sz val="9"/>
            <color indexed="81"/>
            <rFont val="Tahoma"/>
            <family val="2"/>
          </rPr>
          <t xml:space="preserve">
проверити збир!
</t>
        </r>
      </text>
    </comment>
    <comment ref="I1137" authorId="0" shapeId="0">
      <text>
        <r>
          <rPr>
            <b/>
            <sz val="9"/>
            <color indexed="81"/>
            <rFont val="Tahoma"/>
            <family val="2"/>
          </rPr>
          <t>LPA:</t>
        </r>
        <r>
          <rPr>
            <sz val="9"/>
            <color indexed="81"/>
            <rFont val="Tahoma"/>
            <family val="2"/>
          </rPr>
          <t xml:space="preserve">
проверити збир!
</t>
        </r>
      </text>
    </comment>
    <comment ref="I1138" authorId="0" shapeId="0">
      <text>
        <r>
          <rPr>
            <b/>
            <sz val="9"/>
            <color indexed="81"/>
            <rFont val="Tahoma"/>
            <family val="2"/>
          </rPr>
          <t>LPA:</t>
        </r>
        <r>
          <rPr>
            <sz val="9"/>
            <color indexed="81"/>
            <rFont val="Tahoma"/>
            <family val="2"/>
          </rPr>
          <t xml:space="preserve">
проверити збир!
</t>
        </r>
      </text>
    </comment>
    <comment ref="H1141" authorId="0" shapeId="0">
      <text>
        <r>
          <rPr>
            <b/>
            <sz val="9"/>
            <color indexed="81"/>
            <rFont val="Tahoma"/>
            <family val="2"/>
          </rPr>
          <t>LPA:</t>
        </r>
        <r>
          <rPr>
            <sz val="9"/>
            <color indexed="81"/>
            <rFont val="Tahoma"/>
            <family val="2"/>
          </rPr>
          <t xml:space="preserve">
проверити збир!</t>
        </r>
      </text>
    </comment>
    <comment ref="I1141" authorId="0" shapeId="0">
      <text>
        <r>
          <rPr>
            <b/>
            <sz val="9"/>
            <color indexed="81"/>
            <rFont val="Tahoma"/>
            <family val="2"/>
          </rPr>
          <t>LPA:</t>
        </r>
        <r>
          <rPr>
            <sz val="9"/>
            <color indexed="81"/>
            <rFont val="Tahoma"/>
            <family val="2"/>
          </rPr>
          <t xml:space="preserve">
проверити збир!</t>
        </r>
      </text>
    </comment>
    <comment ref="I1142" authorId="0" shapeId="0">
      <text>
        <r>
          <rPr>
            <b/>
            <sz val="9"/>
            <color indexed="81"/>
            <rFont val="Tahoma"/>
            <family val="2"/>
          </rPr>
          <t>LPA:</t>
        </r>
        <r>
          <rPr>
            <sz val="9"/>
            <color indexed="81"/>
            <rFont val="Tahoma"/>
            <family val="2"/>
          </rPr>
          <t xml:space="preserve">
проверити збир!
</t>
        </r>
      </text>
    </comment>
    <comment ref="I1143" authorId="0" shapeId="0">
      <text>
        <r>
          <rPr>
            <b/>
            <sz val="9"/>
            <color indexed="81"/>
            <rFont val="Tahoma"/>
            <family val="2"/>
          </rPr>
          <t>LPA:</t>
        </r>
        <r>
          <rPr>
            <sz val="9"/>
            <color indexed="81"/>
            <rFont val="Tahoma"/>
            <family val="2"/>
          </rPr>
          <t xml:space="preserve">
проверити збир!
</t>
        </r>
      </text>
    </comment>
    <comment ref="I1144" authorId="0" shapeId="0">
      <text>
        <r>
          <rPr>
            <b/>
            <sz val="9"/>
            <color indexed="81"/>
            <rFont val="Tahoma"/>
            <family val="2"/>
          </rPr>
          <t>LPA:</t>
        </r>
        <r>
          <rPr>
            <sz val="9"/>
            <color indexed="81"/>
            <rFont val="Tahoma"/>
            <family val="2"/>
          </rPr>
          <t xml:space="preserve">
проверити збир!
</t>
        </r>
      </text>
    </comment>
    <comment ref="I1145" authorId="0" shapeId="0">
      <text>
        <r>
          <rPr>
            <b/>
            <sz val="9"/>
            <color indexed="81"/>
            <rFont val="Tahoma"/>
            <family val="2"/>
          </rPr>
          <t>LPA:</t>
        </r>
        <r>
          <rPr>
            <sz val="9"/>
            <color indexed="81"/>
            <rFont val="Tahoma"/>
            <family val="2"/>
          </rPr>
          <t xml:space="preserve">
проверити збир!
</t>
        </r>
      </text>
    </comment>
    <comment ref="I1146" authorId="0" shapeId="0">
      <text>
        <r>
          <rPr>
            <b/>
            <sz val="9"/>
            <color indexed="81"/>
            <rFont val="Tahoma"/>
            <family val="2"/>
          </rPr>
          <t>LPA:</t>
        </r>
        <r>
          <rPr>
            <sz val="9"/>
            <color indexed="81"/>
            <rFont val="Tahoma"/>
            <family val="2"/>
          </rPr>
          <t xml:space="preserve">
проверити збир!
</t>
        </r>
      </text>
    </comment>
    <comment ref="I1147" authorId="0" shapeId="0">
      <text>
        <r>
          <rPr>
            <b/>
            <sz val="9"/>
            <color indexed="81"/>
            <rFont val="Tahoma"/>
            <family val="2"/>
          </rPr>
          <t>LPA:</t>
        </r>
        <r>
          <rPr>
            <sz val="9"/>
            <color indexed="81"/>
            <rFont val="Tahoma"/>
            <family val="2"/>
          </rPr>
          <t xml:space="preserve">
проверити збир!
</t>
        </r>
      </text>
    </comment>
    <comment ref="I1148" authorId="0" shapeId="0">
      <text>
        <r>
          <rPr>
            <b/>
            <sz val="9"/>
            <color indexed="81"/>
            <rFont val="Tahoma"/>
            <family val="2"/>
          </rPr>
          <t>LPA:</t>
        </r>
        <r>
          <rPr>
            <sz val="9"/>
            <color indexed="81"/>
            <rFont val="Tahoma"/>
            <family val="2"/>
          </rPr>
          <t xml:space="preserve">
проверити збир!
</t>
        </r>
      </text>
    </comment>
    <comment ref="I1149" authorId="0" shapeId="0">
      <text>
        <r>
          <rPr>
            <b/>
            <sz val="9"/>
            <color indexed="81"/>
            <rFont val="Tahoma"/>
            <family val="2"/>
          </rPr>
          <t>LPA:</t>
        </r>
        <r>
          <rPr>
            <sz val="9"/>
            <color indexed="81"/>
            <rFont val="Tahoma"/>
            <family val="2"/>
          </rPr>
          <t xml:space="preserve">
проверити збир!
</t>
        </r>
      </text>
    </comment>
    <comment ref="I1150" authorId="0" shapeId="0">
      <text>
        <r>
          <rPr>
            <b/>
            <sz val="9"/>
            <color indexed="81"/>
            <rFont val="Tahoma"/>
            <family val="2"/>
          </rPr>
          <t>LPA:</t>
        </r>
        <r>
          <rPr>
            <sz val="9"/>
            <color indexed="81"/>
            <rFont val="Tahoma"/>
            <family val="2"/>
          </rPr>
          <t xml:space="preserve">
проверити збир!
</t>
        </r>
      </text>
    </comment>
    <comment ref="I1151" authorId="0" shapeId="0">
      <text>
        <r>
          <rPr>
            <b/>
            <sz val="9"/>
            <color indexed="81"/>
            <rFont val="Tahoma"/>
            <family val="2"/>
          </rPr>
          <t>LPA:</t>
        </r>
        <r>
          <rPr>
            <sz val="9"/>
            <color indexed="81"/>
            <rFont val="Tahoma"/>
            <family val="2"/>
          </rPr>
          <t xml:space="preserve">
проверити збир!
</t>
        </r>
      </text>
    </comment>
    <comment ref="I1152" authorId="0" shapeId="0">
      <text>
        <r>
          <rPr>
            <b/>
            <sz val="9"/>
            <color indexed="81"/>
            <rFont val="Tahoma"/>
            <family val="2"/>
          </rPr>
          <t>LPA:</t>
        </r>
        <r>
          <rPr>
            <sz val="9"/>
            <color indexed="81"/>
            <rFont val="Tahoma"/>
            <family val="2"/>
          </rPr>
          <t xml:space="preserve">
проверити збир!
</t>
        </r>
      </text>
    </comment>
    <comment ref="I1153" authorId="0" shapeId="0">
      <text>
        <r>
          <rPr>
            <b/>
            <sz val="9"/>
            <color indexed="81"/>
            <rFont val="Tahoma"/>
            <family val="2"/>
          </rPr>
          <t>LPA:</t>
        </r>
        <r>
          <rPr>
            <sz val="9"/>
            <color indexed="81"/>
            <rFont val="Tahoma"/>
            <family val="2"/>
          </rPr>
          <t xml:space="preserve">
проверити збир!
</t>
        </r>
      </text>
    </comment>
    <comment ref="I1154" authorId="0" shapeId="0">
      <text>
        <r>
          <rPr>
            <b/>
            <sz val="9"/>
            <color indexed="81"/>
            <rFont val="Tahoma"/>
            <family val="2"/>
          </rPr>
          <t>LPA:</t>
        </r>
        <r>
          <rPr>
            <sz val="9"/>
            <color indexed="81"/>
            <rFont val="Tahoma"/>
            <family val="2"/>
          </rPr>
          <t xml:space="preserve">
проверити збир!
</t>
        </r>
      </text>
    </comment>
    <comment ref="I1155" authorId="0" shapeId="0">
      <text>
        <r>
          <rPr>
            <b/>
            <sz val="9"/>
            <color indexed="81"/>
            <rFont val="Tahoma"/>
            <family val="2"/>
          </rPr>
          <t>LPA:</t>
        </r>
        <r>
          <rPr>
            <sz val="9"/>
            <color indexed="81"/>
            <rFont val="Tahoma"/>
            <family val="2"/>
          </rPr>
          <t xml:space="preserve">
проверити збир!
</t>
        </r>
      </text>
    </comment>
    <comment ref="I1156" authorId="0" shapeId="0">
      <text>
        <r>
          <rPr>
            <b/>
            <sz val="9"/>
            <color indexed="81"/>
            <rFont val="Tahoma"/>
            <family val="2"/>
          </rPr>
          <t>LPA:</t>
        </r>
        <r>
          <rPr>
            <sz val="9"/>
            <color indexed="81"/>
            <rFont val="Tahoma"/>
            <family val="2"/>
          </rPr>
          <t xml:space="preserve">
проверити збир!
</t>
        </r>
      </text>
    </comment>
    <comment ref="I1225" authorId="0" shapeId="0">
      <text>
        <r>
          <rPr>
            <b/>
            <sz val="9"/>
            <color indexed="81"/>
            <rFont val="Tahoma"/>
            <family val="2"/>
          </rPr>
          <t>LPA:</t>
        </r>
        <r>
          <rPr>
            <sz val="9"/>
            <color indexed="81"/>
            <rFont val="Tahoma"/>
            <family val="2"/>
          </rPr>
          <t xml:space="preserve">
проверити збир!
</t>
        </r>
      </text>
    </comment>
    <comment ref="I1226" authorId="0" shapeId="0">
      <text>
        <r>
          <rPr>
            <b/>
            <sz val="9"/>
            <color indexed="81"/>
            <rFont val="Tahoma"/>
            <family val="2"/>
          </rPr>
          <t>LPA:</t>
        </r>
        <r>
          <rPr>
            <sz val="9"/>
            <color indexed="81"/>
            <rFont val="Tahoma"/>
            <family val="2"/>
          </rPr>
          <t xml:space="preserve">
проверити збир!
</t>
        </r>
      </text>
    </comment>
    <comment ref="I1227" authorId="0" shapeId="0">
      <text>
        <r>
          <rPr>
            <b/>
            <sz val="9"/>
            <color indexed="81"/>
            <rFont val="Tahoma"/>
            <family val="2"/>
          </rPr>
          <t>LPA:</t>
        </r>
        <r>
          <rPr>
            <sz val="9"/>
            <color indexed="81"/>
            <rFont val="Tahoma"/>
            <family val="2"/>
          </rPr>
          <t xml:space="preserve">
проверити збир!
</t>
        </r>
      </text>
    </comment>
    <comment ref="I1228" authorId="0" shapeId="0">
      <text>
        <r>
          <rPr>
            <b/>
            <sz val="9"/>
            <color indexed="81"/>
            <rFont val="Tahoma"/>
            <family val="2"/>
          </rPr>
          <t>LPA:</t>
        </r>
        <r>
          <rPr>
            <sz val="9"/>
            <color indexed="81"/>
            <rFont val="Tahoma"/>
            <family val="2"/>
          </rPr>
          <t xml:space="preserve">
проверити збир!
</t>
        </r>
      </text>
    </comment>
    <comment ref="I1229" authorId="0" shapeId="0">
      <text>
        <r>
          <rPr>
            <b/>
            <sz val="9"/>
            <color indexed="81"/>
            <rFont val="Tahoma"/>
            <family val="2"/>
          </rPr>
          <t>LPA:</t>
        </r>
        <r>
          <rPr>
            <sz val="9"/>
            <color indexed="81"/>
            <rFont val="Tahoma"/>
            <family val="2"/>
          </rPr>
          <t xml:space="preserve">
проверити збир!
</t>
        </r>
      </text>
    </comment>
    <comment ref="I1230" authorId="0" shapeId="0">
      <text>
        <r>
          <rPr>
            <b/>
            <sz val="9"/>
            <color indexed="81"/>
            <rFont val="Tahoma"/>
            <family val="2"/>
          </rPr>
          <t>LPA:</t>
        </r>
        <r>
          <rPr>
            <sz val="9"/>
            <color indexed="81"/>
            <rFont val="Tahoma"/>
            <family val="2"/>
          </rPr>
          <t xml:space="preserve">
проверити збир!
</t>
        </r>
      </text>
    </comment>
    <comment ref="I1231" authorId="0" shapeId="0">
      <text>
        <r>
          <rPr>
            <b/>
            <sz val="9"/>
            <color indexed="81"/>
            <rFont val="Tahoma"/>
            <family val="2"/>
          </rPr>
          <t>LPA:</t>
        </r>
        <r>
          <rPr>
            <sz val="9"/>
            <color indexed="81"/>
            <rFont val="Tahoma"/>
            <family val="2"/>
          </rPr>
          <t xml:space="preserve">
проверити збир!
</t>
        </r>
      </text>
    </comment>
    <comment ref="I1232" authorId="0" shapeId="0">
      <text>
        <r>
          <rPr>
            <b/>
            <sz val="9"/>
            <color indexed="81"/>
            <rFont val="Tahoma"/>
            <family val="2"/>
          </rPr>
          <t>LPA:</t>
        </r>
        <r>
          <rPr>
            <sz val="9"/>
            <color indexed="81"/>
            <rFont val="Tahoma"/>
            <family val="2"/>
          </rPr>
          <t xml:space="preserve">
проверити збир!
</t>
        </r>
      </text>
    </comment>
    <comment ref="I1233" authorId="0" shapeId="0">
      <text>
        <r>
          <rPr>
            <b/>
            <sz val="9"/>
            <color indexed="81"/>
            <rFont val="Tahoma"/>
            <family val="2"/>
          </rPr>
          <t>LPA:</t>
        </r>
        <r>
          <rPr>
            <sz val="9"/>
            <color indexed="81"/>
            <rFont val="Tahoma"/>
            <family val="2"/>
          </rPr>
          <t xml:space="preserve">
проверити збир!
</t>
        </r>
      </text>
    </comment>
    <comment ref="I1234" authorId="0" shapeId="0">
      <text>
        <r>
          <rPr>
            <b/>
            <sz val="9"/>
            <color indexed="81"/>
            <rFont val="Tahoma"/>
            <family val="2"/>
          </rPr>
          <t>LPA:</t>
        </r>
        <r>
          <rPr>
            <sz val="9"/>
            <color indexed="81"/>
            <rFont val="Tahoma"/>
            <family val="2"/>
          </rPr>
          <t xml:space="preserve">
проверити збир!
</t>
        </r>
      </text>
    </comment>
    <comment ref="I1235" authorId="0" shapeId="0">
      <text>
        <r>
          <rPr>
            <b/>
            <sz val="9"/>
            <color indexed="81"/>
            <rFont val="Tahoma"/>
            <family val="2"/>
          </rPr>
          <t>LPA:</t>
        </r>
        <r>
          <rPr>
            <sz val="9"/>
            <color indexed="81"/>
            <rFont val="Tahoma"/>
            <family val="2"/>
          </rPr>
          <t xml:space="preserve">
проверити збир!
</t>
        </r>
      </text>
    </comment>
    <comment ref="I1236" authorId="0" shapeId="0">
      <text>
        <r>
          <rPr>
            <b/>
            <sz val="9"/>
            <color indexed="81"/>
            <rFont val="Tahoma"/>
            <family val="2"/>
          </rPr>
          <t>LPA:</t>
        </r>
        <r>
          <rPr>
            <sz val="9"/>
            <color indexed="81"/>
            <rFont val="Tahoma"/>
            <family val="2"/>
          </rPr>
          <t xml:space="preserve">
проверити збир!
</t>
        </r>
      </text>
    </comment>
    <comment ref="I1237" authorId="0" shapeId="0">
      <text>
        <r>
          <rPr>
            <b/>
            <sz val="9"/>
            <color indexed="81"/>
            <rFont val="Tahoma"/>
            <family val="2"/>
          </rPr>
          <t>LPA:</t>
        </r>
        <r>
          <rPr>
            <sz val="9"/>
            <color indexed="81"/>
            <rFont val="Tahoma"/>
            <family val="2"/>
          </rPr>
          <t xml:space="preserve">
проверити збир!
</t>
        </r>
      </text>
    </comment>
    <comment ref="H1240" authorId="0" shapeId="0">
      <text>
        <r>
          <rPr>
            <b/>
            <sz val="9"/>
            <color indexed="81"/>
            <rFont val="Tahoma"/>
            <family val="2"/>
          </rPr>
          <t>LPA:</t>
        </r>
        <r>
          <rPr>
            <sz val="9"/>
            <color indexed="81"/>
            <rFont val="Tahoma"/>
            <family val="2"/>
          </rPr>
          <t xml:space="preserve">
проверити збир!</t>
        </r>
      </text>
    </comment>
    <comment ref="I1240" authorId="0" shapeId="0">
      <text>
        <r>
          <rPr>
            <b/>
            <sz val="9"/>
            <color indexed="81"/>
            <rFont val="Tahoma"/>
            <family val="2"/>
          </rPr>
          <t>LPA:</t>
        </r>
        <r>
          <rPr>
            <sz val="9"/>
            <color indexed="81"/>
            <rFont val="Tahoma"/>
            <family val="2"/>
          </rPr>
          <t xml:space="preserve">
проверити збир!</t>
        </r>
      </text>
    </comment>
    <comment ref="I1241" authorId="0" shapeId="0">
      <text>
        <r>
          <rPr>
            <b/>
            <sz val="9"/>
            <color indexed="81"/>
            <rFont val="Tahoma"/>
            <family val="2"/>
          </rPr>
          <t>LPA:</t>
        </r>
        <r>
          <rPr>
            <sz val="9"/>
            <color indexed="81"/>
            <rFont val="Tahoma"/>
            <family val="2"/>
          </rPr>
          <t xml:space="preserve">
проверити збир!
</t>
        </r>
      </text>
    </comment>
    <comment ref="I1242" authorId="0" shapeId="0">
      <text>
        <r>
          <rPr>
            <b/>
            <sz val="9"/>
            <color indexed="81"/>
            <rFont val="Tahoma"/>
            <family val="2"/>
          </rPr>
          <t>LPA:</t>
        </r>
        <r>
          <rPr>
            <sz val="9"/>
            <color indexed="81"/>
            <rFont val="Tahoma"/>
            <family val="2"/>
          </rPr>
          <t xml:space="preserve">
проверити збир!
</t>
        </r>
      </text>
    </comment>
    <comment ref="I1243" authorId="0" shapeId="0">
      <text>
        <r>
          <rPr>
            <b/>
            <sz val="9"/>
            <color indexed="81"/>
            <rFont val="Tahoma"/>
            <family val="2"/>
          </rPr>
          <t>LPA:</t>
        </r>
        <r>
          <rPr>
            <sz val="9"/>
            <color indexed="81"/>
            <rFont val="Tahoma"/>
            <family val="2"/>
          </rPr>
          <t xml:space="preserve">
проверити збир!
</t>
        </r>
      </text>
    </comment>
    <comment ref="I1244" authorId="0" shapeId="0">
      <text>
        <r>
          <rPr>
            <b/>
            <sz val="9"/>
            <color indexed="81"/>
            <rFont val="Tahoma"/>
            <family val="2"/>
          </rPr>
          <t>LPA:</t>
        </r>
        <r>
          <rPr>
            <sz val="9"/>
            <color indexed="81"/>
            <rFont val="Tahoma"/>
            <family val="2"/>
          </rPr>
          <t xml:space="preserve">
проверити збир!
</t>
        </r>
      </text>
    </comment>
    <comment ref="I1245" authorId="0" shapeId="0">
      <text>
        <r>
          <rPr>
            <b/>
            <sz val="9"/>
            <color indexed="81"/>
            <rFont val="Tahoma"/>
            <family val="2"/>
          </rPr>
          <t>LPA:</t>
        </r>
        <r>
          <rPr>
            <sz val="9"/>
            <color indexed="81"/>
            <rFont val="Tahoma"/>
            <family val="2"/>
          </rPr>
          <t xml:space="preserve">
проверити збир!
</t>
        </r>
      </text>
    </comment>
    <comment ref="I1246" authorId="0" shapeId="0">
      <text>
        <r>
          <rPr>
            <b/>
            <sz val="9"/>
            <color indexed="81"/>
            <rFont val="Tahoma"/>
            <family val="2"/>
          </rPr>
          <t>LPA:</t>
        </r>
        <r>
          <rPr>
            <sz val="9"/>
            <color indexed="81"/>
            <rFont val="Tahoma"/>
            <family val="2"/>
          </rPr>
          <t xml:space="preserve">
проверити збир!
</t>
        </r>
      </text>
    </comment>
    <comment ref="I1247" authorId="0" shapeId="0">
      <text>
        <r>
          <rPr>
            <b/>
            <sz val="9"/>
            <color indexed="81"/>
            <rFont val="Tahoma"/>
            <family val="2"/>
          </rPr>
          <t>LPA:</t>
        </r>
        <r>
          <rPr>
            <sz val="9"/>
            <color indexed="81"/>
            <rFont val="Tahoma"/>
            <family val="2"/>
          </rPr>
          <t xml:space="preserve">
проверити збир!
</t>
        </r>
      </text>
    </comment>
    <comment ref="I1248" authorId="0" shapeId="0">
      <text>
        <r>
          <rPr>
            <b/>
            <sz val="9"/>
            <color indexed="81"/>
            <rFont val="Tahoma"/>
            <family val="2"/>
          </rPr>
          <t>LPA:</t>
        </r>
        <r>
          <rPr>
            <sz val="9"/>
            <color indexed="81"/>
            <rFont val="Tahoma"/>
            <family val="2"/>
          </rPr>
          <t xml:space="preserve">
проверити збир!
</t>
        </r>
      </text>
    </comment>
    <comment ref="I1249" authorId="0" shapeId="0">
      <text>
        <r>
          <rPr>
            <b/>
            <sz val="9"/>
            <color indexed="81"/>
            <rFont val="Tahoma"/>
            <family val="2"/>
          </rPr>
          <t>LPA:</t>
        </r>
        <r>
          <rPr>
            <sz val="9"/>
            <color indexed="81"/>
            <rFont val="Tahoma"/>
            <family val="2"/>
          </rPr>
          <t xml:space="preserve">
проверити збир!
</t>
        </r>
      </text>
    </comment>
    <comment ref="I1250" authorId="0" shapeId="0">
      <text>
        <r>
          <rPr>
            <b/>
            <sz val="9"/>
            <color indexed="81"/>
            <rFont val="Tahoma"/>
            <family val="2"/>
          </rPr>
          <t>LPA:</t>
        </r>
        <r>
          <rPr>
            <sz val="9"/>
            <color indexed="81"/>
            <rFont val="Tahoma"/>
            <family val="2"/>
          </rPr>
          <t xml:space="preserve">
проверити збир!
</t>
        </r>
      </text>
    </comment>
    <comment ref="I1251" authorId="0" shapeId="0">
      <text>
        <r>
          <rPr>
            <b/>
            <sz val="9"/>
            <color indexed="81"/>
            <rFont val="Tahoma"/>
            <family val="2"/>
          </rPr>
          <t>LPA:</t>
        </r>
        <r>
          <rPr>
            <sz val="9"/>
            <color indexed="81"/>
            <rFont val="Tahoma"/>
            <family val="2"/>
          </rPr>
          <t xml:space="preserve">
проверити збир!
</t>
        </r>
      </text>
    </comment>
    <comment ref="I1252" authorId="0" shapeId="0">
      <text>
        <r>
          <rPr>
            <b/>
            <sz val="9"/>
            <color indexed="81"/>
            <rFont val="Tahoma"/>
            <family val="2"/>
          </rPr>
          <t>LPA:</t>
        </r>
        <r>
          <rPr>
            <sz val="9"/>
            <color indexed="81"/>
            <rFont val="Tahoma"/>
            <family val="2"/>
          </rPr>
          <t xml:space="preserve">
проверити збир!
</t>
        </r>
      </text>
    </comment>
    <comment ref="I1253" authorId="0" shapeId="0">
      <text>
        <r>
          <rPr>
            <b/>
            <sz val="9"/>
            <color indexed="81"/>
            <rFont val="Tahoma"/>
            <family val="2"/>
          </rPr>
          <t>LPA:</t>
        </r>
        <r>
          <rPr>
            <sz val="9"/>
            <color indexed="81"/>
            <rFont val="Tahoma"/>
            <family val="2"/>
          </rPr>
          <t xml:space="preserve">
проверити збир!
</t>
        </r>
      </text>
    </comment>
    <comment ref="I1254" authorId="0" shapeId="0">
      <text>
        <r>
          <rPr>
            <b/>
            <sz val="9"/>
            <color indexed="81"/>
            <rFont val="Tahoma"/>
            <family val="2"/>
          </rPr>
          <t>LPA:</t>
        </r>
        <r>
          <rPr>
            <sz val="9"/>
            <color indexed="81"/>
            <rFont val="Tahoma"/>
            <family val="2"/>
          </rPr>
          <t xml:space="preserve">
проверити збир!
</t>
        </r>
      </text>
    </comment>
    <comment ref="I1255" authorId="0" shapeId="0">
      <text>
        <r>
          <rPr>
            <b/>
            <sz val="9"/>
            <color indexed="81"/>
            <rFont val="Tahoma"/>
            <family val="2"/>
          </rPr>
          <t>LPA:</t>
        </r>
        <r>
          <rPr>
            <sz val="9"/>
            <color indexed="81"/>
            <rFont val="Tahoma"/>
            <family val="2"/>
          </rPr>
          <t xml:space="preserve">
проверити збир!
</t>
        </r>
      </text>
    </comment>
    <comment ref="I1323" authorId="0" shapeId="0">
      <text>
        <r>
          <rPr>
            <b/>
            <sz val="9"/>
            <color indexed="81"/>
            <rFont val="Tahoma"/>
            <family val="2"/>
          </rPr>
          <t>LPA:</t>
        </r>
        <r>
          <rPr>
            <sz val="9"/>
            <color indexed="81"/>
            <rFont val="Tahoma"/>
            <family val="2"/>
          </rPr>
          <t xml:space="preserve">
проверити збир!
</t>
        </r>
      </text>
    </comment>
    <comment ref="I1324" authorId="0" shapeId="0">
      <text>
        <r>
          <rPr>
            <b/>
            <sz val="9"/>
            <color indexed="81"/>
            <rFont val="Tahoma"/>
            <family val="2"/>
          </rPr>
          <t>LPA:</t>
        </r>
        <r>
          <rPr>
            <sz val="9"/>
            <color indexed="81"/>
            <rFont val="Tahoma"/>
            <family val="2"/>
          </rPr>
          <t xml:space="preserve">
проверити збир!
</t>
        </r>
      </text>
    </comment>
    <comment ref="I1325" authorId="0" shapeId="0">
      <text>
        <r>
          <rPr>
            <b/>
            <sz val="9"/>
            <color indexed="81"/>
            <rFont val="Tahoma"/>
            <family val="2"/>
          </rPr>
          <t>LPA:</t>
        </r>
        <r>
          <rPr>
            <sz val="9"/>
            <color indexed="81"/>
            <rFont val="Tahoma"/>
            <family val="2"/>
          </rPr>
          <t xml:space="preserve">
проверити збир!
</t>
        </r>
      </text>
    </comment>
    <comment ref="I1326" authorId="0" shapeId="0">
      <text>
        <r>
          <rPr>
            <b/>
            <sz val="9"/>
            <color indexed="81"/>
            <rFont val="Tahoma"/>
            <family val="2"/>
          </rPr>
          <t>LPA:</t>
        </r>
        <r>
          <rPr>
            <sz val="9"/>
            <color indexed="81"/>
            <rFont val="Tahoma"/>
            <family val="2"/>
          </rPr>
          <t xml:space="preserve">
проверити збир!
</t>
        </r>
      </text>
    </comment>
    <comment ref="I1327" authorId="0" shapeId="0">
      <text>
        <r>
          <rPr>
            <b/>
            <sz val="9"/>
            <color indexed="81"/>
            <rFont val="Tahoma"/>
            <family val="2"/>
          </rPr>
          <t>LPA:</t>
        </r>
        <r>
          <rPr>
            <sz val="9"/>
            <color indexed="81"/>
            <rFont val="Tahoma"/>
            <family val="2"/>
          </rPr>
          <t xml:space="preserve">
проверити збир!
</t>
        </r>
      </text>
    </comment>
    <comment ref="I1328" authorId="0" shapeId="0">
      <text>
        <r>
          <rPr>
            <b/>
            <sz val="9"/>
            <color indexed="81"/>
            <rFont val="Tahoma"/>
            <family val="2"/>
          </rPr>
          <t>LPA:</t>
        </r>
        <r>
          <rPr>
            <sz val="9"/>
            <color indexed="81"/>
            <rFont val="Tahoma"/>
            <family val="2"/>
          </rPr>
          <t xml:space="preserve">
проверити збир!
</t>
        </r>
      </text>
    </comment>
    <comment ref="I1329" authorId="0" shapeId="0">
      <text>
        <r>
          <rPr>
            <b/>
            <sz val="9"/>
            <color indexed="81"/>
            <rFont val="Tahoma"/>
            <family val="2"/>
          </rPr>
          <t>LPA:</t>
        </r>
        <r>
          <rPr>
            <sz val="9"/>
            <color indexed="81"/>
            <rFont val="Tahoma"/>
            <family val="2"/>
          </rPr>
          <t xml:space="preserve">
проверити збир!
</t>
        </r>
      </text>
    </comment>
    <comment ref="I1330" authorId="0" shapeId="0">
      <text>
        <r>
          <rPr>
            <b/>
            <sz val="9"/>
            <color indexed="81"/>
            <rFont val="Tahoma"/>
            <family val="2"/>
          </rPr>
          <t>LPA:</t>
        </r>
        <r>
          <rPr>
            <sz val="9"/>
            <color indexed="81"/>
            <rFont val="Tahoma"/>
            <family val="2"/>
          </rPr>
          <t xml:space="preserve">
проверити збир!
</t>
        </r>
      </text>
    </comment>
    <comment ref="I1331" authorId="0" shapeId="0">
      <text>
        <r>
          <rPr>
            <b/>
            <sz val="9"/>
            <color indexed="81"/>
            <rFont val="Tahoma"/>
            <family val="2"/>
          </rPr>
          <t>LPA:</t>
        </r>
        <r>
          <rPr>
            <sz val="9"/>
            <color indexed="81"/>
            <rFont val="Tahoma"/>
            <family val="2"/>
          </rPr>
          <t xml:space="preserve">
проверити збир!
</t>
        </r>
      </text>
    </comment>
    <comment ref="I1332" authorId="0" shapeId="0">
      <text>
        <r>
          <rPr>
            <b/>
            <sz val="9"/>
            <color indexed="81"/>
            <rFont val="Tahoma"/>
            <family val="2"/>
          </rPr>
          <t>LPA:</t>
        </r>
        <r>
          <rPr>
            <sz val="9"/>
            <color indexed="81"/>
            <rFont val="Tahoma"/>
            <family val="2"/>
          </rPr>
          <t xml:space="preserve">
проверити збир!
</t>
        </r>
      </text>
    </comment>
    <comment ref="I1333" authorId="0" shapeId="0">
      <text>
        <r>
          <rPr>
            <b/>
            <sz val="9"/>
            <color indexed="81"/>
            <rFont val="Tahoma"/>
            <family val="2"/>
          </rPr>
          <t>LPA:</t>
        </r>
        <r>
          <rPr>
            <sz val="9"/>
            <color indexed="81"/>
            <rFont val="Tahoma"/>
            <family val="2"/>
          </rPr>
          <t xml:space="preserve">
проверити збир!
</t>
        </r>
      </text>
    </comment>
    <comment ref="I1334" authorId="0" shapeId="0">
      <text>
        <r>
          <rPr>
            <b/>
            <sz val="9"/>
            <color indexed="81"/>
            <rFont val="Tahoma"/>
            <family val="2"/>
          </rPr>
          <t>LPA:</t>
        </r>
        <r>
          <rPr>
            <sz val="9"/>
            <color indexed="81"/>
            <rFont val="Tahoma"/>
            <family val="2"/>
          </rPr>
          <t xml:space="preserve">
проверити збир!
</t>
        </r>
      </text>
    </comment>
    <comment ref="I1335" authorId="0" shapeId="0">
      <text>
        <r>
          <rPr>
            <b/>
            <sz val="9"/>
            <color indexed="81"/>
            <rFont val="Tahoma"/>
            <family val="2"/>
          </rPr>
          <t>LPA:</t>
        </r>
        <r>
          <rPr>
            <sz val="9"/>
            <color indexed="81"/>
            <rFont val="Tahoma"/>
            <family val="2"/>
          </rPr>
          <t xml:space="preserve">
проверити збир!
</t>
        </r>
      </text>
    </comment>
    <comment ref="H1338" authorId="0" shapeId="0">
      <text>
        <r>
          <rPr>
            <b/>
            <sz val="9"/>
            <color indexed="81"/>
            <rFont val="Tahoma"/>
            <family val="2"/>
          </rPr>
          <t>LPA:</t>
        </r>
        <r>
          <rPr>
            <sz val="9"/>
            <color indexed="81"/>
            <rFont val="Tahoma"/>
            <family val="2"/>
          </rPr>
          <t xml:space="preserve">
проверити збир!</t>
        </r>
      </text>
    </comment>
    <comment ref="I1338" authorId="0" shapeId="0">
      <text>
        <r>
          <rPr>
            <b/>
            <sz val="9"/>
            <color indexed="81"/>
            <rFont val="Tahoma"/>
            <family val="2"/>
          </rPr>
          <t>LPA:</t>
        </r>
        <r>
          <rPr>
            <sz val="9"/>
            <color indexed="81"/>
            <rFont val="Tahoma"/>
            <family val="2"/>
          </rPr>
          <t xml:space="preserve">
проверити збир!</t>
        </r>
      </text>
    </comment>
    <comment ref="I1339" authorId="0" shapeId="0">
      <text>
        <r>
          <rPr>
            <b/>
            <sz val="9"/>
            <color indexed="81"/>
            <rFont val="Tahoma"/>
            <family val="2"/>
          </rPr>
          <t>LPA:</t>
        </r>
        <r>
          <rPr>
            <sz val="9"/>
            <color indexed="81"/>
            <rFont val="Tahoma"/>
            <family val="2"/>
          </rPr>
          <t xml:space="preserve">
проверити збир!
</t>
        </r>
      </text>
    </comment>
    <comment ref="I1340" authorId="0" shapeId="0">
      <text>
        <r>
          <rPr>
            <b/>
            <sz val="9"/>
            <color indexed="81"/>
            <rFont val="Tahoma"/>
            <family val="2"/>
          </rPr>
          <t>LPA:</t>
        </r>
        <r>
          <rPr>
            <sz val="9"/>
            <color indexed="81"/>
            <rFont val="Tahoma"/>
            <family val="2"/>
          </rPr>
          <t xml:space="preserve">
проверити збир!
</t>
        </r>
      </text>
    </comment>
    <comment ref="I1341" authorId="0" shapeId="0">
      <text>
        <r>
          <rPr>
            <b/>
            <sz val="9"/>
            <color indexed="81"/>
            <rFont val="Tahoma"/>
            <family val="2"/>
          </rPr>
          <t>LPA:</t>
        </r>
        <r>
          <rPr>
            <sz val="9"/>
            <color indexed="81"/>
            <rFont val="Tahoma"/>
            <family val="2"/>
          </rPr>
          <t xml:space="preserve">
проверити збир!
</t>
        </r>
      </text>
    </comment>
    <comment ref="I1342" authorId="0" shapeId="0">
      <text>
        <r>
          <rPr>
            <b/>
            <sz val="9"/>
            <color indexed="81"/>
            <rFont val="Tahoma"/>
            <family val="2"/>
          </rPr>
          <t>LPA:</t>
        </r>
        <r>
          <rPr>
            <sz val="9"/>
            <color indexed="81"/>
            <rFont val="Tahoma"/>
            <family val="2"/>
          </rPr>
          <t xml:space="preserve">
проверити збир!
</t>
        </r>
      </text>
    </comment>
    <comment ref="I1343" authorId="0" shapeId="0">
      <text>
        <r>
          <rPr>
            <b/>
            <sz val="9"/>
            <color indexed="81"/>
            <rFont val="Tahoma"/>
            <family val="2"/>
          </rPr>
          <t>LPA:</t>
        </r>
        <r>
          <rPr>
            <sz val="9"/>
            <color indexed="81"/>
            <rFont val="Tahoma"/>
            <family val="2"/>
          </rPr>
          <t xml:space="preserve">
проверити збир!
</t>
        </r>
      </text>
    </comment>
    <comment ref="I1344" authorId="0" shapeId="0">
      <text>
        <r>
          <rPr>
            <b/>
            <sz val="9"/>
            <color indexed="81"/>
            <rFont val="Tahoma"/>
            <family val="2"/>
          </rPr>
          <t>LPA:</t>
        </r>
        <r>
          <rPr>
            <sz val="9"/>
            <color indexed="81"/>
            <rFont val="Tahoma"/>
            <family val="2"/>
          </rPr>
          <t xml:space="preserve">
проверити збир!
</t>
        </r>
      </text>
    </comment>
    <comment ref="I1345" authorId="0" shapeId="0">
      <text>
        <r>
          <rPr>
            <b/>
            <sz val="9"/>
            <color indexed="81"/>
            <rFont val="Tahoma"/>
            <family val="2"/>
          </rPr>
          <t>LPA:</t>
        </r>
        <r>
          <rPr>
            <sz val="9"/>
            <color indexed="81"/>
            <rFont val="Tahoma"/>
            <family val="2"/>
          </rPr>
          <t xml:space="preserve">
проверити збир!
</t>
        </r>
      </text>
    </comment>
    <comment ref="I1346" authorId="0" shapeId="0">
      <text>
        <r>
          <rPr>
            <b/>
            <sz val="9"/>
            <color indexed="81"/>
            <rFont val="Tahoma"/>
            <family val="2"/>
          </rPr>
          <t>LPA:</t>
        </r>
        <r>
          <rPr>
            <sz val="9"/>
            <color indexed="81"/>
            <rFont val="Tahoma"/>
            <family val="2"/>
          </rPr>
          <t xml:space="preserve">
проверити збир!
</t>
        </r>
      </text>
    </comment>
    <comment ref="I1347" authorId="0" shapeId="0">
      <text>
        <r>
          <rPr>
            <b/>
            <sz val="9"/>
            <color indexed="81"/>
            <rFont val="Tahoma"/>
            <family val="2"/>
          </rPr>
          <t>LPA:</t>
        </r>
        <r>
          <rPr>
            <sz val="9"/>
            <color indexed="81"/>
            <rFont val="Tahoma"/>
            <family val="2"/>
          </rPr>
          <t xml:space="preserve">
проверити збир!
</t>
        </r>
      </text>
    </comment>
    <comment ref="I1348" authorId="0" shapeId="0">
      <text>
        <r>
          <rPr>
            <b/>
            <sz val="9"/>
            <color indexed="81"/>
            <rFont val="Tahoma"/>
            <family val="2"/>
          </rPr>
          <t>LPA:</t>
        </r>
        <r>
          <rPr>
            <sz val="9"/>
            <color indexed="81"/>
            <rFont val="Tahoma"/>
            <family val="2"/>
          </rPr>
          <t xml:space="preserve">
проверити збир!
</t>
        </r>
      </text>
    </comment>
    <comment ref="I1349" authorId="0" shapeId="0">
      <text>
        <r>
          <rPr>
            <b/>
            <sz val="9"/>
            <color indexed="81"/>
            <rFont val="Tahoma"/>
            <family val="2"/>
          </rPr>
          <t>LPA:</t>
        </r>
        <r>
          <rPr>
            <sz val="9"/>
            <color indexed="81"/>
            <rFont val="Tahoma"/>
            <family val="2"/>
          </rPr>
          <t xml:space="preserve">
проверити збир!
</t>
        </r>
      </text>
    </comment>
    <comment ref="I1350" authorId="0" shapeId="0">
      <text>
        <r>
          <rPr>
            <b/>
            <sz val="9"/>
            <color indexed="81"/>
            <rFont val="Tahoma"/>
            <family val="2"/>
          </rPr>
          <t>LPA:</t>
        </r>
        <r>
          <rPr>
            <sz val="9"/>
            <color indexed="81"/>
            <rFont val="Tahoma"/>
            <family val="2"/>
          </rPr>
          <t xml:space="preserve">
проверити збир!
</t>
        </r>
      </text>
    </comment>
    <comment ref="I1351" authorId="0" shapeId="0">
      <text>
        <r>
          <rPr>
            <b/>
            <sz val="9"/>
            <color indexed="81"/>
            <rFont val="Tahoma"/>
            <family val="2"/>
          </rPr>
          <t>LPA:</t>
        </r>
        <r>
          <rPr>
            <sz val="9"/>
            <color indexed="81"/>
            <rFont val="Tahoma"/>
            <family val="2"/>
          </rPr>
          <t xml:space="preserve">
проверити збир!
</t>
        </r>
      </text>
    </comment>
    <comment ref="I1352" authorId="0" shapeId="0">
      <text>
        <r>
          <rPr>
            <b/>
            <sz val="9"/>
            <color indexed="81"/>
            <rFont val="Tahoma"/>
            <family val="2"/>
          </rPr>
          <t>LPA:</t>
        </r>
        <r>
          <rPr>
            <sz val="9"/>
            <color indexed="81"/>
            <rFont val="Tahoma"/>
            <family val="2"/>
          </rPr>
          <t xml:space="preserve">
проверити збир!
</t>
        </r>
      </text>
    </comment>
    <comment ref="I1353" authorId="0" shapeId="0">
      <text>
        <r>
          <rPr>
            <b/>
            <sz val="9"/>
            <color indexed="81"/>
            <rFont val="Tahoma"/>
            <family val="2"/>
          </rPr>
          <t>LPA:</t>
        </r>
        <r>
          <rPr>
            <sz val="9"/>
            <color indexed="81"/>
            <rFont val="Tahoma"/>
            <family val="2"/>
          </rPr>
          <t xml:space="preserve">
проверити збир!
</t>
        </r>
      </text>
    </comment>
    <comment ref="I1422" authorId="0" shapeId="0">
      <text>
        <r>
          <rPr>
            <b/>
            <sz val="9"/>
            <color indexed="81"/>
            <rFont val="Tahoma"/>
            <family val="2"/>
          </rPr>
          <t>LPA:</t>
        </r>
        <r>
          <rPr>
            <sz val="9"/>
            <color indexed="81"/>
            <rFont val="Tahoma"/>
            <family val="2"/>
          </rPr>
          <t xml:space="preserve">
проверити збир!
</t>
        </r>
      </text>
    </comment>
    <comment ref="I1423" authorId="0" shapeId="0">
      <text>
        <r>
          <rPr>
            <b/>
            <sz val="9"/>
            <color indexed="81"/>
            <rFont val="Tahoma"/>
            <family val="2"/>
          </rPr>
          <t>LPA:</t>
        </r>
        <r>
          <rPr>
            <sz val="9"/>
            <color indexed="81"/>
            <rFont val="Tahoma"/>
            <family val="2"/>
          </rPr>
          <t xml:space="preserve">
проверити збир!
</t>
        </r>
      </text>
    </comment>
    <comment ref="I1424" authorId="0" shapeId="0">
      <text>
        <r>
          <rPr>
            <b/>
            <sz val="9"/>
            <color indexed="81"/>
            <rFont val="Tahoma"/>
            <family val="2"/>
          </rPr>
          <t>LPA:</t>
        </r>
        <r>
          <rPr>
            <sz val="9"/>
            <color indexed="81"/>
            <rFont val="Tahoma"/>
            <family val="2"/>
          </rPr>
          <t xml:space="preserve">
проверити збир!
</t>
        </r>
      </text>
    </comment>
    <comment ref="I1425" authorId="0" shapeId="0">
      <text>
        <r>
          <rPr>
            <b/>
            <sz val="9"/>
            <color indexed="81"/>
            <rFont val="Tahoma"/>
            <family val="2"/>
          </rPr>
          <t>LPA:</t>
        </r>
        <r>
          <rPr>
            <sz val="9"/>
            <color indexed="81"/>
            <rFont val="Tahoma"/>
            <family val="2"/>
          </rPr>
          <t xml:space="preserve">
проверити збир!
</t>
        </r>
      </text>
    </comment>
    <comment ref="I1426" authorId="0" shapeId="0">
      <text>
        <r>
          <rPr>
            <b/>
            <sz val="9"/>
            <color indexed="81"/>
            <rFont val="Tahoma"/>
            <family val="2"/>
          </rPr>
          <t>LPA:</t>
        </r>
        <r>
          <rPr>
            <sz val="9"/>
            <color indexed="81"/>
            <rFont val="Tahoma"/>
            <family val="2"/>
          </rPr>
          <t xml:space="preserve">
проверити збир!
</t>
        </r>
      </text>
    </comment>
    <comment ref="I1427" authorId="0" shapeId="0">
      <text>
        <r>
          <rPr>
            <b/>
            <sz val="9"/>
            <color indexed="81"/>
            <rFont val="Tahoma"/>
            <family val="2"/>
          </rPr>
          <t>LPA:</t>
        </r>
        <r>
          <rPr>
            <sz val="9"/>
            <color indexed="81"/>
            <rFont val="Tahoma"/>
            <family val="2"/>
          </rPr>
          <t xml:space="preserve">
проверити збир!
</t>
        </r>
      </text>
    </comment>
    <comment ref="I1428" authorId="0" shapeId="0">
      <text>
        <r>
          <rPr>
            <b/>
            <sz val="9"/>
            <color indexed="81"/>
            <rFont val="Tahoma"/>
            <family val="2"/>
          </rPr>
          <t>LPA:</t>
        </r>
        <r>
          <rPr>
            <sz val="9"/>
            <color indexed="81"/>
            <rFont val="Tahoma"/>
            <family val="2"/>
          </rPr>
          <t xml:space="preserve">
проверити збир!
</t>
        </r>
      </text>
    </comment>
    <comment ref="I1429" authorId="0" shapeId="0">
      <text>
        <r>
          <rPr>
            <b/>
            <sz val="9"/>
            <color indexed="81"/>
            <rFont val="Tahoma"/>
            <family val="2"/>
          </rPr>
          <t>LPA:</t>
        </r>
        <r>
          <rPr>
            <sz val="9"/>
            <color indexed="81"/>
            <rFont val="Tahoma"/>
            <family val="2"/>
          </rPr>
          <t xml:space="preserve">
проверити збир!
</t>
        </r>
      </text>
    </comment>
    <comment ref="I1430" authorId="0" shapeId="0">
      <text>
        <r>
          <rPr>
            <b/>
            <sz val="9"/>
            <color indexed="81"/>
            <rFont val="Tahoma"/>
            <family val="2"/>
          </rPr>
          <t>LPA:</t>
        </r>
        <r>
          <rPr>
            <sz val="9"/>
            <color indexed="81"/>
            <rFont val="Tahoma"/>
            <family val="2"/>
          </rPr>
          <t xml:space="preserve">
проверити збир!
</t>
        </r>
      </text>
    </comment>
    <comment ref="I1431" authorId="0" shapeId="0">
      <text>
        <r>
          <rPr>
            <b/>
            <sz val="9"/>
            <color indexed="81"/>
            <rFont val="Tahoma"/>
            <family val="2"/>
          </rPr>
          <t>LPA:</t>
        </r>
        <r>
          <rPr>
            <sz val="9"/>
            <color indexed="81"/>
            <rFont val="Tahoma"/>
            <family val="2"/>
          </rPr>
          <t xml:space="preserve">
проверити збир!
</t>
        </r>
      </text>
    </comment>
    <comment ref="I1432" authorId="0" shapeId="0">
      <text>
        <r>
          <rPr>
            <b/>
            <sz val="9"/>
            <color indexed="81"/>
            <rFont val="Tahoma"/>
            <family val="2"/>
          </rPr>
          <t>LPA:</t>
        </r>
        <r>
          <rPr>
            <sz val="9"/>
            <color indexed="81"/>
            <rFont val="Tahoma"/>
            <family val="2"/>
          </rPr>
          <t xml:space="preserve">
проверити збир!
</t>
        </r>
      </text>
    </comment>
    <comment ref="I1433" authorId="0" shapeId="0">
      <text>
        <r>
          <rPr>
            <b/>
            <sz val="9"/>
            <color indexed="81"/>
            <rFont val="Tahoma"/>
            <family val="2"/>
          </rPr>
          <t>LPA:</t>
        </r>
        <r>
          <rPr>
            <sz val="9"/>
            <color indexed="81"/>
            <rFont val="Tahoma"/>
            <family val="2"/>
          </rPr>
          <t xml:space="preserve">
проверити збир!
</t>
        </r>
      </text>
    </comment>
    <comment ref="I1434" authorId="0" shapeId="0">
      <text>
        <r>
          <rPr>
            <b/>
            <sz val="9"/>
            <color indexed="81"/>
            <rFont val="Tahoma"/>
            <family val="2"/>
          </rPr>
          <t>LPA:</t>
        </r>
        <r>
          <rPr>
            <sz val="9"/>
            <color indexed="81"/>
            <rFont val="Tahoma"/>
            <family val="2"/>
          </rPr>
          <t xml:space="preserve">
проверити збир!
</t>
        </r>
      </text>
    </comment>
    <comment ref="H1437" authorId="0" shapeId="0">
      <text>
        <r>
          <rPr>
            <b/>
            <sz val="9"/>
            <color indexed="81"/>
            <rFont val="Tahoma"/>
            <family val="2"/>
          </rPr>
          <t>LPA:</t>
        </r>
        <r>
          <rPr>
            <sz val="9"/>
            <color indexed="81"/>
            <rFont val="Tahoma"/>
            <family val="2"/>
          </rPr>
          <t xml:space="preserve">
проверити збир!</t>
        </r>
      </text>
    </comment>
    <comment ref="I1437" authorId="0" shapeId="0">
      <text>
        <r>
          <rPr>
            <b/>
            <sz val="9"/>
            <color indexed="81"/>
            <rFont val="Tahoma"/>
            <family val="2"/>
          </rPr>
          <t>LPA:</t>
        </r>
        <r>
          <rPr>
            <sz val="9"/>
            <color indexed="81"/>
            <rFont val="Tahoma"/>
            <family val="2"/>
          </rPr>
          <t xml:space="preserve">
проверити збир!</t>
        </r>
      </text>
    </comment>
    <comment ref="I1438" authorId="0" shapeId="0">
      <text>
        <r>
          <rPr>
            <b/>
            <sz val="9"/>
            <color indexed="81"/>
            <rFont val="Tahoma"/>
            <family val="2"/>
          </rPr>
          <t>LPA:</t>
        </r>
        <r>
          <rPr>
            <sz val="9"/>
            <color indexed="81"/>
            <rFont val="Tahoma"/>
            <family val="2"/>
          </rPr>
          <t xml:space="preserve">
проверити збир!
</t>
        </r>
      </text>
    </comment>
    <comment ref="I1439" authorId="0" shapeId="0">
      <text>
        <r>
          <rPr>
            <b/>
            <sz val="9"/>
            <color indexed="81"/>
            <rFont val="Tahoma"/>
            <family val="2"/>
          </rPr>
          <t>LPA:</t>
        </r>
        <r>
          <rPr>
            <sz val="9"/>
            <color indexed="81"/>
            <rFont val="Tahoma"/>
            <family val="2"/>
          </rPr>
          <t xml:space="preserve">
проверити збир!
</t>
        </r>
      </text>
    </comment>
    <comment ref="I1440" authorId="0" shapeId="0">
      <text>
        <r>
          <rPr>
            <b/>
            <sz val="9"/>
            <color indexed="81"/>
            <rFont val="Tahoma"/>
            <family val="2"/>
          </rPr>
          <t>LPA:</t>
        </r>
        <r>
          <rPr>
            <sz val="9"/>
            <color indexed="81"/>
            <rFont val="Tahoma"/>
            <family val="2"/>
          </rPr>
          <t xml:space="preserve">
проверити збир!
</t>
        </r>
      </text>
    </comment>
    <comment ref="I1441" authorId="0" shapeId="0">
      <text>
        <r>
          <rPr>
            <b/>
            <sz val="9"/>
            <color indexed="81"/>
            <rFont val="Tahoma"/>
            <family val="2"/>
          </rPr>
          <t>LPA:</t>
        </r>
        <r>
          <rPr>
            <sz val="9"/>
            <color indexed="81"/>
            <rFont val="Tahoma"/>
            <family val="2"/>
          </rPr>
          <t xml:space="preserve">
проверити збир!
</t>
        </r>
      </text>
    </comment>
    <comment ref="I1442" authorId="0" shapeId="0">
      <text>
        <r>
          <rPr>
            <b/>
            <sz val="9"/>
            <color indexed="81"/>
            <rFont val="Tahoma"/>
            <family val="2"/>
          </rPr>
          <t>LPA:</t>
        </r>
        <r>
          <rPr>
            <sz val="9"/>
            <color indexed="81"/>
            <rFont val="Tahoma"/>
            <family val="2"/>
          </rPr>
          <t xml:space="preserve">
проверити збир!
</t>
        </r>
      </text>
    </comment>
    <comment ref="I1443" authorId="0" shapeId="0">
      <text>
        <r>
          <rPr>
            <b/>
            <sz val="9"/>
            <color indexed="81"/>
            <rFont val="Tahoma"/>
            <family val="2"/>
          </rPr>
          <t>LPA:</t>
        </r>
        <r>
          <rPr>
            <sz val="9"/>
            <color indexed="81"/>
            <rFont val="Tahoma"/>
            <family val="2"/>
          </rPr>
          <t xml:space="preserve">
проверити збир!
</t>
        </r>
      </text>
    </comment>
    <comment ref="I1444" authorId="0" shapeId="0">
      <text>
        <r>
          <rPr>
            <b/>
            <sz val="9"/>
            <color indexed="81"/>
            <rFont val="Tahoma"/>
            <family val="2"/>
          </rPr>
          <t>LPA:</t>
        </r>
        <r>
          <rPr>
            <sz val="9"/>
            <color indexed="81"/>
            <rFont val="Tahoma"/>
            <family val="2"/>
          </rPr>
          <t xml:space="preserve">
проверити збир!
</t>
        </r>
      </text>
    </comment>
    <comment ref="I1445" authorId="0" shapeId="0">
      <text>
        <r>
          <rPr>
            <b/>
            <sz val="9"/>
            <color indexed="81"/>
            <rFont val="Tahoma"/>
            <family val="2"/>
          </rPr>
          <t>LPA:</t>
        </r>
        <r>
          <rPr>
            <sz val="9"/>
            <color indexed="81"/>
            <rFont val="Tahoma"/>
            <family val="2"/>
          </rPr>
          <t xml:space="preserve">
проверити збир!
</t>
        </r>
      </text>
    </comment>
    <comment ref="I1446" authorId="0" shapeId="0">
      <text>
        <r>
          <rPr>
            <b/>
            <sz val="9"/>
            <color indexed="81"/>
            <rFont val="Tahoma"/>
            <family val="2"/>
          </rPr>
          <t>LPA:</t>
        </r>
        <r>
          <rPr>
            <sz val="9"/>
            <color indexed="81"/>
            <rFont val="Tahoma"/>
            <family val="2"/>
          </rPr>
          <t xml:space="preserve">
проверити збир!
</t>
        </r>
      </text>
    </comment>
    <comment ref="I1447" authorId="0" shapeId="0">
      <text>
        <r>
          <rPr>
            <b/>
            <sz val="9"/>
            <color indexed="81"/>
            <rFont val="Tahoma"/>
            <family val="2"/>
          </rPr>
          <t>LPA:</t>
        </r>
        <r>
          <rPr>
            <sz val="9"/>
            <color indexed="81"/>
            <rFont val="Tahoma"/>
            <family val="2"/>
          </rPr>
          <t xml:space="preserve">
проверити збир!
</t>
        </r>
      </text>
    </comment>
    <comment ref="I1448" authorId="0" shapeId="0">
      <text>
        <r>
          <rPr>
            <b/>
            <sz val="9"/>
            <color indexed="81"/>
            <rFont val="Tahoma"/>
            <family val="2"/>
          </rPr>
          <t>LPA:</t>
        </r>
        <r>
          <rPr>
            <sz val="9"/>
            <color indexed="81"/>
            <rFont val="Tahoma"/>
            <family val="2"/>
          </rPr>
          <t xml:space="preserve">
проверити збир!
</t>
        </r>
      </text>
    </comment>
    <comment ref="I1449" authorId="0" shapeId="0">
      <text>
        <r>
          <rPr>
            <b/>
            <sz val="9"/>
            <color indexed="81"/>
            <rFont val="Tahoma"/>
            <family val="2"/>
          </rPr>
          <t>LPA:</t>
        </r>
        <r>
          <rPr>
            <sz val="9"/>
            <color indexed="81"/>
            <rFont val="Tahoma"/>
            <family val="2"/>
          </rPr>
          <t xml:space="preserve">
проверити збир!
</t>
        </r>
      </text>
    </comment>
    <comment ref="I1450" authorId="0" shapeId="0">
      <text>
        <r>
          <rPr>
            <b/>
            <sz val="9"/>
            <color indexed="81"/>
            <rFont val="Tahoma"/>
            <family val="2"/>
          </rPr>
          <t>LPA:</t>
        </r>
        <r>
          <rPr>
            <sz val="9"/>
            <color indexed="81"/>
            <rFont val="Tahoma"/>
            <family val="2"/>
          </rPr>
          <t xml:space="preserve">
проверити збир!
</t>
        </r>
      </text>
    </comment>
    <comment ref="I1451" authorId="0" shapeId="0">
      <text>
        <r>
          <rPr>
            <b/>
            <sz val="9"/>
            <color indexed="81"/>
            <rFont val="Tahoma"/>
            <family val="2"/>
          </rPr>
          <t>LPA:</t>
        </r>
        <r>
          <rPr>
            <sz val="9"/>
            <color indexed="81"/>
            <rFont val="Tahoma"/>
            <family val="2"/>
          </rPr>
          <t xml:space="preserve">
проверити збир!
</t>
        </r>
      </text>
    </comment>
    <comment ref="I1452" authorId="0" shapeId="0">
      <text>
        <r>
          <rPr>
            <b/>
            <sz val="9"/>
            <color indexed="81"/>
            <rFont val="Tahoma"/>
            <family val="2"/>
          </rPr>
          <t>LPA:</t>
        </r>
        <r>
          <rPr>
            <sz val="9"/>
            <color indexed="81"/>
            <rFont val="Tahoma"/>
            <family val="2"/>
          </rPr>
          <t xml:space="preserve">
проверити збир!
</t>
        </r>
      </text>
    </comment>
    <comment ref="I1521" authorId="0" shapeId="0">
      <text>
        <r>
          <rPr>
            <b/>
            <sz val="9"/>
            <color indexed="81"/>
            <rFont val="Tahoma"/>
            <family val="2"/>
          </rPr>
          <t>LPA:</t>
        </r>
        <r>
          <rPr>
            <sz val="9"/>
            <color indexed="81"/>
            <rFont val="Tahoma"/>
            <family val="2"/>
          </rPr>
          <t xml:space="preserve">
проверити збир!
</t>
        </r>
      </text>
    </comment>
    <comment ref="I1522" authorId="0" shapeId="0">
      <text>
        <r>
          <rPr>
            <b/>
            <sz val="9"/>
            <color indexed="81"/>
            <rFont val="Tahoma"/>
            <family val="2"/>
          </rPr>
          <t>LPA:</t>
        </r>
        <r>
          <rPr>
            <sz val="9"/>
            <color indexed="81"/>
            <rFont val="Tahoma"/>
            <family val="2"/>
          </rPr>
          <t xml:space="preserve">
проверити збир!
</t>
        </r>
      </text>
    </comment>
    <comment ref="I1523" authorId="0" shapeId="0">
      <text>
        <r>
          <rPr>
            <b/>
            <sz val="9"/>
            <color indexed="81"/>
            <rFont val="Tahoma"/>
            <family val="2"/>
          </rPr>
          <t>LPA:</t>
        </r>
        <r>
          <rPr>
            <sz val="9"/>
            <color indexed="81"/>
            <rFont val="Tahoma"/>
            <family val="2"/>
          </rPr>
          <t xml:space="preserve">
проверити збир!
</t>
        </r>
      </text>
    </comment>
    <comment ref="I1524" authorId="0" shapeId="0">
      <text>
        <r>
          <rPr>
            <b/>
            <sz val="9"/>
            <color indexed="81"/>
            <rFont val="Tahoma"/>
            <family val="2"/>
          </rPr>
          <t>LPA:</t>
        </r>
        <r>
          <rPr>
            <sz val="9"/>
            <color indexed="81"/>
            <rFont val="Tahoma"/>
            <family val="2"/>
          </rPr>
          <t xml:space="preserve">
проверити збир!
</t>
        </r>
      </text>
    </comment>
    <comment ref="I1525" authorId="0" shapeId="0">
      <text>
        <r>
          <rPr>
            <b/>
            <sz val="9"/>
            <color indexed="81"/>
            <rFont val="Tahoma"/>
            <family val="2"/>
          </rPr>
          <t>LPA:</t>
        </r>
        <r>
          <rPr>
            <sz val="9"/>
            <color indexed="81"/>
            <rFont val="Tahoma"/>
            <family val="2"/>
          </rPr>
          <t xml:space="preserve">
проверити збир!
</t>
        </r>
      </text>
    </comment>
    <comment ref="I1526" authorId="0" shapeId="0">
      <text>
        <r>
          <rPr>
            <b/>
            <sz val="9"/>
            <color indexed="81"/>
            <rFont val="Tahoma"/>
            <family val="2"/>
          </rPr>
          <t>LPA:</t>
        </r>
        <r>
          <rPr>
            <sz val="9"/>
            <color indexed="81"/>
            <rFont val="Tahoma"/>
            <family val="2"/>
          </rPr>
          <t xml:space="preserve">
проверити збир!
</t>
        </r>
      </text>
    </comment>
    <comment ref="I1527" authorId="0" shapeId="0">
      <text>
        <r>
          <rPr>
            <b/>
            <sz val="9"/>
            <color indexed="81"/>
            <rFont val="Tahoma"/>
            <family val="2"/>
          </rPr>
          <t>LPA:</t>
        </r>
        <r>
          <rPr>
            <sz val="9"/>
            <color indexed="81"/>
            <rFont val="Tahoma"/>
            <family val="2"/>
          </rPr>
          <t xml:space="preserve">
проверити збир!
</t>
        </r>
      </text>
    </comment>
    <comment ref="I1528" authorId="0" shapeId="0">
      <text>
        <r>
          <rPr>
            <b/>
            <sz val="9"/>
            <color indexed="81"/>
            <rFont val="Tahoma"/>
            <family val="2"/>
          </rPr>
          <t>LPA:</t>
        </r>
        <r>
          <rPr>
            <sz val="9"/>
            <color indexed="81"/>
            <rFont val="Tahoma"/>
            <family val="2"/>
          </rPr>
          <t xml:space="preserve">
проверити збир!
</t>
        </r>
      </text>
    </comment>
    <comment ref="I1529" authorId="0" shapeId="0">
      <text>
        <r>
          <rPr>
            <b/>
            <sz val="9"/>
            <color indexed="81"/>
            <rFont val="Tahoma"/>
            <family val="2"/>
          </rPr>
          <t>LPA:</t>
        </r>
        <r>
          <rPr>
            <sz val="9"/>
            <color indexed="81"/>
            <rFont val="Tahoma"/>
            <family val="2"/>
          </rPr>
          <t xml:space="preserve">
проверити збир!
</t>
        </r>
      </text>
    </comment>
    <comment ref="I1530" authorId="0" shapeId="0">
      <text>
        <r>
          <rPr>
            <b/>
            <sz val="9"/>
            <color indexed="81"/>
            <rFont val="Tahoma"/>
            <family val="2"/>
          </rPr>
          <t>LPA:</t>
        </r>
        <r>
          <rPr>
            <sz val="9"/>
            <color indexed="81"/>
            <rFont val="Tahoma"/>
            <family val="2"/>
          </rPr>
          <t xml:space="preserve">
проверити збир!
</t>
        </r>
      </text>
    </comment>
    <comment ref="I1531" authorId="0" shapeId="0">
      <text>
        <r>
          <rPr>
            <b/>
            <sz val="9"/>
            <color indexed="81"/>
            <rFont val="Tahoma"/>
            <family val="2"/>
          </rPr>
          <t>LPA:</t>
        </r>
        <r>
          <rPr>
            <sz val="9"/>
            <color indexed="81"/>
            <rFont val="Tahoma"/>
            <family val="2"/>
          </rPr>
          <t xml:space="preserve">
проверити збир!
</t>
        </r>
      </text>
    </comment>
    <comment ref="I1532" authorId="0" shapeId="0">
      <text>
        <r>
          <rPr>
            <b/>
            <sz val="9"/>
            <color indexed="81"/>
            <rFont val="Tahoma"/>
            <family val="2"/>
          </rPr>
          <t>LPA:</t>
        </r>
        <r>
          <rPr>
            <sz val="9"/>
            <color indexed="81"/>
            <rFont val="Tahoma"/>
            <family val="2"/>
          </rPr>
          <t xml:space="preserve">
проверити збир!
</t>
        </r>
      </text>
    </comment>
    <comment ref="I1533" authorId="0" shapeId="0">
      <text>
        <r>
          <rPr>
            <b/>
            <sz val="9"/>
            <color indexed="81"/>
            <rFont val="Tahoma"/>
            <family val="2"/>
          </rPr>
          <t>LPA:</t>
        </r>
        <r>
          <rPr>
            <sz val="9"/>
            <color indexed="81"/>
            <rFont val="Tahoma"/>
            <family val="2"/>
          </rPr>
          <t xml:space="preserve">
проверити збир!
</t>
        </r>
      </text>
    </comment>
    <comment ref="H1536" authorId="0" shapeId="0">
      <text>
        <r>
          <rPr>
            <b/>
            <sz val="9"/>
            <color indexed="81"/>
            <rFont val="Tahoma"/>
            <family val="2"/>
          </rPr>
          <t>LPA:</t>
        </r>
        <r>
          <rPr>
            <sz val="9"/>
            <color indexed="81"/>
            <rFont val="Tahoma"/>
            <family val="2"/>
          </rPr>
          <t xml:space="preserve">
проверити збир!</t>
        </r>
      </text>
    </comment>
    <comment ref="I1536" authorId="0" shapeId="0">
      <text>
        <r>
          <rPr>
            <b/>
            <sz val="9"/>
            <color indexed="81"/>
            <rFont val="Tahoma"/>
            <family val="2"/>
          </rPr>
          <t>LPA:</t>
        </r>
        <r>
          <rPr>
            <sz val="9"/>
            <color indexed="81"/>
            <rFont val="Tahoma"/>
            <family val="2"/>
          </rPr>
          <t xml:space="preserve">
проверити збир!</t>
        </r>
      </text>
    </comment>
    <comment ref="I1537" authorId="0" shapeId="0">
      <text>
        <r>
          <rPr>
            <b/>
            <sz val="9"/>
            <color indexed="81"/>
            <rFont val="Tahoma"/>
            <family val="2"/>
          </rPr>
          <t>LPA:</t>
        </r>
        <r>
          <rPr>
            <sz val="9"/>
            <color indexed="81"/>
            <rFont val="Tahoma"/>
            <family val="2"/>
          </rPr>
          <t xml:space="preserve">
проверити збир!
</t>
        </r>
      </text>
    </comment>
    <comment ref="I1538" authorId="0" shapeId="0">
      <text>
        <r>
          <rPr>
            <b/>
            <sz val="9"/>
            <color indexed="81"/>
            <rFont val="Tahoma"/>
            <family val="2"/>
          </rPr>
          <t>LPA:</t>
        </r>
        <r>
          <rPr>
            <sz val="9"/>
            <color indexed="81"/>
            <rFont val="Tahoma"/>
            <family val="2"/>
          </rPr>
          <t xml:space="preserve">
проверити збир!
</t>
        </r>
      </text>
    </comment>
    <comment ref="I1539" authorId="0" shapeId="0">
      <text>
        <r>
          <rPr>
            <b/>
            <sz val="9"/>
            <color indexed="81"/>
            <rFont val="Tahoma"/>
            <family val="2"/>
          </rPr>
          <t>LPA:</t>
        </r>
        <r>
          <rPr>
            <sz val="9"/>
            <color indexed="81"/>
            <rFont val="Tahoma"/>
            <family val="2"/>
          </rPr>
          <t xml:space="preserve">
проверити збир!
</t>
        </r>
      </text>
    </comment>
    <comment ref="I1540" authorId="0" shapeId="0">
      <text>
        <r>
          <rPr>
            <b/>
            <sz val="9"/>
            <color indexed="81"/>
            <rFont val="Tahoma"/>
            <family val="2"/>
          </rPr>
          <t>LPA:</t>
        </r>
        <r>
          <rPr>
            <sz val="9"/>
            <color indexed="81"/>
            <rFont val="Tahoma"/>
            <family val="2"/>
          </rPr>
          <t xml:space="preserve">
проверити збир!
</t>
        </r>
      </text>
    </comment>
    <comment ref="I1541" authorId="0" shapeId="0">
      <text>
        <r>
          <rPr>
            <b/>
            <sz val="9"/>
            <color indexed="81"/>
            <rFont val="Tahoma"/>
            <family val="2"/>
          </rPr>
          <t>LPA:</t>
        </r>
        <r>
          <rPr>
            <sz val="9"/>
            <color indexed="81"/>
            <rFont val="Tahoma"/>
            <family val="2"/>
          </rPr>
          <t xml:space="preserve">
проверити збир!
</t>
        </r>
      </text>
    </comment>
    <comment ref="I1542" authorId="0" shapeId="0">
      <text>
        <r>
          <rPr>
            <b/>
            <sz val="9"/>
            <color indexed="81"/>
            <rFont val="Tahoma"/>
            <family val="2"/>
          </rPr>
          <t>LPA:</t>
        </r>
        <r>
          <rPr>
            <sz val="9"/>
            <color indexed="81"/>
            <rFont val="Tahoma"/>
            <family val="2"/>
          </rPr>
          <t xml:space="preserve">
проверити збир!
</t>
        </r>
      </text>
    </comment>
    <comment ref="I1543" authorId="0" shapeId="0">
      <text>
        <r>
          <rPr>
            <b/>
            <sz val="9"/>
            <color indexed="81"/>
            <rFont val="Tahoma"/>
            <family val="2"/>
          </rPr>
          <t>LPA:</t>
        </r>
        <r>
          <rPr>
            <sz val="9"/>
            <color indexed="81"/>
            <rFont val="Tahoma"/>
            <family val="2"/>
          </rPr>
          <t xml:space="preserve">
проверити збир!
</t>
        </r>
      </text>
    </comment>
    <comment ref="I1544" authorId="0" shapeId="0">
      <text>
        <r>
          <rPr>
            <b/>
            <sz val="9"/>
            <color indexed="81"/>
            <rFont val="Tahoma"/>
            <family val="2"/>
          </rPr>
          <t>LPA:</t>
        </r>
        <r>
          <rPr>
            <sz val="9"/>
            <color indexed="81"/>
            <rFont val="Tahoma"/>
            <family val="2"/>
          </rPr>
          <t xml:space="preserve">
проверити збир!
</t>
        </r>
      </text>
    </comment>
    <comment ref="I1545" authorId="0" shapeId="0">
      <text>
        <r>
          <rPr>
            <b/>
            <sz val="9"/>
            <color indexed="81"/>
            <rFont val="Tahoma"/>
            <family val="2"/>
          </rPr>
          <t>LPA:</t>
        </r>
        <r>
          <rPr>
            <sz val="9"/>
            <color indexed="81"/>
            <rFont val="Tahoma"/>
            <family val="2"/>
          </rPr>
          <t xml:space="preserve">
проверити збир!
</t>
        </r>
      </text>
    </comment>
    <comment ref="I1546" authorId="0" shapeId="0">
      <text>
        <r>
          <rPr>
            <b/>
            <sz val="9"/>
            <color indexed="81"/>
            <rFont val="Tahoma"/>
            <family val="2"/>
          </rPr>
          <t>LPA:</t>
        </r>
        <r>
          <rPr>
            <sz val="9"/>
            <color indexed="81"/>
            <rFont val="Tahoma"/>
            <family val="2"/>
          </rPr>
          <t xml:space="preserve">
проверити збир!
</t>
        </r>
      </text>
    </comment>
    <comment ref="I1547" authorId="0" shapeId="0">
      <text>
        <r>
          <rPr>
            <b/>
            <sz val="9"/>
            <color indexed="81"/>
            <rFont val="Tahoma"/>
            <family val="2"/>
          </rPr>
          <t>LPA:</t>
        </r>
        <r>
          <rPr>
            <sz val="9"/>
            <color indexed="81"/>
            <rFont val="Tahoma"/>
            <family val="2"/>
          </rPr>
          <t xml:space="preserve">
проверити збир!
</t>
        </r>
      </text>
    </comment>
    <comment ref="I1548" authorId="0" shapeId="0">
      <text>
        <r>
          <rPr>
            <b/>
            <sz val="9"/>
            <color indexed="81"/>
            <rFont val="Tahoma"/>
            <family val="2"/>
          </rPr>
          <t>LPA:</t>
        </r>
        <r>
          <rPr>
            <sz val="9"/>
            <color indexed="81"/>
            <rFont val="Tahoma"/>
            <family val="2"/>
          </rPr>
          <t xml:space="preserve">
проверити збир!
</t>
        </r>
      </text>
    </comment>
    <comment ref="I1549" authorId="0" shapeId="0">
      <text>
        <r>
          <rPr>
            <b/>
            <sz val="9"/>
            <color indexed="81"/>
            <rFont val="Tahoma"/>
            <family val="2"/>
          </rPr>
          <t>LPA:</t>
        </r>
        <r>
          <rPr>
            <sz val="9"/>
            <color indexed="81"/>
            <rFont val="Tahoma"/>
            <family val="2"/>
          </rPr>
          <t xml:space="preserve">
проверити збир!
</t>
        </r>
      </text>
    </comment>
    <comment ref="I1550" authorId="0" shapeId="0">
      <text>
        <r>
          <rPr>
            <b/>
            <sz val="9"/>
            <color indexed="81"/>
            <rFont val="Tahoma"/>
            <family val="2"/>
          </rPr>
          <t>LPA:</t>
        </r>
        <r>
          <rPr>
            <sz val="9"/>
            <color indexed="81"/>
            <rFont val="Tahoma"/>
            <family val="2"/>
          </rPr>
          <t xml:space="preserve">
проверити збир!
</t>
        </r>
      </text>
    </comment>
    <comment ref="I1551" authorId="0" shapeId="0">
      <text>
        <r>
          <rPr>
            <b/>
            <sz val="9"/>
            <color indexed="81"/>
            <rFont val="Tahoma"/>
            <family val="2"/>
          </rPr>
          <t>LPA:</t>
        </r>
        <r>
          <rPr>
            <sz val="9"/>
            <color indexed="81"/>
            <rFont val="Tahoma"/>
            <family val="2"/>
          </rPr>
          <t xml:space="preserve">
проверити збир!
</t>
        </r>
      </text>
    </comment>
    <comment ref="I1620" authorId="0" shapeId="0">
      <text>
        <r>
          <rPr>
            <b/>
            <sz val="9"/>
            <color indexed="81"/>
            <rFont val="Tahoma"/>
            <family val="2"/>
          </rPr>
          <t>LPA:</t>
        </r>
        <r>
          <rPr>
            <sz val="9"/>
            <color indexed="81"/>
            <rFont val="Tahoma"/>
            <family val="2"/>
          </rPr>
          <t xml:space="preserve">
проверити збир!
</t>
        </r>
      </text>
    </comment>
    <comment ref="I1621" authorId="0" shapeId="0">
      <text>
        <r>
          <rPr>
            <b/>
            <sz val="9"/>
            <color indexed="81"/>
            <rFont val="Tahoma"/>
            <family val="2"/>
          </rPr>
          <t>LPA:</t>
        </r>
        <r>
          <rPr>
            <sz val="9"/>
            <color indexed="81"/>
            <rFont val="Tahoma"/>
            <family val="2"/>
          </rPr>
          <t xml:space="preserve">
проверити збир!
</t>
        </r>
      </text>
    </comment>
    <comment ref="I1622" authorId="0" shapeId="0">
      <text>
        <r>
          <rPr>
            <b/>
            <sz val="9"/>
            <color indexed="81"/>
            <rFont val="Tahoma"/>
            <family val="2"/>
          </rPr>
          <t>LPA:</t>
        </r>
        <r>
          <rPr>
            <sz val="9"/>
            <color indexed="81"/>
            <rFont val="Tahoma"/>
            <family val="2"/>
          </rPr>
          <t xml:space="preserve">
проверити збир!
</t>
        </r>
      </text>
    </comment>
    <comment ref="I1623" authorId="0" shapeId="0">
      <text>
        <r>
          <rPr>
            <b/>
            <sz val="9"/>
            <color indexed="81"/>
            <rFont val="Tahoma"/>
            <family val="2"/>
          </rPr>
          <t>LPA:</t>
        </r>
        <r>
          <rPr>
            <sz val="9"/>
            <color indexed="81"/>
            <rFont val="Tahoma"/>
            <family val="2"/>
          </rPr>
          <t xml:space="preserve">
проверити збир!
</t>
        </r>
      </text>
    </comment>
    <comment ref="I1624" authorId="0" shapeId="0">
      <text>
        <r>
          <rPr>
            <b/>
            <sz val="9"/>
            <color indexed="81"/>
            <rFont val="Tahoma"/>
            <family val="2"/>
          </rPr>
          <t>LPA:</t>
        </r>
        <r>
          <rPr>
            <sz val="9"/>
            <color indexed="81"/>
            <rFont val="Tahoma"/>
            <family val="2"/>
          </rPr>
          <t xml:space="preserve">
проверити збир!
</t>
        </r>
      </text>
    </comment>
    <comment ref="I1625" authorId="0" shapeId="0">
      <text>
        <r>
          <rPr>
            <b/>
            <sz val="9"/>
            <color indexed="81"/>
            <rFont val="Tahoma"/>
            <family val="2"/>
          </rPr>
          <t>LPA:</t>
        </r>
        <r>
          <rPr>
            <sz val="9"/>
            <color indexed="81"/>
            <rFont val="Tahoma"/>
            <family val="2"/>
          </rPr>
          <t xml:space="preserve">
проверити збир!
</t>
        </r>
      </text>
    </comment>
    <comment ref="I1626" authorId="0" shapeId="0">
      <text>
        <r>
          <rPr>
            <b/>
            <sz val="9"/>
            <color indexed="81"/>
            <rFont val="Tahoma"/>
            <family val="2"/>
          </rPr>
          <t>LPA:</t>
        </r>
        <r>
          <rPr>
            <sz val="9"/>
            <color indexed="81"/>
            <rFont val="Tahoma"/>
            <family val="2"/>
          </rPr>
          <t xml:space="preserve">
проверити збир!
</t>
        </r>
      </text>
    </comment>
    <comment ref="I1627" authorId="0" shapeId="0">
      <text>
        <r>
          <rPr>
            <b/>
            <sz val="9"/>
            <color indexed="81"/>
            <rFont val="Tahoma"/>
            <family val="2"/>
          </rPr>
          <t>LPA:</t>
        </r>
        <r>
          <rPr>
            <sz val="9"/>
            <color indexed="81"/>
            <rFont val="Tahoma"/>
            <family val="2"/>
          </rPr>
          <t xml:space="preserve">
проверити збир!
</t>
        </r>
      </text>
    </comment>
    <comment ref="I1628" authorId="0" shapeId="0">
      <text>
        <r>
          <rPr>
            <b/>
            <sz val="9"/>
            <color indexed="81"/>
            <rFont val="Tahoma"/>
            <family val="2"/>
          </rPr>
          <t>LPA:</t>
        </r>
        <r>
          <rPr>
            <sz val="9"/>
            <color indexed="81"/>
            <rFont val="Tahoma"/>
            <family val="2"/>
          </rPr>
          <t xml:space="preserve">
проверити збир!
</t>
        </r>
      </text>
    </comment>
    <comment ref="I1629" authorId="0" shapeId="0">
      <text>
        <r>
          <rPr>
            <b/>
            <sz val="9"/>
            <color indexed="81"/>
            <rFont val="Tahoma"/>
            <family val="2"/>
          </rPr>
          <t>LPA:</t>
        </r>
        <r>
          <rPr>
            <sz val="9"/>
            <color indexed="81"/>
            <rFont val="Tahoma"/>
            <family val="2"/>
          </rPr>
          <t xml:space="preserve">
проверити збир!
</t>
        </r>
      </text>
    </comment>
    <comment ref="I1630" authorId="0" shapeId="0">
      <text>
        <r>
          <rPr>
            <b/>
            <sz val="9"/>
            <color indexed="81"/>
            <rFont val="Tahoma"/>
            <family val="2"/>
          </rPr>
          <t>LPA:</t>
        </r>
        <r>
          <rPr>
            <sz val="9"/>
            <color indexed="81"/>
            <rFont val="Tahoma"/>
            <family val="2"/>
          </rPr>
          <t xml:space="preserve">
проверити збир!
</t>
        </r>
      </text>
    </comment>
    <comment ref="I1631" authorId="0" shapeId="0">
      <text>
        <r>
          <rPr>
            <b/>
            <sz val="9"/>
            <color indexed="81"/>
            <rFont val="Tahoma"/>
            <family val="2"/>
          </rPr>
          <t>LPA:</t>
        </r>
        <r>
          <rPr>
            <sz val="9"/>
            <color indexed="81"/>
            <rFont val="Tahoma"/>
            <family val="2"/>
          </rPr>
          <t xml:space="preserve">
проверити збир!
</t>
        </r>
      </text>
    </comment>
    <comment ref="I1632" authorId="0" shapeId="0">
      <text>
        <r>
          <rPr>
            <b/>
            <sz val="9"/>
            <color indexed="81"/>
            <rFont val="Tahoma"/>
            <family val="2"/>
          </rPr>
          <t>LPA:</t>
        </r>
        <r>
          <rPr>
            <sz val="9"/>
            <color indexed="81"/>
            <rFont val="Tahoma"/>
            <family val="2"/>
          </rPr>
          <t xml:space="preserve">
проверити збир!
</t>
        </r>
      </text>
    </comment>
    <comment ref="H1635" authorId="0" shapeId="0">
      <text>
        <r>
          <rPr>
            <b/>
            <sz val="9"/>
            <color indexed="81"/>
            <rFont val="Tahoma"/>
            <family val="2"/>
          </rPr>
          <t>LPA:</t>
        </r>
        <r>
          <rPr>
            <sz val="9"/>
            <color indexed="81"/>
            <rFont val="Tahoma"/>
            <family val="2"/>
          </rPr>
          <t xml:space="preserve">
проверити збир!</t>
        </r>
      </text>
    </comment>
    <comment ref="I1635" authorId="0" shapeId="0">
      <text>
        <r>
          <rPr>
            <b/>
            <sz val="9"/>
            <color indexed="81"/>
            <rFont val="Tahoma"/>
            <family val="2"/>
          </rPr>
          <t>LPA:</t>
        </r>
        <r>
          <rPr>
            <sz val="9"/>
            <color indexed="81"/>
            <rFont val="Tahoma"/>
            <family val="2"/>
          </rPr>
          <t xml:space="preserve">
проверити збир!</t>
        </r>
      </text>
    </comment>
    <comment ref="I1636" authorId="0" shapeId="0">
      <text>
        <r>
          <rPr>
            <b/>
            <sz val="9"/>
            <color indexed="81"/>
            <rFont val="Tahoma"/>
            <family val="2"/>
          </rPr>
          <t>LPA:</t>
        </r>
        <r>
          <rPr>
            <sz val="9"/>
            <color indexed="81"/>
            <rFont val="Tahoma"/>
            <family val="2"/>
          </rPr>
          <t xml:space="preserve">
проверити збир!
</t>
        </r>
      </text>
    </comment>
    <comment ref="I1637" authorId="0" shapeId="0">
      <text>
        <r>
          <rPr>
            <b/>
            <sz val="9"/>
            <color indexed="81"/>
            <rFont val="Tahoma"/>
            <family val="2"/>
          </rPr>
          <t>LPA:</t>
        </r>
        <r>
          <rPr>
            <sz val="9"/>
            <color indexed="81"/>
            <rFont val="Tahoma"/>
            <family val="2"/>
          </rPr>
          <t xml:space="preserve">
проверити збир!
</t>
        </r>
      </text>
    </comment>
    <comment ref="I1638" authorId="0" shapeId="0">
      <text>
        <r>
          <rPr>
            <b/>
            <sz val="9"/>
            <color indexed="81"/>
            <rFont val="Tahoma"/>
            <family val="2"/>
          </rPr>
          <t>LPA:</t>
        </r>
        <r>
          <rPr>
            <sz val="9"/>
            <color indexed="81"/>
            <rFont val="Tahoma"/>
            <family val="2"/>
          </rPr>
          <t xml:space="preserve">
проверити збир!
</t>
        </r>
      </text>
    </comment>
    <comment ref="I1639" authorId="0" shapeId="0">
      <text>
        <r>
          <rPr>
            <b/>
            <sz val="9"/>
            <color indexed="81"/>
            <rFont val="Tahoma"/>
            <family val="2"/>
          </rPr>
          <t>LPA:</t>
        </r>
        <r>
          <rPr>
            <sz val="9"/>
            <color indexed="81"/>
            <rFont val="Tahoma"/>
            <family val="2"/>
          </rPr>
          <t xml:space="preserve">
проверити збир!
</t>
        </r>
      </text>
    </comment>
    <comment ref="I1640" authorId="0" shapeId="0">
      <text>
        <r>
          <rPr>
            <b/>
            <sz val="9"/>
            <color indexed="81"/>
            <rFont val="Tahoma"/>
            <family val="2"/>
          </rPr>
          <t>LPA:</t>
        </r>
        <r>
          <rPr>
            <sz val="9"/>
            <color indexed="81"/>
            <rFont val="Tahoma"/>
            <family val="2"/>
          </rPr>
          <t xml:space="preserve">
проверити збир!
</t>
        </r>
      </text>
    </comment>
    <comment ref="I1641" authorId="0" shapeId="0">
      <text>
        <r>
          <rPr>
            <b/>
            <sz val="9"/>
            <color indexed="81"/>
            <rFont val="Tahoma"/>
            <family val="2"/>
          </rPr>
          <t>LPA:</t>
        </r>
        <r>
          <rPr>
            <sz val="9"/>
            <color indexed="81"/>
            <rFont val="Tahoma"/>
            <family val="2"/>
          </rPr>
          <t xml:space="preserve">
проверити збир!
</t>
        </r>
      </text>
    </comment>
    <comment ref="I1642" authorId="0" shapeId="0">
      <text>
        <r>
          <rPr>
            <b/>
            <sz val="9"/>
            <color indexed="81"/>
            <rFont val="Tahoma"/>
            <family val="2"/>
          </rPr>
          <t>LPA:</t>
        </r>
        <r>
          <rPr>
            <sz val="9"/>
            <color indexed="81"/>
            <rFont val="Tahoma"/>
            <family val="2"/>
          </rPr>
          <t xml:space="preserve">
проверити збир!
</t>
        </r>
      </text>
    </comment>
    <comment ref="I1643" authorId="0" shapeId="0">
      <text>
        <r>
          <rPr>
            <b/>
            <sz val="9"/>
            <color indexed="81"/>
            <rFont val="Tahoma"/>
            <family val="2"/>
          </rPr>
          <t>LPA:</t>
        </r>
        <r>
          <rPr>
            <sz val="9"/>
            <color indexed="81"/>
            <rFont val="Tahoma"/>
            <family val="2"/>
          </rPr>
          <t xml:space="preserve">
проверити збир!
</t>
        </r>
      </text>
    </comment>
    <comment ref="I1644" authorId="0" shapeId="0">
      <text>
        <r>
          <rPr>
            <b/>
            <sz val="9"/>
            <color indexed="81"/>
            <rFont val="Tahoma"/>
            <family val="2"/>
          </rPr>
          <t>LPA:</t>
        </r>
        <r>
          <rPr>
            <sz val="9"/>
            <color indexed="81"/>
            <rFont val="Tahoma"/>
            <family val="2"/>
          </rPr>
          <t xml:space="preserve">
проверити збир!
</t>
        </r>
      </text>
    </comment>
    <comment ref="I1645" authorId="0" shapeId="0">
      <text>
        <r>
          <rPr>
            <b/>
            <sz val="9"/>
            <color indexed="81"/>
            <rFont val="Tahoma"/>
            <family val="2"/>
          </rPr>
          <t>LPA:</t>
        </r>
        <r>
          <rPr>
            <sz val="9"/>
            <color indexed="81"/>
            <rFont val="Tahoma"/>
            <family val="2"/>
          </rPr>
          <t xml:space="preserve">
проверити збир!
</t>
        </r>
      </text>
    </comment>
    <comment ref="I1646" authorId="0" shapeId="0">
      <text>
        <r>
          <rPr>
            <b/>
            <sz val="9"/>
            <color indexed="81"/>
            <rFont val="Tahoma"/>
            <family val="2"/>
          </rPr>
          <t>LPA:</t>
        </r>
        <r>
          <rPr>
            <sz val="9"/>
            <color indexed="81"/>
            <rFont val="Tahoma"/>
            <family val="2"/>
          </rPr>
          <t xml:space="preserve">
проверити збир!
</t>
        </r>
      </text>
    </comment>
    <comment ref="I1647" authorId="0" shapeId="0">
      <text>
        <r>
          <rPr>
            <b/>
            <sz val="9"/>
            <color indexed="81"/>
            <rFont val="Tahoma"/>
            <family val="2"/>
          </rPr>
          <t>LPA:</t>
        </r>
        <r>
          <rPr>
            <sz val="9"/>
            <color indexed="81"/>
            <rFont val="Tahoma"/>
            <family val="2"/>
          </rPr>
          <t xml:space="preserve">
проверити збир!
</t>
        </r>
      </text>
    </comment>
    <comment ref="I1648" authorId="0" shapeId="0">
      <text>
        <r>
          <rPr>
            <b/>
            <sz val="9"/>
            <color indexed="81"/>
            <rFont val="Tahoma"/>
            <family val="2"/>
          </rPr>
          <t>LPA:</t>
        </r>
        <r>
          <rPr>
            <sz val="9"/>
            <color indexed="81"/>
            <rFont val="Tahoma"/>
            <family val="2"/>
          </rPr>
          <t xml:space="preserve">
проверити збир!
</t>
        </r>
      </text>
    </comment>
    <comment ref="I1649" authorId="0" shapeId="0">
      <text>
        <r>
          <rPr>
            <b/>
            <sz val="9"/>
            <color indexed="81"/>
            <rFont val="Tahoma"/>
            <family val="2"/>
          </rPr>
          <t>LPA:</t>
        </r>
        <r>
          <rPr>
            <sz val="9"/>
            <color indexed="81"/>
            <rFont val="Tahoma"/>
            <family val="2"/>
          </rPr>
          <t xml:space="preserve">
проверити збир!
</t>
        </r>
      </text>
    </comment>
    <comment ref="I1650" authorId="0" shapeId="0">
      <text>
        <r>
          <rPr>
            <b/>
            <sz val="9"/>
            <color indexed="81"/>
            <rFont val="Tahoma"/>
            <family val="2"/>
          </rPr>
          <t>LPA:</t>
        </r>
        <r>
          <rPr>
            <sz val="9"/>
            <color indexed="81"/>
            <rFont val="Tahoma"/>
            <family val="2"/>
          </rPr>
          <t xml:space="preserve">
проверити збир!
</t>
        </r>
      </text>
    </comment>
    <comment ref="I1719" authorId="0" shapeId="0">
      <text>
        <r>
          <rPr>
            <b/>
            <sz val="9"/>
            <color indexed="81"/>
            <rFont val="Tahoma"/>
            <family val="2"/>
          </rPr>
          <t>LPA:</t>
        </r>
        <r>
          <rPr>
            <sz val="9"/>
            <color indexed="81"/>
            <rFont val="Tahoma"/>
            <family val="2"/>
          </rPr>
          <t xml:space="preserve">
проверити збир!
</t>
        </r>
      </text>
    </comment>
    <comment ref="I1720" authorId="0" shapeId="0">
      <text>
        <r>
          <rPr>
            <b/>
            <sz val="9"/>
            <color indexed="81"/>
            <rFont val="Tahoma"/>
            <family val="2"/>
          </rPr>
          <t>LPA:</t>
        </r>
        <r>
          <rPr>
            <sz val="9"/>
            <color indexed="81"/>
            <rFont val="Tahoma"/>
            <family val="2"/>
          </rPr>
          <t xml:space="preserve">
проверити збир!
</t>
        </r>
      </text>
    </comment>
    <comment ref="I1721" authorId="0" shapeId="0">
      <text>
        <r>
          <rPr>
            <b/>
            <sz val="9"/>
            <color indexed="81"/>
            <rFont val="Tahoma"/>
            <family val="2"/>
          </rPr>
          <t>LPA:</t>
        </r>
        <r>
          <rPr>
            <sz val="9"/>
            <color indexed="81"/>
            <rFont val="Tahoma"/>
            <family val="2"/>
          </rPr>
          <t xml:space="preserve">
проверити збир!
</t>
        </r>
      </text>
    </comment>
    <comment ref="I1722" authorId="0" shapeId="0">
      <text>
        <r>
          <rPr>
            <b/>
            <sz val="9"/>
            <color indexed="81"/>
            <rFont val="Tahoma"/>
            <family val="2"/>
          </rPr>
          <t>LPA:</t>
        </r>
        <r>
          <rPr>
            <sz val="9"/>
            <color indexed="81"/>
            <rFont val="Tahoma"/>
            <family val="2"/>
          </rPr>
          <t xml:space="preserve">
проверити збир!
</t>
        </r>
      </text>
    </comment>
    <comment ref="I1723" authorId="0" shapeId="0">
      <text>
        <r>
          <rPr>
            <b/>
            <sz val="9"/>
            <color indexed="81"/>
            <rFont val="Tahoma"/>
            <family val="2"/>
          </rPr>
          <t>LPA:</t>
        </r>
        <r>
          <rPr>
            <sz val="9"/>
            <color indexed="81"/>
            <rFont val="Tahoma"/>
            <family val="2"/>
          </rPr>
          <t xml:space="preserve">
проверити збир!
</t>
        </r>
      </text>
    </comment>
    <comment ref="I1724" authorId="0" shapeId="0">
      <text>
        <r>
          <rPr>
            <b/>
            <sz val="9"/>
            <color indexed="81"/>
            <rFont val="Tahoma"/>
            <family val="2"/>
          </rPr>
          <t>LPA:</t>
        </r>
        <r>
          <rPr>
            <sz val="9"/>
            <color indexed="81"/>
            <rFont val="Tahoma"/>
            <family val="2"/>
          </rPr>
          <t xml:space="preserve">
проверити збир!
</t>
        </r>
      </text>
    </comment>
    <comment ref="I1725" authorId="0" shapeId="0">
      <text>
        <r>
          <rPr>
            <b/>
            <sz val="9"/>
            <color indexed="81"/>
            <rFont val="Tahoma"/>
            <family val="2"/>
          </rPr>
          <t>LPA:</t>
        </r>
        <r>
          <rPr>
            <sz val="9"/>
            <color indexed="81"/>
            <rFont val="Tahoma"/>
            <family val="2"/>
          </rPr>
          <t xml:space="preserve">
проверити збир!
</t>
        </r>
      </text>
    </comment>
    <comment ref="I1726" authorId="0" shapeId="0">
      <text>
        <r>
          <rPr>
            <b/>
            <sz val="9"/>
            <color indexed="81"/>
            <rFont val="Tahoma"/>
            <family val="2"/>
          </rPr>
          <t>LPA:</t>
        </r>
        <r>
          <rPr>
            <sz val="9"/>
            <color indexed="81"/>
            <rFont val="Tahoma"/>
            <family val="2"/>
          </rPr>
          <t xml:space="preserve">
проверити збир!
</t>
        </r>
      </text>
    </comment>
    <comment ref="I1727" authorId="0" shapeId="0">
      <text>
        <r>
          <rPr>
            <b/>
            <sz val="9"/>
            <color indexed="81"/>
            <rFont val="Tahoma"/>
            <family val="2"/>
          </rPr>
          <t>LPA:</t>
        </r>
        <r>
          <rPr>
            <sz val="9"/>
            <color indexed="81"/>
            <rFont val="Tahoma"/>
            <family val="2"/>
          </rPr>
          <t xml:space="preserve">
проверити збир!
</t>
        </r>
      </text>
    </comment>
    <comment ref="I1728" authorId="0" shapeId="0">
      <text>
        <r>
          <rPr>
            <b/>
            <sz val="9"/>
            <color indexed="81"/>
            <rFont val="Tahoma"/>
            <family val="2"/>
          </rPr>
          <t>LPA:</t>
        </r>
        <r>
          <rPr>
            <sz val="9"/>
            <color indexed="81"/>
            <rFont val="Tahoma"/>
            <family val="2"/>
          </rPr>
          <t xml:space="preserve">
проверити збир!
</t>
        </r>
      </text>
    </comment>
    <comment ref="I1729" authorId="0" shapeId="0">
      <text>
        <r>
          <rPr>
            <b/>
            <sz val="9"/>
            <color indexed="81"/>
            <rFont val="Tahoma"/>
            <family val="2"/>
          </rPr>
          <t>LPA:</t>
        </r>
        <r>
          <rPr>
            <sz val="9"/>
            <color indexed="81"/>
            <rFont val="Tahoma"/>
            <family val="2"/>
          </rPr>
          <t xml:space="preserve">
проверити збир!
</t>
        </r>
      </text>
    </comment>
    <comment ref="I1730" authorId="0" shapeId="0">
      <text>
        <r>
          <rPr>
            <b/>
            <sz val="9"/>
            <color indexed="81"/>
            <rFont val="Tahoma"/>
            <family val="2"/>
          </rPr>
          <t>LPA:</t>
        </r>
        <r>
          <rPr>
            <sz val="9"/>
            <color indexed="81"/>
            <rFont val="Tahoma"/>
            <family val="2"/>
          </rPr>
          <t xml:space="preserve">
проверити збир!
</t>
        </r>
      </text>
    </comment>
    <comment ref="I1731" authorId="0" shapeId="0">
      <text>
        <r>
          <rPr>
            <b/>
            <sz val="9"/>
            <color indexed="81"/>
            <rFont val="Tahoma"/>
            <family val="2"/>
          </rPr>
          <t>LPA:</t>
        </r>
        <r>
          <rPr>
            <sz val="9"/>
            <color indexed="81"/>
            <rFont val="Tahoma"/>
            <family val="2"/>
          </rPr>
          <t xml:space="preserve">
проверити збир!
</t>
        </r>
      </text>
    </comment>
    <comment ref="H1734" authorId="0" shapeId="0">
      <text>
        <r>
          <rPr>
            <b/>
            <sz val="9"/>
            <color indexed="81"/>
            <rFont val="Tahoma"/>
            <family val="2"/>
          </rPr>
          <t>LPA:</t>
        </r>
        <r>
          <rPr>
            <sz val="9"/>
            <color indexed="81"/>
            <rFont val="Tahoma"/>
            <family val="2"/>
          </rPr>
          <t xml:space="preserve">
проверити збир!</t>
        </r>
      </text>
    </comment>
    <comment ref="I1734" authorId="0" shapeId="0">
      <text>
        <r>
          <rPr>
            <b/>
            <sz val="9"/>
            <color indexed="81"/>
            <rFont val="Tahoma"/>
            <family val="2"/>
          </rPr>
          <t>LPA:</t>
        </r>
        <r>
          <rPr>
            <sz val="9"/>
            <color indexed="81"/>
            <rFont val="Tahoma"/>
            <family val="2"/>
          </rPr>
          <t xml:space="preserve">
проверити збир!</t>
        </r>
      </text>
    </comment>
    <comment ref="I1735" authorId="0" shapeId="0">
      <text>
        <r>
          <rPr>
            <b/>
            <sz val="9"/>
            <color indexed="81"/>
            <rFont val="Tahoma"/>
            <family val="2"/>
          </rPr>
          <t>LPA:</t>
        </r>
        <r>
          <rPr>
            <sz val="9"/>
            <color indexed="81"/>
            <rFont val="Tahoma"/>
            <family val="2"/>
          </rPr>
          <t xml:space="preserve">
проверити збир!
</t>
        </r>
      </text>
    </comment>
    <comment ref="I1736" authorId="0" shapeId="0">
      <text>
        <r>
          <rPr>
            <b/>
            <sz val="9"/>
            <color indexed="81"/>
            <rFont val="Tahoma"/>
            <family val="2"/>
          </rPr>
          <t>LPA:</t>
        </r>
        <r>
          <rPr>
            <sz val="9"/>
            <color indexed="81"/>
            <rFont val="Tahoma"/>
            <family val="2"/>
          </rPr>
          <t xml:space="preserve">
проверити збир!
</t>
        </r>
      </text>
    </comment>
    <comment ref="I1737" authorId="0" shapeId="0">
      <text>
        <r>
          <rPr>
            <b/>
            <sz val="9"/>
            <color indexed="81"/>
            <rFont val="Tahoma"/>
            <family val="2"/>
          </rPr>
          <t>LPA:</t>
        </r>
        <r>
          <rPr>
            <sz val="9"/>
            <color indexed="81"/>
            <rFont val="Tahoma"/>
            <family val="2"/>
          </rPr>
          <t xml:space="preserve">
проверити збир!
</t>
        </r>
      </text>
    </comment>
    <comment ref="I1738" authorId="0" shapeId="0">
      <text>
        <r>
          <rPr>
            <b/>
            <sz val="9"/>
            <color indexed="81"/>
            <rFont val="Tahoma"/>
            <family val="2"/>
          </rPr>
          <t>LPA:</t>
        </r>
        <r>
          <rPr>
            <sz val="9"/>
            <color indexed="81"/>
            <rFont val="Tahoma"/>
            <family val="2"/>
          </rPr>
          <t xml:space="preserve">
проверити збир!
</t>
        </r>
      </text>
    </comment>
    <comment ref="I1739" authorId="0" shapeId="0">
      <text>
        <r>
          <rPr>
            <b/>
            <sz val="9"/>
            <color indexed="81"/>
            <rFont val="Tahoma"/>
            <family val="2"/>
          </rPr>
          <t>LPA:</t>
        </r>
        <r>
          <rPr>
            <sz val="9"/>
            <color indexed="81"/>
            <rFont val="Tahoma"/>
            <family val="2"/>
          </rPr>
          <t xml:space="preserve">
проверити збир!
</t>
        </r>
      </text>
    </comment>
    <comment ref="I1740" authorId="0" shapeId="0">
      <text>
        <r>
          <rPr>
            <b/>
            <sz val="9"/>
            <color indexed="81"/>
            <rFont val="Tahoma"/>
            <family val="2"/>
          </rPr>
          <t>LPA:</t>
        </r>
        <r>
          <rPr>
            <sz val="9"/>
            <color indexed="81"/>
            <rFont val="Tahoma"/>
            <family val="2"/>
          </rPr>
          <t xml:space="preserve">
проверити збир!
</t>
        </r>
      </text>
    </comment>
    <comment ref="I1741" authorId="0" shapeId="0">
      <text>
        <r>
          <rPr>
            <b/>
            <sz val="9"/>
            <color indexed="81"/>
            <rFont val="Tahoma"/>
            <family val="2"/>
          </rPr>
          <t>LPA:</t>
        </r>
        <r>
          <rPr>
            <sz val="9"/>
            <color indexed="81"/>
            <rFont val="Tahoma"/>
            <family val="2"/>
          </rPr>
          <t xml:space="preserve">
проверити збир!
</t>
        </r>
      </text>
    </comment>
    <comment ref="I1742" authorId="0" shapeId="0">
      <text>
        <r>
          <rPr>
            <b/>
            <sz val="9"/>
            <color indexed="81"/>
            <rFont val="Tahoma"/>
            <family val="2"/>
          </rPr>
          <t>LPA:</t>
        </r>
        <r>
          <rPr>
            <sz val="9"/>
            <color indexed="81"/>
            <rFont val="Tahoma"/>
            <family val="2"/>
          </rPr>
          <t xml:space="preserve">
проверити збир!
</t>
        </r>
      </text>
    </comment>
    <comment ref="I1743" authorId="0" shapeId="0">
      <text>
        <r>
          <rPr>
            <b/>
            <sz val="9"/>
            <color indexed="81"/>
            <rFont val="Tahoma"/>
            <family val="2"/>
          </rPr>
          <t>LPA:</t>
        </r>
        <r>
          <rPr>
            <sz val="9"/>
            <color indexed="81"/>
            <rFont val="Tahoma"/>
            <family val="2"/>
          </rPr>
          <t xml:space="preserve">
проверити збир!
</t>
        </r>
      </text>
    </comment>
    <comment ref="I1744" authorId="0" shapeId="0">
      <text>
        <r>
          <rPr>
            <b/>
            <sz val="9"/>
            <color indexed="81"/>
            <rFont val="Tahoma"/>
            <family val="2"/>
          </rPr>
          <t>LPA:</t>
        </r>
        <r>
          <rPr>
            <sz val="9"/>
            <color indexed="81"/>
            <rFont val="Tahoma"/>
            <family val="2"/>
          </rPr>
          <t xml:space="preserve">
проверити збир!
</t>
        </r>
      </text>
    </comment>
    <comment ref="I1745" authorId="0" shapeId="0">
      <text>
        <r>
          <rPr>
            <b/>
            <sz val="9"/>
            <color indexed="81"/>
            <rFont val="Tahoma"/>
            <family val="2"/>
          </rPr>
          <t>LPA:</t>
        </r>
        <r>
          <rPr>
            <sz val="9"/>
            <color indexed="81"/>
            <rFont val="Tahoma"/>
            <family val="2"/>
          </rPr>
          <t xml:space="preserve">
проверити збир!
</t>
        </r>
      </text>
    </comment>
    <comment ref="I1746" authorId="0" shapeId="0">
      <text>
        <r>
          <rPr>
            <b/>
            <sz val="9"/>
            <color indexed="81"/>
            <rFont val="Tahoma"/>
            <family val="2"/>
          </rPr>
          <t>LPA:</t>
        </r>
        <r>
          <rPr>
            <sz val="9"/>
            <color indexed="81"/>
            <rFont val="Tahoma"/>
            <family val="2"/>
          </rPr>
          <t xml:space="preserve">
проверити збир!
</t>
        </r>
      </text>
    </comment>
    <comment ref="I1747" authorId="0" shapeId="0">
      <text>
        <r>
          <rPr>
            <b/>
            <sz val="9"/>
            <color indexed="81"/>
            <rFont val="Tahoma"/>
            <family val="2"/>
          </rPr>
          <t>LPA:</t>
        </r>
        <r>
          <rPr>
            <sz val="9"/>
            <color indexed="81"/>
            <rFont val="Tahoma"/>
            <family val="2"/>
          </rPr>
          <t xml:space="preserve">
проверити збир!
</t>
        </r>
      </text>
    </comment>
    <comment ref="I1748" authorId="0" shapeId="0">
      <text>
        <r>
          <rPr>
            <b/>
            <sz val="9"/>
            <color indexed="81"/>
            <rFont val="Tahoma"/>
            <family val="2"/>
          </rPr>
          <t>LPA:</t>
        </r>
        <r>
          <rPr>
            <sz val="9"/>
            <color indexed="81"/>
            <rFont val="Tahoma"/>
            <family val="2"/>
          </rPr>
          <t xml:space="preserve">
проверити збир!
</t>
        </r>
      </text>
    </comment>
    <comment ref="I1749" authorId="0" shapeId="0">
      <text>
        <r>
          <rPr>
            <b/>
            <sz val="9"/>
            <color indexed="81"/>
            <rFont val="Tahoma"/>
            <family val="2"/>
          </rPr>
          <t>LPA:</t>
        </r>
        <r>
          <rPr>
            <sz val="9"/>
            <color indexed="81"/>
            <rFont val="Tahoma"/>
            <family val="2"/>
          </rPr>
          <t xml:space="preserve">
проверити збир!
</t>
        </r>
      </text>
    </comment>
    <comment ref="H1753" authorId="0" shapeId="0">
      <text>
        <r>
          <rPr>
            <b/>
            <sz val="9"/>
            <color indexed="81"/>
            <rFont val="Tahoma"/>
            <family val="2"/>
          </rPr>
          <t>LPA:</t>
        </r>
        <r>
          <rPr>
            <sz val="9"/>
            <color indexed="81"/>
            <rFont val="Tahoma"/>
            <family val="2"/>
          </rPr>
          <t xml:space="preserve">
проверити збир!</t>
        </r>
      </text>
    </comment>
    <comment ref="I1753" authorId="0" shapeId="0">
      <text>
        <r>
          <rPr>
            <b/>
            <sz val="9"/>
            <color indexed="81"/>
            <rFont val="Tahoma"/>
            <family val="2"/>
          </rPr>
          <t>LPA:</t>
        </r>
        <r>
          <rPr>
            <sz val="9"/>
            <color indexed="81"/>
            <rFont val="Tahoma"/>
            <family val="2"/>
          </rPr>
          <t xml:space="preserve">
проверити збир!
</t>
        </r>
      </text>
    </comment>
    <comment ref="I1754" authorId="0" shapeId="0">
      <text>
        <r>
          <rPr>
            <b/>
            <sz val="9"/>
            <color indexed="81"/>
            <rFont val="Tahoma"/>
            <family val="2"/>
          </rPr>
          <t>LPA:</t>
        </r>
        <r>
          <rPr>
            <sz val="9"/>
            <color indexed="81"/>
            <rFont val="Tahoma"/>
            <family val="2"/>
          </rPr>
          <t xml:space="preserve">
проверити збир!
</t>
        </r>
      </text>
    </comment>
    <comment ref="I1755" authorId="0" shapeId="0">
      <text>
        <r>
          <rPr>
            <b/>
            <sz val="9"/>
            <color indexed="81"/>
            <rFont val="Tahoma"/>
            <family val="2"/>
          </rPr>
          <t>LPA:</t>
        </r>
        <r>
          <rPr>
            <sz val="9"/>
            <color indexed="81"/>
            <rFont val="Tahoma"/>
            <family val="2"/>
          </rPr>
          <t xml:space="preserve">
проверити збир!
</t>
        </r>
      </text>
    </comment>
    <comment ref="I1756" authorId="0" shapeId="0">
      <text>
        <r>
          <rPr>
            <b/>
            <sz val="9"/>
            <color indexed="81"/>
            <rFont val="Tahoma"/>
            <family val="2"/>
          </rPr>
          <t>LPA:</t>
        </r>
        <r>
          <rPr>
            <sz val="9"/>
            <color indexed="81"/>
            <rFont val="Tahoma"/>
            <family val="2"/>
          </rPr>
          <t xml:space="preserve">
проверити збир!
</t>
        </r>
      </text>
    </comment>
    <comment ref="I1757" authorId="0" shapeId="0">
      <text>
        <r>
          <rPr>
            <b/>
            <sz val="9"/>
            <color indexed="81"/>
            <rFont val="Tahoma"/>
            <family val="2"/>
          </rPr>
          <t>LPA:</t>
        </r>
        <r>
          <rPr>
            <sz val="9"/>
            <color indexed="81"/>
            <rFont val="Tahoma"/>
            <family val="2"/>
          </rPr>
          <t xml:space="preserve">
проверити збир!
</t>
        </r>
      </text>
    </comment>
    <comment ref="I1758" authorId="0" shapeId="0">
      <text>
        <r>
          <rPr>
            <b/>
            <sz val="9"/>
            <color indexed="81"/>
            <rFont val="Tahoma"/>
            <family val="2"/>
          </rPr>
          <t>LPA:</t>
        </r>
        <r>
          <rPr>
            <sz val="9"/>
            <color indexed="81"/>
            <rFont val="Tahoma"/>
            <family val="2"/>
          </rPr>
          <t xml:space="preserve">
проверити збир!
</t>
        </r>
      </text>
    </comment>
    <comment ref="I1759" authorId="0" shapeId="0">
      <text>
        <r>
          <rPr>
            <b/>
            <sz val="9"/>
            <color indexed="81"/>
            <rFont val="Tahoma"/>
            <family val="2"/>
          </rPr>
          <t>LPA:</t>
        </r>
        <r>
          <rPr>
            <sz val="9"/>
            <color indexed="81"/>
            <rFont val="Tahoma"/>
            <family val="2"/>
          </rPr>
          <t xml:space="preserve">
проверити збир!
</t>
        </r>
      </text>
    </comment>
    <comment ref="I1760" authorId="0" shapeId="0">
      <text>
        <r>
          <rPr>
            <b/>
            <sz val="9"/>
            <color indexed="81"/>
            <rFont val="Tahoma"/>
            <family val="2"/>
          </rPr>
          <t>LPA:</t>
        </r>
        <r>
          <rPr>
            <sz val="9"/>
            <color indexed="81"/>
            <rFont val="Tahoma"/>
            <family val="2"/>
          </rPr>
          <t xml:space="preserve">
проверити збир!
</t>
        </r>
      </text>
    </comment>
    <comment ref="I1761" authorId="0" shapeId="0">
      <text>
        <r>
          <rPr>
            <b/>
            <sz val="9"/>
            <color indexed="81"/>
            <rFont val="Tahoma"/>
            <family val="2"/>
          </rPr>
          <t>LPA:</t>
        </r>
        <r>
          <rPr>
            <sz val="9"/>
            <color indexed="81"/>
            <rFont val="Tahoma"/>
            <family val="2"/>
          </rPr>
          <t xml:space="preserve">
проверити збир!
</t>
        </r>
      </text>
    </comment>
    <comment ref="I1762" authorId="0" shapeId="0">
      <text>
        <r>
          <rPr>
            <b/>
            <sz val="9"/>
            <color indexed="81"/>
            <rFont val="Tahoma"/>
            <family val="2"/>
          </rPr>
          <t>LPA:</t>
        </r>
        <r>
          <rPr>
            <sz val="9"/>
            <color indexed="81"/>
            <rFont val="Tahoma"/>
            <family val="2"/>
          </rPr>
          <t xml:space="preserve">
проверити збир!
</t>
        </r>
      </text>
    </comment>
    <comment ref="I1763" authorId="0" shapeId="0">
      <text>
        <r>
          <rPr>
            <b/>
            <sz val="9"/>
            <color indexed="81"/>
            <rFont val="Tahoma"/>
            <family val="2"/>
          </rPr>
          <t>LPA:</t>
        </r>
        <r>
          <rPr>
            <sz val="9"/>
            <color indexed="81"/>
            <rFont val="Tahoma"/>
            <family val="2"/>
          </rPr>
          <t xml:space="preserve">
проверити збир!
</t>
        </r>
      </text>
    </comment>
    <comment ref="I1764" authorId="0" shapeId="0">
      <text>
        <r>
          <rPr>
            <b/>
            <sz val="9"/>
            <color indexed="81"/>
            <rFont val="Tahoma"/>
            <family val="2"/>
          </rPr>
          <t>LPA:</t>
        </r>
        <r>
          <rPr>
            <sz val="9"/>
            <color indexed="81"/>
            <rFont val="Tahoma"/>
            <family val="2"/>
          </rPr>
          <t xml:space="preserve">
проверити збир!
</t>
        </r>
      </text>
    </comment>
    <comment ref="I1765" authorId="0" shapeId="0">
      <text>
        <r>
          <rPr>
            <b/>
            <sz val="9"/>
            <color indexed="81"/>
            <rFont val="Tahoma"/>
            <family val="2"/>
          </rPr>
          <t>LPA:</t>
        </r>
        <r>
          <rPr>
            <sz val="9"/>
            <color indexed="81"/>
            <rFont val="Tahoma"/>
            <family val="2"/>
          </rPr>
          <t xml:space="preserve">
проверити збир!
</t>
        </r>
      </text>
    </comment>
    <comment ref="I1766" authorId="0" shapeId="0">
      <text>
        <r>
          <rPr>
            <b/>
            <sz val="9"/>
            <color indexed="81"/>
            <rFont val="Tahoma"/>
            <family val="2"/>
          </rPr>
          <t>LPA:</t>
        </r>
        <r>
          <rPr>
            <sz val="9"/>
            <color indexed="81"/>
            <rFont val="Tahoma"/>
            <family val="2"/>
          </rPr>
          <t xml:space="preserve">
проверити збир!
</t>
        </r>
      </text>
    </comment>
    <comment ref="I1767" authorId="0" shapeId="0">
      <text>
        <r>
          <rPr>
            <b/>
            <sz val="9"/>
            <color indexed="81"/>
            <rFont val="Tahoma"/>
            <family val="2"/>
          </rPr>
          <t>LPA:</t>
        </r>
        <r>
          <rPr>
            <sz val="9"/>
            <color indexed="81"/>
            <rFont val="Tahoma"/>
            <family val="2"/>
          </rPr>
          <t xml:space="preserve">
проверити збир!
</t>
        </r>
      </text>
    </comment>
    <comment ref="I1768" authorId="0" shapeId="0">
      <text>
        <r>
          <rPr>
            <b/>
            <sz val="9"/>
            <color indexed="81"/>
            <rFont val="Tahoma"/>
            <family val="2"/>
          </rPr>
          <t>LPA:</t>
        </r>
        <r>
          <rPr>
            <sz val="9"/>
            <color indexed="81"/>
            <rFont val="Tahoma"/>
            <family val="2"/>
          </rPr>
          <t xml:space="preserve">
проверити збир!
</t>
        </r>
      </text>
    </comment>
    <comment ref="I1842" authorId="0" shapeId="0">
      <text>
        <r>
          <rPr>
            <b/>
            <sz val="9"/>
            <color indexed="81"/>
            <rFont val="Tahoma"/>
            <family val="2"/>
          </rPr>
          <t>LPA:</t>
        </r>
        <r>
          <rPr>
            <sz val="9"/>
            <color indexed="81"/>
            <rFont val="Tahoma"/>
            <family val="2"/>
          </rPr>
          <t xml:space="preserve">
проверити збир!
</t>
        </r>
      </text>
    </comment>
    <comment ref="I1843" authorId="0" shapeId="0">
      <text>
        <r>
          <rPr>
            <b/>
            <sz val="9"/>
            <color indexed="81"/>
            <rFont val="Tahoma"/>
            <family val="2"/>
          </rPr>
          <t>LPA:</t>
        </r>
        <r>
          <rPr>
            <sz val="9"/>
            <color indexed="81"/>
            <rFont val="Tahoma"/>
            <family val="2"/>
          </rPr>
          <t xml:space="preserve">
проверити збир!
</t>
        </r>
      </text>
    </comment>
    <comment ref="I1844" authorId="0" shapeId="0">
      <text>
        <r>
          <rPr>
            <b/>
            <sz val="9"/>
            <color indexed="81"/>
            <rFont val="Tahoma"/>
            <family val="2"/>
          </rPr>
          <t>LPA:</t>
        </r>
        <r>
          <rPr>
            <sz val="9"/>
            <color indexed="81"/>
            <rFont val="Tahoma"/>
            <family val="2"/>
          </rPr>
          <t xml:space="preserve">
проверити збир!
</t>
        </r>
      </text>
    </comment>
    <comment ref="I1845" authorId="0" shapeId="0">
      <text>
        <r>
          <rPr>
            <b/>
            <sz val="9"/>
            <color indexed="81"/>
            <rFont val="Tahoma"/>
            <family val="2"/>
          </rPr>
          <t>LPA:</t>
        </r>
        <r>
          <rPr>
            <sz val="9"/>
            <color indexed="81"/>
            <rFont val="Tahoma"/>
            <family val="2"/>
          </rPr>
          <t xml:space="preserve">
проверити збир!
</t>
        </r>
      </text>
    </comment>
    <comment ref="I1846" authorId="0" shapeId="0">
      <text>
        <r>
          <rPr>
            <b/>
            <sz val="9"/>
            <color indexed="81"/>
            <rFont val="Tahoma"/>
            <family val="2"/>
          </rPr>
          <t>LPA:</t>
        </r>
        <r>
          <rPr>
            <sz val="9"/>
            <color indexed="81"/>
            <rFont val="Tahoma"/>
            <family val="2"/>
          </rPr>
          <t xml:space="preserve">
проверити збир!
</t>
        </r>
      </text>
    </comment>
    <comment ref="I1847" authorId="0" shapeId="0">
      <text>
        <r>
          <rPr>
            <b/>
            <sz val="9"/>
            <color indexed="81"/>
            <rFont val="Tahoma"/>
            <family val="2"/>
          </rPr>
          <t>LPA:</t>
        </r>
        <r>
          <rPr>
            <sz val="9"/>
            <color indexed="81"/>
            <rFont val="Tahoma"/>
            <family val="2"/>
          </rPr>
          <t xml:space="preserve">
проверити збир!
</t>
        </r>
      </text>
    </comment>
    <comment ref="I1848" authorId="0" shapeId="0">
      <text>
        <r>
          <rPr>
            <b/>
            <sz val="9"/>
            <color indexed="81"/>
            <rFont val="Tahoma"/>
            <family val="2"/>
          </rPr>
          <t>LPA:</t>
        </r>
        <r>
          <rPr>
            <sz val="9"/>
            <color indexed="81"/>
            <rFont val="Tahoma"/>
            <family val="2"/>
          </rPr>
          <t xml:space="preserve">
проверити збир!
</t>
        </r>
      </text>
    </comment>
    <comment ref="I1849" authorId="0" shapeId="0">
      <text>
        <r>
          <rPr>
            <b/>
            <sz val="9"/>
            <color indexed="81"/>
            <rFont val="Tahoma"/>
            <family val="2"/>
          </rPr>
          <t>LPA:</t>
        </r>
        <r>
          <rPr>
            <sz val="9"/>
            <color indexed="81"/>
            <rFont val="Tahoma"/>
            <family val="2"/>
          </rPr>
          <t xml:space="preserve">
проверити збир!
</t>
        </r>
      </text>
    </comment>
    <comment ref="I1850" authorId="0" shapeId="0">
      <text>
        <r>
          <rPr>
            <b/>
            <sz val="9"/>
            <color indexed="81"/>
            <rFont val="Tahoma"/>
            <family val="2"/>
          </rPr>
          <t>LPA:</t>
        </r>
        <r>
          <rPr>
            <sz val="9"/>
            <color indexed="81"/>
            <rFont val="Tahoma"/>
            <family val="2"/>
          </rPr>
          <t xml:space="preserve">
проверити збир!
</t>
        </r>
      </text>
    </comment>
    <comment ref="I1851" authorId="0" shapeId="0">
      <text>
        <r>
          <rPr>
            <b/>
            <sz val="9"/>
            <color indexed="81"/>
            <rFont val="Tahoma"/>
            <family val="2"/>
          </rPr>
          <t>LPA:</t>
        </r>
        <r>
          <rPr>
            <sz val="9"/>
            <color indexed="81"/>
            <rFont val="Tahoma"/>
            <family val="2"/>
          </rPr>
          <t xml:space="preserve">
проверити збир!
</t>
        </r>
      </text>
    </comment>
    <comment ref="I1852" authorId="0" shapeId="0">
      <text>
        <r>
          <rPr>
            <b/>
            <sz val="9"/>
            <color indexed="81"/>
            <rFont val="Tahoma"/>
            <family val="2"/>
          </rPr>
          <t>LPA:</t>
        </r>
        <r>
          <rPr>
            <sz val="9"/>
            <color indexed="81"/>
            <rFont val="Tahoma"/>
            <family val="2"/>
          </rPr>
          <t xml:space="preserve">
проверити збир!
</t>
        </r>
      </text>
    </comment>
    <comment ref="I1853" authorId="0" shapeId="0">
      <text>
        <r>
          <rPr>
            <b/>
            <sz val="9"/>
            <color indexed="81"/>
            <rFont val="Tahoma"/>
            <family val="2"/>
          </rPr>
          <t>LPA:</t>
        </r>
        <r>
          <rPr>
            <sz val="9"/>
            <color indexed="81"/>
            <rFont val="Tahoma"/>
            <family val="2"/>
          </rPr>
          <t xml:space="preserve">
проверити збир!
</t>
        </r>
      </text>
    </comment>
    <comment ref="I1854" authorId="0" shapeId="0">
      <text>
        <r>
          <rPr>
            <b/>
            <sz val="9"/>
            <color indexed="81"/>
            <rFont val="Tahoma"/>
            <family val="2"/>
          </rPr>
          <t>LPA:</t>
        </r>
        <r>
          <rPr>
            <sz val="9"/>
            <color indexed="81"/>
            <rFont val="Tahoma"/>
            <family val="2"/>
          </rPr>
          <t xml:space="preserve">
проверити збир!
</t>
        </r>
      </text>
    </comment>
    <comment ref="H1857" authorId="0" shapeId="0">
      <text>
        <r>
          <rPr>
            <b/>
            <sz val="9"/>
            <color indexed="81"/>
            <rFont val="Tahoma"/>
            <family val="2"/>
          </rPr>
          <t>LPA:</t>
        </r>
        <r>
          <rPr>
            <sz val="9"/>
            <color indexed="81"/>
            <rFont val="Tahoma"/>
            <family val="2"/>
          </rPr>
          <t xml:space="preserve">
проверити збир!</t>
        </r>
      </text>
    </comment>
    <comment ref="I1857" authorId="0" shapeId="0">
      <text>
        <r>
          <rPr>
            <b/>
            <sz val="9"/>
            <color indexed="81"/>
            <rFont val="Tahoma"/>
            <family val="2"/>
          </rPr>
          <t>LPA:</t>
        </r>
        <r>
          <rPr>
            <sz val="9"/>
            <color indexed="81"/>
            <rFont val="Tahoma"/>
            <family val="2"/>
          </rPr>
          <t xml:space="preserve">
проверити збир!</t>
        </r>
      </text>
    </comment>
    <comment ref="I1858" authorId="0" shapeId="0">
      <text>
        <r>
          <rPr>
            <b/>
            <sz val="9"/>
            <color indexed="81"/>
            <rFont val="Tahoma"/>
            <family val="2"/>
          </rPr>
          <t>LPA:</t>
        </r>
        <r>
          <rPr>
            <sz val="9"/>
            <color indexed="81"/>
            <rFont val="Tahoma"/>
            <family val="2"/>
          </rPr>
          <t xml:space="preserve">
проверити збир!
</t>
        </r>
      </text>
    </comment>
    <comment ref="I1859" authorId="0" shapeId="0">
      <text>
        <r>
          <rPr>
            <b/>
            <sz val="9"/>
            <color indexed="81"/>
            <rFont val="Tahoma"/>
            <family val="2"/>
          </rPr>
          <t>LPA:</t>
        </r>
        <r>
          <rPr>
            <sz val="9"/>
            <color indexed="81"/>
            <rFont val="Tahoma"/>
            <family val="2"/>
          </rPr>
          <t xml:space="preserve">
проверити збир!
</t>
        </r>
      </text>
    </comment>
    <comment ref="I1860" authorId="0" shapeId="0">
      <text>
        <r>
          <rPr>
            <b/>
            <sz val="9"/>
            <color indexed="81"/>
            <rFont val="Tahoma"/>
            <family val="2"/>
          </rPr>
          <t>LPA:</t>
        </r>
        <r>
          <rPr>
            <sz val="9"/>
            <color indexed="81"/>
            <rFont val="Tahoma"/>
            <family val="2"/>
          </rPr>
          <t xml:space="preserve">
проверити збир!
</t>
        </r>
      </text>
    </comment>
    <comment ref="I1861" authorId="0" shapeId="0">
      <text>
        <r>
          <rPr>
            <b/>
            <sz val="9"/>
            <color indexed="81"/>
            <rFont val="Tahoma"/>
            <family val="2"/>
          </rPr>
          <t>LPA:</t>
        </r>
        <r>
          <rPr>
            <sz val="9"/>
            <color indexed="81"/>
            <rFont val="Tahoma"/>
            <family val="2"/>
          </rPr>
          <t xml:space="preserve">
проверити збир!
</t>
        </r>
      </text>
    </comment>
    <comment ref="I1862" authorId="0" shapeId="0">
      <text>
        <r>
          <rPr>
            <b/>
            <sz val="9"/>
            <color indexed="81"/>
            <rFont val="Tahoma"/>
            <family val="2"/>
          </rPr>
          <t>LPA:</t>
        </r>
        <r>
          <rPr>
            <sz val="9"/>
            <color indexed="81"/>
            <rFont val="Tahoma"/>
            <family val="2"/>
          </rPr>
          <t xml:space="preserve">
проверити збир!
</t>
        </r>
      </text>
    </comment>
    <comment ref="I1863" authorId="0" shapeId="0">
      <text>
        <r>
          <rPr>
            <b/>
            <sz val="9"/>
            <color indexed="81"/>
            <rFont val="Tahoma"/>
            <family val="2"/>
          </rPr>
          <t>LPA:</t>
        </r>
        <r>
          <rPr>
            <sz val="9"/>
            <color indexed="81"/>
            <rFont val="Tahoma"/>
            <family val="2"/>
          </rPr>
          <t xml:space="preserve">
проверити збир!
</t>
        </r>
      </text>
    </comment>
    <comment ref="I1864" authorId="0" shapeId="0">
      <text>
        <r>
          <rPr>
            <b/>
            <sz val="9"/>
            <color indexed="81"/>
            <rFont val="Tahoma"/>
            <family val="2"/>
          </rPr>
          <t>LPA:</t>
        </r>
        <r>
          <rPr>
            <sz val="9"/>
            <color indexed="81"/>
            <rFont val="Tahoma"/>
            <family val="2"/>
          </rPr>
          <t xml:space="preserve">
проверити збир!
</t>
        </r>
      </text>
    </comment>
    <comment ref="I1865" authorId="0" shapeId="0">
      <text>
        <r>
          <rPr>
            <b/>
            <sz val="9"/>
            <color indexed="81"/>
            <rFont val="Tahoma"/>
            <family val="2"/>
          </rPr>
          <t>LPA:</t>
        </r>
        <r>
          <rPr>
            <sz val="9"/>
            <color indexed="81"/>
            <rFont val="Tahoma"/>
            <family val="2"/>
          </rPr>
          <t xml:space="preserve">
проверити збир!
</t>
        </r>
      </text>
    </comment>
    <comment ref="I1866" authorId="0" shapeId="0">
      <text>
        <r>
          <rPr>
            <b/>
            <sz val="9"/>
            <color indexed="81"/>
            <rFont val="Tahoma"/>
            <family val="2"/>
          </rPr>
          <t>LPA:</t>
        </r>
        <r>
          <rPr>
            <sz val="9"/>
            <color indexed="81"/>
            <rFont val="Tahoma"/>
            <family val="2"/>
          </rPr>
          <t xml:space="preserve">
проверити збир!
</t>
        </r>
      </text>
    </comment>
    <comment ref="I1867" authorId="0" shapeId="0">
      <text>
        <r>
          <rPr>
            <b/>
            <sz val="9"/>
            <color indexed="81"/>
            <rFont val="Tahoma"/>
            <family val="2"/>
          </rPr>
          <t>LPA:</t>
        </r>
        <r>
          <rPr>
            <sz val="9"/>
            <color indexed="81"/>
            <rFont val="Tahoma"/>
            <family val="2"/>
          </rPr>
          <t xml:space="preserve">
проверити збир!
</t>
        </r>
      </text>
    </comment>
    <comment ref="I1868" authorId="0" shapeId="0">
      <text>
        <r>
          <rPr>
            <b/>
            <sz val="9"/>
            <color indexed="81"/>
            <rFont val="Tahoma"/>
            <family val="2"/>
          </rPr>
          <t>LPA:</t>
        </r>
        <r>
          <rPr>
            <sz val="9"/>
            <color indexed="81"/>
            <rFont val="Tahoma"/>
            <family val="2"/>
          </rPr>
          <t xml:space="preserve">
проверити збир!
</t>
        </r>
      </text>
    </comment>
    <comment ref="I1869" authorId="0" shapeId="0">
      <text>
        <r>
          <rPr>
            <b/>
            <sz val="9"/>
            <color indexed="81"/>
            <rFont val="Tahoma"/>
            <family val="2"/>
          </rPr>
          <t>LPA:</t>
        </r>
        <r>
          <rPr>
            <sz val="9"/>
            <color indexed="81"/>
            <rFont val="Tahoma"/>
            <family val="2"/>
          </rPr>
          <t xml:space="preserve">
проверити збир!
</t>
        </r>
      </text>
    </comment>
    <comment ref="I1870" authorId="0" shapeId="0">
      <text>
        <r>
          <rPr>
            <b/>
            <sz val="9"/>
            <color indexed="81"/>
            <rFont val="Tahoma"/>
            <family val="2"/>
          </rPr>
          <t>LPA:</t>
        </r>
        <r>
          <rPr>
            <sz val="9"/>
            <color indexed="81"/>
            <rFont val="Tahoma"/>
            <family val="2"/>
          </rPr>
          <t xml:space="preserve">
проверити збир!
</t>
        </r>
      </text>
    </comment>
    <comment ref="I1871" authorId="0" shapeId="0">
      <text>
        <r>
          <rPr>
            <b/>
            <sz val="9"/>
            <color indexed="81"/>
            <rFont val="Tahoma"/>
            <family val="2"/>
          </rPr>
          <t>LPA:</t>
        </r>
        <r>
          <rPr>
            <sz val="9"/>
            <color indexed="81"/>
            <rFont val="Tahoma"/>
            <family val="2"/>
          </rPr>
          <t xml:space="preserve">
проверити збир!
</t>
        </r>
      </text>
    </comment>
    <comment ref="I1872" authorId="0" shapeId="0">
      <text>
        <r>
          <rPr>
            <b/>
            <sz val="9"/>
            <color indexed="81"/>
            <rFont val="Tahoma"/>
            <family val="2"/>
          </rPr>
          <t>LPA:</t>
        </r>
        <r>
          <rPr>
            <sz val="9"/>
            <color indexed="81"/>
            <rFont val="Tahoma"/>
            <family val="2"/>
          </rPr>
          <t xml:space="preserve">
проверити збир!
</t>
        </r>
      </text>
    </comment>
    <comment ref="I1941" authorId="0" shapeId="0">
      <text>
        <r>
          <rPr>
            <b/>
            <sz val="9"/>
            <color indexed="81"/>
            <rFont val="Tahoma"/>
            <family val="2"/>
          </rPr>
          <t>LPA:</t>
        </r>
        <r>
          <rPr>
            <sz val="9"/>
            <color indexed="81"/>
            <rFont val="Tahoma"/>
            <family val="2"/>
          </rPr>
          <t xml:space="preserve">
проверити збир!
</t>
        </r>
      </text>
    </comment>
    <comment ref="I1942" authorId="0" shapeId="0">
      <text>
        <r>
          <rPr>
            <b/>
            <sz val="9"/>
            <color indexed="81"/>
            <rFont val="Tahoma"/>
            <family val="2"/>
          </rPr>
          <t>LPA:</t>
        </r>
        <r>
          <rPr>
            <sz val="9"/>
            <color indexed="81"/>
            <rFont val="Tahoma"/>
            <family val="2"/>
          </rPr>
          <t xml:space="preserve">
проверити збир!
</t>
        </r>
      </text>
    </comment>
    <comment ref="I1943" authorId="0" shapeId="0">
      <text>
        <r>
          <rPr>
            <b/>
            <sz val="9"/>
            <color indexed="81"/>
            <rFont val="Tahoma"/>
            <family val="2"/>
          </rPr>
          <t>LPA:</t>
        </r>
        <r>
          <rPr>
            <sz val="9"/>
            <color indexed="81"/>
            <rFont val="Tahoma"/>
            <family val="2"/>
          </rPr>
          <t xml:space="preserve">
проверити збир!
</t>
        </r>
      </text>
    </comment>
    <comment ref="I1944" authorId="0" shapeId="0">
      <text>
        <r>
          <rPr>
            <b/>
            <sz val="9"/>
            <color indexed="81"/>
            <rFont val="Tahoma"/>
            <family val="2"/>
          </rPr>
          <t>LPA:</t>
        </r>
        <r>
          <rPr>
            <sz val="9"/>
            <color indexed="81"/>
            <rFont val="Tahoma"/>
            <family val="2"/>
          </rPr>
          <t xml:space="preserve">
проверити збир!
</t>
        </r>
      </text>
    </comment>
    <comment ref="I1945" authorId="0" shapeId="0">
      <text>
        <r>
          <rPr>
            <b/>
            <sz val="9"/>
            <color indexed="81"/>
            <rFont val="Tahoma"/>
            <family val="2"/>
          </rPr>
          <t>LPA:</t>
        </r>
        <r>
          <rPr>
            <sz val="9"/>
            <color indexed="81"/>
            <rFont val="Tahoma"/>
            <family val="2"/>
          </rPr>
          <t xml:space="preserve">
проверити збир!
</t>
        </r>
      </text>
    </comment>
    <comment ref="I1946" authorId="0" shapeId="0">
      <text>
        <r>
          <rPr>
            <b/>
            <sz val="9"/>
            <color indexed="81"/>
            <rFont val="Tahoma"/>
            <family val="2"/>
          </rPr>
          <t>LPA:</t>
        </r>
        <r>
          <rPr>
            <sz val="9"/>
            <color indexed="81"/>
            <rFont val="Tahoma"/>
            <family val="2"/>
          </rPr>
          <t xml:space="preserve">
проверити збир!
</t>
        </r>
      </text>
    </comment>
    <comment ref="I1947" authorId="0" shapeId="0">
      <text>
        <r>
          <rPr>
            <b/>
            <sz val="9"/>
            <color indexed="81"/>
            <rFont val="Tahoma"/>
            <family val="2"/>
          </rPr>
          <t>LPA:</t>
        </r>
        <r>
          <rPr>
            <sz val="9"/>
            <color indexed="81"/>
            <rFont val="Tahoma"/>
            <family val="2"/>
          </rPr>
          <t xml:space="preserve">
проверити збир!
</t>
        </r>
      </text>
    </comment>
    <comment ref="I1948" authorId="0" shapeId="0">
      <text>
        <r>
          <rPr>
            <b/>
            <sz val="9"/>
            <color indexed="81"/>
            <rFont val="Tahoma"/>
            <family val="2"/>
          </rPr>
          <t>LPA:</t>
        </r>
        <r>
          <rPr>
            <sz val="9"/>
            <color indexed="81"/>
            <rFont val="Tahoma"/>
            <family val="2"/>
          </rPr>
          <t xml:space="preserve">
проверити збир!
</t>
        </r>
      </text>
    </comment>
    <comment ref="I1949" authorId="0" shapeId="0">
      <text>
        <r>
          <rPr>
            <b/>
            <sz val="9"/>
            <color indexed="81"/>
            <rFont val="Tahoma"/>
            <family val="2"/>
          </rPr>
          <t>LPA:</t>
        </r>
        <r>
          <rPr>
            <sz val="9"/>
            <color indexed="81"/>
            <rFont val="Tahoma"/>
            <family val="2"/>
          </rPr>
          <t xml:space="preserve">
проверити збир!
</t>
        </r>
      </text>
    </comment>
    <comment ref="I1950" authorId="0" shapeId="0">
      <text>
        <r>
          <rPr>
            <b/>
            <sz val="9"/>
            <color indexed="81"/>
            <rFont val="Tahoma"/>
            <family val="2"/>
          </rPr>
          <t>LPA:</t>
        </r>
        <r>
          <rPr>
            <sz val="9"/>
            <color indexed="81"/>
            <rFont val="Tahoma"/>
            <family val="2"/>
          </rPr>
          <t xml:space="preserve">
проверити збир!
</t>
        </r>
      </text>
    </comment>
    <comment ref="I1951" authorId="0" shapeId="0">
      <text>
        <r>
          <rPr>
            <b/>
            <sz val="9"/>
            <color indexed="81"/>
            <rFont val="Tahoma"/>
            <family val="2"/>
          </rPr>
          <t>LPA:</t>
        </r>
        <r>
          <rPr>
            <sz val="9"/>
            <color indexed="81"/>
            <rFont val="Tahoma"/>
            <family val="2"/>
          </rPr>
          <t xml:space="preserve">
проверити збир!
</t>
        </r>
      </text>
    </comment>
    <comment ref="I1952" authorId="0" shapeId="0">
      <text>
        <r>
          <rPr>
            <b/>
            <sz val="9"/>
            <color indexed="81"/>
            <rFont val="Tahoma"/>
            <family val="2"/>
          </rPr>
          <t>LPA:</t>
        </r>
        <r>
          <rPr>
            <sz val="9"/>
            <color indexed="81"/>
            <rFont val="Tahoma"/>
            <family val="2"/>
          </rPr>
          <t xml:space="preserve">
проверити збир!
</t>
        </r>
      </text>
    </comment>
    <comment ref="I1953" authorId="0" shapeId="0">
      <text>
        <r>
          <rPr>
            <b/>
            <sz val="9"/>
            <color indexed="81"/>
            <rFont val="Tahoma"/>
            <family val="2"/>
          </rPr>
          <t>LPA:</t>
        </r>
        <r>
          <rPr>
            <sz val="9"/>
            <color indexed="81"/>
            <rFont val="Tahoma"/>
            <family val="2"/>
          </rPr>
          <t xml:space="preserve">
проверити збир!
</t>
        </r>
      </text>
    </comment>
    <comment ref="I1956" authorId="0" shapeId="0">
      <text>
        <r>
          <rPr>
            <b/>
            <sz val="9"/>
            <color indexed="81"/>
            <rFont val="Tahoma"/>
            <family val="2"/>
          </rPr>
          <t>LPA:</t>
        </r>
        <r>
          <rPr>
            <sz val="9"/>
            <color indexed="81"/>
            <rFont val="Tahoma"/>
            <family val="2"/>
          </rPr>
          <t xml:space="preserve">
проверити збир!</t>
        </r>
      </text>
    </comment>
    <comment ref="I1957" authorId="0" shapeId="0">
      <text>
        <r>
          <rPr>
            <b/>
            <sz val="9"/>
            <color indexed="81"/>
            <rFont val="Tahoma"/>
            <family val="2"/>
          </rPr>
          <t>LPA:</t>
        </r>
        <r>
          <rPr>
            <sz val="9"/>
            <color indexed="81"/>
            <rFont val="Tahoma"/>
            <family val="2"/>
          </rPr>
          <t xml:space="preserve">
проверити збир!
</t>
        </r>
      </text>
    </comment>
    <comment ref="I1958" authorId="0" shapeId="0">
      <text>
        <r>
          <rPr>
            <b/>
            <sz val="9"/>
            <color indexed="81"/>
            <rFont val="Tahoma"/>
            <family val="2"/>
          </rPr>
          <t>LPA:</t>
        </r>
        <r>
          <rPr>
            <sz val="9"/>
            <color indexed="81"/>
            <rFont val="Tahoma"/>
            <family val="2"/>
          </rPr>
          <t xml:space="preserve">
проверити збир!
</t>
        </r>
      </text>
    </comment>
    <comment ref="I1959" authorId="0" shapeId="0">
      <text>
        <r>
          <rPr>
            <b/>
            <sz val="9"/>
            <color indexed="81"/>
            <rFont val="Tahoma"/>
            <family val="2"/>
          </rPr>
          <t>LPA:</t>
        </r>
        <r>
          <rPr>
            <sz val="9"/>
            <color indexed="81"/>
            <rFont val="Tahoma"/>
            <family val="2"/>
          </rPr>
          <t xml:space="preserve">
проверити збир!
</t>
        </r>
      </text>
    </comment>
    <comment ref="I1960" authorId="0" shapeId="0">
      <text>
        <r>
          <rPr>
            <b/>
            <sz val="9"/>
            <color indexed="81"/>
            <rFont val="Tahoma"/>
            <family val="2"/>
          </rPr>
          <t>LPA:</t>
        </r>
        <r>
          <rPr>
            <sz val="9"/>
            <color indexed="81"/>
            <rFont val="Tahoma"/>
            <family val="2"/>
          </rPr>
          <t xml:space="preserve">
проверити збир!
</t>
        </r>
      </text>
    </comment>
    <comment ref="I1961" authorId="0" shapeId="0">
      <text>
        <r>
          <rPr>
            <b/>
            <sz val="9"/>
            <color indexed="81"/>
            <rFont val="Tahoma"/>
            <family val="2"/>
          </rPr>
          <t>LPA:</t>
        </r>
        <r>
          <rPr>
            <sz val="9"/>
            <color indexed="81"/>
            <rFont val="Tahoma"/>
            <family val="2"/>
          </rPr>
          <t xml:space="preserve">
проверити збир!
</t>
        </r>
      </text>
    </comment>
    <comment ref="I1962" authorId="0" shapeId="0">
      <text>
        <r>
          <rPr>
            <b/>
            <sz val="9"/>
            <color indexed="81"/>
            <rFont val="Tahoma"/>
            <family val="2"/>
          </rPr>
          <t>LPA:</t>
        </r>
        <r>
          <rPr>
            <sz val="9"/>
            <color indexed="81"/>
            <rFont val="Tahoma"/>
            <family val="2"/>
          </rPr>
          <t xml:space="preserve">
проверити збир!
</t>
        </r>
      </text>
    </comment>
    <comment ref="I1963" authorId="0" shapeId="0">
      <text>
        <r>
          <rPr>
            <b/>
            <sz val="9"/>
            <color indexed="81"/>
            <rFont val="Tahoma"/>
            <family val="2"/>
          </rPr>
          <t>LPA:</t>
        </r>
        <r>
          <rPr>
            <sz val="9"/>
            <color indexed="81"/>
            <rFont val="Tahoma"/>
            <family val="2"/>
          </rPr>
          <t xml:space="preserve">
проверити збир!
</t>
        </r>
      </text>
    </comment>
    <comment ref="I1964" authorId="0" shapeId="0">
      <text>
        <r>
          <rPr>
            <b/>
            <sz val="9"/>
            <color indexed="81"/>
            <rFont val="Tahoma"/>
            <family val="2"/>
          </rPr>
          <t>LPA:</t>
        </r>
        <r>
          <rPr>
            <sz val="9"/>
            <color indexed="81"/>
            <rFont val="Tahoma"/>
            <family val="2"/>
          </rPr>
          <t xml:space="preserve">
проверити збир!
</t>
        </r>
      </text>
    </comment>
    <comment ref="I1965" authorId="0" shapeId="0">
      <text>
        <r>
          <rPr>
            <b/>
            <sz val="9"/>
            <color indexed="81"/>
            <rFont val="Tahoma"/>
            <family val="2"/>
          </rPr>
          <t>LPA:</t>
        </r>
        <r>
          <rPr>
            <sz val="9"/>
            <color indexed="81"/>
            <rFont val="Tahoma"/>
            <family val="2"/>
          </rPr>
          <t xml:space="preserve">
проверити збир!
</t>
        </r>
      </text>
    </comment>
    <comment ref="I1966" authorId="0" shapeId="0">
      <text>
        <r>
          <rPr>
            <b/>
            <sz val="9"/>
            <color indexed="81"/>
            <rFont val="Tahoma"/>
            <family val="2"/>
          </rPr>
          <t>LPA:</t>
        </r>
        <r>
          <rPr>
            <sz val="9"/>
            <color indexed="81"/>
            <rFont val="Tahoma"/>
            <family val="2"/>
          </rPr>
          <t xml:space="preserve">
проверити збир!
</t>
        </r>
      </text>
    </comment>
    <comment ref="I1967" authorId="0" shapeId="0">
      <text>
        <r>
          <rPr>
            <b/>
            <sz val="9"/>
            <color indexed="81"/>
            <rFont val="Tahoma"/>
            <family val="2"/>
          </rPr>
          <t>LPA:</t>
        </r>
        <r>
          <rPr>
            <sz val="9"/>
            <color indexed="81"/>
            <rFont val="Tahoma"/>
            <family val="2"/>
          </rPr>
          <t xml:space="preserve">
проверити збир!
</t>
        </r>
      </text>
    </comment>
    <comment ref="I1968" authorId="0" shapeId="0">
      <text>
        <r>
          <rPr>
            <b/>
            <sz val="9"/>
            <color indexed="81"/>
            <rFont val="Tahoma"/>
            <family val="2"/>
          </rPr>
          <t>LPA:</t>
        </r>
        <r>
          <rPr>
            <sz val="9"/>
            <color indexed="81"/>
            <rFont val="Tahoma"/>
            <family val="2"/>
          </rPr>
          <t xml:space="preserve">
проверити збир!
</t>
        </r>
      </text>
    </comment>
    <comment ref="I1969" authorId="0" shapeId="0">
      <text>
        <r>
          <rPr>
            <b/>
            <sz val="9"/>
            <color indexed="81"/>
            <rFont val="Tahoma"/>
            <family val="2"/>
          </rPr>
          <t>LPA:</t>
        </r>
        <r>
          <rPr>
            <sz val="9"/>
            <color indexed="81"/>
            <rFont val="Tahoma"/>
            <family val="2"/>
          </rPr>
          <t xml:space="preserve">
проверити збир!
</t>
        </r>
      </text>
    </comment>
    <comment ref="I1970" authorId="0" shapeId="0">
      <text>
        <r>
          <rPr>
            <b/>
            <sz val="9"/>
            <color indexed="81"/>
            <rFont val="Tahoma"/>
            <family val="2"/>
          </rPr>
          <t>LPA:</t>
        </r>
        <r>
          <rPr>
            <sz val="9"/>
            <color indexed="81"/>
            <rFont val="Tahoma"/>
            <family val="2"/>
          </rPr>
          <t xml:space="preserve">
проверити збир!
</t>
        </r>
      </text>
    </comment>
    <comment ref="I1971" authorId="0" shapeId="0">
      <text>
        <r>
          <rPr>
            <b/>
            <sz val="9"/>
            <color indexed="81"/>
            <rFont val="Tahoma"/>
            <family val="2"/>
          </rPr>
          <t>LPA:</t>
        </r>
        <r>
          <rPr>
            <sz val="9"/>
            <color indexed="81"/>
            <rFont val="Tahoma"/>
            <family val="2"/>
          </rPr>
          <t xml:space="preserve">
проверити збир!
</t>
        </r>
      </text>
    </comment>
    <comment ref="H1975" authorId="0" shapeId="0">
      <text>
        <r>
          <rPr>
            <b/>
            <sz val="9"/>
            <color indexed="81"/>
            <rFont val="Tahoma"/>
            <family val="2"/>
          </rPr>
          <t>LPA:</t>
        </r>
        <r>
          <rPr>
            <sz val="9"/>
            <color indexed="81"/>
            <rFont val="Tahoma"/>
            <family val="2"/>
          </rPr>
          <t xml:space="preserve">
проверити збир!</t>
        </r>
      </text>
    </comment>
    <comment ref="I1975" authorId="0" shapeId="0">
      <text>
        <r>
          <rPr>
            <b/>
            <sz val="9"/>
            <color indexed="81"/>
            <rFont val="Tahoma"/>
            <family val="2"/>
          </rPr>
          <t>LPA:</t>
        </r>
        <r>
          <rPr>
            <sz val="9"/>
            <color indexed="81"/>
            <rFont val="Tahoma"/>
            <family val="2"/>
          </rPr>
          <t xml:space="preserve">
проверити збир!
</t>
        </r>
      </text>
    </comment>
    <comment ref="I1976" authorId="0" shapeId="0">
      <text>
        <r>
          <rPr>
            <b/>
            <sz val="9"/>
            <color indexed="81"/>
            <rFont val="Tahoma"/>
            <family val="2"/>
          </rPr>
          <t>LPA:</t>
        </r>
        <r>
          <rPr>
            <sz val="9"/>
            <color indexed="81"/>
            <rFont val="Tahoma"/>
            <family val="2"/>
          </rPr>
          <t xml:space="preserve">
проверити збир!
</t>
        </r>
      </text>
    </comment>
    <comment ref="I1977" authorId="0" shapeId="0">
      <text>
        <r>
          <rPr>
            <b/>
            <sz val="9"/>
            <color indexed="81"/>
            <rFont val="Tahoma"/>
            <family val="2"/>
          </rPr>
          <t>LPA:</t>
        </r>
        <r>
          <rPr>
            <sz val="9"/>
            <color indexed="81"/>
            <rFont val="Tahoma"/>
            <family val="2"/>
          </rPr>
          <t xml:space="preserve">
проверити збир!
</t>
        </r>
      </text>
    </comment>
    <comment ref="I1978" authorId="0" shapeId="0">
      <text>
        <r>
          <rPr>
            <b/>
            <sz val="9"/>
            <color indexed="81"/>
            <rFont val="Tahoma"/>
            <family val="2"/>
          </rPr>
          <t>LPA:</t>
        </r>
        <r>
          <rPr>
            <sz val="9"/>
            <color indexed="81"/>
            <rFont val="Tahoma"/>
            <family val="2"/>
          </rPr>
          <t xml:space="preserve">
проверити збир!
</t>
        </r>
      </text>
    </comment>
    <comment ref="I1979" authorId="0" shapeId="0">
      <text>
        <r>
          <rPr>
            <b/>
            <sz val="9"/>
            <color indexed="81"/>
            <rFont val="Tahoma"/>
            <family val="2"/>
          </rPr>
          <t>LPA:</t>
        </r>
        <r>
          <rPr>
            <sz val="9"/>
            <color indexed="81"/>
            <rFont val="Tahoma"/>
            <family val="2"/>
          </rPr>
          <t xml:space="preserve">
проверити збир!
</t>
        </r>
      </text>
    </comment>
    <comment ref="I1980" authorId="0" shapeId="0">
      <text>
        <r>
          <rPr>
            <b/>
            <sz val="9"/>
            <color indexed="81"/>
            <rFont val="Tahoma"/>
            <family val="2"/>
          </rPr>
          <t>LPA:</t>
        </r>
        <r>
          <rPr>
            <sz val="9"/>
            <color indexed="81"/>
            <rFont val="Tahoma"/>
            <family val="2"/>
          </rPr>
          <t xml:space="preserve">
проверити збир!
</t>
        </r>
      </text>
    </comment>
    <comment ref="I1981" authorId="0" shapeId="0">
      <text>
        <r>
          <rPr>
            <b/>
            <sz val="9"/>
            <color indexed="81"/>
            <rFont val="Tahoma"/>
            <family val="2"/>
          </rPr>
          <t>LPA:</t>
        </r>
        <r>
          <rPr>
            <sz val="9"/>
            <color indexed="81"/>
            <rFont val="Tahoma"/>
            <family val="2"/>
          </rPr>
          <t xml:space="preserve">
проверити збир!
</t>
        </r>
      </text>
    </comment>
    <comment ref="I1982" authorId="0" shapeId="0">
      <text>
        <r>
          <rPr>
            <b/>
            <sz val="9"/>
            <color indexed="81"/>
            <rFont val="Tahoma"/>
            <family val="2"/>
          </rPr>
          <t>LPA:</t>
        </r>
        <r>
          <rPr>
            <sz val="9"/>
            <color indexed="81"/>
            <rFont val="Tahoma"/>
            <family val="2"/>
          </rPr>
          <t xml:space="preserve">
проверити збир!
</t>
        </r>
      </text>
    </comment>
    <comment ref="I1983" authorId="0" shapeId="0">
      <text>
        <r>
          <rPr>
            <b/>
            <sz val="9"/>
            <color indexed="81"/>
            <rFont val="Tahoma"/>
            <family val="2"/>
          </rPr>
          <t>LPA:</t>
        </r>
        <r>
          <rPr>
            <sz val="9"/>
            <color indexed="81"/>
            <rFont val="Tahoma"/>
            <family val="2"/>
          </rPr>
          <t xml:space="preserve">
проверити збир!
</t>
        </r>
      </text>
    </comment>
    <comment ref="I1984" authorId="0" shapeId="0">
      <text>
        <r>
          <rPr>
            <b/>
            <sz val="9"/>
            <color indexed="81"/>
            <rFont val="Tahoma"/>
            <family val="2"/>
          </rPr>
          <t>LPA:</t>
        </r>
        <r>
          <rPr>
            <sz val="9"/>
            <color indexed="81"/>
            <rFont val="Tahoma"/>
            <family val="2"/>
          </rPr>
          <t xml:space="preserve">
проверити збир!
</t>
        </r>
      </text>
    </comment>
    <comment ref="I1985" authorId="0" shapeId="0">
      <text>
        <r>
          <rPr>
            <b/>
            <sz val="9"/>
            <color indexed="81"/>
            <rFont val="Tahoma"/>
            <family val="2"/>
          </rPr>
          <t>LPA:</t>
        </r>
        <r>
          <rPr>
            <sz val="9"/>
            <color indexed="81"/>
            <rFont val="Tahoma"/>
            <family val="2"/>
          </rPr>
          <t xml:space="preserve">
проверити збир!
</t>
        </r>
      </text>
    </comment>
    <comment ref="I1986" authorId="0" shapeId="0">
      <text>
        <r>
          <rPr>
            <b/>
            <sz val="9"/>
            <color indexed="81"/>
            <rFont val="Tahoma"/>
            <family val="2"/>
          </rPr>
          <t>LPA:</t>
        </r>
        <r>
          <rPr>
            <sz val="9"/>
            <color indexed="81"/>
            <rFont val="Tahoma"/>
            <family val="2"/>
          </rPr>
          <t xml:space="preserve">
проверити збир!
</t>
        </r>
      </text>
    </comment>
    <comment ref="I1987" authorId="0" shapeId="0">
      <text>
        <r>
          <rPr>
            <b/>
            <sz val="9"/>
            <color indexed="81"/>
            <rFont val="Tahoma"/>
            <family val="2"/>
          </rPr>
          <t>LPA:</t>
        </r>
        <r>
          <rPr>
            <sz val="9"/>
            <color indexed="81"/>
            <rFont val="Tahoma"/>
            <family val="2"/>
          </rPr>
          <t xml:space="preserve">
проверити збир!
</t>
        </r>
      </text>
    </comment>
    <comment ref="I1988" authorId="0" shapeId="0">
      <text>
        <r>
          <rPr>
            <b/>
            <sz val="9"/>
            <color indexed="81"/>
            <rFont val="Tahoma"/>
            <family val="2"/>
          </rPr>
          <t>LPA:</t>
        </r>
        <r>
          <rPr>
            <sz val="9"/>
            <color indexed="81"/>
            <rFont val="Tahoma"/>
            <family val="2"/>
          </rPr>
          <t xml:space="preserve">
проверити збир!
</t>
        </r>
      </text>
    </comment>
    <comment ref="I1989" authorId="0" shapeId="0">
      <text>
        <r>
          <rPr>
            <b/>
            <sz val="9"/>
            <color indexed="81"/>
            <rFont val="Tahoma"/>
            <family val="2"/>
          </rPr>
          <t>LPA:</t>
        </r>
        <r>
          <rPr>
            <sz val="9"/>
            <color indexed="81"/>
            <rFont val="Tahoma"/>
            <family val="2"/>
          </rPr>
          <t xml:space="preserve">
проверити збир!
</t>
        </r>
      </text>
    </comment>
    <comment ref="I1990" authorId="0" shapeId="0">
      <text>
        <r>
          <rPr>
            <b/>
            <sz val="9"/>
            <color indexed="81"/>
            <rFont val="Tahoma"/>
            <family val="2"/>
          </rPr>
          <t>LPA:</t>
        </r>
        <r>
          <rPr>
            <sz val="9"/>
            <color indexed="81"/>
            <rFont val="Tahoma"/>
            <family val="2"/>
          </rPr>
          <t xml:space="preserve">
проверити збир!
</t>
        </r>
      </text>
    </comment>
    <comment ref="I2117" authorId="0" shapeId="0">
      <text>
        <r>
          <rPr>
            <b/>
            <sz val="9"/>
            <color indexed="81"/>
            <rFont val="Tahoma"/>
            <family val="2"/>
          </rPr>
          <t>LPA:</t>
        </r>
        <r>
          <rPr>
            <sz val="9"/>
            <color indexed="81"/>
            <rFont val="Tahoma"/>
            <family val="2"/>
          </rPr>
          <t xml:space="preserve">
проверити збир!
</t>
        </r>
      </text>
    </comment>
    <comment ref="I2118" authorId="0" shapeId="0">
      <text>
        <r>
          <rPr>
            <b/>
            <sz val="9"/>
            <color indexed="81"/>
            <rFont val="Tahoma"/>
            <family val="2"/>
          </rPr>
          <t>LPA:</t>
        </r>
        <r>
          <rPr>
            <sz val="9"/>
            <color indexed="81"/>
            <rFont val="Tahoma"/>
            <family val="2"/>
          </rPr>
          <t xml:space="preserve">
проверити збир!
</t>
        </r>
      </text>
    </comment>
    <comment ref="I2119" authorId="0" shapeId="0">
      <text>
        <r>
          <rPr>
            <b/>
            <sz val="9"/>
            <color indexed="81"/>
            <rFont val="Tahoma"/>
            <family val="2"/>
          </rPr>
          <t>LPA:</t>
        </r>
        <r>
          <rPr>
            <sz val="9"/>
            <color indexed="81"/>
            <rFont val="Tahoma"/>
            <family val="2"/>
          </rPr>
          <t xml:space="preserve">
проверити збир!
</t>
        </r>
      </text>
    </comment>
    <comment ref="I2120" authorId="0" shapeId="0">
      <text>
        <r>
          <rPr>
            <b/>
            <sz val="9"/>
            <color indexed="81"/>
            <rFont val="Tahoma"/>
            <family val="2"/>
          </rPr>
          <t>LPA:</t>
        </r>
        <r>
          <rPr>
            <sz val="9"/>
            <color indexed="81"/>
            <rFont val="Tahoma"/>
            <family val="2"/>
          </rPr>
          <t xml:space="preserve">
проверити збир!
</t>
        </r>
      </text>
    </comment>
    <comment ref="I2121" authorId="0" shapeId="0">
      <text>
        <r>
          <rPr>
            <b/>
            <sz val="9"/>
            <color indexed="81"/>
            <rFont val="Tahoma"/>
            <family val="2"/>
          </rPr>
          <t>LPA:</t>
        </r>
        <r>
          <rPr>
            <sz val="9"/>
            <color indexed="81"/>
            <rFont val="Tahoma"/>
            <family val="2"/>
          </rPr>
          <t xml:space="preserve">
проверити збир!
</t>
        </r>
      </text>
    </comment>
    <comment ref="I2122" authorId="0" shapeId="0">
      <text>
        <r>
          <rPr>
            <b/>
            <sz val="9"/>
            <color indexed="81"/>
            <rFont val="Tahoma"/>
            <family val="2"/>
          </rPr>
          <t>LPA:</t>
        </r>
        <r>
          <rPr>
            <sz val="9"/>
            <color indexed="81"/>
            <rFont val="Tahoma"/>
            <family val="2"/>
          </rPr>
          <t xml:space="preserve">
проверити збир!
</t>
        </r>
      </text>
    </comment>
    <comment ref="I2123" authorId="0" shapeId="0">
      <text>
        <r>
          <rPr>
            <b/>
            <sz val="9"/>
            <color indexed="81"/>
            <rFont val="Tahoma"/>
            <family val="2"/>
          </rPr>
          <t>LPA:</t>
        </r>
        <r>
          <rPr>
            <sz val="9"/>
            <color indexed="81"/>
            <rFont val="Tahoma"/>
            <family val="2"/>
          </rPr>
          <t xml:space="preserve">
проверити збир!
</t>
        </r>
      </text>
    </comment>
    <comment ref="I2124" authorId="0" shapeId="0">
      <text>
        <r>
          <rPr>
            <b/>
            <sz val="9"/>
            <color indexed="81"/>
            <rFont val="Tahoma"/>
            <family val="2"/>
          </rPr>
          <t>LPA:</t>
        </r>
        <r>
          <rPr>
            <sz val="9"/>
            <color indexed="81"/>
            <rFont val="Tahoma"/>
            <family val="2"/>
          </rPr>
          <t xml:space="preserve">
проверити збир!
</t>
        </r>
      </text>
    </comment>
    <comment ref="I2125" authorId="0" shapeId="0">
      <text>
        <r>
          <rPr>
            <b/>
            <sz val="9"/>
            <color indexed="81"/>
            <rFont val="Tahoma"/>
            <family val="2"/>
          </rPr>
          <t>LPA:</t>
        </r>
        <r>
          <rPr>
            <sz val="9"/>
            <color indexed="81"/>
            <rFont val="Tahoma"/>
            <family val="2"/>
          </rPr>
          <t xml:space="preserve">
проверити збир!
</t>
        </r>
      </text>
    </comment>
    <comment ref="I2126" authorId="0" shapeId="0">
      <text>
        <r>
          <rPr>
            <b/>
            <sz val="9"/>
            <color indexed="81"/>
            <rFont val="Tahoma"/>
            <family val="2"/>
          </rPr>
          <t>LPA:</t>
        </r>
        <r>
          <rPr>
            <sz val="9"/>
            <color indexed="81"/>
            <rFont val="Tahoma"/>
            <family val="2"/>
          </rPr>
          <t xml:space="preserve">
проверити збир!
</t>
        </r>
      </text>
    </comment>
    <comment ref="I2127" authorId="0" shapeId="0">
      <text>
        <r>
          <rPr>
            <b/>
            <sz val="9"/>
            <color indexed="81"/>
            <rFont val="Tahoma"/>
            <family val="2"/>
          </rPr>
          <t>LPA:</t>
        </r>
        <r>
          <rPr>
            <sz val="9"/>
            <color indexed="81"/>
            <rFont val="Tahoma"/>
            <family val="2"/>
          </rPr>
          <t xml:space="preserve">
проверити збир!
</t>
        </r>
      </text>
    </comment>
    <comment ref="I2128" authorId="0" shapeId="0">
      <text>
        <r>
          <rPr>
            <b/>
            <sz val="9"/>
            <color indexed="81"/>
            <rFont val="Tahoma"/>
            <family val="2"/>
          </rPr>
          <t>LPA:</t>
        </r>
        <r>
          <rPr>
            <sz val="9"/>
            <color indexed="81"/>
            <rFont val="Tahoma"/>
            <family val="2"/>
          </rPr>
          <t xml:space="preserve">
проверити збир!
</t>
        </r>
      </text>
    </comment>
    <comment ref="I2129" authorId="0" shapeId="0">
      <text>
        <r>
          <rPr>
            <b/>
            <sz val="9"/>
            <color indexed="81"/>
            <rFont val="Tahoma"/>
            <family val="2"/>
          </rPr>
          <t>LPA:</t>
        </r>
        <r>
          <rPr>
            <sz val="9"/>
            <color indexed="81"/>
            <rFont val="Tahoma"/>
            <family val="2"/>
          </rPr>
          <t xml:space="preserve">
проверити збир!
</t>
        </r>
      </text>
    </comment>
    <comment ref="H2132" authorId="0" shapeId="0">
      <text>
        <r>
          <rPr>
            <b/>
            <sz val="9"/>
            <color indexed="81"/>
            <rFont val="Tahoma"/>
            <family val="2"/>
          </rPr>
          <t>LPA:</t>
        </r>
        <r>
          <rPr>
            <sz val="9"/>
            <color indexed="81"/>
            <rFont val="Tahoma"/>
            <family val="2"/>
          </rPr>
          <t xml:space="preserve">
проверити збир!</t>
        </r>
      </text>
    </comment>
    <comment ref="I2132" authorId="0" shapeId="0">
      <text>
        <r>
          <rPr>
            <b/>
            <sz val="9"/>
            <color indexed="81"/>
            <rFont val="Tahoma"/>
            <family val="2"/>
          </rPr>
          <t>LPA:</t>
        </r>
        <r>
          <rPr>
            <sz val="9"/>
            <color indexed="81"/>
            <rFont val="Tahoma"/>
            <family val="2"/>
          </rPr>
          <t xml:space="preserve">
проверити збир!</t>
        </r>
      </text>
    </comment>
    <comment ref="I2133" authorId="0" shapeId="0">
      <text>
        <r>
          <rPr>
            <b/>
            <sz val="9"/>
            <color indexed="81"/>
            <rFont val="Tahoma"/>
            <family val="2"/>
          </rPr>
          <t>LPA:</t>
        </r>
        <r>
          <rPr>
            <sz val="9"/>
            <color indexed="81"/>
            <rFont val="Tahoma"/>
            <family val="2"/>
          </rPr>
          <t xml:space="preserve">
проверити збир!
</t>
        </r>
      </text>
    </comment>
    <comment ref="I2134" authorId="0" shapeId="0">
      <text>
        <r>
          <rPr>
            <b/>
            <sz val="9"/>
            <color indexed="81"/>
            <rFont val="Tahoma"/>
            <family val="2"/>
          </rPr>
          <t>LPA:</t>
        </r>
        <r>
          <rPr>
            <sz val="9"/>
            <color indexed="81"/>
            <rFont val="Tahoma"/>
            <family val="2"/>
          </rPr>
          <t xml:space="preserve">
проверити збир!
</t>
        </r>
      </text>
    </comment>
    <comment ref="I2135" authorId="0" shapeId="0">
      <text>
        <r>
          <rPr>
            <b/>
            <sz val="9"/>
            <color indexed="81"/>
            <rFont val="Tahoma"/>
            <family val="2"/>
          </rPr>
          <t>LPA:</t>
        </r>
        <r>
          <rPr>
            <sz val="9"/>
            <color indexed="81"/>
            <rFont val="Tahoma"/>
            <family val="2"/>
          </rPr>
          <t xml:space="preserve">
проверити збир!
</t>
        </r>
      </text>
    </comment>
    <comment ref="I2136" authorId="0" shapeId="0">
      <text>
        <r>
          <rPr>
            <b/>
            <sz val="9"/>
            <color indexed="81"/>
            <rFont val="Tahoma"/>
            <family val="2"/>
          </rPr>
          <t>LPA:</t>
        </r>
        <r>
          <rPr>
            <sz val="9"/>
            <color indexed="81"/>
            <rFont val="Tahoma"/>
            <family val="2"/>
          </rPr>
          <t xml:space="preserve">
проверити збир!
</t>
        </r>
      </text>
    </comment>
    <comment ref="I2137" authorId="0" shapeId="0">
      <text>
        <r>
          <rPr>
            <b/>
            <sz val="9"/>
            <color indexed="81"/>
            <rFont val="Tahoma"/>
            <family val="2"/>
          </rPr>
          <t>LPA:</t>
        </r>
        <r>
          <rPr>
            <sz val="9"/>
            <color indexed="81"/>
            <rFont val="Tahoma"/>
            <family val="2"/>
          </rPr>
          <t xml:space="preserve">
проверити збир!
</t>
        </r>
      </text>
    </comment>
    <comment ref="I2138" authorId="0" shapeId="0">
      <text>
        <r>
          <rPr>
            <b/>
            <sz val="9"/>
            <color indexed="81"/>
            <rFont val="Tahoma"/>
            <family val="2"/>
          </rPr>
          <t>LPA:</t>
        </r>
        <r>
          <rPr>
            <sz val="9"/>
            <color indexed="81"/>
            <rFont val="Tahoma"/>
            <family val="2"/>
          </rPr>
          <t xml:space="preserve">
проверити збир!
</t>
        </r>
      </text>
    </comment>
    <comment ref="I2139" authorId="0" shapeId="0">
      <text>
        <r>
          <rPr>
            <b/>
            <sz val="9"/>
            <color indexed="81"/>
            <rFont val="Tahoma"/>
            <family val="2"/>
          </rPr>
          <t>LPA:</t>
        </r>
        <r>
          <rPr>
            <sz val="9"/>
            <color indexed="81"/>
            <rFont val="Tahoma"/>
            <family val="2"/>
          </rPr>
          <t xml:space="preserve">
проверити збир!
</t>
        </r>
      </text>
    </comment>
    <comment ref="I2140" authorId="0" shapeId="0">
      <text>
        <r>
          <rPr>
            <b/>
            <sz val="9"/>
            <color indexed="81"/>
            <rFont val="Tahoma"/>
            <family val="2"/>
          </rPr>
          <t>LPA:</t>
        </r>
        <r>
          <rPr>
            <sz val="9"/>
            <color indexed="81"/>
            <rFont val="Tahoma"/>
            <family val="2"/>
          </rPr>
          <t xml:space="preserve">
проверити збир!
</t>
        </r>
      </text>
    </comment>
    <comment ref="I2141" authorId="0" shapeId="0">
      <text>
        <r>
          <rPr>
            <b/>
            <sz val="9"/>
            <color indexed="81"/>
            <rFont val="Tahoma"/>
            <family val="2"/>
          </rPr>
          <t>LPA:</t>
        </r>
        <r>
          <rPr>
            <sz val="9"/>
            <color indexed="81"/>
            <rFont val="Tahoma"/>
            <family val="2"/>
          </rPr>
          <t xml:space="preserve">
проверити збир!
</t>
        </r>
      </text>
    </comment>
    <comment ref="I2142" authorId="0" shapeId="0">
      <text>
        <r>
          <rPr>
            <b/>
            <sz val="9"/>
            <color indexed="81"/>
            <rFont val="Tahoma"/>
            <family val="2"/>
          </rPr>
          <t>LPA:</t>
        </r>
        <r>
          <rPr>
            <sz val="9"/>
            <color indexed="81"/>
            <rFont val="Tahoma"/>
            <family val="2"/>
          </rPr>
          <t xml:space="preserve">
проверити збир!
</t>
        </r>
      </text>
    </comment>
    <comment ref="I2143" authorId="0" shapeId="0">
      <text>
        <r>
          <rPr>
            <b/>
            <sz val="9"/>
            <color indexed="81"/>
            <rFont val="Tahoma"/>
            <family val="2"/>
          </rPr>
          <t>LPA:</t>
        </r>
        <r>
          <rPr>
            <sz val="9"/>
            <color indexed="81"/>
            <rFont val="Tahoma"/>
            <family val="2"/>
          </rPr>
          <t xml:space="preserve">
проверити збир!
</t>
        </r>
      </text>
    </comment>
    <comment ref="I2144" authorId="0" shapeId="0">
      <text>
        <r>
          <rPr>
            <b/>
            <sz val="9"/>
            <color indexed="81"/>
            <rFont val="Tahoma"/>
            <family val="2"/>
          </rPr>
          <t>LPA:</t>
        </r>
        <r>
          <rPr>
            <sz val="9"/>
            <color indexed="81"/>
            <rFont val="Tahoma"/>
            <family val="2"/>
          </rPr>
          <t xml:space="preserve">
проверити збир!
</t>
        </r>
      </text>
    </comment>
    <comment ref="I2145" authorId="0" shapeId="0">
      <text>
        <r>
          <rPr>
            <b/>
            <sz val="9"/>
            <color indexed="81"/>
            <rFont val="Tahoma"/>
            <family val="2"/>
          </rPr>
          <t>LPA:</t>
        </r>
        <r>
          <rPr>
            <sz val="9"/>
            <color indexed="81"/>
            <rFont val="Tahoma"/>
            <family val="2"/>
          </rPr>
          <t xml:space="preserve">
проверити збир!
</t>
        </r>
      </text>
    </comment>
    <comment ref="I2146" authorId="0" shapeId="0">
      <text>
        <r>
          <rPr>
            <b/>
            <sz val="9"/>
            <color indexed="81"/>
            <rFont val="Tahoma"/>
            <family val="2"/>
          </rPr>
          <t>LPA:</t>
        </r>
        <r>
          <rPr>
            <sz val="9"/>
            <color indexed="81"/>
            <rFont val="Tahoma"/>
            <family val="2"/>
          </rPr>
          <t xml:space="preserve">
проверити збир!
</t>
        </r>
      </text>
    </comment>
    <comment ref="I2147" authorId="0" shapeId="0">
      <text>
        <r>
          <rPr>
            <b/>
            <sz val="9"/>
            <color indexed="81"/>
            <rFont val="Tahoma"/>
            <family val="2"/>
          </rPr>
          <t>LPA:</t>
        </r>
        <r>
          <rPr>
            <sz val="9"/>
            <color indexed="81"/>
            <rFont val="Tahoma"/>
            <family val="2"/>
          </rPr>
          <t xml:space="preserve">
проверити збир!
</t>
        </r>
      </text>
    </comment>
    <comment ref="I2164" authorId="0" shapeId="0">
      <text>
        <r>
          <rPr>
            <b/>
            <sz val="9"/>
            <color indexed="81"/>
            <rFont val="Tahoma"/>
            <family val="2"/>
          </rPr>
          <t>LPA:</t>
        </r>
        <r>
          <rPr>
            <sz val="9"/>
            <color indexed="81"/>
            <rFont val="Tahoma"/>
            <family val="2"/>
          </rPr>
          <t xml:space="preserve">
проверити збир!
</t>
        </r>
      </text>
    </comment>
    <comment ref="I2165" authorId="0" shapeId="0">
      <text>
        <r>
          <rPr>
            <b/>
            <sz val="9"/>
            <color indexed="81"/>
            <rFont val="Tahoma"/>
            <family val="2"/>
          </rPr>
          <t>LPA:</t>
        </r>
        <r>
          <rPr>
            <sz val="9"/>
            <color indexed="81"/>
            <rFont val="Tahoma"/>
            <family val="2"/>
          </rPr>
          <t xml:space="preserve">
проверити збир!
</t>
        </r>
      </text>
    </comment>
    <comment ref="I2166" authorId="0" shapeId="0">
      <text>
        <r>
          <rPr>
            <b/>
            <sz val="9"/>
            <color indexed="81"/>
            <rFont val="Tahoma"/>
            <family val="2"/>
          </rPr>
          <t>LPA:</t>
        </r>
        <r>
          <rPr>
            <sz val="9"/>
            <color indexed="81"/>
            <rFont val="Tahoma"/>
            <family val="2"/>
          </rPr>
          <t xml:space="preserve">
проверити збир!
</t>
        </r>
      </text>
    </comment>
    <comment ref="I2167" authorId="0" shapeId="0">
      <text>
        <r>
          <rPr>
            <b/>
            <sz val="9"/>
            <color indexed="81"/>
            <rFont val="Tahoma"/>
            <family val="2"/>
          </rPr>
          <t>LPA:</t>
        </r>
        <r>
          <rPr>
            <sz val="9"/>
            <color indexed="81"/>
            <rFont val="Tahoma"/>
            <family val="2"/>
          </rPr>
          <t xml:space="preserve">
проверити збир!
</t>
        </r>
      </text>
    </comment>
    <comment ref="I2168" authorId="0" shapeId="0">
      <text>
        <r>
          <rPr>
            <b/>
            <sz val="9"/>
            <color indexed="81"/>
            <rFont val="Tahoma"/>
            <family val="2"/>
          </rPr>
          <t>LPA:</t>
        </r>
        <r>
          <rPr>
            <sz val="9"/>
            <color indexed="81"/>
            <rFont val="Tahoma"/>
            <family val="2"/>
          </rPr>
          <t xml:space="preserve">
проверити збир!
</t>
        </r>
      </text>
    </comment>
    <comment ref="I2169" authorId="0" shapeId="0">
      <text>
        <r>
          <rPr>
            <b/>
            <sz val="9"/>
            <color indexed="81"/>
            <rFont val="Tahoma"/>
            <family val="2"/>
          </rPr>
          <t>LPA:</t>
        </r>
        <r>
          <rPr>
            <sz val="9"/>
            <color indexed="81"/>
            <rFont val="Tahoma"/>
            <family val="2"/>
          </rPr>
          <t xml:space="preserve">
проверити збир!
</t>
        </r>
      </text>
    </comment>
    <comment ref="I2170" authorId="0" shapeId="0">
      <text>
        <r>
          <rPr>
            <b/>
            <sz val="9"/>
            <color indexed="81"/>
            <rFont val="Tahoma"/>
            <family val="2"/>
          </rPr>
          <t>LPA:</t>
        </r>
        <r>
          <rPr>
            <sz val="9"/>
            <color indexed="81"/>
            <rFont val="Tahoma"/>
            <family val="2"/>
          </rPr>
          <t xml:space="preserve">
проверити збир!
</t>
        </r>
      </text>
    </comment>
    <comment ref="I2171" authorId="0" shapeId="0">
      <text>
        <r>
          <rPr>
            <b/>
            <sz val="9"/>
            <color indexed="81"/>
            <rFont val="Tahoma"/>
            <family val="2"/>
          </rPr>
          <t>LPA:</t>
        </r>
        <r>
          <rPr>
            <sz val="9"/>
            <color indexed="81"/>
            <rFont val="Tahoma"/>
            <family val="2"/>
          </rPr>
          <t xml:space="preserve">
проверити збир!
</t>
        </r>
      </text>
    </comment>
    <comment ref="I2172" authorId="0" shapeId="0">
      <text>
        <r>
          <rPr>
            <b/>
            <sz val="9"/>
            <color indexed="81"/>
            <rFont val="Tahoma"/>
            <family val="2"/>
          </rPr>
          <t>LPA:</t>
        </r>
        <r>
          <rPr>
            <sz val="9"/>
            <color indexed="81"/>
            <rFont val="Tahoma"/>
            <family val="2"/>
          </rPr>
          <t xml:space="preserve">
проверити збир!
</t>
        </r>
      </text>
    </comment>
    <comment ref="I2173" authorId="0" shapeId="0">
      <text>
        <r>
          <rPr>
            <b/>
            <sz val="9"/>
            <color indexed="81"/>
            <rFont val="Tahoma"/>
            <family val="2"/>
          </rPr>
          <t>LPA:</t>
        </r>
        <r>
          <rPr>
            <sz val="9"/>
            <color indexed="81"/>
            <rFont val="Tahoma"/>
            <family val="2"/>
          </rPr>
          <t xml:space="preserve">
проверити збир!
</t>
        </r>
      </text>
    </comment>
    <comment ref="I2174" authorId="0" shapeId="0">
      <text>
        <r>
          <rPr>
            <b/>
            <sz val="9"/>
            <color indexed="81"/>
            <rFont val="Tahoma"/>
            <family val="2"/>
          </rPr>
          <t>LPA:</t>
        </r>
        <r>
          <rPr>
            <sz val="9"/>
            <color indexed="81"/>
            <rFont val="Tahoma"/>
            <family val="2"/>
          </rPr>
          <t xml:space="preserve">
проверити збир!
</t>
        </r>
      </text>
    </comment>
    <comment ref="I2175" authorId="0" shapeId="0">
      <text>
        <r>
          <rPr>
            <b/>
            <sz val="9"/>
            <color indexed="81"/>
            <rFont val="Tahoma"/>
            <family val="2"/>
          </rPr>
          <t>LPA:</t>
        </r>
        <r>
          <rPr>
            <sz val="9"/>
            <color indexed="81"/>
            <rFont val="Tahoma"/>
            <family val="2"/>
          </rPr>
          <t xml:space="preserve">
проверити збир!
</t>
        </r>
      </text>
    </comment>
    <comment ref="I2176" authorId="0" shapeId="0">
      <text>
        <r>
          <rPr>
            <b/>
            <sz val="9"/>
            <color indexed="81"/>
            <rFont val="Tahoma"/>
            <family val="2"/>
          </rPr>
          <t>LPA:</t>
        </r>
        <r>
          <rPr>
            <sz val="9"/>
            <color indexed="81"/>
            <rFont val="Tahoma"/>
            <family val="2"/>
          </rPr>
          <t xml:space="preserve">
проверити збир!
</t>
        </r>
      </text>
    </comment>
    <comment ref="H2179" authorId="0" shapeId="0">
      <text>
        <r>
          <rPr>
            <b/>
            <sz val="9"/>
            <color indexed="81"/>
            <rFont val="Tahoma"/>
            <family val="2"/>
          </rPr>
          <t>LPA:</t>
        </r>
        <r>
          <rPr>
            <sz val="9"/>
            <color indexed="81"/>
            <rFont val="Tahoma"/>
            <family val="2"/>
          </rPr>
          <t xml:space="preserve">
проверити збир!</t>
        </r>
      </text>
    </comment>
    <comment ref="I2179" authorId="0" shapeId="0">
      <text>
        <r>
          <rPr>
            <b/>
            <sz val="9"/>
            <color indexed="81"/>
            <rFont val="Tahoma"/>
            <family val="2"/>
          </rPr>
          <t>LPA:</t>
        </r>
        <r>
          <rPr>
            <sz val="9"/>
            <color indexed="81"/>
            <rFont val="Tahoma"/>
            <family val="2"/>
          </rPr>
          <t xml:space="preserve">
проверити збир!</t>
        </r>
      </text>
    </comment>
    <comment ref="I2180" authorId="0" shapeId="0">
      <text>
        <r>
          <rPr>
            <b/>
            <sz val="9"/>
            <color indexed="81"/>
            <rFont val="Tahoma"/>
            <family val="2"/>
          </rPr>
          <t>LPA:</t>
        </r>
        <r>
          <rPr>
            <sz val="9"/>
            <color indexed="81"/>
            <rFont val="Tahoma"/>
            <family val="2"/>
          </rPr>
          <t xml:space="preserve">
проверити збир!
</t>
        </r>
      </text>
    </comment>
    <comment ref="I2181" authorId="0" shapeId="0">
      <text>
        <r>
          <rPr>
            <b/>
            <sz val="9"/>
            <color indexed="81"/>
            <rFont val="Tahoma"/>
            <family val="2"/>
          </rPr>
          <t>LPA:</t>
        </r>
        <r>
          <rPr>
            <sz val="9"/>
            <color indexed="81"/>
            <rFont val="Tahoma"/>
            <family val="2"/>
          </rPr>
          <t xml:space="preserve">
проверити збир!
</t>
        </r>
      </text>
    </comment>
    <comment ref="I2182" authorId="0" shapeId="0">
      <text>
        <r>
          <rPr>
            <b/>
            <sz val="9"/>
            <color indexed="81"/>
            <rFont val="Tahoma"/>
            <family val="2"/>
          </rPr>
          <t>LPA:</t>
        </r>
        <r>
          <rPr>
            <sz val="9"/>
            <color indexed="81"/>
            <rFont val="Tahoma"/>
            <family val="2"/>
          </rPr>
          <t xml:space="preserve">
проверити збир!
</t>
        </r>
      </text>
    </comment>
    <comment ref="I2183" authorId="0" shapeId="0">
      <text>
        <r>
          <rPr>
            <b/>
            <sz val="9"/>
            <color indexed="81"/>
            <rFont val="Tahoma"/>
            <family val="2"/>
          </rPr>
          <t>LPA:</t>
        </r>
        <r>
          <rPr>
            <sz val="9"/>
            <color indexed="81"/>
            <rFont val="Tahoma"/>
            <family val="2"/>
          </rPr>
          <t xml:space="preserve">
проверити збир!
</t>
        </r>
      </text>
    </comment>
    <comment ref="I2184" authorId="0" shapeId="0">
      <text>
        <r>
          <rPr>
            <b/>
            <sz val="9"/>
            <color indexed="81"/>
            <rFont val="Tahoma"/>
            <family val="2"/>
          </rPr>
          <t>LPA:</t>
        </r>
        <r>
          <rPr>
            <sz val="9"/>
            <color indexed="81"/>
            <rFont val="Tahoma"/>
            <family val="2"/>
          </rPr>
          <t xml:space="preserve">
проверити збир!
</t>
        </r>
      </text>
    </comment>
    <comment ref="I2185" authorId="0" shapeId="0">
      <text>
        <r>
          <rPr>
            <b/>
            <sz val="9"/>
            <color indexed="81"/>
            <rFont val="Tahoma"/>
            <family val="2"/>
          </rPr>
          <t>LPA:</t>
        </r>
        <r>
          <rPr>
            <sz val="9"/>
            <color indexed="81"/>
            <rFont val="Tahoma"/>
            <family val="2"/>
          </rPr>
          <t xml:space="preserve">
проверити збир!
</t>
        </r>
      </text>
    </comment>
    <comment ref="I2186" authorId="0" shapeId="0">
      <text>
        <r>
          <rPr>
            <b/>
            <sz val="9"/>
            <color indexed="81"/>
            <rFont val="Tahoma"/>
            <family val="2"/>
          </rPr>
          <t>LPA:</t>
        </r>
        <r>
          <rPr>
            <sz val="9"/>
            <color indexed="81"/>
            <rFont val="Tahoma"/>
            <family val="2"/>
          </rPr>
          <t xml:space="preserve">
проверити збир!
</t>
        </r>
      </text>
    </comment>
    <comment ref="I2187" authorId="0" shapeId="0">
      <text>
        <r>
          <rPr>
            <b/>
            <sz val="9"/>
            <color indexed="81"/>
            <rFont val="Tahoma"/>
            <family val="2"/>
          </rPr>
          <t>LPA:</t>
        </r>
        <r>
          <rPr>
            <sz val="9"/>
            <color indexed="81"/>
            <rFont val="Tahoma"/>
            <family val="2"/>
          </rPr>
          <t xml:space="preserve">
проверити збир!
</t>
        </r>
      </text>
    </comment>
    <comment ref="I2188" authorId="0" shapeId="0">
      <text>
        <r>
          <rPr>
            <b/>
            <sz val="9"/>
            <color indexed="81"/>
            <rFont val="Tahoma"/>
            <family val="2"/>
          </rPr>
          <t>LPA:</t>
        </r>
        <r>
          <rPr>
            <sz val="9"/>
            <color indexed="81"/>
            <rFont val="Tahoma"/>
            <family val="2"/>
          </rPr>
          <t xml:space="preserve">
проверити збир!
</t>
        </r>
      </text>
    </comment>
    <comment ref="I2189" authorId="0" shapeId="0">
      <text>
        <r>
          <rPr>
            <b/>
            <sz val="9"/>
            <color indexed="81"/>
            <rFont val="Tahoma"/>
            <family val="2"/>
          </rPr>
          <t>LPA:</t>
        </r>
        <r>
          <rPr>
            <sz val="9"/>
            <color indexed="81"/>
            <rFont val="Tahoma"/>
            <family val="2"/>
          </rPr>
          <t xml:space="preserve">
проверити збир!
</t>
        </r>
      </text>
    </comment>
    <comment ref="I2190" authorId="0" shapeId="0">
      <text>
        <r>
          <rPr>
            <b/>
            <sz val="9"/>
            <color indexed="81"/>
            <rFont val="Tahoma"/>
            <family val="2"/>
          </rPr>
          <t>LPA:</t>
        </r>
        <r>
          <rPr>
            <sz val="9"/>
            <color indexed="81"/>
            <rFont val="Tahoma"/>
            <family val="2"/>
          </rPr>
          <t xml:space="preserve">
проверити збир!
</t>
        </r>
      </text>
    </comment>
    <comment ref="I2191" authorId="0" shapeId="0">
      <text>
        <r>
          <rPr>
            <b/>
            <sz val="9"/>
            <color indexed="81"/>
            <rFont val="Tahoma"/>
            <family val="2"/>
          </rPr>
          <t>LPA:</t>
        </r>
        <r>
          <rPr>
            <sz val="9"/>
            <color indexed="81"/>
            <rFont val="Tahoma"/>
            <family val="2"/>
          </rPr>
          <t xml:space="preserve">
проверити збир!
</t>
        </r>
      </text>
    </comment>
    <comment ref="I2192" authorId="0" shapeId="0">
      <text>
        <r>
          <rPr>
            <b/>
            <sz val="9"/>
            <color indexed="81"/>
            <rFont val="Tahoma"/>
            <family val="2"/>
          </rPr>
          <t>LPA:</t>
        </r>
        <r>
          <rPr>
            <sz val="9"/>
            <color indexed="81"/>
            <rFont val="Tahoma"/>
            <family val="2"/>
          </rPr>
          <t xml:space="preserve">
проверити збир!
</t>
        </r>
      </text>
    </comment>
    <comment ref="I2193" authorId="0" shapeId="0">
      <text>
        <r>
          <rPr>
            <b/>
            <sz val="9"/>
            <color indexed="81"/>
            <rFont val="Tahoma"/>
            <family val="2"/>
          </rPr>
          <t>LPA:</t>
        </r>
        <r>
          <rPr>
            <sz val="9"/>
            <color indexed="81"/>
            <rFont val="Tahoma"/>
            <family val="2"/>
          </rPr>
          <t xml:space="preserve">
проверити збир!
</t>
        </r>
      </text>
    </comment>
    <comment ref="I2194" authorId="0" shapeId="0">
      <text>
        <r>
          <rPr>
            <b/>
            <sz val="9"/>
            <color indexed="81"/>
            <rFont val="Tahoma"/>
            <family val="2"/>
          </rPr>
          <t>LPA:</t>
        </r>
        <r>
          <rPr>
            <sz val="9"/>
            <color indexed="81"/>
            <rFont val="Tahoma"/>
            <family val="2"/>
          </rPr>
          <t xml:space="preserve">
проверити збир!
</t>
        </r>
      </text>
    </comment>
    <comment ref="I2209" authorId="0" shapeId="0">
      <text>
        <r>
          <rPr>
            <b/>
            <sz val="9"/>
            <color indexed="81"/>
            <rFont val="Tahoma"/>
            <family val="2"/>
          </rPr>
          <t>LPA:</t>
        </r>
        <r>
          <rPr>
            <sz val="9"/>
            <color indexed="81"/>
            <rFont val="Tahoma"/>
            <family val="2"/>
          </rPr>
          <t xml:space="preserve">
проверити збир!
</t>
        </r>
      </text>
    </comment>
    <comment ref="I2210" authorId="0" shapeId="0">
      <text>
        <r>
          <rPr>
            <b/>
            <sz val="9"/>
            <color indexed="81"/>
            <rFont val="Tahoma"/>
            <family val="2"/>
          </rPr>
          <t>LPA:</t>
        </r>
        <r>
          <rPr>
            <sz val="9"/>
            <color indexed="81"/>
            <rFont val="Tahoma"/>
            <family val="2"/>
          </rPr>
          <t xml:space="preserve">
проверити збир!
</t>
        </r>
      </text>
    </comment>
    <comment ref="I2211" authorId="0" shapeId="0">
      <text>
        <r>
          <rPr>
            <b/>
            <sz val="9"/>
            <color indexed="81"/>
            <rFont val="Tahoma"/>
            <family val="2"/>
          </rPr>
          <t>LPA:</t>
        </r>
        <r>
          <rPr>
            <sz val="9"/>
            <color indexed="81"/>
            <rFont val="Tahoma"/>
            <family val="2"/>
          </rPr>
          <t xml:space="preserve">
проверити збир!
</t>
        </r>
      </text>
    </comment>
    <comment ref="I2212" authorId="0" shapeId="0">
      <text>
        <r>
          <rPr>
            <b/>
            <sz val="9"/>
            <color indexed="81"/>
            <rFont val="Tahoma"/>
            <family val="2"/>
          </rPr>
          <t>LPA:</t>
        </r>
        <r>
          <rPr>
            <sz val="9"/>
            <color indexed="81"/>
            <rFont val="Tahoma"/>
            <family val="2"/>
          </rPr>
          <t xml:space="preserve">
проверити збир!
</t>
        </r>
      </text>
    </comment>
    <comment ref="I2213" authorId="0" shapeId="0">
      <text>
        <r>
          <rPr>
            <b/>
            <sz val="9"/>
            <color indexed="81"/>
            <rFont val="Tahoma"/>
            <family val="2"/>
          </rPr>
          <t>LPA:</t>
        </r>
        <r>
          <rPr>
            <sz val="9"/>
            <color indexed="81"/>
            <rFont val="Tahoma"/>
            <family val="2"/>
          </rPr>
          <t xml:space="preserve">
проверити збир!
</t>
        </r>
      </text>
    </comment>
    <comment ref="I2214" authorId="0" shapeId="0">
      <text>
        <r>
          <rPr>
            <b/>
            <sz val="9"/>
            <color indexed="81"/>
            <rFont val="Tahoma"/>
            <family val="2"/>
          </rPr>
          <t>LPA:</t>
        </r>
        <r>
          <rPr>
            <sz val="9"/>
            <color indexed="81"/>
            <rFont val="Tahoma"/>
            <family val="2"/>
          </rPr>
          <t xml:space="preserve">
проверити збир!
</t>
        </r>
      </text>
    </comment>
    <comment ref="I2215" authorId="0" shapeId="0">
      <text>
        <r>
          <rPr>
            <b/>
            <sz val="9"/>
            <color indexed="81"/>
            <rFont val="Tahoma"/>
            <family val="2"/>
          </rPr>
          <t>LPA:</t>
        </r>
        <r>
          <rPr>
            <sz val="9"/>
            <color indexed="81"/>
            <rFont val="Tahoma"/>
            <family val="2"/>
          </rPr>
          <t xml:space="preserve">
проверити збир!
</t>
        </r>
      </text>
    </comment>
    <comment ref="I2216" authorId="0" shapeId="0">
      <text>
        <r>
          <rPr>
            <b/>
            <sz val="9"/>
            <color indexed="81"/>
            <rFont val="Tahoma"/>
            <family val="2"/>
          </rPr>
          <t>LPA:</t>
        </r>
        <r>
          <rPr>
            <sz val="9"/>
            <color indexed="81"/>
            <rFont val="Tahoma"/>
            <family val="2"/>
          </rPr>
          <t xml:space="preserve">
проверити збир!
</t>
        </r>
      </text>
    </comment>
    <comment ref="I2217" authorId="0" shapeId="0">
      <text>
        <r>
          <rPr>
            <b/>
            <sz val="9"/>
            <color indexed="81"/>
            <rFont val="Tahoma"/>
            <family val="2"/>
          </rPr>
          <t>LPA:</t>
        </r>
        <r>
          <rPr>
            <sz val="9"/>
            <color indexed="81"/>
            <rFont val="Tahoma"/>
            <family val="2"/>
          </rPr>
          <t xml:space="preserve">
проверити збир!
</t>
        </r>
      </text>
    </comment>
    <comment ref="I2218" authorId="0" shapeId="0">
      <text>
        <r>
          <rPr>
            <b/>
            <sz val="9"/>
            <color indexed="81"/>
            <rFont val="Tahoma"/>
            <family val="2"/>
          </rPr>
          <t>LPA:</t>
        </r>
        <r>
          <rPr>
            <sz val="9"/>
            <color indexed="81"/>
            <rFont val="Tahoma"/>
            <family val="2"/>
          </rPr>
          <t xml:space="preserve">
проверити збир!
</t>
        </r>
      </text>
    </comment>
    <comment ref="I2219" authorId="0" shapeId="0">
      <text>
        <r>
          <rPr>
            <b/>
            <sz val="9"/>
            <color indexed="81"/>
            <rFont val="Tahoma"/>
            <family val="2"/>
          </rPr>
          <t>LPA:</t>
        </r>
        <r>
          <rPr>
            <sz val="9"/>
            <color indexed="81"/>
            <rFont val="Tahoma"/>
            <family val="2"/>
          </rPr>
          <t xml:space="preserve">
проверити збир!
</t>
        </r>
      </text>
    </comment>
    <comment ref="I2220" authorId="0" shapeId="0">
      <text>
        <r>
          <rPr>
            <b/>
            <sz val="9"/>
            <color indexed="81"/>
            <rFont val="Tahoma"/>
            <family val="2"/>
          </rPr>
          <t>LPA:</t>
        </r>
        <r>
          <rPr>
            <sz val="9"/>
            <color indexed="81"/>
            <rFont val="Tahoma"/>
            <family val="2"/>
          </rPr>
          <t xml:space="preserve">
проверити збир!
</t>
        </r>
      </text>
    </comment>
    <comment ref="I2221" authorId="0" shapeId="0">
      <text>
        <r>
          <rPr>
            <b/>
            <sz val="9"/>
            <color indexed="81"/>
            <rFont val="Tahoma"/>
            <family val="2"/>
          </rPr>
          <t>LPA:</t>
        </r>
        <r>
          <rPr>
            <sz val="9"/>
            <color indexed="81"/>
            <rFont val="Tahoma"/>
            <family val="2"/>
          </rPr>
          <t xml:space="preserve">
проверити збир!
</t>
        </r>
      </text>
    </comment>
    <comment ref="H2224" authorId="0" shapeId="0">
      <text>
        <r>
          <rPr>
            <b/>
            <sz val="9"/>
            <color indexed="81"/>
            <rFont val="Tahoma"/>
            <family val="2"/>
          </rPr>
          <t>LPA:</t>
        </r>
        <r>
          <rPr>
            <sz val="9"/>
            <color indexed="81"/>
            <rFont val="Tahoma"/>
            <family val="2"/>
          </rPr>
          <t xml:space="preserve">
проверити збир!</t>
        </r>
      </text>
    </comment>
    <comment ref="I2224" authorId="0" shapeId="0">
      <text>
        <r>
          <rPr>
            <b/>
            <sz val="9"/>
            <color indexed="81"/>
            <rFont val="Tahoma"/>
            <family val="2"/>
          </rPr>
          <t>LPA:</t>
        </r>
        <r>
          <rPr>
            <sz val="9"/>
            <color indexed="81"/>
            <rFont val="Tahoma"/>
            <family val="2"/>
          </rPr>
          <t xml:space="preserve">
проверити збир!</t>
        </r>
      </text>
    </comment>
    <comment ref="I2225" authorId="0" shapeId="0">
      <text>
        <r>
          <rPr>
            <b/>
            <sz val="9"/>
            <color indexed="81"/>
            <rFont val="Tahoma"/>
            <family val="2"/>
          </rPr>
          <t>LPA:</t>
        </r>
        <r>
          <rPr>
            <sz val="9"/>
            <color indexed="81"/>
            <rFont val="Tahoma"/>
            <family val="2"/>
          </rPr>
          <t xml:space="preserve">
проверити збир!
</t>
        </r>
      </text>
    </comment>
    <comment ref="I2226" authorId="0" shapeId="0">
      <text>
        <r>
          <rPr>
            <b/>
            <sz val="9"/>
            <color indexed="81"/>
            <rFont val="Tahoma"/>
            <family val="2"/>
          </rPr>
          <t>LPA:</t>
        </r>
        <r>
          <rPr>
            <sz val="9"/>
            <color indexed="81"/>
            <rFont val="Tahoma"/>
            <family val="2"/>
          </rPr>
          <t xml:space="preserve">
проверити збир!
</t>
        </r>
      </text>
    </comment>
    <comment ref="I2227" authorId="0" shapeId="0">
      <text>
        <r>
          <rPr>
            <b/>
            <sz val="9"/>
            <color indexed="81"/>
            <rFont val="Tahoma"/>
            <family val="2"/>
          </rPr>
          <t>LPA:</t>
        </r>
        <r>
          <rPr>
            <sz val="9"/>
            <color indexed="81"/>
            <rFont val="Tahoma"/>
            <family val="2"/>
          </rPr>
          <t xml:space="preserve">
проверити збир!
</t>
        </r>
      </text>
    </comment>
    <comment ref="I2228" authorId="0" shapeId="0">
      <text>
        <r>
          <rPr>
            <b/>
            <sz val="9"/>
            <color indexed="81"/>
            <rFont val="Tahoma"/>
            <family val="2"/>
          </rPr>
          <t>LPA:</t>
        </r>
        <r>
          <rPr>
            <sz val="9"/>
            <color indexed="81"/>
            <rFont val="Tahoma"/>
            <family val="2"/>
          </rPr>
          <t xml:space="preserve">
проверити збир!
</t>
        </r>
      </text>
    </comment>
    <comment ref="I2229" authorId="0" shapeId="0">
      <text>
        <r>
          <rPr>
            <b/>
            <sz val="9"/>
            <color indexed="81"/>
            <rFont val="Tahoma"/>
            <family val="2"/>
          </rPr>
          <t>LPA:</t>
        </r>
        <r>
          <rPr>
            <sz val="9"/>
            <color indexed="81"/>
            <rFont val="Tahoma"/>
            <family val="2"/>
          </rPr>
          <t xml:space="preserve">
проверити збир!
</t>
        </r>
      </text>
    </comment>
    <comment ref="I2230" authorId="0" shapeId="0">
      <text>
        <r>
          <rPr>
            <b/>
            <sz val="9"/>
            <color indexed="81"/>
            <rFont val="Tahoma"/>
            <family val="2"/>
          </rPr>
          <t>LPA:</t>
        </r>
        <r>
          <rPr>
            <sz val="9"/>
            <color indexed="81"/>
            <rFont val="Tahoma"/>
            <family val="2"/>
          </rPr>
          <t xml:space="preserve">
проверити збир!
</t>
        </r>
      </text>
    </comment>
    <comment ref="I2231" authorId="0" shapeId="0">
      <text>
        <r>
          <rPr>
            <b/>
            <sz val="9"/>
            <color indexed="81"/>
            <rFont val="Tahoma"/>
            <family val="2"/>
          </rPr>
          <t>LPA:</t>
        </r>
        <r>
          <rPr>
            <sz val="9"/>
            <color indexed="81"/>
            <rFont val="Tahoma"/>
            <family val="2"/>
          </rPr>
          <t xml:space="preserve">
проверити збир!
</t>
        </r>
      </text>
    </comment>
    <comment ref="I2232" authorId="0" shapeId="0">
      <text>
        <r>
          <rPr>
            <b/>
            <sz val="9"/>
            <color indexed="81"/>
            <rFont val="Tahoma"/>
            <family val="2"/>
          </rPr>
          <t>LPA:</t>
        </r>
        <r>
          <rPr>
            <sz val="9"/>
            <color indexed="81"/>
            <rFont val="Tahoma"/>
            <family val="2"/>
          </rPr>
          <t xml:space="preserve">
проверити збир!
</t>
        </r>
      </text>
    </comment>
    <comment ref="I2233" authorId="0" shapeId="0">
      <text>
        <r>
          <rPr>
            <b/>
            <sz val="9"/>
            <color indexed="81"/>
            <rFont val="Tahoma"/>
            <family val="2"/>
          </rPr>
          <t>LPA:</t>
        </r>
        <r>
          <rPr>
            <sz val="9"/>
            <color indexed="81"/>
            <rFont val="Tahoma"/>
            <family val="2"/>
          </rPr>
          <t xml:space="preserve">
проверити збир!
</t>
        </r>
      </text>
    </comment>
    <comment ref="I2234" authorId="0" shapeId="0">
      <text>
        <r>
          <rPr>
            <b/>
            <sz val="9"/>
            <color indexed="81"/>
            <rFont val="Tahoma"/>
            <family val="2"/>
          </rPr>
          <t>LPA:</t>
        </r>
        <r>
          <rPr>
            <sz val="9"/>
            <color indexed="81"/>
            <rFont val="Tahoma"/>
            <family val="2"/>
          </rPr>
          <t xml:space="preserve">
проверити збир!
</t>
        </r>
      </text>
    </comment>
    <comment ref="I2235" authorId="0" shapeId="0">
      <text>
        <r>
          <rPr>
            <b/>
            <sz val="9"/>
            <color indexed="81"/>
            <rFont val="Tahoma"/>
            <family val="2"/>
          </rPr>
          <t>LPA:</t>
        </r>
        <r>
          <rPr>
            <sz val="9"/>
            <color indexed="81"/>
            <rFont val="Tahoma"/>
            <family val="2"/>
          </rPr>
          <t xml:space="preserve">
проверити збир!
</t>
        </r>
      </text>
    </comment>
    <comment ref="I2236" authorId="0" shapeId="0">
      <text>
        <r>
          <rPr>
            <b/>
            <sz val="9"/>
            <color indexed="81"/>
            <rFont val="Tahoma"/>
            <family val="2"/>
          </rPr>
          <t>LPA:</t>
        </r>
        <r>
          <rPr>
            <sz val="9"/>
            <color indexed="81"/>
            <rFont val="Tahoma"/>
            <family val="2"/>
          </rPr>
          <t xml:space="preserve">
проверити збир!
</t>
        </r>
      </text>
    </comment>
    <comment ref="I2237" authorId="0" shapeId="0">
      <text>
        <r>
          <rPr>
            <b/>
            <sz val="9"/>
            <color indexed="81"/>
            <rFont val="Tahoma"/>
            <family val="2"/>
          </rPr>
          <t>LPA:</t>
        </r>
        <r>
          <rPr>
            <sz val="9"/>
            <color indexed="81"/>
            <rFont val="Tahoma"/>
            <family val="2"/>
          </rPr>
          <t xml:space="preserve">
проверити збир!
</t>
        </r>
      </text>
    </comment>
    <comment ref="I2238" authorId="0" shapeId="0">
      <text>
        <r>
          <rPr>
            <b/>
            <sz val="9"/>
            <color indexed="81"/>
            <rFont val="Tahoma"/>
            <family val="2"/>
          </rPr>
          <t>LPA:</t>
        </r>
        <r>
          <rPr>
            <sz val="9"/>
            <color indexed="81"/>
            <rFont val="Tahoma"/>
            <family val="2"/>
          </rPr>
          <t xml:space="preserve">
проверити збир!
</t>
        </r>
      </text>
    </comment>
    <comment ref="I2239" authorId="0" shapeId="0">
      <text>
        <r>
          <rPr>
            <b/>
            <sz val="9"/>
            <color indexed="81"/>
            <rFont val="Tahoma"/>
            <family val="2"/>
          </rPr>
          <t>LPA:</t>
        </r>
        <r>
          <rPr>
            <sz val="9"/>
            <color indexed="81"/>
            <rFont val="Tahoma"/>
            <family val="2"/>
          </rPr>
          <t xml:space="preserve">
проверити збир!
</t>
        </r>
      </text>
    </comment>
    <comment ref="I2254" authorId="0" shapeId="0">
      <text>
        <r>
          <rPr>
            <b/>
            <sz val="9"/>
            <color indexed="81"/>
            <rFont val="Tahoma"/>
            <family val="2"/>
          </rPr>
          <t>LPA:</t>
        </r>
        <r>
          <rPr>
            <sz val="9"/>
            <color indexed="81"/>
            <rFont val="Tahoma"/>
            <family val="2"/>
          </rPr>
          <t xml:space="preserve">
проверити збир!
</t>
        </r>
      </text>
    </comment>
    <comment ref="I2255" authorId="0" shapeId="0">
      <text>
        <r>
          <rPr>
            <b/>
            <sz val="9"/>
            <color indexed="81"/>
            <rFont val="Tahoma"/>
            <family val="2"/>
          </rPr>
          <t>LPA:</t>
        </r>
        <r>
          <rPr>
            <sz val="9"/>
            <color indexed="81"/>
            <rFont val="Tahoma"/>
            <family val="2"/>
          </rPr>
          <t xml:space="preserve">
проверити збир!
</t>
        </r>
      </text>
    </comment>
    <comment ref="I2256" authorId="0" shapeId="0">
      <text>
        <r>
          <rPr>
            <b/>
            <sz val="9"/>
            <color indexed="81"/>
            <rFont val="Tahoma"/>
            <family val="2"/>
          </rPr>
          <t>LPA:</t>
        </r>
        <r>
          <rPr>
            <sz val="9"/>
            <color indexed="81"/>
            <rFont val="Tahoma"/>
            <family val="2"/>
          </rPr>
          <t xml:space="preserve">
проверити збир!
</t>
        </r>
      </text>
    </comment>
    <comment ref="I2257" authorId="0" shapeId="0">
      <text>
        <r>
          <rPr>
            <b/>
            <sz val="9"/>
            <color indexed="81"/>
            <rFont val="Tahoma"/>
            <family val="2"/>
          </rPr>
          <t>LPA:</t>
        </r>
        <r>
          <rPr>
            <sz val="9"/>
            <color indexed="81"/>
            <rFont val="Tahoma"/>
            <family val="2"/>
          </rPr>
          <t xml:space="preserve">
проверити збир!
</t>
        </r>
      </text>
    </comment>
    <comment ref="I2258" authorId="0" shapeId="0">
      <text>
        <r>
          <rPr>
            <b/>
            <sz val="9"/>
            <color indexed="81"/>
            <rFont val="Tahoma"/>
            <family val="2"/>
          </rPr>
          <t>LPA:</t>
        </r>
        <r>
          <rPr>
            <sz val="9"/>
            <color indexed="81"/>
            <rFont val="Tahoma"/>
            <family val="2"/>
          </rPr>
          <t xml:space="preserve">
проверити збир!
</t>
        </r>
      </text>
    </comment>
    <comment ref="I2259" authorId="0" shapeId="0">
      <text>
        <r>
          <rPr>
            <b/>
            <sz val="9"/>
            <color indexed="81"/>
            <rFont val="Tahoma"/>
            <family val="2"/>
          </rPr>
          <t>LPA:</t>
        </r>
        <r>
          <rPr>
            <sz val="9"/>
            <color indexed="81"/>
            <rFont val="Tahoma"/>
            <family val="2"/>
          </rPr>
          <t xml:space="preserve">
проверити збир!
</t>
        </r>
      </text>
    </comment>
    <comment ref="I2260" authorId="0" shapeId="0">
      <text>
        <r>
          <rPr>
            <b/>
            <sz val="9"/>
            <color indexed="81"/>
            <rFont val="Tahoma"/>
            <family val="2"/>
          </rPr>
          <t>LPA:</t>
        </r>
        <r>
          <rPr>
            <sz val="9"/>
            <color indexed="81"/>
            <rFont val="Tahoma"/>
            <family val="2"/>
          </rPr>
          <t xml:space="preserve">
проверити збир!
</t>
        </r>
      </text>
    </comment>
    <comment ref="I2261" authorId="0" shapeId="0">
      <text>
        <r>
          <rPr>
            <b/>
            <sz val="9"/>
            <color indexed="81"/>
            <rFont val="Tahoma"/>
            <family val="2"/>
          </rPr>
          <t>LPA:</t>
        </r>
        <r>
          <rPr>
            <sz val="9"/>
            <color indexed="81"/>
            <rFont val="Tahoma"/>
            <family val="2"/>
          </rPr>
          <t xml:space="preserve">
проверити збир!
</t>
        </r>
      </text>
    </comment>
    <comment ref="I2262" authorId="0" shapeId="0">
      <text>
        <r>
          <rPr>
            <b/>
            <sz val="9"/>
            <color indexed="81"/>
            <rFont val="Tahoma"/>
            <family val="2"/>
          </rPr>
          <t>LPA:</t>
        </r>
        <r>
          <rPr>
            <sz val="9"/>
            <color indexed="81"/>
            <rFont val="Tahoma"/>
            <family val="2"/>
          </rPr>
          <t xml:space="preserve">
проверити збир!
</t>
        </r>
      </text>
    </comment>
    <comment ref="I2263" authorId="0" shapeId="0">
      <text>
        <r>
          <rPr>
            <b/>
            <sz val="9"/>
            <color indexed="81"/>
            <rFont val="Tahoma"/>
            <family val="2"/>
          </rPr>
          <t>LPA:</t>
        </r>
        <r>
          <rPr>
            <sz val="9"/>
            <color indexed="81"/>
            <rFont val="Tahoma"/>
            <family val="2"/>
          </rPr>
          <t xml:space="preserve">
проверити збир!
</t>
        </r>
      </text>
    </comment>
    <comment ref="I2264" authorId="0" shapeId="0">
      <text>
        <r>
          <rPr>
            <b/>
            <sz val="9"/>
            <color indexed="81"/>
            <rFont val="Tahoma"/>
            <family val="2"/>
          </rPr>
          <t>LPA:</t>
        </r>
        <r>
          <rPr>
            <sz val="9"/>
            <color indexed="81"/>
            <rFont val="Tahoma"/>
            <family val="2"/>
          </rPr>
          <t xml:space="preserve">
проверити збир!
</t>
        </r>
      </text>
    </comment>
    <comment ref="I2265" authorId="0" shapeId="0">
      <text>
        <r>
          <rPr>
            <b/>
            <sz val="9"/>
            <color indexed="81"/>
            <rFont val="Tahoma"/>
            <family val="2"/>
          </rPr>
          <t>LPA:</t>
        </r>
        <r>
          <rPr>
            <sz val="9"/>
            <color indexed="81"/>
            <rFont val="Tahoma"/>
            <family val="2"/>
          </rPr>
          <t xml:space="preserve">
проверити збир!
</t>
        </r>
      </text>
    </comment>
    <comment ref="I2266" authorId="0" shapeId="0">
      <text>
        <r>
          <rPr>
            <b/>
            <sz val="9"/>
            <color indexed="81"/>
            <rFont val="Tahoma"/>
            <family val="2"/>
          </rPr>
          <t>LPA:</t>
        </r>
        <r>
          <rPr>
            <sz val="9"/>
            <color indexed="81"/>
            <rFont val="Tahoma"/>
            <family val="2"/>
          </rPr>
          <t xml:space="preserve">
проверити збир!
</t>
        </r>
      </text>
    </comment>
    <comment ref="H2269" authorId="0" shapeId="0">
      <text>
        <r>
          <rPr>
            <b/>
            <sz val="9"/>
            <color indexed="81"/>
            <rFont val="Tahoma"/>
            <family val="2"/>
          </rPr>
          <t>LPA:</t>
        </r>
        <r>
          <rPr>
            <sz val="9"/>
            <color indexed="81"/>
            <rFont val="Tahoma"/>
            <family val="2"/>
          </rPr>
          <t xml:space="preserve">
проверити збир!</t>
        </r>
      </text>
    </comment>
    <comment ref="I2269" authorId="0" shapeId="0">
      <text>
        <r>
          <rPr>
            <b/>
            <sz val="9"/>
            <color indexed="81"/>
            <rFont val="Tahoma"/>
            <family val="2"/>
          </rPr>
          <t>LPA:</t>
        </r>
        <r>
          <rPr>
            <sz val="9"/>
            <color indexed="81"/>
            <rFont val="Tahoma"/>
            <family val="2"/>
          </rPr>
          <t xml:space="preserve">
проверити збир!</t>
        </r>
      </text>
    </comment>
    <comment ref="I2270" authorId="0" shapeId="0">
      <text>
        <r>
          <rPr>
            <b/>
            <sz val="9"/>
            <color indexed="81"/>
            <rFont val="Tahoma"/>
            <family val="2"/>
          </rPr>
          <t>LPA:</t>
        </r>
        <r>
          <rPr>
            <sz val="9"/>
            <color indexed="81"/>
            <rFont val="Tahoma"/>
            <family val="2"/>
          </rPr>
          <t xml:space="preserve">
проверити збир!
</t>
        </r>
      </text>
    </comment>
    <comment ref="I2271" authorId="0" shapeId="0">
      <text>
        <r>
          <rPr>
            <b/>
            <sz val="9"/>
            <color indexed="81"/>
            <rFont val="Tahoma"/>
            <family val="2"/>
          </rPr>
          <t>LPA:</t>
        </r>
        <r>
          <rPr>
            <sz val="9"/>
            <color indexed="81"/>
            <rFont val="Tahoma"/>
            <family val="2"/>
          </rPr>
          <t xml:space="preserve">
проверити збир!
</t>
        </r>
      </text>
    </comment>
    <comment ref="I2272" authorId="0" shapeId="0">
      <text>
        <r>
          <rPr>
            <b/>
            <sz val="9"/>
            <color indexed="81"/>
            <rFont val="Tahoma"/>
            <family val="2"/>
          </rPr>
          <t>LPA:</t>
        </r>
        <r>
          <rPr>
            <sz val="9"/>
            <color indexed="81"/>
            <rFont val="Tahoma"/>
            <family val="2"/>
          </rPr>
          <t xml:space="preserve">
проверити збир!
</t>
        </r>
      </text>
    </comment>
    <comment ref="I2273" authorId="0" shapeId="0">
      <text>
        <r>
          <rPr>
            <b/>
            <sz val="9"/>
            <color indexed="81"/>
            <rFont val="Tahoma"/>
            <family val="2"/>
          </rPr>
          <t>LPA:</t>
        </r>
        <r>
          <rPr>
            <sz val="9"/>
            <color indexed="81"/>
            <rFont val="Tahoma"/>
            <family val="2"/>
          </rPr>
          <t xml:space="preserve">
проверити збир!
</t>
        </r>
      </text>
    </comment>
    <comment ref="I2274" authorId="0" shapeId="0">
      <text>
        <r>
          <rPr>
            <b/>
            <sz val="9"/>
            <color indexed="81"/>
            <rFont val="Tahoma"/>
            <family val="2"/>
          </rPr>
          <t>LPA:</t>
        </r>
        <r>
          <rPr>
            <sz val="9"/>
            <color indexed="81"/>
            <rFont val="Tahoma"/>
            <family val="2"/>
          </rPr>
          <t xml:space="preserve">
проверити збир!
</t>
        </r>
      </text>
    </comment>
    <comment ref="I2275" authorId="0" shapeId="0">
      <text>
        <r>
          <rPr>
            <b/>
            <sz val="9"/>
            <color indexed="81"/>
            <rFont val="Tahoma"/>
            <family val="2"/>
          </rPr>
          <t>LPA:</t>
        </r>
        <r>
          <rPr>
            <sz val="9"/>
            <color indexed="81"/>
            <rFont val="Tahoma"/>
            <family val="2"/>
          </rPr>
          <t xml:space="preserve">
проверити збир!
</t>
        </r>
      </text>
    </comment>
    <comment ref="I2276" authorId="0" shapeId="0">
      <text>
        <r>
          <rPr>
            <b/>
            <sz val="9"/>
            <color indexed="81"/>
            <rFont val="Tahoma"/>
            <family val="2"/>
          </rPr>
          <t>LPA:</t>
        </r>
        <r>
          <rPr>
            <sz val="9"/>
            <color indexed="81"/>
            <rFont val="Tahoma"/>
            <family val="2"/>
          </rPr>
          <t xml:space="preserve">
проверити збир!
</t>
        </r>
      </text>
    </comment>
    <comment ref="I2277" authorId="0" shapeId="0">
      <text>
        <r>
          <rPr>
            <b/>
            <sz val="9"/>
            <color indexed="81"/>
            <rFont val="Tahoma"/>
            <family val="2"/>
          </rPr>
          <t>LPA:</t>
        </r>
        <r>
          <rPr>
            <sz val="9"/>
            <color indexed="81"/>
            <rFont val="Tahoma"/>
            <family val="2"/>
          </rPr>
          <t xml:space="preserve">
проверити збир!
</t>
        </r>
      </text>
    </comment>
    <comment ref="I2278" authorId="0" shapeId="0">
      <text>
        <r>
          <rPr>
            <b/>
            <sz val="9"/>
            <color indexed="81"/>
            <rFont val="Tahoma"/>
            <family val="2"/>
          </rPr>
          <t>LPA:</t>
        </r>
        <r>
          <rPr>
            <sz val="9"/>
            <color indexed="81"/>
            <rFont val="Tahoma"/>
            <family val="2"/>
          </rPr>
          <t xml:space="preserve">
проверити збир!
</t>
        </r>
      </text>
    </comment>
    <comment ref="I2279" authorId="0" shapeId="0">
      <text>
        <r>
          <rPr>
            <b/>
            <sz val="9"/>
            <color indexed="81"/>
            <rFont val="Tahoma"/>
            <family val="2"/>
          </rPr>
          <t>LPA:</t>
        </r>
        <r>
          <rPr>
            <sz val="9"/>
            <color indexed="81"/>
            <rFont val="Tahoma"/>
            <family val="2"/>
          </rPr>
          <t xml:space="preserve">
проверити збир!
</t>
        </r>
      </text>
    </comment>
    <comment ref="I2280" authorId="0" shapeId="0">
      <text>
        <r>
          <rPr>
            <b/>
            <sz val="9"/>
            <color indexed="81"/>
            <rFont val="Tahoma"/>
            <family val="2"/>
          </rPr>
          <t>LPA:</t>
        </r>
        <r>
          <rPr>
            <sz val="9"/>
            <color indexed="81"/>
            <rFont val="Tahoma"/>
            <family val="2"/>
          </rPr>
          <t xml:space="preserve">
проверити збир!
</t>
        </r>
      </text>
    </comment>
    <comment ref="I2281" authorId="0" shapeId="0">
      <text>
        <r>
          <rPr>
            <b/>
            <sz val="9"/>
            <color indexed="81"/>
            <rFont val="Tahoma"/>
            <family val="2"/>
          </rPr>
          <t>LPA:</t>
        </r>
        <r>
          <rPr>
            <sz val="9"/>
            <color indexed="81"/>
            <rFont val="Tahoma"/>
            <family val="2"/>
          </rPr>
          <t xml:space="preserve">
проверити збир!
</t>
        </r>
      </text>
    </comment>
    <comment ref="I2282" authorId="0" shapeId="0">
      <text>
        <r>
          <rPr>
            <b/>
            <sz val="9"/>
            <color indexed="81"/>
            <rFont val="Tahoma"/>
            <family val="2"/>
          </rPr>
          <t>LPA:</t>
        </r>
        <r>
          <rPr>
            <sz val="9"/>
            <color indexed="81"/>
            <rFont val="Tahoma"/>
            <family val="2"/>
          </rPr>
          <t xml:space="preserve">
проверити збир!
</t>
        </r>
      </text>
    </comment>
    <comment ref="I2283" authorId="0" shapeId="0">
      <text>
        <r>
          <rPr>
            <b/>
            <sz val="9"/>
            <color indexed="81"/>
            <rFont val="Tahoma"/>
            <family val="2"/>
          </rPr>
          <t>LPA:</t>
        </r>
        <r>
          <rPr>
            <sz val="9"/>
            <color indexed="81"/>
            <rFont val="Tahoma"/>
            <family val="2"/>
          </rPr>
          <t xml:space="preserve">
проверити збир!
</t>
        </r>
      </text>
    </comment>
    <comment ref="I2284" authorId="0" shapeId="0">
      <text>
        <r>
          <rPr>
            <b/>
            <sz val="9"/>
            <color indexed="81"/>
            <rFont val="Tahoma"/>
            <family val="2"/>
          </rPr>
          <t>LPA:</t>
        </r>
        <r>
          <rPr>
            <sz val="9"/>
            <color indexed="81"/>
            <rFont val="Tahoma"/>
            <family val="2"/>
          </rPr>
          <t xml:space="preserve">
проверити збир!
</t>
        </r>
      </text>
    </comment>
    <comment ref="I2295" authorId="0" shapeId="0">
      <text>
        <r>
          <rPr>
            <b/>
            <sz val="9"/>
            <color indexed="81"/>
            <rFont val="Tahoma"/>
            <family val="2"/>
          </rPr>
          <t>LPA:</t>
        </r>
        <r>
          <rPr>
            <sz val="9"/>
            <color indexed="81"/>
            <rFont val="Tahoma"/>
            <family val="2"/>
          </rPr>
          <t xml:space="preserve">
проверити збир!
</t>
        </r>
      </text>
    </comment>
    <comment ref="I2296" authorId="0" shapeId="0">
      <text>
        <r>
          <rPr>
            <b/>
            <sz val="9"/>
            <color indexed="81"/>
            <rFont val="Tahoma"/>
            <family val="2"/>
          </rPr>
          <t>LPA:</t>
        </r>
        <r>
          <rPr>
            <sz val="9"/>
            <color indexed="81"/>
            <rFont val="Tahoma"/>
            <family val="2"/>
          </rPr>
          <t xml:space="preserve">
проверити збир!
</t>
        </r>
      </text>
    </comment>
    <comment ref="I2297" authorId="0" shapeId="0">
      <text>
        <r>
          <rPr>
            <b/>
            <sz val="9"/>
            <color indexed="81"/>
            <rFont val="Tahoma"/>
            <family val="2"/>
          </rPr>
          <t>LPA:</t>
        </r>
        <r>
          <rPr>
            <sz val="9"/>
            <color indexed="81"/>
            <rFont val="Tahoma"/>
            <family val="2"/>
          </rPr>
          <t xml:space="preserve">
проверити збир!
</t>
        </r>
      </text>
    </comment>
    <comment ref="I2298" authorId="0" shapeId="0">
      <text>
        <r>
          <rPr>
            <b/>
            <sz val="9"/>
            <color indexed="81"/>
            <rFont val="Tahoma"/>
            <family val="2"/>
          </rPr>
          <t>LPA:</t>
        </r>
        <r>
          <rPr>
            <sz val="9"/>
            <color indexed="81"/>
            <rFont val="Tahoma"/>
            <family val="2"/>
          </rPr>
          <t xml:space="preserve">
проверити збир!
</t>
        </r>
      </text>
    </comment>
    <comment ref="I2299" authorId="0" shapeId="0">
      <text>
        <r>
          <rPr>
            <b/>
            <sz val="9"/>
            <color indexed="81"/>
            <rFont val="Tahoma"/>
            <family val="2"/>
          </rPr>
          <t>LPA:</t>
        </r>
        <r>
          <rPr>
            <sz val="9"/>
            <color indexed="81"/>
            <rFont val="Tahoma"/>
            <family val="2"/>
          </rPr>
          <t xml:space="preserve">
проверити збир!
</t>
        </r>
      </text>
    </comment>
    <comment ref="I2300" authorId="0" shapeId="0">
      <text>
        <r>
          <rPr>
            <b/>
            <sz val="9"/>
            <color indexed="81"/>
            <rFont val="Tahoma"/>
            <family val="2"/>
          </rPr>
          <t>LPA:</t>
        </r>
        <r>
          <rPr>
            <sz val="9"/>
            <color indexed="81"/>
            <rFont val="Tahoma"/>
            <family val="2"/>
          </rPr>
          <t xml:space="preserve">
проверити збир!
</t>
        </r>
      </text>
    </comment>
    <comment ref="I2301" authorId="0" shapeId="0">
      <text>
        <r>
          <rPr>
            <b/>
            <sz val="9"/>
            <color indexed="81"/>
            <rFont val="Tahoma"/>
            <family val="2"/>
          </rPr>
          <t>LPA:</t>
        </r>
        <r>
          <rPr>
            <sz val="9"/>
            <color indexed="81"/>
            <rFont val="Tahoma"/>
            <family val="2"/>
          </rPr>
          <t xml:space="preserve">
проверити збир!
</t>
        </r>
      </text>
    </comment>
    <comment ref="I2302" authorId="0" shapeId="0">
      <text>
        <r>
          <rPr>
            <b/>
            <sz val="9"/>
            <color indexed="81"/>
            <rFont val="Tahoma"/>
            <family val="2"/>
          </rPr>
          <t>LPA:</t>
        </r>
        <r>
          <rPr>
            <sz val="9"/>
            <color indexed="81"/>
            <rFont val="Tahoma"/>
            <family val="2"/>
          </rPr>
          <t xml:space="preserve">
проверити збир!
</t>
        </r>
      </text>
    </comment>
    <comment ref="I2303" authorId="0" shapeId="0">
      <text>
        <r>
          <rPr>
            <b/>
            <sz val="9"/>
            <color indexed="81"/>
            <rFont val="Tahoma"/>
            <family val="2"/>
          </rPr>
          <t>LPA:</t>
        </r>
        <r>
          <rPr>
            <sz val="9"/>
            <color indexed="81"/>
            <rFont val="Tahoma"/>
            <family val="2"/>
          </rPr>
          <t xml:space="preserve">
проверити збир!
</t>
        </r>
      </text>
    </comment>
    <comment ref="I2304" authorId="0" shapeId="0">
      <text>
        <r>
          <rPr>
            <b/>
            <sz val="9"/>
            <color indexed="81"/>
            <rFont val="Tahoma"/>
            <family val="2"/>
          </rPr>
          <t>LPA:</t>
        </r>
        <r>
          <rPr>
            <sz val="9"/>
            <color indexed="81"/>
            <rFont val="Tahoma"/>
            <family val="2"/>
          </rPr>
          <t xml:space="preserve">
проверити збир!
</t>
        </r>
      </text>
    </comment>
    <comment ref="I2305" authorId="0" shapeId="0">
      <text>
        <r>
          <rPr>
            <b/>
            <sz val="9"/>
            <color indexed="81"/>
            <rFont val="Tahoma"/>
            <family val="2"/>
          </rPr>
          <t>LPA:</t>
        </r>
        <r>
          <rPr>
            <sz val="9"/>
            <color indexed="81"/>
            <rFont val="Tahoma"/>
            <family val="2"/>
          </rPr>
          <t xml:space="preserve">
проверити збир!
</t>
        </r>
      </text>
    </comment>
    <comment ref="I2306" authorId="0" shapeId="0">
      <text>
        <r>
          <rPr>
            <b/>
            <sz val="9"/>
            <color indexed="81"/>
            <rFont val="Tahoma"/>
            <family val="2"/>
          </rPr>
          <t>LPA:</t>
        </r>
        <r>
          <rPr>
            <sz val="9"/>
            <color indexed="81"/>
            <rFont val="Tahoma"/>
            <family val="2"/>
          </rPr>
          <t xml:space="preserve">
проверити збир!
</t>
        </r>
      </text>
    </comment>
    <comment ref="I2307" authorId="0" shapeId="0">
      <text>
        <r>
          <rPr>
            <b/>
            <sz val="9"/>
            <color indexed="81"/>
            <rFont val="Tahoma"/>
            <family val="2"/>
          </rPr>
          <t>LPA:</t>
        </r>
        <r>
          <rPr>
            <sz val="9"/>
            <color indexed="81"/>
            <rFont val="Tahoma"/>
            <family val="2"/>
          </rPr>
          <t xml:space="preserve">
проверити збир!
</t>
        </r>
      </text>
    </comment>
    <comment ref="H2310" authorId="0" shapeId="0">
      <text>
        <r>
          <rPr>
            <b/>
            <sz val="9"/>
            <color indexed="81"/>
            <rFont val="Tahoma"/>
            <family val="2"/>
          </rPr>
          <t>LPA:</t>
        </r>
        <r>
          <rPr>
            <sz val="9"/>
            <color indexed="81"/>
            <rFont val="Tahoma"/>
            <family val="2"/>
          </rPr>
          <t xml:space="preserve">
проверити збир!</t>
        </r>
      </text>
    </comment>
    <comment ref="I2310" authorId="0" shapeId="0">
      <text>
        <r>
          <rPr>
            <b/>
            <sz val="9"/>
            <color indexed="81"/>
            <rFont val="Tahoma"/>
            <family val="2"/>
          </rPr>
          <t>LPA:</t>
        </r>
        <r>
          <rPr>
            <sz val="9"/>
            <color indexed="81"/>
            <rFont val="Tahoma"/>
            <family val="2"/>
          </rPr>
          <t xml:space="preserve">
проверити збир!</t>
        </r>
      </text>
    </comment>
    <comment ref="I2311" authorId="0" shapeId="0">
      <text>
        <r>
          <rPr>
            <b/>
            <sz val="9"/>
            <color indexed="81"/>
            <rFont val="Tahoma"/>
            <family val="2"/>
          </rPr>
          <t>LPA:</t>
        </r>
        <r>
          <rPr>
            <sz val="9"/>
            <color indexed="81"/>
            <rFont val="Tahoma"/>
            <family val="2"/>
          </rPr>
          <t xml:space="preserve">
проверити збир!
</t>
        </r>
      </text>
    </comment>
    <comment ref="I2312" authorId="0" shapeId="0">
      <text>
        <r>
          <rPr>
            <b/>
            <sz val="9"/>
            <color indexed="81"/>
            <rFont val="Tahoma"/>
            <family val="2"/>
          </rPr>
          <t>LPA:</t>
        </r>
        <r>
          <rPr>
            <sz val="9"/>
            <color indexed="81"/>
            <rFont val="Tahoma"/>
            <family val="2"/>
          </rPr>
          <t xml:space="preserve">
проверити збир!
</t>
        </r>
      </text>
    </comment>
    <comment ref="I2313" authorId="0" shapeId="0">
      <text>
        <r>
          <rPr>
            <b/>
            <sz val="9"/>
            <color indexed="81"/>
            <rFont val="Tahoma"/>
            <family val="2"/>
          </rPr>
          <t>LPA:</t>
        </r>
        <r>
          <rPr>
            <sz val="9"/>
            <color indexed="81"/>
            <rFont val="Tahoma"/>
            <family val="2"/>
          </rPr>
          <t xml:space="preserve">
проверити збир!
</t>
        </r>
      </text>
    </comment>
    <comment ref="I2314" authorId="0" shapeId="0">
      <text>
        <r>
          <rPr>
            <b/>
            <sz val="9"/>
            <color indexed="81"/>
            <rFont val="Tahoma"/>
            <family val="2"/>
          </rPr>
          <t>LPA:</t>
        </r>
        <r>
          <rPr>
            <sz val="9"/>
            <color indexed="81"/>
            <rFont val="Tahoma"/>
            <family val="2"/>
          </rPr>
          <t xml:space="preserve">
проверити збир!
</t>
        </r>
      </text>
    </comment>
    <comment ref="I2315" authorId="0" shapeId="0">
      <text>
        <r>
          <rPr>
            <b/>
            <sz val="9"/>
            <color indexed="81"/>
            <rFont val="Tahoma"/>
            <family val="2"/>
          </rPr>
          <t>LPA:</t>
        </r>
        <r>
          <rPr>
            <sz val="9"/>
            <color indexed="81"/>
            <rFont val="Tahoma"/>
            <family val="2"/>
          </rPr>
          <t xml:space="preserve">
проверити збир!
</t>
        </r>
      </text>
    </comment>
    <comment ref="I2316" authorId="0" shapeId="0">
      <text>
        <r>
          <rPr>
            <b/>
            <sz val="9"/>
            <color indexed="81"/>
            <rFont val="Tahoma"/>
            <family val="2"/>
          </rPr>
          <t>LPA:</t>
        </r>
        <r>
          <rPr>
            <sz val="9"/>
            <color indexed="81"/>
            <rFont val="Tahoma"/>
            <family val="2"/>
          </rPr>
          <t xml:space="preserve">
проверити збир!
</t>
        </r>
      </text>
    </comment>
    <comment ref="I2317" authorId="0" shapeId="0">
      <text>
        <r>
          <rPr>
            <b/>
            <sz val="9"/>
            <color indexed="81"/>
            <rFont val="Tahoma"/>
            <family val="2"/>
          </rPr>
          <t>LPA:</t>
        </r>
        <r>
          <rPr>
            <sz val="9"/>
            <color indexed="81"/>
            <rFont val="Tahoma"/>
            <family val="2"/>
          </rPr>
          <t xml:space="preserve">
проверити збир!
</t>
        </r>
      </text>
    </comment>
    <comment ref="I2318" authorId="0" shapeId="0">
      <text>
        <r>
          <rPr>
            <b/>
            <sz val="9"/>
            <color indexed="81"/>
            <rFont val="Tahoma"/>
            <family val="2"/>
          </rPr>
          <t>LPA:</t>
        </r>
        <r>
          <rPr>
            <sz val="9"/>
            <color indexed="81"/>
            <rFont val="Tahoma"/>
            <family val="2"/>
          </rPr>
          <t xml:space="preserve">
проверити збир!
</t>
        </r>
      </text>
    </comment>
    <comment ref="I2319" authorId="0" shapeId="0">
      <text>
        <r>
          <rPr>
            <b/>
            <sz val="9"/>
            <color indexed="81"/>
            <rFont val="Tahoma"/>
            <family val="2"/>
          </rPr>
          <t>LPA:</t>
        </r>
        <r>
          <rPr>
            <sz val="9"/>
            <color indexed="81"/>
            <rFont val="Tahoma"/>
            <family val="2"/>
          </rPr>
          <t xml:space="preserve">
проверити збир!
</t>
        </r>
      </text>
    </comment>
    <comment ref="I2320" authorId="0" shapeId="0">
      <text>
        <r>
          <rPr>
            <b/>
            <sz val="9"/>
            <color indexed="81"/>
            <rFont val="Tahoma"/>
            <family val="2"/>
          </rPr>
          <t>LPA:</t>
        </r>
        <r>
          <rPr>
            <sz val="9"/>
            <color indexed="81"/>
            <rFont val="Tahoma"/>
            <family val="2"/>
          </rPr>
          <t xml:space="preserve">
проверити збир!
</t>
        </r>
      </text>
    </comment>
    <comment ref="I2321" authorId="0" shapeId="0">
      <text>
        <r>
          <rPr>
            <b/>
            <sz val="9"/>
            <color indexed="81"/>
            <rFont val="Tahoma"/>
            <family val="2"/>
          </rPr>
          <t>LPA:</t>
        </r>
        <r>
          <rPr>
            <sz val="9"/>
            <color indexed="81"/>
            <rFont val="Tahoma"/>
            <family val="2"/>
          </rPr>
          <t xml:space="preserve">
проверити збир!
</t>
        </r>
      </text>
    </comment>
    <comment ref="I2322" authorId="0" shapeId="0">
      <text>
        <r>
          <rPr>
            <b/>
            <sz val="9"/>
            <color indexed="81"/>
            <rFont val="Tahoma"/>
            <family val="2"/>
          </rPr>
          <t>LPA:</t>
        </r>
        <r>
          <rPr>
            <sz val="9"/>
            <color indexed="81"/>
            <rFont val="Tahoma"/>
            <family val="2"/>
          </rPr>
          <t xml:space="preserve">
проверити збир!
</t>
        </r>
      </text>
    </comment>
    <comment ref="I2323" authorId="0" shapeId="0">
      <text>
        <r>
          <rPr>
            <b/>
            <sz val="9"/>
            <color indexed="81"/>
            <rFont val="Tahoma"/>
            <family val="2"/>
          </rPr>
          <t>LPA:</t>
        </r>
        <r>
          <rPr>
            <sz val="9"/>
            <color indexed="81"/>
            <rFont val="Tahoma"/>
            <family val="2"/>
          </rPr>
          <t xml:space="preserve">
проверити збир!
</t>
        </r>
      </text>
    </comment>
    <comment ref="I2324" authorId="0" shapeId="0">
      <text>
        <r>
          <rPr>
            <b/>
            <sz val="9"/>
            <color indexed="81"/>
            <rFont val="Tahoma"/>
            <family val="2"/>
          </rPr>
          <t>LPA:</t>
        </r>
        <r>
          <rPr>
            <sz val="9"/>
            <color indexed="81"/>
            <rFont val="Tahoma"/>
            <family val="2"/>
          </rPr>
          <t xml:space="preserve">
проверити збир!
</t>
        </r>
      </text>
    </comment>
    <comment ref="I2325" authorId="0" shapeId="0">
      <text>
        <r>
          <rPr>
            <b/>
            <sz val="9"/>
            <color indexed="81"/>
            <rFont val="Tahoma"/>
            <family val="2"/>
          </rPr>
          <t>LPA:</t>
        </r>
        <r>
          <rPr>
            <sz val="9"/>
            <color indexed="81"/>
            <rFont val="Tahoma"/>
            <family val="2"/>
          </rPr>
          <t xml:space="preserve">
проверити збир!
</t>
        </r>
      </text>
    </comment>
    <comment ref="H2329" authorId="0" shapeId="0">
      <text>
        <r>
          <rPr>
            <b/>
            <sz val="9"/>
            <color indexed="81"/>
            <rFont val="Tahoma"/>
            <family val="2"/>
          </rPr>
          <t>LPA:</t>
        </r>
        <r>
          <rPr>
            <sz val="9"/>
            <color indexed="81"/>
            <rFont val="Tahoma"/>
            <family val="2"/>
          </rPr>
          <t xml:space="preserve">
проверити збир!</t>
        </r>
      </text>
    </comment>
    <comment ref="I2329" authorId="0" shapeId="0">
      <text>
        <r>
          <rPr>
            <b/>
            <sz val="9"/>
            <color indexed="81"/>
            <rFont val="Tahoma"/>
            <family val="2"/>
          </rPr>
          <t>LPA:</t>
        </r>
        <r>
          <rPr>
            <sz val="9"/>
            <color indexed="81"/>
            <rFont val="Tahoma"/>
            <family val="2"/>
          </rPr>
          <t xml:space="preserve">
проверити збир!
</t>
        </r>
      </text>
    </comment>
    <comment ref="I2330" authorId="0" shapeId="0">
      <text>
        <r>
          <rPr>
            <b/>
            <sz val="9"/>
            <color indexed="81"/>
            <rFont val="Tahoma"/>
            <family val="2"/>
          </rPr>
          <t>LPA:</t>
        </r>
        <r>
          <rPr>
            <sz val="9"/>
            <color indexed="81"/>
            <rFont val="Tahoma"/>
            <family val="2"/>
          </rPr>
          <t xml:space="preserve">
проверити збир!
</t>
        </r>
      </text>
    </comment>
    <comment ref="I2331" authorId="0" shapeId="0">
      <text>
        <r>
          <rPr>
            <b/>
            <sz val="9"/>
            <color indexed="81"/>
            <rFont val="Tahoma"/>
            <family val="2"/>
          </rPr>
          <t>LPA:</t>
        </r>
        <r>
          <rPr>
            <sz val="9"/>
            <color indexed="81"/>
            <rFont val="Tahoma"/>
            <family val="2"/>
          </rPr>
          <t xml:space="preserve">
проверити збир!
</t>
        </r>
      </text>
    </comment>
    <comment ref="I2332" authorId="0" shapeId="0">
      <text>
        <r>
          <rPr>
            <b/>
            <sz val="9"/>
            <color indexed="81"/>
            <rFont val="Tahoma"/>
            <family val="2"/>
          </rPr>
          <t>LPA:</t>
        </r>
        <r>
          <rPr>
            <sz val="9"/>
            <color indexed="81"/>
            <rFont val="Tahoma"/>
            <family val="2"/>
          </rPr>
          <t xml:space="preserve">
проверити збир!
</t>
        </r>
      </text>
    </comment>
    <comment ref="I2333" authorId="0" shapeId="0">
      <text>
        <r>
          <rPr>
            <b/>
            <sz val="9"/>
            <color indexed="81"/>
            <rFont val="Tahoma"/>
            <family val="2"/>
          </rPr>
          <t>LPA:</t>
        </r>
        <r>
          <rPr>
            <sz val="9"/>
            <color indexed="81"/>
            <rFont val="Tahoma"/>
            <family val="2"/>
          </rPr>
          <t xml:space="preserve">
проверити збир!
</t>
        </r>
      </text>
    </comment>
    <comment ref="I2334" authorId="0" shapeId="0">
      <text>
        <r>
          <rPr>
            <b/>
            <sz val="9"/>
            <color indexed="81"/>
            <rFont val="Tahoma"/>
            <family val="2"/>
          </rPr>
          <t>LPA:</t>
        </r>
        <r>
          <rPr>
            <sz val="9"/>
            <color indexed="81"/>
            <rFont val="Tahoma"/>
            <family val="2"/>
          </rPr>
          <t xml:space="preserve">
проверити збир!
</t>
        </r>
      </text>
    </comment>
    <comment ref="I2335" authorId="0" shapeId="0">
      <text>
        <r>
          <rPr>
            <b/>
            <sz val="9"/>
            <color indexed="81"/>
            <rFont val="Tahoma"/>
            <family val="2"/>
          </rPr>
          <t>LPA:</t>
        </r>
        <r>
          <rPr>
            <sz val="9"/>
            <color indexed="81"/>
            <rFont val="Tahoma"/>
            <family val="2"/>
          </rPr>
          <t xml:space="preserve">
проверити збир!
</t>
        </r>
      </text>
    </comment>
    <comment ref="I2336" authorId="0" shapeId="0">
      <text>
        <r>
          <rPr>
            <b/>
            <sz val="9"/>
            <color indexed="81"/>
            <rFont val="Tahoma"/>
            <family val="2"/>
          </rPr>
          <t>LPA:</t>
        </r>
        <r>
          <rPr>
            <sz val="9"/>
            <color indexed="81"/>
            <rFont val="Tahoma"/>
            <family val="2"/>
          </rPr>
          <t xml:space="preserve">
проверити збир!
</t>
        </r>
      </text>
    </comment>
    <comment ref="I2337" authorId="0" shapeId="0">
      <text>
        <r>
          <rPr>
            <b/>
            <sz val="9"/>
            <color indexed="81"/>
            <rFont val="Tahoma"/>
            <family val="2"/>
          </rPr>
          <t>LPA:</t>
        </r>
        <r>
          <rPr>
            <sz val="9"/>
            <color indexed="81"/>
            <rFont val="Tahoma"/>
            <family val="2"/>
          </rPr>
          <t xml:space="preserve">
проверити збир!
</t>
        </r>
      </text>
    </comment>
    <comment ref="I2338" authorId="0" shapeId="0">
      <text>
        <r>
          <rPr>
            <b/>
            <sz val="9"/>
            <color indexed="81"/>
            <rFont val="Tahoma"/>
            <family val="2"/>
          </rPr>
          <t>LPA:</t>
        </r>
        <r>
          <rPr>
            <sz val="9"/>
            <color indexed="81"/>
            <rFont val="Tahoma"/>
            <family val="2"/>
          </rPr>
          <t xml:space="preserve">
проверити збир!
</t>
        </r>
      </text>
    </comment>
    <comment ref="I2339" authorId="0" shapeId="0">
      <text>
        <r>
          <rPr>
            <b/>
            <sz val="9"/>
            <color indexed="81"/>
            <rFont val="Tahoma"/>
            <family val="2"/>
          </rPr>
          <t>LPA:</t>
        </r>
        <r>
          <rPr>
            <sz val="9"/>
            <color indexed="81"/>
            <rFont val="Tahoma"/>
            <family val="2"/>
          </rPr>
          <t xml:space="preserve">
проверити збир!
</t>
        </r>
      </text>
    </comment>
    <comment ref="I2340" authorId="0" shapeId="0">
      <text>
        <r>
          <rPr>
            <b/>
            <sz val="9"/>
            <color indexed="81"/>
            <rFont val="Tahoma"/>
            <family val="2"/>
          </rPr>
          <t>LPA:</t>
        </r>
        <r>
          <rPr>
            <sz val="9"/>
            <color indexed="81"/>
            <rFont val="Tahoma"/>
            <family val="2"/>
          </rPr>
          <t xml:space="preserve">
проверити збир!
</t>
        </r>
      </text>
    </comment>
    <comment ref="I2341" authorId="0" shapeId="0">
      <text>
        <r>
          <rPr>
            <b/>
            <sz val="9"/>
            <color indexed="81"/>
            <rFont val="Tahoma"/>
            <family val="2"/>
          </rPr>
          <t>LPA:</t>
        </r>
        <r>
          <rPr>
            <sz val="9"/>
            <color indexed="81"/>
            <rFont val="Tahoma"/>
            <family val="2"/>
          </rPr>
          <t xml:space="preserve">
проверити збир!
</t>
        </r>
      </text>
    </comment>
    <comment ref="I2342" authorId="0" shapeId="0">
      <text>
        <r>
          <rPr>
            <b/>
            <sz val="9"/>
            <color indexed="81"/>
            <rFont val="Tahoma"/>
            <family val="2"/>
          </rPr>
          <t>LPA:</t>
        </r>
        <r>
          <rPr>
            <sz val="9"/>
            <color indexed="81"/>
            <rFont val="Tahoma"/>
            <family val="2"/>
          </rPr>
          <t xml:space="preserve">
проверити збир!
</t>
        </r>
      </text>
    </comment>
    <comment ref="I2343" authorId="0" shapeId="0">
      <text>
        <r>
          <rPr>
            <b/>
            <sz val="9"/>
            <color indexed="81"/>
            <rFont val="Tahoma"/>
            <family val="2"/>
          </rPr>
          <t>LPA:</t>
        </r>
        <r>
          <rPr>
            <sz val="9"/>
            <color indexed="81"/>
            <rFont val="Tahoma"/>
            <family val="2"/>
          </rPr>
          <t xml:space="preserve">
проверити збир!
</t>
        </r>
      </text>
    </comment>
    <comment ref="I2344" authorId="0" shapeId="0">
      <text>
        <r>
          <rPr>
            <b/>
            <sz val="9"/>
            <color indexed="81"/>
            <rFont val="Tahoma"/>
            <family val="2"/>
          </rPr>
          <t>LPA:</t>
        </r>
        <r>
          <rPr>
            <sz val="9"/>
            <color indexed="81"/>
            <rFont val="Tahoma"/>
            <family val="2"/>
          </rPr>
          <t xml:space="preserve">
проверити збир!
</t>
        </r>
      </text>
    </comment>
    <comment ref="I2424" authorId="0" shapeId="0">
      <text>
        <r>
          <rPr>
            <b/>
            <sz val="9"/>
            <color indexed="81"/>
            <rFont val="Tahoma"/>
            <family val="2"/>
          </rPr>
          <t>LPA:</t>
        </r>
        <r>
          <rPr>
            <sz val="9"/>
            <color indexed="81"/>
            <rFont val="Tahoma"/>
            <family val="2"/>
          </rPr>
          <t xml:space="preserve">
проверити збир!
</t>
        </r>
      </text>
    </comment>
    <comment ref="I2425" authorId="0" shapeId="0">
      <text>
        <r>
          <rPr>
            <b/>
            <sz val="9"/>
            <color indexed="81"/>
            <rFont val="Tahoma"/>
            <family val="2"/>
          </rPr>
          <t>LPA:</t>
        </r>
        <r>
          <rPr>
            <sz val="9"/>
            <color indexed="81"/>
            <rFont val="Tahoma"/>
            <family val="2"/>
          </rPr>
          <t xml:space="preserve">
проверити збир!
</t>
        </r>
      </text>
    </comment>
    <comment ref="I2426" authorId="0" shapeId="0">
      <text>
        <r>
          <rPr>
            <b/>
            <sz val="9"/>
            <color indexed="81"/>
            <rFont val="Tahoma"/>
            <family val="2"/>
          </rPr>
          <t>LPA:</t>
        </r>
        <r>
          <rPr>
            <sz val="9"/>
            <color indexed="81"/>
            <rFont val="Tahoma"/>
            <family val="2"/>
          </rPr>
          <t xml:space="preserve">
проверити збир!
</t>
        </r>
      </text>
    </comment>
    <comment ref="I2427" authorId="0" shapeId="0">
      <text>
        <r>
          <rPr>
            <b/>
            <sz val="9"/>
            <color indexed="81"/>
            <rFont val="Tahoma"/>
            <family val="2"/>
          </rPr>
          <t>LPA:</t>
        </r>
        <r>
          <rPr>
            <sz val="9"/>
            <color indexed="81"/>
            <rFont val="Tahoma"/>
            <family val="2"/>
          </rPr>
          <t xml:space="preserve">
проверити збир!
</t>
        </r>
      </text>
    </comment>
    <comment ref="I2428" authorId="0" shapeId="0">
      <text>
        <r>
          <rPr>
            <b/>
            <sz val="9"/>
            <color indexed="81"/>
            <rFont val="Tahoma"/>
            <family val="2"/>
          </rPr>
          <t>LPA:</t>
        </r>
        <r>
          <rPr>
            <sz val="9"/>
            <color indexed="81"/>
            <rFont val="Tahoma"/>
            <family val="2"/>
          </rPr>
          <t xml:space="preserve">
проверити збир!
</t>
        </r>
      </text>
    </comment>
    <comment ref="I2429" authorId="0" shapeId="0">
      <text>
        <r>
          <rPr>
            <b/>
            <sz val="9"/>
            <color indexed="81"/>
            <rFont val="Tahoma"/>
            <family val="2"/>
          </rPr>
          <t>LPA:</t>
        </r>
        <r>
          <rPr>
            <sz val="9"/>
            <color indexed="81"/>
            <rFont val="Tahoma"/>
            <family val="2"/>
          </rPr>
          <t xml:space="preserve">
проверити збир!
</t>
        </r>
      </text>
    </comment>
    <comment ref="I2430" authorId="0" shapeId="0">
      <text>
        <r>
          <rPr>
            <b/>
            <sz val="9"/>
            <color indexed="81"/>
            <rFont val="Tahoma"/>
            <family val="2"/>
          </rPr>
          <t>LPA:</t>
        </r>
        <r>
          <rPr>
            <sz val="9"/>
            <color indexed="81"/>
            <rFont val="Tahoma"/>
            <family val="2"/>
          </rPr>
          <t xml:space="preserve">
проверити збир!
</t>
        </r>
      </text>
    </comment>
    <comment ref="I2431" authorId="0" shapeId="0">
      <text>
        <r>
          <rPr>
            <b/>
            <sz val="9"/>
            <color indexed="81"/>
            <rFont val="Tahoma"/>
            <family val="2"/>
          </rPr>
          <t>LPA:</t>
        </r>
        <r>
          <rPr>
            <sz val="9"/>
            <color indexed="81"/>
            <rFont val="Tahoma"/>
            <family val="2"/>
          </rPr>
          <t xml:space="preserve">
проверити збир!
</t>
        </r>
      </text>
    </comment>
    <comment ref="I2432" authorId="0" shapeId="0">
      <text>
        <r>
          <rPr>
            <b/>
            <sz val="9"/>
            <color indexed="81"/>
            <rFont val="Tahoma"/>
            <family val="2"/>
          </rPr>
          <t>LPA:</t>
        </r>
        <r>
          <rPr>
            <sz val="9"/>
            <color indexed="81"/>
            <rFont val="Tahoma"/>
            <family val="2"/>
          </rPr>
          <t xml:space="preserve">
проверити збир!
</t>
        </r>
      </text>
    </comment>
    <comment ref="I2433" authorId="0" shapeId="0">
      <text>
        <r>
          <rPr>
            <b/>
            <sz val="9"/>
            <color indexed="81"/>
            <rFont val="Tahoma"/>
            <family val="2"/>
          </rPr>
          <t>LPA:</t>
        </r>
        <r>
          <rPr>
            <sz val="9"/>
            <color indexed="81"/>
            <rFont val="Tahoma"/>
            <family val="2"/>
          </rPr>
          <t xml:space="preserve">
проверити збир!
</t>
        </r>
      </text>
    </comment>
    <comment ref="I2434" authorId="0" shapeId="0">
      <text>
        <r>
          <rPr>
            <b/>
            <sz val="9"/>
            <color indexed="81"/>
            <rFont val="Tahoma"/>
            <family val="2"/>
          </rPr>
          <t>LPA:</t>
        </r>
        <r>
          <rPr>
            <sz val="9"/>
            <color indexed="81"/>
            <rFont val="Tahoma"/>
            <family val="2"/>
          </rPr>
          <t xml:space="preserve">
проверити збир!
</t>
        </r>
      </text>
    </comment>
    <comment ref="I2435" authorId="0" shapeId="0">
      <text>
        <r>
          <rPr>
            <b/>
            <sz val="9"/>
            <color indexed="81"/>
            <rFont val="Tahoma"/>
            <family val="2"/>
          </rPr>
          <t>LPA:</t>
        </r>
        <r>
          <rPr>
            <sz val="9"/>
            <color indexed="81"/>
            <rFont val="Tahoma"/>
            <family val="2"/>
          </rPr>
          <t xml:space="preserve">
проверити збир!
</t>
        </r>
      </text>
    </comment>
    <comment ref="I2436" authorId="0" shapeId="0">
      <text>
        <r>
          <rPr>
            <b/>
            <sz val="9"/>
            <color indexed="81"/>
            <rFont val="Tahoma"/>
            <family val="2"/>
          </rPr>
          <t>LPA:</t>
        </r>
        <r>
          <rPr>
            <sz val="9"/>
            <color indexed="81"/>
            <rFont val="Tahoma"/>
            <family val="2"/>
          </rPr>
          <t xml:space="preserve">
проверити збир!
</t>
        </r>
      </text>
    </comment>
    <comment ref="H2439" authorId="0" shapeId="0">
      <text>
        <r>
          <rPr>
            <b/>
            <sz val="9"/>
            <color indexed="81"/>
            <rFont val="Tahoma"/>
            <family val="2"/>
          </rPr>
          <t>LPA:</t>
        </r>
        <r>
          <rPr>
            <sz val="9"/>
            <color indexed="81"/>
            <rFont val="Tahoma"/>
            <family val="2"/>
          </rPr>
          <t xml:space="preserve">
проверити збир!</t>
        </r>
      </text>
    </comment>
    <comment ref="I2439" authorId="0" shapeId="0">
      <text>
        <r>
          <rPr>
            <b/>
            <sz val="9"/>
            <color indexed="81"/>
            <rFont val="Tahoma"/>
            <family val="2"/>
          </rPr>
          <t>LPA:</t>
        </r>
        <r>
          <rPr>
            <sz val="9"/>
            <color indexed="81"/>
            <rFont val="Tahoma"/>
            <family val="2"/>
          </rPr>
          <t xml:space="preserve">
проверити збир!</t>
        </r>
      </text>
    </comment>
    <comment ref="I2440" authorId="0" shapeId="0">
      <text>
        <r>
          <rPr>
            <b/>
            <sz val="9"/>
            <color indexed="81"/>
            <rFont val="Tahoma"/>
            <family val="2"/>
          </rPr>
          <t>LPA:</t>
        </r>
        <r>
          <rPr>
            <sz val="9"/>
            <color indexed="81"/>
            <rFont val="Tahoma"/>
            <family val="2"/>
          </rPr>
          <t xml:space="preserve">
проверити збир!
</t>
        </r>
      </text>
    </comment>
    <comment ref="I2441" authorId="0" shapeId="0">
      <text>
        <r>
          <rPr>
            <b/>
            <sz val="9"/>
            <color indexed="81"/>
            <rFont val="Tahoma"/>
            <family val="2"/>
          </rPr>
          <t>LPA:</t>
        </r>
        <r>
          <rPr>
            <sz val="9"/>
            <color indexed="81"/>
            <rFont val="Tahoma"/>
            <family val="2"/>
          </rPr>
          <t xml:space="preserve">
проверити збир!
</t>
        </r>
      </text>
    </comment>
    <comment ref="I2442" authorId="0" shapeId="0">
      <text>
        <r>
          <rPr>
            <b/>
            <sz val="9"/>
            <color indexed="81"/>
            <rFont val="Tahoma"/>
            <family val="2"/>
          </rPr>
          <t>LPA:</t>
        </r>
        <r>
          <rPr>
            <sz val="9"/>
            <color indexed="81"/>
            <rFont val="Tahoma"/>
            <family val="2"/>
          </rPr>
          <t xml:space="preserve">
проверити збир!
</t>
        </r>
      </text>
    </comment>
    <comment ref="I2443" authorId="0" shapeId="0">
      <text>
        <r>
          <rPr>
            <b/>
            <sz val="9"/>
            <color indexed="81"/>
            <rFont val="Tahoma"/>
            <family val="2"/>
          </rPr>
          <t>LPA:</t>
        </r>
        <r>
          <rPr>
            <sz val="9"/>
            <color indexed="81"/>
            <rFont val="Tahoma"/>
            <family val="2"/>
          </rPr>
          <t xml:space="preserve">
проверити збир!
</t>
        </r>
      </text>
    </comment>
    <comment ref="I2444" authorId="0" shapeId="0">
      <text>
        <r>
          <rPr>
            <b/>
            <sz val="9"/>
            <color indexed="81"/>
            <rFont val="Tahoma"/>
            <family val="2"/>
          </rPr>
          <t>LPA:</t>
        </r>
        <r>
          <rPr>
            <sz val="9"/>
            <color indexed="81"/>
            <rFont val="Tahoma"/>
            <family val="2"/>
          </rPr>
          <t xml:space="preserve">
проверити збир!
</t>
        </r>
      </text>
    </comment>
    <comment ref="I2445" authorId="0" shapeId="0">
      <text>
        <r>
          <rPr>
            <b/>
            <sz val="9"/>
            <color indexed="81"/>
            <rFont val="Tahoma"/>
            <family val="2"/>
          </rPr>
          <t>LPA:</t>
        </r>
        <r>
          <rPr>
            <sz val="9"/>
            <color indexed="81"/>
            <rFont val="Tahoma"/>
            <family val="2"/>
          </rPr>
          <t xml:space="preserve">
проверити збир!
</t>
        </r>
      </text>
    </comment>
    <comment ref="I2446" authorId="0" shapeId="0">
      <text>
        <r>
          <rPr>
            <b/>
            <sz val="9"/>
            <color indexed="81"/>
            <rFont val="Tahoma"/>
            <family val="2"/>
          </rPr>
          <t>LPA:</t>
        </r>
        <r>
          <rPr>
            <sz val="9"/>
            <color indexed="81"/>
            <rFont val="Tahoma"/>
            <family val="2"/>
          </rPr>
          <t xml:space="preserve">
проверити збир!
</t>
        </r>
      </text>
    </comment>
    <comment ref="I2447" authorId="0" shapeId="0">
      <text>
        <r>
          <rPr>
            <b/>
            <sz val="9"/>
            <color indexed="81"/>
            <rFont val="Tahoma"/>
            <family val="2"/>
          </rPr>
          <t>LPA:</t>
        </r>
        <r>
          <rPr>
            <sz val="9"/>
            <color indexed="81"/>
            <rFont val="Tahoma"/>
            <family val="2"/>
          </rPr>
          <t xml:space="preserve">
проверити збир!
</t>
        </r>
      </text>
    </comment>
    <comment ref="I2448" authorId="0" shapeId="0">
      <text>
        <r>
          <rPr>
            <b/>
            <sz val="9"/>
            <color indexed="81"/>
            <rFont val="Tahoma"/>
            <family val="2"/>
          </rPr>
          <t>LPA:</t>
        </r>
        <r>
          <rPr>
            <sz val="9"/>
            <color indexed="81"/>
            <rFont val="Tahoma"/>
            <family val="2"/>
          </rPr>
          <t xml:space="preserve">
проверити збир!
</t>
        </r>
      </text>
    </comment>
    <comment ref="I2449" authorId="0" shapeId="0">
      <text>
        <r>
          <rPr>
            <b/>
            <sz val="9"/>
            <color indexed="81"/>
            <rFont val="Tahoma"/>
            <family val="2"/>
          </rPr>
          <t>LPA:</t>
        </r>
        <r>
          <rPr>
            <sz val="9"/>
            <color indexed="81"/>
            <rFont val="Tahoma"/>
            <family val="2"/>
          </rPr>
          <t xml:space="preserve">
проверити збир!
</t>
        </r>
      </text>
    </comment>
    <comment ref="I2450" authorId="0" shapeId="0">
      <text>
        <r>
          <rPr>
            <b/>
            <sz val="9"/>
            <color indexed="81"/>
            <rFont val="Tahoma"/>
            <family val="2"/>
          </rPr>
          <t>LPA:</t>
        </r>
        <r>
          <rPr>
            <sz val="9"/>
            <color indexed="81"/>
            <rFont val="Tahoma"/>
            <family val="2"/>
          </rPr>
          <t xml:space="preserve">
проверити збир!
</t>
        </r>
      </text>
    </comment>
    <comment ref="I2451" authorId="0" shapeId="0">
      <text>
        <r>
          <rPr>
            <b/>
            <sz val="9"/>
            <color indexed="81"/>
            <rFont val="Tahoma"/>
            <family val="2"/>
          </rPr>
          <t>LPA:</t>
        </r>
        <r>
          <rPr>
            <sz val="9"/>
            <color indexed="81"/>
            <rFont val="Tahoma"/>
            <family val="2"/>
          </rPr>
          <t xml:space="preserve">
проверити збир!
</t>
        </r>
      </text>
    </comment>
    <comment ref="I2452" authorId="0" shapeId="0">
      <text>
        <r>
          <rPr>
            <b/>
            <sz val="9"/>
            <color indexed="81"/>
            <rFont val="Tahoma"/>
            <family val="2"/>
          </rPr>
          <t>LPA:</t>
        </r>
        <r>
          <rPr>
            <sz val="9"/>
            <color indexed="81"/>
            <rFont val="Tahoma"/>
            <family val="2"/>
          </rPr>
          <t xml:space="preserve">
проверити збир!
</t>
        </r>
      </text>
    </comment>
    <comment ref="I2453" authorId="0" shapeId="0">
      <text>
        <r>
          <rPr>
            <b/>
            <sz val="9"/>
            <color indexed="81"/>
            <rFont val="Tahoma"/>
            <family val="2"/>
          </rPr>
          <t>LPA:</t>
        </r>
        <r>
          <rPr>
            <sz val="9"/>
            <color indexed="81"/>
            <rFont val="Tahoma"/>
            <family val="2"/>
          </rPr>
          <t xml:space="preserve">
проверити збир!
</t>
        </r>
      </text>
    </comment>
    <comment ref="I2454" authorId="0" shapeId="0">
      <text>
        <r>
          <rPr>
            <b/>
            <sz val="9"/>
            <color indexed="81"/>
            <rFont val="Tahoma"/>
            <family val="2"/>
          </rPr>
          <t>LPA:</t>
        </r>
        <r>
          <rPr>
            <sz val="9"/>
            <color indexed="81"/>
            <rFont val="Tahoma"/>
            <family val="2"/>
          </rPr>
          <t xml:space="preserve">
проверити збир!
</t>
        </r>
      </text>
    </comment>
    <comment ref="I2671" authorId="0" shapeId="0">
      <text>
        <r>
          <rPr>
            <b/>
            <sz val="9"/>
            <color indexed="81"/>
            <rFont val="Tahoma"/>
            <family val="2"/>
          </rPr>
          <t>LPA:</t>
        </r>
        <r>
          <rPr>
            <sz val="9"/>
            <color indexed="81"/>
            <rFont val="Tahoma"/>
            <family val="2"/>
          </rPr>
          <t xml:space="preserve">
проверити збир!
</t>
        </r>
      </text>
    </comment>
    <comment ref="I2672" authorId="0" shapeId="0">
      <text>
        <r>
          <rPr>
            <b/>
            <sz val="9"/>
            <color indexed="81"/>
            <rFont val="Tahoma"/>
            <family val="2"/>
          </rPr>
          <t>LPA:</t>
        </r>
        <r>
          <rPr>
            <sz val="9"/>
            <color indexed="81"/>
            <rFont val="Tahoma"/>
            <family val="2"/>
          </rPr>
          <t xml:space="preserve">
проверити збир!
</t>
        </r>
      </text>
    </comment>
    <comment ref="I2673" authorId="0" shapeId="0">
      <text>
        <r>
          <rPr>
            <b/>
            <sz val="9"/>
            <color indexed="81"/>
            <rFont val="Tahoma"/>
            <family val="2"/>
          </rPr>
          <t>LPA:</t>
        </r>
        <r>
          <rPr>
            <sz val="9"/>
            <color indexed="81"/>
            <rFont val="Tahoma"/>
            <family val="2"/>
          </rPr>
          <t xml:space="preserve">
проверити збир!
</t>
        </r>
      </text>
    </comment>
    <comment ref="I2674" authorId="0" shapeId="0">
      <text>
        <r>
          <rPr>
            <b/>
            <sz val="9"/>
            <color indexed="81"/>
            <rFont val="Tahoma"/>
            <family val="2"/>
          </rPr>
          <t>LPA:</t>
        </r>
        <r>
          <rPr>
            <sz val="9"/>
            <color indexed="81"/>
            <rFont val="Tahoma"/>
            <family val="2"/>
          </rPr>
          <t xml:space="preserve">
проверити збир!
</t>
        </r>
      </text>
    </comment>
    <comment ref="I2675" authorId="0" shapeId="0">
      <text>
        <r>
          <rPr>
            <b/>
            <sz val="9"/>
            <color indexed="81"/>
            <rFont val="Tahoma"/>
            <family val="2"/>
          </rPr>
          <t>LPA:</t>
        </r>
        <r>
          <rPr>
            <sz val="9"/>
            <color indexed="81"/>
            <rFont val="Tahoma"/>
            <family val="2"/>
          </rPr>
          <t xml:space="preserve">
проверити збир!
</t>
        </r>
      </text>
    </comment>
    <comment ref="I2676" authorId="0" shapeId="0">
      <text>
        <r>
          <rPr>
            <b/>
            <sz val="9"/>
            <color indexed="81"/>
            <rFont val="Tahoma"/>
            <family val="2"/>
          </rPr>
          <t>LPA:</t>
        </r>
        <r>
          <rPr>
            <sz val="9"/>
            <color indexed="81"/>
            <rFont val="Tahoma"/>
            <family val="2"/>
          </rPr>
          <t xml:space="preserve">
проверити збир!
</t>
        </r>
      </text>
    </comment>
    <comment ref="I2677" authorId="0" shapeId="0">
      <text>
        <r>
          <rPr>
            <b/>
            <sz val="9"/>
            <color indexed="81"/>
            <rFont val="Tahoma"/>
            <family val="2"/>
          </rPr>
          <t>LPA:</t>
        </r>
        <r>
          <rPr>
            <sz val="9"/>
            <color indexed="81"/>
            <rFont val="Tahoma"/>
            <family val="2"/>
          </rPr>
          <t xml:space="preserve">
проверити збир!
</t>
        </r>
      </text>
    </comment>
    <comment ref="I2678" authorId="0" shapeId="0">
      <text>
        <r>
          <rPr>
            <b/>
            <sz val="9"/>
            <color indexed="81"/>
            <rFont val="Tahoma"/>
            <family val="2"/>
          </rPr>
          <t>LPA:</t>
        </r>
        <r>
          <rPr>
            <sz val="9"/>
            <color indexed="81"/>
            <rFont val="Tahoma"/>
            <family val="2"/>
          </rPr>
          <t xml:space="preserve">
проверити збир!
</t>
        </r>
      </text>
    </comment>
    <comment ref="I2679" authorId="0" shapeId="0">
      <text>
        <r>
          <rPr>
            <b/>
            <sz val="9"/>
            <color indexed="81"/>
            <rFont val="Tahoma"/>
            <family val="2"/>
          </rPr>
          <t>LPA:</t>
        </r>
        <r>
          <rPr>
            <sz val="9"/>
            <color indexed="81"/>
            <rFont val="Tahoma"/>
            <family val="2"/>
          </rPr>
          <t xml:space="preserve">
проверити збир!
</t>
        </r>
      </text>
    </comment>
    <comment ref="I2680" authorId="0" shapeId="0">
      <text>
        <r>
          <rPr>
            <b/>
            <sz val="9"/>
            <color indexed="81"/>
            <rFont val="Tahoma"/>
            <family val="2"/>
          </rPr>
          <t>LPA:</t>
        </r>
        <r>
          <rPr>
            <sz val="9"/>
            <color indexed="81"/>
            <rFont val="Tahoma"/>
            <family val="2"/>
          </rPr>
          <t xml:space="preserve">
проверити збир!
</t>
        </r>
      </text>
    </comment>
    <comment ref="I2681" authorId="0" shapeId="0">
      <text>
        <r>
          <rPr>
            <b/>
            <sz val="9"/>
            <color indexed="81"/>
            <rFont val="Tahoma"/>
            <family val="2"/>
          </rPr>
          <t>LPA:</t>
        </r>
        <r>
          <rPr>
            <sz val="9"/>
            <color indexed="81"/>
            <rFont val="Tahoma"/>
            <family val="2"/>
          </rPr>
          <t xml:space="preserve">
проверити збир!
</t>
        </r>
      </text>
    </comment>
    <comment ref="I2682" authorId="0" shapeId="0">
      <text>
        <r>
          <rPr>
            <b/>
            <sz val="9"/>
            <color indexed="81"/>
            <rFont val="Tahoma"/>
            <family val="2"/>
          </rPr>
          <t>LPA:</t>
        </r>
        <r>
          <rPr>
            <sz val="9"/>
            <color indexed="81"/>
            <rFont val="Tahoma"/>
            <family val="2"/>
          </rPr>
          <t xml:space="preserve">
проверити збир!
</t>
        </r>
      </text>
    </comment>
    <comment ref="I2683" authorId="0" shapeId="0">
      <text>
        <r>
          <rPr>
            <b/>
            <sz val="9"/>
            <color indexed="81"/>
            <rFont val="Tahoma"/>
            <family val="2"/>
          </rPr>
          <t>LPA:</t>
        </r>
        <r>
          <rPr>
            <sz val="9"/>
            <color indexed="81"/>
            <rFont val="Tahoma"/>
            <family val="2"/>
          </rPr>
          <t xml:space="preserve">
проверити збир!
</t>
        </r>
      </text>
    </comment>
    <comment ref="I2784" authorId="0" shapeId="0">
      <text>
        <r>
          <rPr>
            <b/>
            <sz val="9"/>
            <color indexed="81"/>
            <rFont val="Tahoma"/>
            <family val="2"/>
          </rPr>
          <t>LPA:</t>
        </r>
        <r>
          <rPr>
            <sz val="9"/>
            <color indexed="81"/>
            <rFont val="Tahoma"/>
            <family val="2"/>
          </rPr>
          <t xml:space="preserve">
проверити збир!
</t>
        </r>
      </text>
    </comment>
    <comment ref="I2785" authorId="0" shapeId="0">
      <text>
        <r>
          <rPr>
            <b/>
            <sz val="9"/>
            <color indexed="81"/>
            <rFont val="Tahoma"/>
            <family val="2"/>
          </rPr>
          <t>LPA:</t>
        </r>
        <r>
          <rPr>
            <sz val="9"/>
            <color indexed="81"/>
            <rFont val="Tahoma"/>
            <family val="2"/>
          </rPr>
          <t xml:space="preserve">
проверити збир!
</t>
        </r>
      </text>
    </comment>
    <comment ref="I2786" authorId="0" shapeId="0">
      <text>
        <r>
          <rPr>
            <b/>
            <sz val="9"/>
            <color indexed="81"/>
            <rFont val="Tahoma"/>
            <family val="2"/>
          </rPr>
          <t>LPA:</t>
        </r>
        <r>
          <rPr>
            <sz val="9"/>
            <color indexed="81"/>
            <rFont val="Tahoma"/>
            <family val="2"/>
          </rPr>
          <t xml:space="preserve">
проверити збир!
</t>
        </r>
      </text>
    </comment>
    <comment ref="I2787" authorId="0" shapeId="0">
      <text>
        <r>
          <rPr>
            <b/>
            <sz val="9"/>
            <color indexed="81"/>
            <rFont val="Tahoma"/>
            <family val="2"/>
          </rPr>
          <t>LPA:</t>
        </r>
        <r>
          <rPr>
            <sz val="9"/>
            <color indexed="81"/>
            <rFont val="Tahoma"/>
            <family val="2"/>
          </rPr>
          <t xml:space="preserve">
проверити збир!
</t>
        </r>
      </text>
    </comment>
    <comment ref="I2788" authorId="0" shapeId="0">
      <text>
        <r>
          <rPr>
            <b/>
            <sz val="9"/>
            <color indexed="81"/>
            <rFont val="Tahoma"/>
            <family val="2"/>
          </rPr>
          <t>LPA:</t>
        </r>
        <r>
          <rPr>
            <sz val="9"/>
            <color indexed="81"/>
            <rFont val="Tahoma"/>
            <family val="2"/>
          </rPr>
          <t xml:space="preserve">
проверити збир!
</t>
        </r>
      </text>
    </comment>
    <comment ref="I2789" authorId="0" shapeId="0">
      <text>
        <r>
          <rPr>
            <b/>
            <sz val="9"/>
            <color indexed="81"/>
            <rFont val="Tahoma"/>
            <family val="2"/>
          </rPr>
          <t>LPA:</t>
        </r>
        <r>
          <rPr>
            <sz val="9"/>
            <color indexed="81"/>
            <rFont val="Tahoma"/>
            <family val="2"/>
          </rPr>
          <t xml:space="preserve">
проверити збир!
</t>
        </r>
      </text>
    </comment>
    <comment ref="I2790" authorId="0" shapeId="0">
      <text>
        <r>
          <rPr>
            <b/>
            <sz val="9"/>
            <color indexed="81"/>
            <rFont val="Tahoma"/>
            <family val="2"/>
          </rPr>
          <t>LPA:</t>
        </r>
        <r>
          <rPr>
            <sz val="9"/>
            <color indexed="81"/>
            <rFont val="Tahoma"/>
            <family val="2"/>
          </rPr>
          <t xml:space="preserve">
проверити збир!
</t>
        </r>
      </text>
    </comment>
    <comment ref="I2791" authorId="0" shapeId="0">
      <text>
        <r>
          <rPr>
            <b/>
            <sz val="9"/>
            <color indexed="81"/>
            <rFont val="Tahoma"/>
            <family val="2"/>
          </rPr>
          <t>LPA:</t>
        </r>
        <r>
          <rPr>
            <sz val="9"/>
            <color indexed="81"/>
            <rFont val="Tahoma"/>
            <family val="2"/>
          </rPr>
          <t xml:space="preserve">
проверити збир!
</t>
        </r>
      </text>
    </comment>
    <comment ref="I2792" authorId="0" shapeId="0">
      <text>
        <r>
          <rPr>
            <b/>
            <sz val="9"/>
            <color indexed="81"/>
            <rFont val="Tahoma"/>
            <family val="2"/>
          </rPr>
          <t>LPA:</t>
        </r>
        <r>
          <rPr>
            <sz val="9"/>
            <color indexed="81"/>
            <rFont val="Tahoma"/>
            <family val="2"/>
          </rPr>
          <t xml:space="preserve">
проверити збир!
</t>
        </r>
      </text>
    </comment>
    <comment ref="I2793" authorId="0" shapeId="0">
      <text>
        <r>
          <rPr>
            <b/>
            <sz val="9"/>
            <color indexed="81"/>
            <rFont val="Tahoma"/>
            <family val="2"/>
          </rPr>
          <t>LPA:</t>
        </r>
        <r>
          <rPr>
            <sz val="9"/>
            <color indexed="81"/>
            <rFont val="Tahoma"/>
            <family val="2"/>
          </rPr>
          <t xml:space="preserve">
проверити збир!
</t>
        </r>
      </text>
    </comment>
    <comment ref="I2794" authorId="0" shapeId="0">
      <text>
        <r>
          <rPr>
            <b/>
            <sz val="9"/>
            <color indexed="81"/>
            <rFont val="Tahoma"/>
            <family val="2"/>
          </rPr>
          <t>LPA:</t>
        </r>
        <r>
          <rPr>
            <sz val="9"/>
            <color indexed="81"/>
            <rFont val="Tahoma"/>
            <family val="2"/>
          </rPr>
          <t xml:space="preserve">
проверити збир!
</t>
        </r>
      </text>
    </comment>
    <comment ref="I2795" authorId="0" shapeId="0">
      <text>
        <r>
          <rPr>
            <b/>
            <sz val="9"/>
            <color indexed="81"/>
            <rFont val="Tahoma"/>
            <family val="2"/>
          </rPr>
          <t>LPA:</t>
        </r>
        <r>
          <rPr>
            <sz val="9"/>
            <color indexed="81"/>
            <rFont val="Tahoma"/>
            <family val="2"/>
          </rPr>
          <t xml:space="preserve">
проверити збир!
</t>
        </r>
      </text>
    </comment>
    <comment ref="I2796" authorId="0" shapeId="0">
      <text>
        <r>
          <rPr>
            <b/>
            <sz val="9"/>
            <color indexed="81"/>
            <rFont val="Tahoma"/>
            <family val="2"/>
          </rPr>
          <t>LPA:</t>
        </r>
        <r>
          <rPr>
            <sz val="9"/>
            <color indexed="81"/>
            <rFont val="Tahoma"/>
            <family val="2"/>
          </rPr>
          <t xml:space="preserve">
проверити збир!
</t>
        </r>
      </text>
    </comment>
    <comment ref="I2883" authorId="0" shapeId="0">
      <text>
        <r>
          <rPr>
            <b/>
            <sz val="9"/>
            <color indexed="81"/>
            <rFont val="Tahoma"/>
            <family val="2"/>
          </rPr>
          <t>LPA:</t>
        </r>
        <r>
          <rPr>
            <sz val="9"/>
            <color indexed="81"/>
            <rFont val="Tahoma"/>
            <family val="2"/>
          </rPr>
          <t xml:space="preserve">
проверити збир!
</t>
        </r>
      </text>
    </comment>
    <comment ref="I2884" authorId="0" shapeId="0">
      <text>
        <r>
          <rPr>
            <b/>
            <sz val="9"/>
            <color indexed="81"/>
            <rFont val="Tahoma"/>
            <family val="2"/>
          </rPr>
          <t>LPA:</t>
        </r>
        <r>
          <rPr>
            <sz val="9"/>
            <color indexed="81"/>
            <rFont val="Tahoma"/>
            <family val="2"/>
          </rPr>
          <t xml:space="preserve">
проверити збир!
</t>
        </r>
      </text>
    </comment>
    <comment ref="I2885" authorId="0" shapeId="0">
      <text>
        <r>
          <rPr>
            <b/>
            <sz val="9"/>
            <color indexed="81"/>
            <rFont val="Tahoma"/>
            <family val="2"/>
          </rPr>
          <t>LPA:</t>
        </r>
        <r>
          <rPr>
            <sz val="9"/>
            <color indexed="81"/>
            <rFont val="Tahoma"/>
            <family val="2"/>
          </rPr>
          <t xml:space="preserve">
проверити збир!
</t>
        </r>
      </text>
    </comment>
    <comment ref="I2886" authorId="0" shapeId="0">
      <text>
        <r>
          <rPr>
            <b/>
            <sz val="9"/>
            <color indexed="81"/>
            <rFont val="Tahoma"/>
            <family val="2"/>
          </rPr>
          <t>LPA:</t>
        </r>
        <r>
          <rPr>
            <sz val="9"/>
            <color indexed="81"/>
            <rFont val="Tahoma"/>
            <family val="2"/>
          </rPr>
          <t xml:space="preserve">
проверити збир!
</t>
        </r>
      </text>
    </comment>
    <comment ref="I2887" authorId="0" shapeId="0">
      <text>
        <r>
          <rPr>
            <b/>
            <sz val="9"/>
            <color indexed="81"/>
            <rFont val="Tahoma"/>
            <family val="2"/>
          </rPr>
          <t>LPA:</t>
        </r>
        <r>
          <rPr>
            <sz val="9"/>
            <color indexed="81"/>
            <rFont val="Tahoma"/>
            <family val="2"/>
          </rPr>
          <t xml:space="preserve">
проверити збир!
</t>
        </r>
      </text>
    </comment>
    <comment ref="I2888" authorId="0" shapeId="0">
      <text>
        <r>
          <rPr>
            <b/>
            <sz val="9"/>
            <color indexed="81"/>
            <rFont val="Tahoma"/>
            <family val="2"/>
          </rPr>
          <t>LPA:</t>
        </r>
        <r>
          <rPr>
            <sz val="9"/>
            <color indexed="81"/>
            <rFont val="Tahoma"/>
            <family val="2"/>
          </rPr>
          <t xml:space="preserve">
проверити збир!
</t>
        </r>
      </text>
    </comment>
    <comment ref="I2889" authorId="0" shapeId="0">
      <text>
        <r>
          <rPr>
            <b/>
            <sz val="9"/>
            <color indexed="81"/>
            <rFont val="Tahoma"/>
            <family val="2"/>
          </rPr>
          <t>LPA:</t>
        </r>
        <r>
          <rPr>
            <sz val="9"/>
            <color indexed="81"/>
            <rFont val="Tahoma"/>
            <family val="2"/>
          </rPr>
          <t xml:space="preserve">
проверити збир!
</t>
        </r>
      </text>
    </comment>
    <comment ref="I2890" authorId="0" shapeId="0">
      <text>
        <r>
          <rPr>
            <b/>
            <sz val="9"/>
            <color indexed="81"/>
            <rFont val="Tahoma"/>
            <family val="2"/>
          </rPr>
          <t>LPA:</t>
        </r>
        <r>
          <rPr>
            <sz val="9"/>
            <color indexed="81"/>
            <rFont val="Tahoma"/>
            <family val="2"/>
          </rPr>
          <t xml:space="preserve">
проверити збир!
</t>
        </r>
      </text>
    </comment>
    <comment ref="I2891" authorId="0" shapeId="0">
      <text>
        <r>
          <rPr>
            <b/>
            <sz val="9"/>
            <color indexed="81"/>
            <rFont val="Tahoma"/>
            <family val="2"/>
          </rPr>
          <t>LPA:</t>
        </r>
        <r>
          <rPr>
            <sz val="9"/>
            <color indexed="81"/>
            <rFont val="Tahoma"/>
            <family val="2"/>
          </rPr>
          <t xml:space="preserve">
проверити збир!
</t>
        </r>
      </text>
    </comment>
    <comment ref="I2892" authorId="0" shapeId="0">
      <text>
        <r>
          <rPr>
            <b/>
            <sz val="9"/>
            <color indexed="81"/>
            <rFont val="Tahoma"/>
            <family val="2"/>
          </rPr>
          <t>LPA:</t>
        </r>
        <r>
          <rPr>
            <sz val="9"/>
            <color indexed="81"/>
            <rFont val="Tahoma"/>
            <family val="2"/>
          </rPr>
          <t xml:space="preserve">
проверити збир!
</t>
        </r>
      </text>
    </comment>
    <comment ref="I2893" authorId="0" shapeId="0">
      <text>
        <r>
          <rPr>
            <b/>
            <sz val="9"/>
            <color indexed="81"/>
            <rFont val="Tahoma"/>
            <family val="2"/>
          </rPr>
          <t>LPA:</t>
        </r>
        <r>
          <rPr>
            <sz val="9"/>
            <color indexed="81"/>
            <rFont val="Tahoma"/>
            <family val="2"/>
          </rPr>
          <t xml:space="preserve">
проверити збир!
</t>
        </r>
      </text>
    </comment>
    <comment ref="I2894" authorId="0" shapeId="0">
      <text>
        <r>
          <rPr>
            <b/>
            <sz val="9"/>
            <color indexed="81"/>
            <rFont val="Tahoma"/>
            <family val="2"/>
          </rPr>
          <t>LPA:</t>
        </r>
        <r>
          <rPr>
            <sz val="9"/>
            <color indexed="81"/>
            <rFont val="Tahoma"/>
            <family val="2"/>
          </rPr>
          <t xml:space="preserve">
проверити збир!
</t>
        </r>
      </text>
    </comment>
    <comment ref="I2895" authorId="0" shapeId="0">
      <text>
        <r>
          <rPr>
            <b/>
            <sz val="9"/>
            <color indexed="81"/>
            <rFont val="Tahoma"/>
            <family val="2"/>
          </rPr>
          <t>LPA:</t>
        </r>
        <r>
          <rPr>
            <sz val="9"/>
            <color indexed="81"/>
            <rFont val="Tahoma"/>
            <family val="2"/>
          </rPr>
          <t xml:space="preserve">
проверити збир!
</t>
        </r>
      </text>
    </comment>
    <comment ref="I2982" authorId="0" shapeId="0">
      <text>
        <r>
          <rPr>
            <b/>
            <sz val="9"/>
            <color indexed="81"/>
            <rFont val="Tahoma"/>
            <family val="2"/>
          </rPr>
          <t>LPA:</t>
        </r>
        <r>
          <rPr>
            <sz val="9"/>
            <color indexed="81"/>
            <rFont val="Tahoma"/>
            <family val="2"/>
          </rPr>
          <t xml:space="preserve">
проверити збир!
</t>
        </r>
      </text>
    </comment>
    <comment ref="I2983" authorId="0" shapeId="0">
      <text>
        <r>
          <rPr>
            <b/>
            <sz val="9"/>
            <color indexed="81"/>
            <rFont val="Tahoma"/>
            <family val="2"/>
          </rPr>
          <t>LPA:</t>
        </r>
        <r>
          <rPr>
            <sz val="9"/>
            <color indexed="81"/>
            <rFont val="Tahoma"/>
            <family val="2"/>
          </rPr>
          <t xml:space="preserve">
проверити збир!
</t>
        </r>
      </text>
    </comment>
    <comment ref="I2984" authorId="0" shapeId="0">
      <text>
        <r>
          <rPr>
            <b/>
            <sz val="9"/>
            <color indexed="81"/>
            <rFont val="Tahoma"/>
            <family val="2"/>
          </rPr>
          <t>LPA:</t>
        </r>
        <r>
          <rPr>
            <sz val="9"/>
            <color indexed="81"/>
            <rFont val="Tahoma"/>
            <family val="2"/>
          </rPr>
          <t xml:space="preserve">
проверити збир!
</t>
        </r>
      </text>
    </comment>
    <comment ref="I2985" authorId="0" shapeId="0">
      <text>
        <r>
          <rPr>
            <b/>
            <sz val="9"/>
            <color indexed="81"/>
            <rFont val="Tahoma"/>
            <family val="2"/>
          </rPr>
          <t>LPA:</t>
        </r>
        <r>
          <rPr>
            <sz val="9"/>
            <color indexed="81"/>
            <rFont val="Tahoma"/>
            <family val="2"/>
          </rPr>
          <t xml:space="preserve">
проверити збир!
</t>
        </r>
      </text>
    </comment>
    <comment ref="I2986" authorId="0" shapeId="0">
      <text>
        <r>
          <rPr>
            <b/>
            <sz val="9"/>
            <color indexed="81"/>
            <rFont val="Tahoma"/>
            <family val="2"/>
          </rPr>
          <t>LPA:</t>
        </r>
        <r>
          <rPr>
            <sz val="9"/>
            <color indexed="81"/>
            <rFont val="Tahoma"/>
            <family val="2"/>
          </rPr>
          <t xml:space="preserve">
проверити збир!
</t>
        </r>
      </text>
    </comment>
    <comment ref="I2987" authorId="0" shapeId="0">
      <text>
        <r>
          <rPr>
            <b/>
            <sz val="9"/>
            <color indexed="81"/>
            <rFont val="Tahoma"/>
            <family val="2"/>
          </rPr>
          <t>LPA:</t>
        </r>
        <r>
          <rPr>
            <sz val="9"/>
            <color indexed="81"/>
            <rFont val="Tahoma"/>
            <family val="2"/>
          </rPr>
          <t xml:space="preserve">
проверити збир!
</t>
        </r>
      </text>
    </comment>
    <comment ref="I2988" authorId="0" shapeId="0">
      <text>
        <r>
          <rPr>
            <b/>
            <sz val="9"/>
            <color indexed="81"/>
            <rFont val="Tahoma"/>
            <family val="2"/>
          </rPr>
          <t>LPA:</t>
        </r>
        <r>
          <rPr>
            <sz val="9"/>
            <color indexed="81"/>
            <rFont val="Tahoma"/>
            <family val="2"/>
          </rPr>
          <t xml:space="preserve">
проверити збир!
</t>
        </r>
      </text>
    </comment>
    <comment ref="I2989" authorId="0" shapeId="0">
      <text>
        <r>
          <rPr>
            <b/>
            <sz val="9"/>
            <color indexed="81"/>
            <rFont val="Tahoma"/>
            <family val="2"/>
          </rPr>
          <t>LPA:</t>
        </r>
        <r>
          <rPr>
            <sz val="9"/>
            <color indexed="81"/>
            <rFont val="Tahoma"/>
            <family val="2"/>
          </rPr>
          <t xml:space="preserve">
проверити збир!
</t>
        </r>
      </text>
    </comment>
    <comment ref="I2990" authorId="0" shapeId="0">
      <text>
        <r>
          <rPr>
            <b/>
            <sz val="9"/>
            <color indexed="81"/>
            <rFont val="Tahoma"/>
            <family val="2"/>
          </rPr>
          <t>LPA:</t>
        </r>
        <r>
          <rPr>
            <sz val="9"/>
            <color indexed="81"/>
            <rFont val="Tahoma"/>
            <family val="2"/>
          </rPr>
          <t xml:space="preserve">
проверити збир!
</t>
        </r>
      </text>
    </comment>
    <comment ref="I2991" authorId="0" shapeId="0">
      <text>
        <r>
          <rPr>
            <b/>
            <sz val="9"/>
            <color indexed="81"/>
            <rFont val="Tahoma"/>
            <family val="2"/>
          </rPr>
          <t>LPA:</t>
        </r>
        <r>
          <rPr>
            <sz val="9"/>
            <color indexed="81"/>
            <rFont val="Tahoma"/>
            <family val="2"/>
          </rPr>
          <t xml:space="preserve">
проверити збир!
</t>
        </r>
      </text>
    </comment>
    <comment ref="I2992" authorId="0" shapeId="0">
      <text>
        <r>
          <rPr>
            <b/>
            <sz val="9"/>
            <color indexed="81"/>
            <rFont val="Tahoma"/>
            <family val="2"/>
          </rPr>
          <t>LPA:</t>
        </r>
        <r>
          <rPr>
            <sz val="9"/>
            <color indexed="81"/>
            <rFont val="Tahoma"/>
            <family val="2"/>
          </rPr>
          <t xml:space="preserve">
проверити збир!
</t>
        </r>
      </text>
    </comment>
    <comment ref="I2993" authorId="0" shapeId="0">
      <text>
        <r>
          <rPr>
            <b/>
            <sz val="9"/>
            <color indexed="81"/>
            <rFont val="Tahoma"/>
            <family val="2"/>
          </rPr>
          <t>LPA:</t>
        </r>
        <r>
          <rPr>
            <sz val="9"/>
            <color indexed="81"/>
            <rFont val="Tahoma"/>
            <family val="2"/>
          </rPr>
          <t xml:space="preserve">
проверити збир!
</t>
        </r>
      </text>
    </comment>
    <comment ref="I2994" authorId="0" shapeId="0">
      <text>
        <r>
          <rPr>
            <b/>
            <sz val="9"/>
            <color indexed="81"/>
            <rFont val="Tahoma"/>
            <family val="2"/>
          </rPr>
          <t>LPA:</t>
        </r>
        <r>
          <rPr>
            <sz val="9"/>
            <color indexed="81"/>
            <rFont val="Tahoma"/>
            <family val="2"/>
          </rPr>
          <t xml:space="preserve">
проверити збир!
</t>
        </r>
      </text>
    </comment>
    <comment ref="I3081" authorId="0" shapeId="0">
      <text>
        <r>
          <rPr>
            <b/>
            <sz val="9"/>
            <color indexed="81"/>
            <rFont val="Tahoma"/>
            <family val="2"/>
          </rPr>
          <t>LPA:</t>
        </r>
        <r>
          <rPr>
            <sz val="9"/>
            <color indexed="81"/>
            <rFont val="Tahoma"/>
            <family val="2"/>
          </rPr>
          <t xml:space="preserve">
проверити збир!
</t>
        </r>
      </text>
    </comment>
    <comment ref="I3082" authorId="0" shapeId="0">
      <text>
        <r>
          <rPr>
            <b/>
            <sz val="9"/>
            <color indexed="81"/>
            <rFont val="Tahoma"/>
            <family val="2"/>
          </rPr>
          <t>LPA:</t>
        </r>
        <r>
          <rPr>
            <sz val="9"/>
            <color indexed="81"/>
            <rFont val="Tahoma"/>
            <family val="2"/>
          </rPr>
          <t xml:space="preserve">
проверити збир!
</t>
        </r>
      </text>
    </comment>
    <comment ref="I3083" authorId="0" shapeId="0">
      <text>
        <r>
          <rPr>
            <b/>
            <sz val="9"/>
            <color indexed="81"/>
            <rFont val="Tahoma"/>
            <family val="2"/>
          </rPr>
          <t>LPA:</t>
        </r>
        <r>
          <rPr>
            <sz val="9"/>
            <color indexed="81"/>
            <rFont val="Tahoma"/>
            <family val="2"/>
          </rPr>
          <t xml:space="preserve">
проверити збир!
</t>
        </r>
      </text>
    </comment>
    <comment ref="I3084" authorId="0" shapeId="0">
      <text>
        <r>
          <rPr>
            <b/>
            <sz val="9"/>
            <color indexed="81"/>
            <rFont val="Tahoma"/>
            <family val="2"/>
          </rPr>
          <t>LPA:</t>
        </r>
        <r>
          <rPr>
            <sz val="9"/>
            <color indexed="81"/>
            <rFont val="Tahoma"/>
            <family val="2"/>
          </rPr>
          <t xml:space="preserve">
проверити збир!
</t>
        </r>
      </text>
    </comment>
    <comment ref="I3085" authorId="0" shapeId="0">
      <text>
        <r>
          <rPr>
            <b/>
            <sz val="9"/>
            <color indexed="81"/>
            <rFont val="Tahoma"/>
            <family val="2"/>
          </rPr>
          <t>LPA:</t>
        </r>
        <r>
          <rPr>
            <sz val="9"/>
            <color indexed="81"/>
            <rFont val="Tahoma"/>
            <family val="2"/>
          </rPr>
          <t xml:space="preserve">
проверити збир!
</t>
        </r>
      </text>
    </comment>
    <comment ref="I3086" authorId="0" shapeId="0">
      <text>
        <r>
          <rPr>
            <b/>
            <sz val="9"/>
            <color indexed="81"/>
            <rFont val="Tahoma"/>
            <family val="2"/>
          </rPr>
          <t>LPA:</t>
        </r>
        <r>
          <rPr>
            <sz val="9"/>
            <color indexed="81"/>
            <rFont val="Tahoma"/>
            <family val="2"/>
          </rPr>
          <t xml:space="preserve">
проверити збир!
</t>
        </r>
      </text>
    </comment>
    <comment ref="I3087" authorId="0" shapeId="0">
      <text>
        <r>
          <rPr>
            <b/>
            <sz val="9"/>
            <color indexed="81"/>
            <rFont val="Tahoma"/>
            <family val="2"/>
          </rPr>
          <t>LPA:</t>
        </r>
        <r>
          <rPr>
            <sz val="9"/>
            <color indexed="81"/>
            <rFont val="Tahoma"/>
            <family val="2"/>
          </rPr>
          <t xml:space="preserve">
проверити збир!
</t>
        </r>
      </text>
    </comment>
    <comment ref="I3088" authorId="0" shapeId="0">
      <text>
        <r>
          <rPr>
            <b/>
            <sz val="9"/>
            <color indexed="81"/>
            <rFont val="Tahoma"/>
            <family val="2"/>
          </rPr>
          <t>LPA:</t>
        </r>
        <r>
          <rPr>
            <sz val="9"/>
            <color indexed="81"/>
            <rFont val="Tahoma"/>
            <family val="2"/>
          </rPr>
          <t xml:space="preserve">
проверити збир!
</t>
        </r>
      </text>
    </comment>
    <comment ref="I3089" authorId="0" shapeId="0">
      <text>
        <r>
          <rPr>
            <b/>
            <sz val="9"/>
            <color indexed="81"/>
            <rFont val="Tahoma"/>
            <family val="2"/>
          </rPr>
          <t>LPA:</t>
        </r>
        <r>
          <rPr>
            <sz val="9"/>
            <color indexed="81"/>
            <rFont val="Tahoma"/>
            <family val="2"/>
          </rPr>
          <t xml:space="preserve">
проверити збир!
</t>
        </r>
      </text>
    </comment>
    <comment ref="I3090" authorId="0" shapeId="0">
      <text>
        <r>
          <rPr>
            <b/>
            <sz val="9"/>
            <color indexed="81"/>
            <rFont val="Tahoma"/>
            <family val="2"/>
          </rPr>
          <t>LPA:</t>
        </r>
        <r>
          <rPr>
            <sz val="9"/>
            <color indexed="81"/>
            <rFont val="Tahoma"/>
            <family val="2"/>
          </rPr>
          <t xml:space="preserve">
проверити збир!
</t>
        </r>
      </text>
    </comment>
    <comment ref="I3091" authorId="0" shapeId="0">
      <text>
        <r>
          <rPr>
            <b/>
            <sz val="9"/>
            <color indexed="81"/>
            <rFont val="Tahoma"/>
            <family val="2"/>
          </rPr>
          <t>LPA:</t>
        </r>
        <r>
          <rPr>
            <sz val="9"/>
            <color indexed="81"/>
            <rFont val="Tahoma"/>
            <family val="2"/>
          </rPr>
          <t xml:space="preserve">
проверити збир!
</t>
        </r>
      </text>
    </comment>
    <comment ref="I3092" authorId="0" shapeId="0">
      <text>
        <r>
          <rPr>
            <b/>
            <sz val="9"/>
            <color indexed="81"/>
            <rFont val="Tahoma"/>
            <family val="2"/>
          </rPr>
          <t>LPA:</t>
        </r>
        <r>
          <rPr>
            <sz val="9"/>
            <color indexed="81"/>
            <rFont val="Tahoma"/>
            <family val="2"/>
          </rPr>
          <t xml:space="preserve">
проверити збир!
</t>
        </r>
      </text>
    </comment>
    <comment ref="I3093" authorId="0" shapeId="0">
      <text>
        <r>
          <rPr>
            <b/>
            <sz val="9"/>
            <color indexed="81"/>
            <rFont val="Tahoma"/>
            <family val="2"/>
          </rPr>
          <t>LPA:</t>
        </r>
        <r>
          <rPr>
            <sz val="9"/>
            <color indexed="81"/>
            <rFont val="Tahoma"/>
            <family val="2"/>
          </rPr>
          <t xml:space="preserve">
проверити збир!
</t>
        </r>
      </text>
    </comment>
    <comment ref="I3181" authorId="0" shapeId="0">
      <text>
        <r>
          <rPr>
            <b/>
            <sz val="9"/>
            <color indexed="81"/>
            <rFont val="Tahoma"/>
            <family val="2"/>
          </rPr>
          <t>LPA:</t>
        </r>
        <r>
          <rPr>
            <sz val="9"/>
            <color indexed="81"/>
            <rFont val="Tahoma"/>
            <family val="2"/>
          </rPr>
          <t xml:space="preserve">
проверити збир!
</t>
        </r>
      </text>
    </comment>
    <comment ref="I3182" authorId="0" shapeId="0">
      <text>
        <r>
          <rPr>
            <b/>
            <sz val="9"/>
            <color indexed="81"/>
            <rFont val="Tahoma"/>
            <family val="2"/>
          </rPr>
          <t>LPA:</t>
        </r>
        <r>
          <rPr>
            <sz val="9"/>
            <color indexed="81"/>
            <rFont val="Tahoma"/>
            <family val="2"/>
          </rPr>
          <t xml:space="preserve">
проверити збир!
</t>
        </r>
      </text>
    </comment>
    <comment ref="I3183" authorId="0" shapeId="0">
      <text>
        <r>
          <rPr>
            <b/>
            <sz val="9"/>
            <color indexed="81"/>
            <rFont val="Tahoma"/>
            <family val="2"/>
          </rPr>
          <t>LPA:</t>
        </r>
        <r>
          <rPr>
            <sz val="9"/>
            <color indexed="81"/>
            <rFont val="Tahoma"/>
            <family val="2"/>
          </rPr>
          <t xml:space="preserve">
проверити збир!
</t>
        </r>
      </text>
    </comment>
    <comment ref="I3184" authorId="0" shapeId="0">
      <text>
        <r>
          <rPr>
            <b/>
            <sz val="9"/>
            <color indexed="81"/>
            <rFont val="Tahoma"/>
            <family val="2"/>
          </rPr>
          <t>LPA:</t>
        </r>
        <r>
          <rPr>
            <sz val="9"/>
            <color indexed="81"/>
            <rFont val="Tahoma"/>
            <family val="2"/>
          </rPr>
          <t xml:space="preserve">
проверити збир!
</t>
        </r>
      </text>
    </comment>
    <comment ref="I3185" authorId="0" shapeId="0">
      <text>
        <r>
          <rPr>
            <b/>
            <sz val="9"/>
            <color indexed="81"/>
            <rFont val="Tahoma"/>
            <family val="2"/>
          </rPr>
          <t>LPA:</t>
        </r>
        <r>
          <rPr>
            <sz val="9"/>
            <color indexed="81"/>
            <rFont val="Tahoma"/>
            <family val="2"/>
          </rPr>
          <t xml:space="preserve">
проверити збир!
</t>
        </r>
      </text>
    </comment>
    <comment ref="I3186" authorId="0" shapeId="0">
      <text>
        <r>
          <rPr>
            <b/>
            <sz val="9"/>
            <color indexed="81"/>
            <rFont val="Tahoma"/>
            <family val="2"/>
          </rPr>
          <t>LPA:</t>
        </r>
        <r>
          <rPr>
            <sz val="9"/>
            <color indexed="81"/>
            <rFont val="Tahoma"/>
            <family val="2"/>
          </rPr>
          <t xml:space="preserve">
проверити збир!
</t>
        </r>
      </text>
    </comment>
    <comment ref="I3187" authorId="0" shapeId="0">
      <text>
        <r>
          <rPr>
            <b/>
            <sz val="9"/>
            <color indexed="81"/>
            <rFont val="Tahoma"/>
            <family val="2"/>
          </rPr>
          <t>LPA:</t>
        </r>
        <r>
          <rPr>
            <sz val="9"/>
            <color indexed="81"/>
            <rFont val="Tahoma"/>
            <family val="2"/>
          </rPr>
          <t xml:space="preserve">
проверити збир!
</t>
        </r>
      </text>
    </comment>
    <comment ref="I3188" authorId="0" shapeId="0">
      <text>
        <r>
          <rPr>
            <b/>
            <sz val="9"/>
            <color indexed="81"/>
            <rFont val="Tahoma"/>
            <family val="2"/>
          </rPr>
          <t>LPA:</t>
        </r>
        <r>
          <rPr>
            <sz val="9"/>
            <color indexed="81"/>
            <rFont val="Tahoma"/>
            <family val="2"/>
          </rPr>
          <t xml:space="preserve">
проверити збир!
</t>
        </r>
      </text>
    </comment>
    <comment ref="I3189" authorId="0" shapeId="0">
      <text>
        <r>
          <rPr>
            <b/>
            <sz val="9"/>
            <color indexed="81"/>
            <rFont val="Tahoma"/>
            <family val="2"/>
          </rPr>
          <t>LPA:</t>
        </r>
        <r>
          <rPr>
            <sz val="9"/>
            <color indexed="81"/>
            <rFont val="Tahoma"/>
            <family val="2"/>
          </rPr>
          <t xml:space="preserve">
проверити збир!
</t>
        </r>
      </text>
    </comment>
    <comment ref="I3190" authorId="0" shapeId="0">
      <text>
        <r>
          <rPr>
            <b/>
            <sz val="9"/>
            <color indexed="81"/>
            <rFont val="Tahoma"/>
            <family val="2"/>
          </rPr>
          <t>LPA:</t>
        </r>
        <r>
          <rPr>
            <sz val="9"/>
            <color indexed="81"/>
            <rFont val="Tahoma"/>
            <family val="2"/>
          </rPr>
          <t xml:space="preserve">
проверити збир!
</t>
        </r>
      </text>
    </comment>
    <comment ref="I3191" authorId="0" shapeId="0">
      <text>
        <r>
          <rPr>
            <b/>
            <sz val="9"/>
            <color indexed="81"/>
            <rFont val="Tahoma"/>
            <family val="2"/>
          </rPr>
          <t>LPA:</t>
        </r>
        <r>
          <rPr>
            <sz val="9"/>
            <color indexed="81"/>
            <rFont val="Tahoma"/>
            <family val="2"/>
          </rPr>
          <t xml:space="preserve">
проверити збир!
</t>
        </r>
      </text>
    </comment>
    <comment ref="I3192" authorId="0" shapeId="0">
      <text>
        <r>
          <rPr>
            <b/>
            <sz val="9"/>
            <color indexed="81"/>
            <rFont val="Tahoma"/>
            <family val="2"/>
          </rPr>
          <t>LPA:</t>
        </r>
        <r>
          <rPr>
            <sz val="9"/>
            <color indexed="81"/>
            <rFont val="Tahoma"/>
            <family val="2"/>
          </rPr>
          <t xml:space="preserve">
проверити збир!
</t>
        </r>
      </text>
    </comment>
    <comment ref="I3193" authorId="0" shapeId="0">
      <text>
        <r>
          <rPr>
            <b/>
            <sz val="9"/>
            <color indexed="81"/>
            <rFont val="Tahoma"/>
            <family val="2"/>
          </rPr>
          <t>LPA:</t>
        </r>
        <r>
          <rPr>
            <sz val="9"/>
            <color indexed="81"/>
            <rFont val="Tahoma"/>
            <family val="2"/>
          </rPr>
          <t xml:space="preserve">
проверити збир!
</t>
        </r>
      </text>
    </comment>
    <comment ref="I3280" authorId="0" shapeId="0">
      <text>
        <r>
          <rPr>
            <b/>
            <sz val="9"/>
            <color indexed="81"/>
            <rFont val="Tahoma"/>
            <family val="2"/>
          </rPr>
          <t>LPA:</t>
        </r>
        <r>
          <rPr>
            <sz val="9"/>
            <color indexed="81"/>
            <rFont val="Tahoma"/>
            <family val="2"/>
          </rPr>
          <t xml:space="preserve">
проверити збир!
</t>
        </r>
      </text>
    </comment>
    <comment ref="I3281" authorId="0" shapeId="0">
      <text>
        <r>
          <rPr>
            <b/>
            <sz val="9"/>
            <color indexed="81"/>
            <rFont val="Tahoma"/>
            <family val="2"/>
          </rPr>
          <t>LPA:</t>
        </r>
        <r>
          <rPr>
            <sz val="9"/>
            <color indexed="81"/>
            <rFont val="Tahoma"/>
            <family val="2"/>
          </rPr>
          <t xml:space="preserve">
проверити збир!
</t>
        </r>
      </text>
    </comment>
    <comment ref="I3282" authorId="0" shapeId="0">
      <text>
        <r>
          <rPr>
            <b/>
            <sz val="9"/>
            <color indexed="81"/>
            <rFont val="Tahoma"/>
            <family val="2"/>
          </rPr>
          <t>LPA:</t>
        </r>
        <r>
          <rPr>
            <sz val="9"/>
            <color indexed="81"/>
            <rFont val="Tahoma"/>
            <family val="2"/>
          </rPr>
          <t xml:space="preserve">
проверити збир!
</t>
        </r>
      </text>
    </comment>
    <comment ref="I3283" authorId="0" shapeId="0">
      <text>
        <r>
          <rPr>
            <b/>
            <sz val="9"/>
            <color indexed="81"/>
            <rFont val="Tahoma"/>
            <family val="2"/>
          </rPr>
          <t>LPA:</t>
        </r>
        <r>
          <rPr>
            <sz val="9"/>
            <color indexed="81"/>
            <rFont val="Tahoma"/>
            <family val="2"/>
          </rPr>
          <t xml:space="preserve">
проверити збир!
</t>
        </r>
      </text>
    </comment>
    <comment ref="I3284" authorId="0" shapeId="0">
      <text>
        <r>
          <rPr>
            <b/>
            <sz val="9"/>
            <color indexed="81"/>
            <rFont val="Tahoma"/>
            <family val="2"/>
          </rPr>
          <t>LPA:</t>
        </r>
        <r>
          <rPr>
            <sz val="9"/>
            <color indexed="81"/>
            <rFont val="Tahoma"/>
            <family val="2"/>
          </rPr>
          <t xml:space="preserve">
проверити збир!
</t>
        </r>
      </text>
    </comment>
    <comment ref="I3285" authorId="0" shapeId="0">
      <text>
        <r>
          <rPr>
            <b/>
            <sz val="9"/>
            <color indexed="81"/>
            <rFont val="Tahoma"/>
            <family val="2"/>
          </rPr>
          <t>LPA:</t>
        </r>
        <r>
          <rPr>
            <sz val="9"/>
            <color indexed="81"/>
            <rFont val="Tahoma"/>
            <family val="2"/>
          </rPr>
          <t xml:space="preserve">
проверити збир!
</t>
        </r>
      </text>
    </comment>
    <comment ref="I3286" authorId="0" shapeId="0">
      <text>
        <r>
          <rPr>
            <b/>
            <sz val="9"/>
            <color indexed="81"/>
            <rFont val="Tahoma"/>
            <family val="2"/>
          </rPr>
          <t>LPA:</t>
        </r>
        <r>
          <rPr>
            <sz val="9"/>
            <color indexed="81"/>
            <rFont val="Tahoma"/>
            <family val="2"/>
          </rPr>
          <t xml:space="preserve">
проверити збир!
</t>
        </r>
      </text>
    </comment>
    <comment ref="I3287" authorId="0" shapeId="0">
      <text>
        <r>
          <rPr>
            <b/>
            <sz val="9"/>
            <color indexed="81"/>
            <rFont val="Tahoma"/>
            <family val="2"/>
          </rPr>
          <t>LPA:</t>
        </r>
        <r>
          <rPr>
            <sz val="9"/>
            <color indexed="81"/>
            <rFont val="Tahoma"/>
            <family val="2"/>
          </rPr>
          <t xml:space="preserve">
проверити збир!
</t>
        </r>
      </text>
    </comment>
    <comment ref="I3288" authorId="0" shapeId="0">
      <text>
        <r>
          <rPr>
            <b/>
            <sz val="9"/>
            <color indexed="81"/>
            <rFont val="Tahoma"/>
            <family val="2"/>
          </rPr>
          <t>LPA:</t>
        </r>
        <r>
          <rPr>
            <sz val="9"/>
            <color indexed="81"/>
            <rFont val="Tahoma"/>
            <family val="2"/>
          </rPr>
          <t xml:space="preserve">
проверити збир!
</t>
        </r>
      </text>
    </comment>
    <comment ref="I3289" authorId="0" shapeId="0">
      <text>
        <r>
          <rPr>
            <b/>
            <sz val="9"/>
            <color indexed="81"/>
            <rFont val="Tahoma"/>
            <family val="2"/>
          </rPr>
          <t>LPA:</t>
        </r>
        <r>
          <rPr>
            <sz val="9"/>
            <color indexed="81"/>
            <rFont val="Tahoma"/>
            <family val="2"/>
          </rPr>
          <t xml:space="preserve">
проверити збир!
</t>
        </r>
      </text>
    </comment>
    <comment ref="I3290" authorId="0" shapeId="0">
      <text>
        <r>
          <rPr>
            <b/>
            <sz val="9"/>
            <color indexed="81"/>
            <rFont val="Tahoma"/>
            <family val="2"/>
          </rPr>
          <t>LPA:</t>
        </r>
        <r>
          <rPr>
            <sz val="9"/>
            <color indexed="81"/>
            <rFont val="Tahoma"/>
            <family val="2"/>
          </rPr>
          <t xml:space="preserve">
проверити збир!
</t>
        </r>
      </text>
    </comment>
    <comment ref="I3291" authorId="0" shapeId="0">
      <text>
        <r>
          <rPr>
            <b/>
            <sz val="9"/>
            <color indexed="81"/>
            <rFont val="Tahoma"/>
            <family val="2"/>
          </rPr>
          <t>LPA:</t>
        </r>
        <r>
          <rPr>
            <sz val="9"/>
            <color indexed="81"/>
            <rFont val="Tahoma"/>
            <family val="2"/>
          </rPr>
          <t xml:space="preserve">
проверити збир!
</t>
        </r>
      </text>
    </comment>
    <comment ref="I3292" authorId="0" shapeId="0">
      <text>
        <r>
          <rPr>
            <b/>
            <sz val="9"/>
            <color indexed="81"/>
            <rFont val="Tahoma"/>
            <family val="2"/>
          </rPr>
          <t>LPA:</t>
        </r>
        <r>
          <rPr>
            <sz val="9"/>
            <color indexed="81"/>
            <rFont val="Tahoma"/>
            <family val="2"/>
          </rPr>
          <t xml:space="preserve">
проверити збир!
</t>
        </r>
      </text>
    </comment>
    <comment ref="I3379" authorId="0" shapeId="0">
      <text>
        <r>
          <rPr>
            <b/>
            <sz val="9"/>
            <color indexed="81"/>
            <rFont val="Tahoma"/>
            <family val="2"/>
          </rPr>
          <t>LPA:</t>
        </r>
        <r>
          <rPr>
            <sz val="9"/>
            <color indexed="81"/>
            <rFont val="Tahoma"/>
            <family val="2"/>
          </rPr>
          <t xml:space="preserve">
проверити збир!
</t>
        </r>
      </text>
    </comment>
    <comment ref="I3380" authorId="0" shapeId="0">
      <text>
        <r>
          <rPr>
            <b/>
            <sz val="9"/>
            <color indexed="81"/>
            <rFont val="Tahoma"/>
            <family val="2"/>
          </rPr>
          <t>LPA:</t>
        </r>
        <r>
          <rPr>
            <sz val="9"/>
            <color indexed="81"/>
            <rFont val="Tahoma"/>
            <family val="2"/>
          </rPr>
          <t xml:space="preserve">
проверити збир!
</t>
        </r>
      </text>
    </comment>
    <comment ref="I3381" authorId="0" shapeId="0">
      <text>
        <r>
          <rPr>
            <b/>
            <sz val="9"/>
            <color indexed="81"/>
            <rFont val="Tahoma"/>
            <family val="2"/>
          </rPr>
          <t>LPA:</t>
        </r>
        <r>
          <rPr>
            <sz val="9"/>
            <color indexed="81"/>
            <rFont val="Tahoma"/>
            <family val="2"/>
          </rPr>
          <t xml:space="preserve">
проверити збир!
</t>
        </r>
      </text>
    </comment>
    <comment ref="I3382" authorId="0" shapeId="0">
      <text>
        <r>
          <rPr>
            <b/>
            <sz val="9"/>
            <color indexed="81"/>
            <rFont val="Tahoma"/>
            <family val="2"/>
          </rPr>
          <t>LPA:</t>
        </r>
        <r>
          <rPr>
            <sz val="9"/>
            <color indexed="81"/>
            <rFont val="Tahoma"/>
            <family val="2"/>
          </rPr>
          <t xml:space="preserve">
проверити збир!
</t>
        </r>
      </text>
    </comment>
    <comment ref="I3383" authorId="0" shapeId="0">
      <text>
        <r>
          <rPr>
            <b/>
            <sz val="9"/>
            <color indexed="81"/>
            <rFont val="Tahoma"/>
            <family val="2"/>
          </rPr>
          <t>LPA:</t>
        </r>
        <r>
          <rPr>
            <sz val="9"/>
            <color indexed="81"/>
            <rFont val="Tahoma"/>
            <family val="2"/>
          </rPr>
          <t xml:space="preserve">
проверити збир!
</t>
        </r>
      </text>
    </comment>
    <comment ref="I3384" authorId="0" shapeId="0">
      <text>
        <r>
          <rPr>
            <b/>
            <sz val="9"/>
            <color indexed="81"/>
            <rFont val="Tahoma"/>
            <family val="2"/>
          </rPr>
          <t>LPA:</t>
        </r>
        <r>
          <rPr>
            <sz val="9"/>
            <color indexed="81"/>
            <rFont val="Tahoma"/>
            <family val="2"/>
          </rPr>
          <t xml:space="preserve">
проверити збир!
</t>
        </r>
      </text>
    </comment>
    <comment ref="I3385" authorId="0" shapeId="0">
      <text>
        <r>
          <rPr>
            <b/>
            <sz val="9"/>
            <color indexed="81"/>
            <rFont val="Tahoma"/>
            <family val="2"/>
          </rPr>
          <t>LPA:</t>
        </r>
        <r>
          <rPr>
            <sz val="9"/>
            <color indexed="81"/>
            <rFont val="Tahoma"/>
            <family val="2"/>
          </rPr>
          <t xml:space="preserve">
проверити збир!
</t>
        </r>
      </text>
    </comment>
    <comment ref="I3386" authorId="0" shapeId="0">
      <text>
        <r>
          <rPr>
            <b/>
            <sz val="9"/>
            <color indexed="81"/>
            <rFont val="Tahoma"/>
            <family val="2"/>
          </rPr>
          <t>LPA:</t>
        </r>
        <r>
          <rPr>
            <sz val="9"/>
            <color indexed="81"/>
            <rFont val="Tahoma"/>
            <family val="2"/>
          </rPr>
          <t xml:space="preserve">
проверити збир!
</t>
        </r>
      </text>
    </comment>
    <comment ref="I3387" authorId="0" shapeId="0">
      <text>
        <r>
          <rPr>
            <b/>
            <sz val="9"/>
            <color indexed="81"/>
            <rFont val="Tahoma"/>
            <family val="2"/>
          </rPr>
          <t>LPA:</t>
        </r>
        <r>
          <rPr>
            <sz val="9"/>
            <color indexed="81"/>
            <rFont val="Tahoma"/>
            <family val="2"/>
          </rPr>
          <t xml:space="preserve">
проверити збир!
</t>
        </r>
      </text>
    </comment>
    <comment ref="I3388" authorId="0" shapeId="0">
      <text>
        <r>
          <rPr>
            <b/>
            <sz val="9"/>
            <color indexed="81"/>
            <rFont val="Tahoma"/>
            <family val="2"/>
          </rPr>
          <t>LPA:</t>
        </r>
        <r>
          <rPr>
            <sz val="9"/>
            <color indexed="81"/>
            <rFont val="Tahoma"/>
            <family val="2"/>
          </rPr>
          <t xml:space="preserve">
проверити збир!
</t>
        </r>
      </text>
    </comment>
    <comment ref="I3389" authorId="0" shapeId="0">
      <text>
        <r>
          <rPr>
            <b/>
            <sz val="9"/>
            <color indexed="81"/>
            <rFont val="Tahoma"/>
            <family val="2"/>
          </rPr>
          <t>LPA:</t>
        </r>
        <r>
          <rPr>
            <sz val="9"/>
            <color indexed="81"/>
            <rFont val="Tahoma"/>
            <family val="2"/>
          </rPr>
          <t xml:space="preserve">
проверити збир!
</t>
        </r>
      </text>
    </comment>
    <comment ref="I3390" authorId="0" shapeId="0">
      <text>
        <r>
          <rPr>
            <b/>
            <sz val="9"/>
            <color indexed="81"/>
            <rFont val="Tahoma"/>
            <family val="2"/>
          </rPr>
          <t>LPA:</t>
        </r>
        <r>
          <rPr>
            <sz val="9"/>
            <color indexed="81"/>
            <rFont val="Tahoma"/>
            <family val="2"/>
          </rPr>
          <t xml:space="preserve">
проверити збир!
</t>
        </r>
      </text>
    </comment>
    <comment ref="I3391" authorId="0" shapeId="0">
      <text>
        <r>
          <rPr>
            <b/>
            <sz val="9"/>
            <color indexed="81"/>
            <rFont val="Tahoma"/>
            <family val="2"/>
          </rPr>
          <t>LPA:</t>
        </r>
        <r>
          <rPr>
            <sz val="9"/>
            <color indexed="81"/>
            <rFont val="Tahoma"/>
            <family val="2"/>
          </rPr>
          <t xml:space="preserve">
проверити збир!
</t>
        </r>
      </text>
    </comment>
    <comment ref="H3422" authorId="0" shapeId="0">
      <text>
        <r>
          <rPr>
            <b/>
            <sz val="9"/>
            <color indexed="81"/>
            <rFont val="Tahoma"/>
            <family val="2"/>
          </rPr>
          <t>LPA:</t>
        </r>
        <r>
          <rPr>
            <sz val="9"/>
            <color indexed="81"/>
            <rFont val="Tahoma"/>
            <family val="2"/>
          </rPr>
          <t xml:space="preserve">
проверити збир!</t>
        </r>
      </text>
    </comment>
    <comment ref="I3422" authorId="0" shapeId="0">
      <text>
        <r>
          <rPr>
            <b/>
            <sz val="9"/>
            <color indexed="81"/>
            <rFont val="Tahoma"/>
            <family val="2"/>
          </rPr>
          <t>LPA:</t>
        </r>
        <r>
          <rPr>
            <sz val="9"/>
            <color indexed="81"/>
            <rFont val="Tahoma"/>
            <family val="2"/>
          </rPr>
          <t xml:space="preserve">
проверити збир!
</t>
        </r>
      </text>
    </comment>
    <comment ref="I3423" authorId="0" shapeId="0">
      <text>
        <r>
          <rPr>
            <b/>
            <sz val="9"/>
            <color indexed="81"/>
            <rFont val="Tahoma"/>
            <family val="2"/>
          </rPr>
          <t>LPA:</t>
        </r>
        <r>
          <rPr>
            <sz val="9"/>
            <color indexed="81"/>
            <rFont val="Tahoma"/>
            <family val="2"/>
          </rPr>
          <t xml:space="preserve">
проверити збир!
</t>
        </r>
      </text>
    </comment>
    <comment ref="I3424" authorId="0" shapeId="0">
      <text>
        <r>
          <rPr>
            <b/>
            <sz val="9"/>
            <color indexed="81"/>
            <rFont val="Tahoma"/>
            <family val="2"/>
          </rPr>
          <t>LPA:</t>
        </r>
        <r>
          <rPr>
            <sz val="9"/>
            <color indexed="81"/>
            <rFont val="Tahoma"/>
            <family val="2"/>
          </rPr>
          <t xml:space="preserve">
проверити збир!
</t>
        </r>
      </text>
    </comment>
    <comment ref="I3425" authorId="0" shapeId="0">
      <text>
        <r>
          <rPr>
            <b/>
            <sz val="9"/>
            <color indexed="81"/>
            <rFont val="Tahoma"/>
            <family val="2"/>
          </rPr>
          <t>LPA:</t>
        </r>
        <r>
          <rPr>
            <sz val="9"/>
            <color indexed="81"/>
            <rFont val="Tahoma"/>
            <family val="2"/>
          </rPr>
          <t xml:space="preserve">
проверити збир!
</t>
        </r>
      </text>
    </comment>
    <comment ref="I3426" authorId="0" shapeId="0">
      <text>
        <r>
          <rPr>
            <b/>
            <sz val="9"/>
            <color indexed="81"/>
            <rFont val="Tahoma"/>
            <family val="2"/>
          </rPr>
          <t>LPA:</t>
        </r>
        <r>
          <rPr>
            <sz val="9"/>
            <color indexed="81"/>
            <rFont val="Tahoma"/>
            <family val="2"/>
          </rPr>
          <t xml:space="preserve">
проверити збир!
</t>
        </r>
      </text>
    </comment>
    <comment ref="I3427" authorId="0" shapeId="0">
      <text>
        <r>
          <rPr>
            <b/>
            <sz val="9"/>
            <color indexed="81"/>
            <rFont val="Tahoma"/>
            <family val="2"/>
          </rPr>
          <t>LPA:</t>
        </r>
        <r>
          <rPr>
            <sz val="9"/>
            <color indexed="81"/>
            <rFont val="Tahoma"/>
            <family val="2"/>
          </rPr>
          <t xml:space="preserve">
проверити збир!
</t>
        </r>
      </text>
    </comment>
    <comment ref="I3428" authorId="0" shapeId="0">
      <text>
        <r>
          <rPr>
            <b/>
            <sz val="9"/>
            <color indexed="81"/>
            <rFont val="Tahoma"/>
            <family val="2"/>
          </rPr>
          <t>LPA:</t>
        </r>
        <r>
          <rPr>
            <sz val="9"/>
            <color indexed="81"/>
            <rFont val="Tahoma"/>
            <family val="2"/>
          </rPr>
          <t xml:space="preserve">
проверити збир!
</t>
        </r>
      </text>
    </comment>
    <comment ref="I3429" authorId="0" shapeId="0">
      <text>
        <r>
          <rPr>
            <b/>
            <sz val="9"/>
            <color indexed="81"/>
            <rFont val="Tahoma"/>
            <family val="2"/>
          </rPr>
          <t>LPA:</t>
        </r>
        <r>
          <rPr>
            <sz val="9"/>
            <color indexed="81"/>
            <rFont val="Tahoma"/>
            <family val="2"/>
          </rPr>
          <t xml:space="preserve">
проверити збир!
</t>
        </r>
      </text>
    </comment>
    <comment ref="I3430" authorId="0" shapeId="0">
      <text>
        <r>
          <rPr>
            <b/>
            <sz val="9"/>
            <color indexed="81"/>
            <rFont val="Tahoma"/>
            <family val="2"/>
          </rPr>
          <t>LPA:</t>
        </r>
        <r>
          <rPr>
            <sz val="9"/>
            <color indexed="81"/>
            <rFont val="Tahoma"/>
            <family val="2"/>
          </rPr>
          <t xml:space="preserve">
проверити збир!
</t>
        </r>
      </text>
    </comment>
    <comment ref="I3431" authorId="0" shapeId="0">
      <text>
        <r>
          <rPr>
            <b/>
            <sz val="9"/>
            <color indexed="81"/>
            <rFont val="Tahoma"/>
            <family val="2"/>
          </rPr>
          <t>LPA:</t>
        </r>
        <r>
          <rPr>
            <sz val="9"/>
            <color indexed="81"/>
            <rFont val="Tahoma"/>
            <family val="2"/>
          </rPr>
          <t xml:space="preserve">
проверити збир!
</t>
        </r>
      </text>
    </comment>
    <comment ref="I3432" authorId="0" shapeId="0">
      <text>
        <r>
          <rPr>
            <b/>
            <sz val="9"/>
            <color indexed="81"/>
            <rFont val="Tahoma"/>
            <family val="2"/>
          </rPr>
          <t>LPA:</t>
        </r>
        <r>
          <rPr>
            <sz val="9"/>
            <color indexed="81"/>
            <rFont val="Tahoma"/>
            <family val="2"/>
          </rPr>
          <t xml:space="preserve">
проверити збир!
</t>
        </r>
      </text>
    </comment>
    <comment ref="I3433" authorId="0" shapeId="0">
      <text>
        <r>
          <rPr>
            <b/>
            <sz val="9"/>
            <color indexed="81"/>
            <rFont val="Tahoma"/>
            <family val="2"/>
          </rPr>
          <t>LPA:</t>
        </r>
        <r>
          <rPr>
            <sz val="9"/>
            <color indexed="81"/>
            <rFont val="Tahoma"/>
            <family val="2"/>
          </rPr>
          <t xml:space="preserve">
проверити збир!
</t>
        </r>
      </text>
    </comment>
    <comment ref="I3434" authorId="0" shapeId="0">
      <text>
        <r>
          <rPr>
            <b/>
            <sz val="9"/>
            <color indexed="81"/>
            <rFont val="Tahoma"/>
            <family val="2"/>
          </rPr>
          <t>LPA:</t>
        </r>
        <r>
          <rPr>
            <sz val="9"/>
            <color indexed="81"/>
            <rFont val="Tahoma"/>
            <family val="2"/>
          </rPr>
          <t xml:space="preserve">
проверити збир!
</t>
        </r>
      </text>
    </comment>
    <comment ref="I3435" authorId="0" shapeId="0">
      <text>
        <r>
          <rPr>
            <b/>
            <sz val="9"/>
            <color indexed="81"/>
            <rFont val="Tahoma"/>
            <family val="2"/>
          </rPr>
          <t>LPA:</t>
        </r>
        <r>
          <rPr>
            <sz val="9"/>
            <color indexed="81"/>
            <rFont val="Tahoma"/>
            <family val="2"/>
          </rPr>
          <t xml:space="preserve">
проверити збир!
</t>
        </r>
      </text>
    </comment>
    <comment ref="I3436" authorId="0" shapeId="0">
      <text>
        <r>
          <rPr>
            <b/>
            <sz val="9"/>
            <color indexed="81"/>
            <rFont val="Tahoma"/>
            <family val="2"/>
          </rPr>
          <t>LPA:</t>
        </r>
        <r>
          <rPr>
            <sz val="9"/>
            <color indexed="81"/>
            <rFont val="Tahoma"/>
            <family val="2"/>
          </rPr>
          <t xml:space="preserve">
проверити збир!
</t>
        </r>
      </text>
    </comment>
    <comment ref="I3437" authorId="0" shapeId="0">
      <text>
        <r>
          <rPr>
            <b/>
            <sz val="9"/>
            <color indexed="81"/>
            <rFont val="Tahoma"/>
            <family val="2"/>
          </rPr>
          <t>LPA:</t>
        </r>
        <r>
          <rPr>
            <sz val="9"/>
            <color indexed="81"/>
            <rFont val="Tahoma"/>
            <family val="2"/>
          </rPr>
          <t xml:space="preserve">
проверити збир!
</t>
        </r>
      </text>
    </comment>
    <comment ref="I3549" authorId="0" shapeId="0">
      <text>
        <r>
          <rPr>
            <b/>
            <sz val="9"/>
            <color indexed="81"/>
            <rFont val="Tahoma"/>
            <family val="2"/>
          </rPr>
          <t>LPA:</t>
        </r>
        <r>
          <rPr>
            <sz val="9"/>
            <color indexed="81"/>
            <rFont val="Tahoma"/>
            <family val="2"/>
          </rPr>
          <t xml:space="preserve">
проверити збир!
</t>
        </r>
      </text>
    </comment>
    <comment ref="I3550" authorId="0" shapeId="0">
      <text>
        <r>
          <rPr>
            <b/>
            <sz val="9"/>
            <color indexed="81"/>
            <rFont val="Tahoma"/>
            <family val="2"/>
          </rPr>
          <t>LPA:</t>
        </r>
        <r>
          <rPr>
            <sz val="9"/>
            <color indexed="81"/>
            <rFont val="Tahoma"/>
            <family val="2"/>
          </rPr>
          <t xml:space="preserve">
проверити збир!
</t>
        </r>
      </text>
    </comment>
    <comment ref="I3551" authorId="0" shapeId="0">
      <text>
        <r>
          <rPr>
            <b/>
            <sz val="9"/>
            <color indexed="81"/>
            <rFont val="Tahoma"/>
            <family val="2"/>
          </rPr>
          <t>LPA:</t>
        </r>
        <r>
          <rPr>
            <sz val="9"/>
            <color indexed="81"/>
            <rFont val="Tahoma"/>
            <family val="2"/>
          </rPr>
          <t xml:space="preserve">
проверити збир!
</t>
        </r>
      </text>
    </comment>
    <comment ref="I3552" authorId="0" shapeId="0">
      <text>
        <r>
          <rPr>
            <b/>
            <sz val="9"/>
            <color indexed="81"/>
            <rFont val="Tahoma"/>
            <family val="2"/>
          </rPr>
          <t>LPA:</t>
        </r>
        <r>
          <rPr>
            <sz val="9"/>
            <color indexed="81"/>
            <rFont val="Tahoma"/>
            <family val="2"/>
          </rPr>
          <t xml:space="preserve">
проверити збир!
</t>
        </r>
      </text>
    </comment>
    <comment ref="I3553" authorId="0" shapeId="0">
      <text>
        <r>
          <rPr>
            <b/>
            <sz val="9"/>
            <color indexed="81"/>
            <rFont val="Tahoma"/>
            <family val="2"/>
          </rPr>
          <t>LPA:</t>
        </r>
        <r>
          <rPr>
            <sz val="9"/>
            <color indexed="81"/>
            <rFont val="Tahoma"/>
            <family val="2"/>
          </rPr>
          <t xml:space="preserve">
проверити збир!
</t>
        </r>
      </text>
    </comment>
    <comment ref="I3554" authorId="0" shapeId="0">
      <text>
        <r>
          <rPr>
            <b/>
            <sz val="9"/>
            <color indexed="81"/>
            <rFont val="Tahoma"/>
            <family val="2"/>
          </rPr>
          <t>LPA:</t>
        </r>
        <r>
          <rPr>
            <sz val="9"/>
            <color indexed="81"/>
            <rFont val="Tahoma"/>
            <family val="2"/>
          </rPr>
          <t xml:space="preserve">
проверити збир!
</t>
        </r>
      </text>
    </comment>
    <comment ref="I3555" authorId="0" shapeId="0">
      <text>
        <r>
          <rPr>
            <b/>
            <sz val="9"/>
            <color indexed="81"/>
            <rFont val="Tahoma"/>
            <family val="2"/>
          </rPr>
          <t>LPA:</t>
        </r>
        <r>
          <rPr>
            <sz val="9"/>
            <color indexed="81"/>
            <rFont val="Tahoma"/>
            <family val="2"/>
          </rPr>
          <t xml:space="preserve">
проверити збир!
</t>
        </r>
      </text>
    </comment>
    <comment ref="I3556" authorId="0" shapeId="0">
      <text>
        <r>
          <rPr>
            <b/>
            <sz val="9"/>
            <color indexed="81"/>
            <rFont val="Tahoma"/>
            <family val="2"/>
          </rPr>
          <t>LPA:</t>
        </r>
        <r>
          <rPr>
            <sz val="9"/>
            <color indexed="81"/>
            <rFont val="Tahoma"/>
            <family val="2"/>
          </rPr>
          <t xml:space="preserve">
проверити збир!
</t>
        </r>
      </text>
    </comment>
    <comment ref="I3557" authorId="0" shapeId="0">
      <text>
        <r>
          <rPr>
            <b/>
            <sz val="9"/>
            <color indexed="81"/>
            <rFont val="Tahoma"/>
            <family val="2"/>
          </rPr>
          <t>LPA:</t>
        </r>
        <r>
          <rPr>
            <sz val="9"/>
            <color indexed="81"/>
            <rFont val="Tahoma"/>
            <family val="2"/>
          </rPr>
          <t xml:space="preserve">
проверити збир!
</t>
        </r>
      </text>
    </comment>
    <comment ref="I3558" authorId="0" shapeId="0">
      <text>
        <r>
          <rPr>
            <b/>
            <sz val="9"/>
            <color indexed="81"/>
            <rFont val="Tahoma"/>
            <family val="2"/>
          </rPr>
          <t>LPA:</t>
        </r>
        <r>
          <rPr>
            <sz val="9"/>
            <color indexed="81"/>
            <rFont val="Tahoma"/>
            <family val="2"/>
          </rPr>
          <t xml:space="preserve">
проверити збир!
</t>
        </r>
      </text>
    </comment>
    <comment ref="I3559" authorId="0" shapeId="0">
      <text>
        <r>
          <rPr>
            <b/>
            <sz val="9"/>
            <color indexed="81"/>
            <rFont val="Tahoma"/>
            <family val="2"/>
          </rPr>
          <t>LPA:</t>
        </r>
        <r>
          <rPr>
            <sz val="9"/>
            <color indexed="81"/>
            <rFont val="Tahoma"/>
            <family val="2"/>
          </rPr>
          <t xml:space="preserve">
проверити збир!
</t>
        </r>
      </text>
    </comment>
    <comment ref="I3560" authorId="0" shapeId="0">
      <text>
        <r>
          <rPr>
            <b/>
            <sz val="9"/>
            <color indexed="81"/>
            <rFont val="Tahoma"/>
            <family val="2"/>
          </rPr>
          <t>LPA:</t>
        </r>
        <r>
          <rPr>
            <sz val="9"/>
            <color indexed="81"/>
            <rFont val="Tahoma"/>
            <family val="2"/>
          </rPr>
          <t xml:space="preserve">
проверити збир!
</t>
        </r>
      </text>
    </comment>
    <comment ref="I3561" authorId="0" shapeId="0">
      <text>
        <r>
          <rPr>
            <b/>
            <sz val="9"/>
            <color indexed="81"/>
            <rFont val="Tahoma"/>
            <family val="2"/>
          </rPr>
          <t>LPA:</t>
        </r>
        <r>
          <rPr>
            <sz val="9"/>
            <color indexed="81"/>
            <rFont val="Tahoma"/>
            <family val="2"/>
          </rPr>
          <t xml:space="preserve">
проверити збир!
</t>
        </r>
      </text>
    </comment>
    <comment ref="H3564" authorId="0" shapeId="0">
      <text>
        <r>
          <rPr>
            <b/>
            <sz val="9"/>
            <color indexed="81"/>
            <rFont val="Tahoma"/>
            <family val="2"/>
          </rPr>
          <t>LPA:</t>
        </r>
        <r>
          <rPr>
            <sz val="9"/>
            <color indexed="81"/>
            <rFont val="Tahoma"/>
            <family val="2"/>
          </rPr>
          <t xml:space="preserve">
проверити збир!</t>
        </r>
      </text>
    </comment>
    <comment ref="I3564" authorId="0" shapeId="0">
      <text>
        <r>
          <rPr>
            <b/>
            <sz val="9"/>
            <color indexed="81"/>
            <rFont val="Tahoma"/>
            <family val="2"/>
          </rPr>
          <t>LPA:</t>
        </r>
        <r>
          <rPr>
            <sz val="9"/>
            <color indexed="81"/>
            <rFont val="Tahoma"/>
            <family val="2"/>
          </rPr>
          <t xml:space="preserve">
проверити збир!</t>
        </r>
      </text>
    </comment>
    <comment ref="I3565" authorId="0" shapeId="0">
      <text>
        <r>
          <rPr>
            <b/>
            <sz val="9"/>
            <color indexed="81"/>
            <rFont val="Tahoma"/>
            <family val="2"/>
          </rPr>
          <t>LPA:</t>
        </r>
        <r>
          <rPr>
            <sz val="9"/>
            <color indexed="81"/>
            <rFont val="Tahoma"/>
            <family val="2"/>
          </rPr>
          <t xml:space="preserve">
проверити збир!
</t>
        </r>
      </text>
    </comment>
    <comment ref="I3566" authorId="0" shapeId="0">
      <text>
        <r>
          <rPr>
            <b/>
            <sz val="9"/>
            <color indexed="81"/>
            <rFont val="Tahoma"/>
            <family val="2"/>
          </rPr>
          <t>LPA:</t>
        </r>
        <r>
          <rPr>
            <sz val="9"/>
            <color indexed="81"/>
            <rFont val="Tahoma"/>
            <family val="2"/>
          </rPr>
          <t xml:space="preserve">
проверити збир!
</t>
        </r>
      </text>
    </comment>
    <comment ref="I3567" authorId="0" shapeId="0">
      <text>
        <r>
          <rPr>
            <b/>
            <sz val="9"/>
            <color indexed="81"/>
            <rFont val="Tahoma"/>
            <family val="2"/>
          </rPr>
          <t>LPA:</t>
        </r>
        <r>
          <rPr>
            <sz val="9"/>
            <color indexed="81"/>
            <rFont val="Tahoma"/>
            <family val="2"/>
          </rPr>
          <t xml:space="preserve">
проверити збир!
</t>
        </r>
      </text>
    </comment>
    <comment ref="I3568" authorId="0" shapeId="0">
      <text>
        <r>
          <rPr>
            <b/>
            <sz val="9"/>
            <color indexed="81"/>
            <rFont val="Tahoma"/>
            <family val="2"/>
          </rPr>
          <t>LPA:</t>
        </r>
        <r>
          <rPr>
            <sz val="9"/>
            <color indexed="81"/>
            <rFont val="Tahoma"/>
            <family val="2"/>
          </rPr>
          <t xml:space="preserve">
проверити збир!
</t>
        </r>
      </text>
    </comment>
    <comment ref="I3569" authorId="0" shapeId="0">
      <text>
        <r>
          <rPr>
            <b/>
            <sz val="9"/>
            <color indexed="81"/>
            <rFont val="Tahoma"/>
            <family val="2"/>
          </rPr>
          <t>LPA:</t>
        </r>
        <r>
          <rPr>
            <sz val="9"/>
            <color indexed="81"/>
            <rFont val="Tahoma"/>
            <family val="2"/>
          </rPr>
          <t xml:space="preserve">
проверити збир!
</t>
        </r>
      </text>
    </comment>
    <comment ref="I3570" authorId="0" shapeId="0">
      <text>
        <r>
          <rPr>
            <b/>
            <sz val="9"/>
            <color indexed="81"/>
            <rFont val="Tahoma"/>
            <family val="2"/>
          </rPr>
          <t>LPA:</t>
        </r>
        <r>
          <rPr>
            <sz val="9"/>
            <color indexed="81"/>
            <rFont val="Tahoma"/>
            <family val="2"/>
          </rPr>
          <t xml:space="preserve">
проверити збир!
</t>
        </r>
      </text>
    </comment>
    <comment ref="I3571" authorId="0" shapeId="0">
      <text>
        <r>
          <rPr>
            <b/>
            <sz val="9"/>
            <color indexed="81"/>
            <rFont val="Tahoma"/>
            <family val="2"/>
          </rPr>
          <t>LPA:</t>
        </r>
        <r>
          <rPr>
            <sz val="9"/>
            <color indexed="81"/>
            <rFont val="Tahoma"/>
            <family val="2"/>
          </rPr>
          <t xml:space="preserve">
проверити збир!
</t>
        </r>
      </text>
    </comment>
    <comment ref="I3572" authorId="0" shapeId="0">
      <text>
        <r>
          <rPr>
            <b/>
            <sz val="9"/>
            <color indexed="81"/>
            <rFont val="Tahoma"/>
            <family val="2"/>
          </rPr>
          <t>LPA:</t>
        </r>
        <r>
          <rPr>
            <sz val="9"/>
            <color indexed="81"/>
            <rFont val="Tahoma"/>
            <family val="2"/>
          </rPr>
          <t xml:space="preserve">
проверити збир!
</t>
        </r>
      </text>
    </comment>
    <comment ref="I3573" authorId="0" shapeId="0">
      <text>
        <r>
          <rPr>
            <b/>
            <sz val="9"/>
            <color indexed="81"/>
            <rFont val="Tahoma"/>
            <family val="2"/>
          </rPr>
          <t>LPA:</t>
        </r>
        <r>
          <rPr>
            <sz val="9"/>
            <color indexed="81"/>
            <rFont val="Tahoma"/>
            <family val="2"/>
          </rPr>
          <t xml:space="preserve">
проверити збир!
</t>
        </r>
      </text>
    </comment>
    <comment ref="I3574" authorId="0" shapeId="0">
      <text>
        <r>
          <rPr>
            <b/>
            <sz val="9"/>
            <color indexed="81"/>
            <rFont val="Tahoma"/>
            <family val="2"/>
          </rPr>
          <t>LPA:</t>
        </r>
        <r>
          <rPr>
            <sz val="9"/>
            <color indexed="81"/>
            <rFont val="Tahoma"/>
            <family val="2"/>
          </rPr>
          <t xml:space="preserve">
проверити збир!
</t>
        </r>
      </text>
    </comment>
    <comment ref="I3575" authorId="0" shapeId="0">
      <text>
        <r>
          <rPr>
            <b/>
            <sz val="9"/>
            <color indexed="81"/>
            <rFont val="Tahoma"/>
            <family val="2"/>
          </rPr>
          <t>LPA:</t>
        </r>
        <r>
          <rPr>
            <sz val="9"/>
            <color indexed="81"/>
            <rFont val="Tahoma"/>
            <family val="2"/>
          </rPr>
          <t xml:space="preserve">
проверити збир!
</t>
        </r>
      </text>
    </comment>
    <comment ref="I3576" authorId="0" shapeId="0">
      <text>
        <r>
          <rPr>
            <b/>
            <sz val="9"/>
            <color indexed="81"/>
            <rFont val="Tahoma"/>
            <family val="2"/>
          </rPr>
          <t>LPA:</t>
        </r>
        <r>
          <rPr>
            <sz val="9"/>
            <color indexed="81"/>
            <rFont val="Tahoma"/>
            <family val="2"/>
          </rPr>
          <t xml:space="preserve">
проверити збир!
</t>
        </r>
      </text>
    </comment>
    <comment ref="I3577" authorId="0" shapeId="0">
      <text>
        <r>
          <rPr>
            <b/>
            <sz val="9"/>
            <color indexed="81"/>
            <rFont val="Tahoma"/>
            <family val="2"/>
          </rPr>
          <t>LPA:</t>
        </r>
        <r>
          <rPr>
            <sz val="9"/>
            <color indexed="81"/>
            <rFont val="Tahoma"/>
            <family val="2"/>
          </rPr>
          <t xml:space="preserve">
проверити збир!
</t>
        </r>
      </text>
    </comment>
    <comment ref="I3578" authorId="0" shapeId="0">
      <text>
        <r>
          <rPr>
            <b/>
            <sz val="9"/>
            <color indexed="81"/>
            <rFont val="Tahoma"/>
            <family val="2"/>
          </rPr>
          <t>LPA:</t>
        </r>
        <r>
          <rPr>
            <sz val="9"/>
            <color indexed="81"/>
            <rFont val="Tahoma"/>
            <family val="2"/>
          </rPr>
          <t xml:space="preserve">
проверити збир!
</t>
        </r>
      </text>
    </comment>
    <comment ref="I3579" authorId="0" shapeId="0">
      <text>
        <r>
          <rPr>
            <b/>
            <sz val="9"/>
            <color indexed="81"/>
            <rFont val="Tahoma"/>
            <family val="2"/>
          </rPr>
          <t>LPA:</t>
        </r>
        <r>
          <rPr>
            <sz val="9"/>
            <color indexed="81"/>
            <rFont val="Tahoma"/>
            <family val="2"/>
          </rPr>
          <t xml:space="preserve">
проверити збир!
</t>
        </r>
      </text>
    </comment>
    <comment ref="I3649" authorId="0" shapeId="0">
      <text>
        <r>
          <rPr>
            <b/>
            <sz val="9"/>
            <color indexed="81"/>
            <rFont val="Tahoma"/>
            <family val="2"/>
          </rPr>
          <t>LPA:</t>
        </r>
        <r>
          <rPr>
            <sz val="9"/>
            <color indexed="81"/>
            <rFont val="Tahoma"/>
            <family val="2"/>
          </rPr>
          <t xml:space="preserve">
проверити збир!
</t>
        </r>
      </text>
    </comment>
    <comment ref="I3650" authorId="0" shapeId="0">
      <text>
        <r>
          <rPr>
            <b/>
            <sz val="9"/>
            <color indexed="81"/>
            <rFont val="Tahoma"/>
            <family val="2"/>
          </rPr>
          <t>LPA:</t>
        </r>
        <r>
          <rPr>
            <sz val="9"/>
            <color indexed="81"/>
            <rFont val="Tahoma"/>
            <family val="2"/>
          </rPr>
          <t xml:space="preserve">
проверити збир!
</t>
        </r>
      </text>
    </comment>
    <comment ref="I3651" authorId="0" shapeId="0">
      <text>
        <r>
          <rPr>
            <b/>
            <sz val="9"/>
            <color indexed="81"/>
            <rFont val="Tahoma"/>
            <family val="2"/>
          </rPr>
          <t>LPA:</t>
        </r>
        <r>
          <rPr>
            <sz val="9"/>
            <color indexed="81"/>
            <rFont val="Tahoma"/>
            <family val="2"/>
          </rPr>
          <t xml:space="preserve">
проверити збир!
</t>
        </r>
      </text>
    </comment>
    <comment ref="I3652" authorId="0" shapeId="0">
      <text>
        <r>
          <rPr>
            <b/>
            <sz val="9"/>
            <color indexed="81"/>
            <rFont val="Tahoma"/>
            <family val="2"/>
          </rPr>
          <t>LPA:</t>
        </r>
        <r>
          <rPr>
            <sz val="9"/>
            <color indexed="81"/>
            <rFont val="Tahoma"/>
            <family val="2"/>
          </rPr>
          <t xml:space="preserve">
проверити збир!
</t>
        </r>
      </text>
    </comment>
    <comment ref="I3653" authorId="0" shapeId="0">
      <text>
        <r>
          <rPr>
            <b/>
            <sz val="9"/>
            <color indexed="81"/>
            <rFont val="Tahoma"/>
            <family val="2"/>
          </rPr>
          <t>LPA:</t>
        </r>
        <r>
          <rPr>
            <sz val="9"/>
            <color indexed="81"/>
            <rFont val="Tahoma"/>
            <family val="2"/>
          </rPr>
          <t xml:space="preserve">
проверити збир!
</t>
        </r>
      </text>
    </comment>
    <comment ref="I3654" authorId="0" shapeId="0">
      <text>
        <r>
          <rPr>
            <b/>
            <sz val="9"/>
            <color indexed="81"/>
            <rFont val="Tahoma"/>
            <family val="2"/>
          </rPr>
          <t>LPA:</t>
        </r>
        <r>
          <rPr>
            <sz val="9"/>
            <color indexed="81"/>
            <rFont val="Tahoma"/>
            <family val="2"/>
          </rPr>
          <t xml:space="preserve">
проверити збир!
</t>
        </r>
      </text>
    </comment>
    <comment ref="I3655" authorId="0" shapeId="0">
      <text>
        <r>
          <rPr>
            <b/>
            <sz val="9"/>
            <color indexed="81"/>
            <rFont val="Tahoma"/>
            <family val="2"/>
          </rPr>
          <t>LPA:</t>
        </r>
        <r>
          <rPr>
            <sz val="9"/>
            <color indexed="81"/>
            <rFont val="Tahoma"/>
            <family val="2"/>
          </rPr>
          <t xml:space="preserve">
проверити збир!
</t>
        </r>
      </text>
    </comment>
    <comment ref="I3656" authorId="0" shapeId="0">
      <text>
        <r>
          <rPr>
            <b/>
            <sz val="9"/>
            <color indexed="81"/>
            <rFont val="Tahoma"/>
            <family val="2"/>
          </rPr>
          <t>LPA:</t>
        </r>
        <r>
          <rPr>
            <sz val="9"/>
            <color indexed="81"/>
            <rFont val="Tahoma"/>
            <family val="2"/>
          </rPr>
          <t xml:space="preserve">
проверити збир!
</t>
        </r>
      </text>
    </comment>
    <comment ref="I3657" authorId="0" shapeId="0">
      <text>
        <r>
          <rPr>
            <b/>
            <sz val="9"/>
            <color indexed="81"/>
            <rFont val="Tahoma"/>
            <family val="2"/>
          </rPr>
          <t>LPA:</t>
        </r>
        <r>
          <rPr>
            <sz val="9"/>
            <color indexed="81"/>
            <rFont val="Tahoma"/>
            <family val="2"/>
          </rPr>
          <t xml:space="preserve">
проверити збир!
</t>
        </r>
      </text>
    </comment>
    <comment ref="I3658" authorId="0" shapeId="0">
      <text>
        <r>
          <rPr>
            <b/>
            <sz val="9"/>
            <color indexed="81"/>
            <rFont val="Tahoma"/>
            <family val="2"/>
          </rPr>
          <t>LPA:</t>
        </r>
        <r>
          <rPr>
            <sz val="9"/>
            <color indexed="81"/>
            <rFont val="Tahoma"/>
            <family val="2"/>
          </rPr>
          <t xml:space="preserve">
проверити збир!
</t>
        </r>
      </text>
    </comment>
    <comment ref="I3659" authorId="0" shapeId="0">
      <text>
        <r>
          <rPr>
            <b/>
            <sz val="9"/>
            <color indexed="81"/>
            <rFont val="Tahoma"/>
            <family val="2"/>
          </rPr>
          <t>LPA:</t>
        </r>
        <r>
          <rPr>
            <sz val="9"/>
            <color indexed="81"/>
            <rFont val="Tahoma"/>
            <family val="2"/>
          </rPr>
          <t xml:space="preserve">
проверити збир!
</t>
        </r>
      </text>
    </comment>
    <comment ref="I3660" authorId="0" shapeId="0">
      <text>
        <r>
          <rPr>
            <b/>
            <sz val="9"/>
            <color indexed="81"/>
            <rFont val="Tahoma"/>
            <family val="2"/>
          </rPr>
          <t>LPA:</t>
        </r>
        <r>
          <rPr>
            <sz val="9"/>
            <color indexed="81"/>
            <rFont val="Tahoma"/>
            <family val="2"/>
          </rPr>
          <t xml:space="preserve">
проверити збир!
</t>
        </r>
      </text>
    </comment>
    <comment ref="I3661" authorId="0" shapeId="0">
      <text>
        <r>
          <rPr>
            <b/>
            <sz val="9"/>
            <color indexed="81"/>
            <rFont val="Tahoma"/>
            <family val="2"/>
          </rPr>
          <t>LPA:</t>
        </r>
        <r>
          <rPr>
            <sz val="9"/>
            <color indexed="81"/>
            <rFont val="Tahoma"/>
            <family val="2"/>
          </rPr>
          <t xml:space="preserve">
проверити збир!
</t>
        </r>
      </text>
    </comment>
    <comment ref="H3664" authorId="0" shapeId="0">
      <text>
        <r>
          <rPr>
            <b/>
            <sz val="9"/>
            <color indexed="81"/>
            <rFont val="Tahoma"/>
            <family val="2"/>
          </rPr>
          <t>LPA:</t>
        </r>
        <r>
          <rPr>
            <sz val="9"/>
            <color indexed="81"/>
            <rFont val="Tahoma"/>
            <family val="2"/>
          </rPr>
          <t xml:space="preserve">
проверити збир!</t>
        </r>
      </text>
    </comment>
    <comment ref="I3664" authorId="0" shapeId="0">
      <text>
        <r>
          <rPr>
            <b/>
            <sz val="9"/>
            <color indexed="81"/>
            <rFont val="Tahoma"/>
            <family val="2"/>
          </rPr>
          <t>LPA:</t>
        </r>
        <r>
          <rPr>
            <sz val="9"/>
            <color indexed="81"/>
            <rFont val="Tahoma"/>
            <family val="2"/>
          </rPr>
          <t xml:space="preserve">
проверити збир!</t>
        </r>
      </text>
    </comment>
    <comment ref="I3665" authorId="0" shapeId="0">
      <text>
        <r>
          <rPr>
            <b/>
            <sz val="9"/>
            <color indexed="81"/>
            <rFont val="Tahoma"/>
            <family val="2"/>
          </rPr>
          <t>LPA:</t>
        </r>
        <r>
          <rPr>
            <sz val="9"/>
            <color indexed="81"/>
            <rFont val="Tahoma"/>
            <family val="2"/>
          </rPr>
          <t xml:space="preserve">
проверити збир!
</t>
        </r>
      </text>
    </comment>
    <comment ref="I3666" authorId="0" shapeId="0">
      <text>
        <r>
          <rPr>
            <b/>
            <sz val="9"/>
            <color indexed="81"/>
            <rFont val="Tahoma"/>
            <family val="2"/>
          </rPr>
          <t>LPA:</t>
        </r>
        <r>
          <rPr>
            <sz val="9"/>
            <color indexed="81"/>
            <rFont val="Tahoma"/>
            <family val="2"/>
          </rPr>
          <t xml:space="preserve">
проверити збир!
</t>
        </r>
      </text>
    </comment>
    <comment ref="I3667" authorId="0" shapeId="0">
      <text>
        <r>
          <rPr>
            <b/>
            <sz val="9"/>
            <color indexed="81"/>
            <rFont val="Tahoma"/>
            <family val="2"/>
          </rPr>
          <t>LPA:</t>
        </r>
        <r>
          <rPr>
            <sz val="9"/>
            <color indexed="81"/>
            <rFont val="Tahoma"/>
            <family val="2"/>
          </rPr>
          <t xml:space="preserve">
проверити збир!
</t>
        </r>
      </text>
    </comment>
    <comment ref="I3668" authorId="0" shapeId="0">
      <text>
        <r>
          <rPr>
            <b/>
            <sz val="9"/>
            <color indexed="81"/>
            <rFont val="Tahoma"/>
            <family val="2"/>
          </rPr>
          <t>LPA:</t>
        </r>
        <r>
          <rPr>
            <sz val="9"/>
            <color indexed="81"/>
            <rFont val="Tahoma"/>
            <family val="2"/>
          </rPr>
          <t xml:space="preserve">
проверити збир!
</t>
        </r>
      </text>
    </comment>
    <comment ref="I3669" authorId="0" shapeId="0">
      <text>
        <r>
          <rPr>
            <b/>
            <sz val="9"/>
            <color indexed="81"/>
            <rFont val="Tahoma"/>
            <family val="2"/>
          </rPr>
          <t>LPA:</t>
        </r>
        <r>
          <rPr>
            <sz val="9"/>
            <color indexed="81"/>
            <rFont val="Tahoma"/>
            <family val="2"/>
          </rPr>
          <t xml:space="preserve">
проверити збир!
</t>
        </r>
      </text>
    </comment>
    <comment ref="I3670" authorId="0" shapeId="0">
      <text>
        <r>
          <rPr>
            <b/>
            <sz val="9"/>
            <color indexed="81"/>
            <rFont val="Tahoma"/>
            <family val="2"/>
          </rPr>
          <t>LPA:</t>
        </r>
        <r>
          <rPr>
            <sz val="9"/>
            <color indexed="81"/>
            <rFont val="Tahoma"/>
            <family val="2"/>
          </rPr>
          <t xml:space="preserve">
проверити збир!
</t>
        </r>
      </text>
    </comment>
    <comment ref="I3671" authorId="0" shapeId="0">
      <text>
        <r>
          <rPr>
            <b/>
            <sz val="9"/>
            <color indexed="81"/>
            <rFont val="Tahoma"/>
            <family val="2"/>
          </rPr>
          <t>LPA:</t>
        </r>
        <r>
          <rPr>
            <sz val="9"/>
            <color indexed="81"/>
            <rFont val="Tahoma"/>
            <family val="2"/>
          </rPr>
          <t xml:space="preserve">
проверити збир!
</t>
        </r>
      </text>
    </comment>
    <comment ref="I3672" authorId="0" shapeId="0">
      <text>
        <r>
          <rPr>
            <b/>
            <sz val="9"/>
            <color indexed="81"/>
            <rFont val="Tahoma"/>
            <family val="2"/>
          </rPr>
          <t>LPA:</t>
        </r>
        <r>
          <rPr>
            <sz val="9"/>
            <color indexed="81"/>
            <rFont val="Tahoma"/>
            <family val="2"/>
          </rPr>
          <t xml:space="preserve">
проверити збир!
</t>
        </r>
      </text>
    </comment>
    <comment ref="I3673" authorId="0" shapeId="0">
      <text>
        <r>
          <rPr>
            <b/>
            <sz val="9"/>
            <color indexed="81"/>
            <rFont val="Tahoma"/>
            <family val="2"/>
          </rPr>
          <t>LPA:</t>
        </r>
        <r>
          <rPr>
            <sz val="9"/>
            <color indexed="81"/>
            <rFont val="Tahoma"/>
            <family val="2"/>
          </rPr>
          <t xml:space="preserve">
проверити збир!
</t>
        </r>
      </text>
    </comment>
    <comment ref="I3674" authorId="0" shapeId="0">
      <text>
        <r>
          <rPr>
            <b/>
            <sz val="9"/>
            <color indexed="81"/>
            <rFont val="Tahoma"/>
            <family val="2"/>
          </rPr>
          <t>LPA:</t>
        </r>
        <r>
          <rPr>
            <sz val="9"/>
            <color indexed="81"/>
            <rFont val="Tahoma"/>
            <family val="2"/>
          </rPr>
          <t xml:space="preserve">
проверити збир!
</t>
        </r>
      </text>
    </comment>
    <comment ref="I3675" authorId="0" shapeId="0">
      <text>
        <r>
          <rPr>
            <b/>
            <sz val="9"/>
            <color indexed="81"/>
            <rFont val="Tahoma"/>
            <family val="2"/>
          </rPr>
          <t>LPA:</t>
        </r>
        <r>
          <rPr>
            <sz val="9"/>
            <color indexed="81"/>
            <rFont val="Tahoma"/>
            <family val="2"/>
          </rPr>
          <t xml:space="preserve">
проверити збир!
</t>
        </r>
      </text>
    </comment>
    <comment ref="I3676" authorId="0" shapeId="0">
      <text>
        <r>
          <rPr>
            <b/>
            <sz val="9"/>
            <color indexed="81"/>
            <rFont val="Tahoma"/>
            <family val="2"/>
          </rPr>
          <t>LPA:</t>
        </r>
        <r>
          <rPr>
            <sz val="9"/>
            <color indexed="81"/>
            <rFont val="Tahoma"/>
            <family val="2"/>
          </rPr>
          <t xml:space="preserve">
проверити збир!
</t>
        </r>
      </text>
    </comment>
    <comment ref="I3677" authorId="0" shapeId="0">
      <text>
        <r>
          <rPr>
            <b/>
            <sz val="9"/>
            <color indexed="81"/>
            <rFont val="Tahoma"/>
            <family val="2"/>
          </rPr>
          <t>LPA:</t>
        </r>
        <r>
          <rPr>
            <sz val="9"/>
            <color indexed="81"/>
            <rFont val="Tahoma"/>
            <family val="2"/>
          </rPr>
          <t xml:space="preserve">
проверити збир!
</t>
        </r>
      </text>
    </comment>
    <comment ref="I3678" authorId="0" shapeId="0">
      <text>
        <r>
          <rPr>
            <b/>
            <sz val="9"/>
            <color indexed="81"/>
            <rFont val="Tahoma"/>
            <family val="2"/>
          </rPr>
          <t>LPA:</t>
        </r>
        <r>
          <rPr>
            <sz val="9"/>
            <color indexed="81"/>
            <rFont val="Tahoma"/>
            <family val="2"/>
          </rPr>
          <t xml:space="preserve">
проверити збир!
</t>
        </r>
      </text>
    </comment>
    <comment ref="I3679" authorId="0" shapeId="0">
      <text>
        <r>
          <rPr>
            <b/>
            <sz val="9"/>
            <color indexed="81"/>
            <rFont val="Tahoma"/>
            <family val="2"/>
          </rPr>
          <t>LPA:</t>
        </r>
        <r>
          <rPr>
            <sz val="9"/>
            <color indexed="81"/>
            <rFont val="Tahoma"/>
            <family val="2"/>
          </rPr>
          <t xml:space="preserve">
проверити збир!
</t>
        </r>
      </text>
    </comment>
    <comment ref="I3889" authorId="0" shapeId="0">
      <text>
        <r>
          <rPr>
            <b/>
            <sz val="9"/>
            <color indexed="81"/>
            <rFont val="Tahoma"/>
            <family val="2"/>
          </rPr>
          <t>LPA:</t>
        </r>
        <r>
          <rPr>
            <sz val="9"/>
            <color indexed="81"/>
            <rFont val="Tahoma"/>
            <family val="2"/>
          </rPr>
          <t xml:space="preserve">
проверити збир!
</t>
        </r>
      </text>
    </comment>
    <comment ref="I3890" authorId="0" shapeId="0">
      <text>
        <r>
          <rPr>
            <b/>
            <sz val="9"/>
            <color indexed="81"/>
            <rFont val="Tahoma"/>
            <family val="2"/>
          </rPr>
          <t>LPA:</t>
        </r>
        <r>
          <rPr>
            <sz val="9"/>
            <color indexed="81"/>
            <rFont val="Tahoma"/>
            <family val="2"/>
          </rPr>
          <t xml:space="preserve">
проверити збир!
</t>
        </r>
      </text>
    </comment>
    <comment ref="I3891" authorId="0" shapeId="0">
      <text>
        <r>
          <rPr>
            <b/>
            <sz val="9"/>
            <color indexed="81"/>
            <rFont val="Tahoma"/>
            <family val="2"/>
          </rPr>
          <t>LPA:</t>
        </r>
        <r>
          <rPr>
            <sz val="9"/>
            <color indexed="81"/>
            <rFont val="Tahoma"/>
            <family val="2"/>
          </rPr>
          <t xml:space="preserve">
проверити збир!
</t>
        </r>
      </text>
    </comment>
    <comment ref="I3892" authorId="0" shapeId="0">
      <text>
        <r>
          <rPr>
            <b/>
            <sz val="9"/>
            <color indexed="81"/>
            <rFont val="Tahoma"/>
            <family val="2"/>
          </rPr>
          <t>LPA:</t>
        </r>
        <r>
          <rPr>
            <sz val="9"/>
            <color indexed="81"/>
            <rFont val="Tahoma"/>
            <family val="2"/>
          </rPr>
          <t xml:space="preserve">
проверити збир!
</t>
        </r>
      </text>
    </comment>
    <comment ref="I3893" authorId="0" shapeId="0">
      <text>
        <r>
          <rPr>
            <b/>
            <sz val="9"/>
            <color indexed="81"/>
            <rFont val="Tahoma"/>
            <family val="2"/>
          </rPr>
          <t>LPA:</t>
        </r>
        <r>
          <rPr>
            <sz val="9"/>
            <color indexed="81"/>
            <rFont val="Tahoma"/>
            <family val="2"/>
          </rPr>
          <t xml:space="preserve">
проверити збир!
</t>
        </r>
      </text>
    </comment>
    <comment ref="I3894" authorId="0" shapeId="0">
      <text>
        <r>
          <rPr>
            <b/>
            <sz val="9"/>
            <color indexed="81"/>
            <rFont val="Tahoma"/>
            <family val="2"/>
          </rPr>
          <t>LPA:</t>
        </r>
        <r>
          <rPr>
            <sz val="9"/>
            <color indexed="81"/>
            <rFont val="Tahoma"/>
            <family val="2"/>
          </rPr>
          <t xml:space="preserve">
проверити збир!
</t>
        </r>
      </text>
    </comment>
    <comment ref="I3895" authorId="0" shapeId="0">
      <text>
        <r>
          <rPr>
            <b/>
            <sz val="9"/>
            <color indexed="81"/>
            <rFont val="Tahoma"/>
            <family val="2"/>
          </rPr>
          <t>LPA:</t>
        </r>
        <r>
          <rPr>
            <sz val="9"/>
            <color indexed="81"/>
            <rFont val="Tahoma"/>
            <family val="2"/>
          </rPr>
          <t xml:space="preserve">
проверити збир!
</t>
        </r>
      </text>
    </comment>
    <comment ref="I3896" authorId="0" shapeId="0">
      <text>
        <r>
          <rPr>
            <b/>
            <sz val="9"/>
            <color indexed="81"/>
            <rFont val="Tahoma"/>
            <family val="2"/>
          </rPr>
          <t>LPA:</t>
        </r>
        <r>
          <rPr>
            <sz val="9"/>
            <color indexed="81"/>
            <rFont val="Tahoma"/>
            <family val="2"/>
          </rPr>
          <t xml:space="preserve">
проверити збир!
</t>
        </r>
      </text>
    </comment>
    <comment ref="I3897" authorId="0" shapeId="0">
      <text>
        <r>
          <rPr>
            <b/>
            <sz val="9"/>
            <color indexed="81"/>
            <rFont val="Tahoma"/>
            <family val="2"/>
          </rPr>
          <t>LPA:</t>
        </r>
        <r>
          <rPr>
            <sz val="9"/>
            <color indexed="81"/>
            <rFont val="Tahoma"/>
            <family val="2"/>
          </rPr>
          <t xml:space="preserve">
проверити збир!
</t>
        </r>
      </text>
    </comment>
    <comment ref="I3898" authorId="0" shapeId="0">
      <text>
        <r>
          <rPr>
            <b/>
            <sz val="9"/>
            <color indexed="81"/>
            <rFont val="Tahoma"/>
            <family val="2"/>
          </rPr>
          <t>LPA:</t>
        </r>
        <r>
          <rPr>
            <sz val="9"/>
            <color indexed="81"/>
            <rFont val="Tahoma"/>
            <family val="2"/>
          </rPr>
          <t xml:space="preserve">
проверити збир!
</t>
        </r>
      </text>
    </comment>
    <comment ref="I3899" authorId="0" shapeId="0">
      <text>
        <r>
          <rPr>
            <b/>
            <sz val="9"/>
            <color indexed="81"/>
            <rFont val="Tahoma"/>
            <family val="2"/>
          </rPr>
          <t>LPA:</t>
        </r>
        <r>
          <rPr>
            <sz val="9"/>
            <color indexed="81"/>
            <rFont val="Tahoma"/>
            <family val="2"/>
          </rPr>
          <t xml:space="preserve">
проверити збир!
</t>
        </r>
      </text>
    </comment>
    <comment ref="I3900" authorId="0" shapeId="0">
      <text>
        <r>
          <rPr>
            <b/>
            <sz val="9"/>
            <color indexed="81"/>
            <rFont val="Tahoma"/>
            <family val="2"/>
          </rPr>
          <t>LPA:</t>
        </r>
        <r>
          <rPr>
            <sz val="9"/>
            <color indexed="81"/>
            <rFont val="Tahoma"/>
            <family val="2"/>
          </rPr>
          <t xml:space="preserve">
проверити збир!
</t>
        </r>
      </text>
    </comment>
    <comment ref="I3901" authorId="0" shapeId="0">
      <text>
        <r>
          <rPr>
            <b/>
            <sz val="9"/>
            <color indexed="81"/>
            <rFont val="Tahoma"/>
            <family val="2"/>
          </rPr>
          <t>LPA:</t>
        </r>
        <r>
          <rPr>
            <sz val="9"/>
            <color indexed="81"/>
            <rFont val="Tahoma"/>
            <family val="2"/>
          </rPr>
          <t xml:space="preserve">
проверити збир!
</t>
        </r>
      </text>
    </comment>
    <comment ref="H3904" authorId="0" shapeId="0">
      <text>
        <r>
          <rPr>
            <b/>
            <sz val="9"/>
            <color indexed="81"/>
            <rFont val="Tahoma"/>
            <family val="2"/>
          </rPr>
          <t>LPA:</t>
        </r>
        <r>
          <rPr>
            <sz val="9"/>
            <color indexed="81"/>
            <rFont val="Tahoma"/>
            <family val="2"/>
          </rPr>
          <t xml:space="preserve">
проверити збир!</t>
        </r>
      </text>
    </comment>
    <comment ref="I3904" authorId="0" shapeId="0">
      <text>
        <r>
          <rPr>
            <b/>
            <sz val="9"/>
            <color indexed="81"/>
            <rFont val="Tahoma"/>
            <family val="2"/>
          </rPr>
          <t>LPA:</t>
        </r>
        <r>
          <rPr>
            <sz val="9"/>
            <color indexed="81"/>
            <rFont val="Tahoma"/>
            <family val="2"/>
          </rPr>
          <t xml:space="preserve">
проверити збир!</t>
        </r>
      </text>
    </comment>
    <comment ref="I3905" authorId="0" shapeId="0">
      <text>
        <r>
          <rPr>
            <b/>
            <sz val="9"/>
            <color indexed="81"/>
            <rFont val="Tahoma"/>
            <family val="2"/>
          </rPr>
          <t>LPA:</t>
        </r>
        <r>
          <rPr>
            <sz val="9"/>
            <color indexed="81"/>
            <rFont val="Tahoma"/>
            <family val="2"/>
          </rPr>
          <t xml:space="preserve">
проверити збир!
</t>
        </r>
      </text>
    </comment>
    <comment ref="I3906" authorId="0" shapeId="0">
      <text>
        <r>
          <rPr>
            <b/>
            <sz val="9"/>
            <color indexed="81"/>
            <rFont val="Tahoma"/>
            <family val="2"/>
          </rPr>
          <t>LPA:</t>
        </r>
        <r>
          <rPr>
            <sz val="9"/>
            <color indexed="81"/>
            <rFont val="Tahoma"/>
            <family val="2"/>
          </rPr>
          <t xml:space="preserve">
проверити збир!
</t>
        </r>
      </text>
    </comment>
    <comment ref="I3907" authorId="0" shapeId="0">
      <text>
        <r>
          <rPr>
            <b/>
            <sz val="9"/>
            <color indexed="81"/>
            <rFont val="Tahoma"/>
            <family val="2"/>
          </rPr>
          <t>LPA:</t>
        </r>
        <r>
          <rPr>
            <sz val="9"/>
            <color indexed="81"/>
            <rFont val="Tahoma"/>
            <family val="2"/>
          </rPr>
          <t xml:space="preserve">
проверити збир!
</t>
        </r>
      </text>
    </comment>
    <comment ref="I3908" authorId="0" shapeId="0">
      <text>
        <r>
          <rPr>
            <b/>
            <sz val="9"/>
            <color indexed="81"/>
            <rFont val="Tahoma"/>
            <family val="2"/>
          </rPr>
          <t>LPA:</t>
        </r>
        <r>
          <rPr>
            <sz val="9"/>
            <color indexed="81"/>
            <rFont val="Tahoma"/>
            <family val="2"/>
          </rPr>
          <t xml:space="preserve">
проверити збир!
</t>
        </r>
      </text>
    </comment>
    <comment ref="I3909" authorId="0" shapeId="0">
      <text>
        <r>
          <rPr>
            <b/>
            <sz val="9"/>
            <color indexed="81"/>
            <rFont val="Tahoma"/>
            <family val="2"/>
          </rPr>
          <t>LPA:</t>
        </r>
        <r>
          <rPr>
            <sz val="9"/>
            <color indexed="81"/>
            <rFont val="Tahoma"/>
            <family val="2"/>
          </rPr>
          <t xml:space="preserve">
проверити збир!
</t>
        </r>
      </text>
    </comment>
    <comment ref="I3910" authorId="0" shapeId="0">
      <text>
        <r>
          <rPr>
            <b/>
            <sz val="9"/>
            <color indexed="81"/>
            <rFont val="Tahoma"/>
            <family val="2"/>
          </rPr>
          <t>LPA:</t>
        </r>
        <r>
          <rPr>
            <sz val="9"/>
            <color indexed="81"/>
            <rFont val="Tahoma"/>
            <family val="2"/>
          </rPr>
          <t xml:space="preserve">
проверити збир!
</t>
        </r>
      </text>
    </comment>
    <comment ref="I3911" authorId="0" shapeId="0">
      <text>
        <r>
          <rPr>
            <b/>
            <sz val="9"/>
            <color indexed="81"/>
            <rFont val="Tahoma"/>
            <family val="2"/>
          </rPr>
          <t>LPA:</t>
        </r>
        <r>
          <rPr>
            <sz val="9"/>
            <color indexed="81"/>
            <rFont val="Tahoma"/>
            <family val="2"/>
          </rPr>
          <t xml:space="preserve">
проверити збир!
</t>
        </r>
      </text>
    </comment>
    <comment ref="I3912" authorId="0" shapeId="0">
      <text>
        <r>
          <rPr>
            <b/>
            <sz val="9"/>
            <color indexed="81"/>
            <rFont val="Tahoma"/>
            <family val="2"/>
          </rPr>
          <t>LPA:</t>
        </r>
        <r>
          <rPr>
            <sz val="9"/>
            <color indexed="81"/>
            <rFont val="Tahoma"/>
            <family val="2"/>
          </rPr>
          <t xml:space="preserve">
проверити збир!
</t>
        </r>
      </text>
    </comment>
    <comment ref="I3913" authorId="0" shapeId="0">
      <text>
        <r>
          <rPr>
            <b/>
            <sz val="9"/>
            <color indexed="81"/>
            <rFont val="Tahoma"/>
            <family val="2"/>
          </rPr>
          <t>LPA:</t>
        </r>
        <r>
          <rPr>
            <sz val="9"/>
            <color indexed="81"/>
            <rFont val="Tahoma"/>
            <family val="2"/>
          </rPr>
          <t xml:space="preserve">
проверити збир!
</t>
        </r>
      </text>
    </comment>
    <comment ref="I3914" authorId="0" shapeId="0">
      <text>
        <r>
          <rPr>
            <b/>
            <sz val="9"/>
            <color indexed="81"/>
            <rFont val="Tahoma"/>
            <family val="2"/>
          </rPr>
          <t>LPA:</t>
        </r>
        <r>
          <rPr>
            <sz val="9"/>
            <color indexed="81"/>
            <rFont val="Tahoma"/>
            <family val="2"/>
          </rPr>
          <t xml:space="preserve">
проверити збир!
</t>
        </r>
      </text>
    </comment>
    <comment ref="I3915" authorId="0" shapeId="0">
      <text>
        <r>
          <rPr>
            <b/>
            <sz val="9"/>
            <color indexed="81"/>
            <rFont val="Tahoma"/>
            <family val="2"/>
          </rPr>
          <t>LPA:</t>
        </r>
        <r>
          <rPr>
            <sz val="9"/>
            <color indexed="81"/>
            <rFont val="Tahoma"/>
            <family val="2"/>
          </rPr>
          <t xml:space="preserve">
проверити збир!
</t>
        </r>
      </text>
    </comment>
    <comment ref="I3916" authorId="0" shapeId="0">
      <text>
        <r>
          <rPr>
            <b/>
            <sz val="9"/>
            <color indexed="81"/>
            <rFont val="Tahoma"/>
            <family val="2"/>
          </rPr>
          <t>LPA:</t>
        </r>
        <r>
          <rPr>
            <sz val="9"/>
            <color indexed="81"/>
            <rFont val="Tahoma"/>
            <family val="2"/>
          </rPr>
          <t xml:space="preserve">
проверити збир!
</t>
        </r>
      </text>
    </comment>
    <comment ref="I3917" authorId="0" shapeId="0">
      <text>
        <r>
          <rPr>
            <b/>
            <sz val="9"/>
            <color indexed="81"/>
            <rFont val="Tahoma"/>
            <family val="2"/>
          </rPr>
          <t>LPA:</t>
        </r>
        <r>
          <rPr>
            <sz val="9"/>
            <color indexed="81"/>
            <rFont val="Tahoma"/>
            <family val="2"/>
          </rPr>
          <t xml:space="preserve">
проверити збир!
</t>
        </r>
      </text>
    </comment>
    <comment ref="I3918" authorId="0" shapeId="0">
      <text>
        <r>
          <rPr>
            <b/>
            <sz val="9"/>
            <color indexed="81"/>
            <rFont val="Tahoma"/>
            <family val="2"/>
          </rPr>
          <t>LPA:</t>
        </r>
        <r>
          <rPr>
            <sz val="9"/>
            <color indexed="81"/>
            <rFont val="Tahoma"/>
            <family val="2"/>
          </rPr>
          <t xml:space="preserve">
проверити збир!
</t>
        </r>
      </text>
    </comment>
    <comment ref="I3919" authorId="0" shapeId="0">
      <text>
        <r>
          <rPr>
            <b/>
            <sz val="9"/>
            <color indexed="81"/>
            <rFont val="Tahoma"/>
            <family val="2"/>
          </rPr>
          <t>LPA:</t>
        </r>
        <r>
          <rPr>
            <sz val="9"/>
            <color indexed="81"/>
            <rFont val="Tahoma"/>
            <family val="2"/>
          </rPr>
          <t xml:space="preserve">
проверити збир!
</t>
        </r>
      </text>
    </comment>
    <comment ref="H4229" authorId="0" shapeId="0">
      <text>
        <r>
          <rPr>
            <b/>
            <sz val="9"/>
            <color indexed="81"/>
            <rFont val="Tahoma"/>
            <family val="2"/>
          </rPr>
          <t>LPA:</t>
        </r>
        <r>
          <rPr>
            <sz val="9"/>
            <color indexed="81"/>
            <rFont val="Tahoma"/>
            <family val="2"/>
          </rPr>
          <t xml:space="preserve">
проверити збир!</t>
        </r>
      </text>
    </comment>
    <comment ref="I4229" authorId="0" shapeId="0">
      <text>
        <r>
          <rPr>
            <b/>
            <sz val="9"/>
            <color indexed="81"/>
            <rFont val="Tahoma"/>
            <family val="2"/>
          </rPr>
          <t>LPA:</t>
        </r>
        <r>
          <rPr>
            <sz val="9"/>
            <color indexed="81"/>
            <rFont val="Tahoma"/>
            <family val="2"/>
          </rPr>
          <t xml:space="preserve">
проверити збир!
</t>
        </r>
      </text>
    </comment>
    <comment ref="I4230" authorId="0" shapeId="0">
      <text>
        <r>
          <rPr>
            <b/>
            <sz val="9"/>
            <color indexed="81"/>
            <rFont val="Tahoma"/>
            <family val="2"/>
          </rPr>
          <t>LPA:</t>
        </r>
        <r>
          <rPr>
            <sz val="9"/>
            <color indexed="81"/>
            <rFont val="Tahoma"/>
            <family val="2"/>
          </rPr>
          <t xml:space="preserve">
проверити збир!
</t>
        </r>
      </text>
    </comment>
    <comment ref="I4231" authorId="0" shapeId="0">
      <text>
        <r>
          <rPr>
            <b/>
            <sz val="9"/>
            <color indexed="81"/>
            <rFont val="Tahoma"/>
            <family val="2"/>
          </rPr>
          <t>LPA:</t>
        </r>
        <r>
          <rPr>
            <sz val="9"/>
            <color indexed="81"/>
            <rFont val="Tahoma"/>
            <family val="2"/>
          </rPr>
          <t xml:space="preserve">
проверити збир!
</t>
        </r>
      </text>
    </comment>
    <comment ref="I4232" authorId="0" shapeId="0">
      <text>
        <r>
          <rPr>
            <b/>
            <sz val="9"/>
            <color indexed="81"/>
            <rFont val="Tahoma"/>
            <family val="2"/>
          </rPr>
          <t>LPA:</t>
        </r>
        <r>
          <rPr>
            <sz val="9"/>
            <color indexed="81"/>
            <rFont val="Tahoma"/>
            <family val="2"/>
          </rPr>
          <t xml:space="preserve">
проверити збир!
</t>
        </r>
      </text>
    </comment>
    <comment ref="I4233" authorId="0" shapeId="0">
      <text>
        <r>
          <rPr>
            <b/>
            <sz val="9"/>
            <color indexed="81"/>
            <rFont val="Tahoma"/>
            <family val="2"/>
          </rPr>
          <t>LPA:</t>
        </r>
        <r>
          <rPr>
            <sz val="9"/>
            <color indexed="81"/>
            <rFont val="Tahoma"/>
            <family val="2"/>
          </rPr>
          <t xml:space="preserve">
проверити збир!
</t>
        </r>
      </text>
    </comment>
    <comment ref="I4234" authorId="0" shapeId="0">
      <text>
        <r>
          <rPr>
            <b/>
            <sz val="9"/>
            <color indexed="81"/>
            <rFont val="Tahoma"/>
            <family val="2"/>
          </rPr>
          <t>LPA:</t>
        </r>
        <r>
          <rPr>
            <sz val="9"/>
            <color indexed="81"/>
            <rFont val="Tahoma"/>
            <family val="2"/>
          </rPr>
          <t xml:space="preserve">
проверити збир!
</t>
        </r>
      </text>
    </comment>
    <comment ref="I4235" authorId="0" shapeId="0">
      <text>
        <r>
          <rPr>
            <b/>
            <sz val="9"/>
            <color indexed="81"/>
            <rFont val="Tahoma"/>
            <family val="2"/>
          </rPr>
          <t>LPA:</t>
        </r>
        <r>
          <rPr>
            <sz val="9"/>
            <color indexed="81"/>
            <rFont val="Tahoma"/>
            <family val="2"/>
          </rPr>
          <t xml:space="preserve">
проверити збир!
</t>
        </r>
      </text>
    </comment>
    <comment ref="I4236" authorId="0" shapeId="0">
      <text>
        <r>
          <rPr>
            <b/>
            <sz val="9"/>
            <color indexed="81"/>
            <rFont val="Tahoma"/>
            <family val="2"/>
          </rPr>
          <t>LPA:</t>
        </r>
        <r>
          <rPr>
            <sz val="9"/>
            <color indexed="81"/>
            <rFont val="Tahoma"/>
            <family val="2"/>
          </rPr>
          <t xml:space="preserve">
проверити збир!
</t>
        </r>
      </text>
    </comment>
    <comment ref="I4237" authorId="0" shapeId="0">
      <text>
        <r>
          <rPr>
            <b/>
            <sz val="9"/>
            <color indexed="81"/>
            <rFont val="Tahoma"/>
            <family val="2"/>
          </rPr>
          <t>LPA:</t>
        </r>
        <r>
          <rPr>
            <sz val="9"/>
            <color indexed="81"/>
            <rFont val="Tahoma"/>
            <family val="2"/>
          </rPr>
          <t xml:space="preserve">
проверити збир!
</t>
        </r>
      </text>
    </comment>
    <comment ref="I4238" authorId="0" shapeId="0">
      <text>
        <r>
          <rPr>
            <b/>
            <sz val="9"/>
            <color indexed="81"/>
            <rFont val="Tahoma"/>
            <family val="2"/>
          </rPr>
          <t>LPA:</t>
        </r>
        <r>
          <rPr>
            <sz val="9"/>
            <color indexed="81"/>
            <rFont val="Tahoma"/>
            <family val="2"/>
          </rPr>
          <t xml:space="preserve">
проверити збир!
</t>
        </r>
      </text>
    </comment>
    <comment ref="I4239" authorId="0" shapeId="0">
      <text>
        <r>
          <rPr>
            <b/>
            <sz val="9"/>
            <color indexed="81"/>
            <rFont val="Tahoma"/>
            <family val="2"/>
          </rPr>
          <t>LPA:</t>
        </r>
        <r>
          <rPr>
            <sz val="9"/>
            <color indexed="81"/>
            <rFont val="Tahoma"/>
            <family val="2"/>
          </rPr>
          <t xml:space="preserve">
проверити збир!
</t>
        </r>
      </text>
    </comment>
    <comment ref="I4240" authorId="0" shapeId="0">
      <text>
        <r>
          <rPr>
            <b/>
            <sz val="9"/>
            <color indexed="81"/>
            <rFont val="Tahoma"/>
            <family val="2"/>
          </rPr>
          <t>LPA:</t>
        </r>
        <r>
          <rPr>
            <sz val="9"/>
            <color indexed="81"/>
            <rFont val="Tahoma"/>
            <family val="2"/>
          </rPr>
          <t xml:space="preserve">
проверити збир!
</t>
        </r>
      </text>
    </comment>
    <comment ref="I4241" authorId="0" shapeId="0">
      <text>
        <r>
          <rPr>
            <b/>
            <sz val="9"/>
            <color indexed="81"/>
            <rFont val="Tahoma"/>
            <family val="2"/>
          </rPr>
          <t>LPA:</t>
        </r>
        <r>
          <rPr>
            <sz val="9"/>
            <color indexed="81"/>
            <rFont val="Tahoma"/>
            <family val="2"/>
          </rPr>
          <t xml:space="preserve">
проверити збир!
</t>
        </r>
      </text>
    </comment>
    <comment ref="I4242" authorId="0" shapeId="0">
      <text>
        <r>
          <rPr>
            <b/>
            <sz val="9"/>
            <color indexed="81"/>
            <rFont val="Tahoma"/>
            <family val="2"/>
          </rPr>
          <t>LPA:</t>
        </r>
        <r>
          <rPr>
            <sz val="9"/>
            <color indexed="81"/>
            <rFont val="Tahoma"/>
            <family val="2"/>
          </rPr>
          <t xml:space="preserve">
проверити збир!
</t>
        </r>
      </text>
    </comment>
    <comment ref="I4243" authorId="0" shapeId="0">
      <text>
        <r>
          <rPr>
            <b/>
            <sz val="9"/>
            <color indexed="81"/>
            <rFont val="Tahoma"/>
            <family val="2"/>
          </rPr>
          <t>LPA:</t>
        </r>
        <r>
          <rPr>
            <sz val="9"/>
            <color indexed="81"/>
            <rFont val="Tahoma"/>
            <family val="2"/>
          </rPr>
          <t xml:space="preserve">
проверити збир!
</t>
        </r>
      </text>
    </comment>
    <comment ref="I4244" authorId="0" shapeId="0">
      <text>
        <r>
          <rPr>
            <b/>
            <sz val="9"/>
            <color indexed="81"/>
            <rFont val="Tahoma"/>
            <family val="2"/>
          </rPr>
          <t>LPA:</t>
        </r>
        <r>
          <rPr>
            <sz val="9"/>
            <color indexed="81"/>
            <rFont val="Tahoma"/>
            <family val="2"/>
          </rPr>
          <t xml:space="preserve">
проверити збир!
</t>
        </r>
      </text>
    </comment>
    <comment ref="I4315" authorId="0" shapeId="0">
      <text>
        <r>
          <rPr>
            <b/>
            <sz val="9"/>
            <color indexed="81"/>
            <rFont val="Tahoma"/>
            <family val="2"/>
          </rPr>
          <t>LPA:</t>
        </r>
        <r>
          <rPr>
            <sz val="9"/>
            <color indexed="81"/>
            <rFont val="Tahoma"/>
            <family val="2"/>
          </rPr>
          <t xml:space="preserve">
проверити збир!
</t>
        </r>
      </text>
    </comment>
    <comment ref="I4316" authorId="0" shapeId="0">
      <text>
        <r>
          <rPr>
            <b/>
            <sz val="9"/>
            <color indexed="81"/>
            <rFont val="Tahoma"/>
            <family val="2"/>
          </rPr>
          <t>LPA:</t>
        </r>
        <r>
          <rPr>
            <sz val="9"/>
            <color indexed="81"/>
            <rFont val="Tahoma"/>
            <family val="2"/>
          </rPr>
          <t xml:space="preserve">
проверити збир!
</t>
        </r>
      </text>
    </comment>
    <comment ref="I4317" authorId="0" shapeId="0">
      <text>
        <r>
          <rPr>
            <b/>
            <sz val="9"/>
            <color indexed="81"/>
            <rFont val="Tahoma"/>
            <family val="2"/>
          </rPr>
          <t>LPA:</t>
        </r>
        <r>
          <rPr>
            <sz val="9"/>
            <color indexed="81"/>
            <rFont val="Tahoma"/>
            <family val="2"/>
          </rPr>
          <t xml:space="preserve">
проверити збир!
</t>
        </r>
      </text>
    </comment>
    <comment ref="I4318" authorId="0" shapeId="0">
      <text>
        <r>
          <rPr>
            <b/>
            <sz val="9"/>
            <color indexed="81"/>
            <rFont val="Tahoma"/>
            <family val="2"/>
          </rPr>
          <t>LPA:</t>
        </r>
        <r>
          <rPr>
            <sz val="9"/>
            <color indexed="81"/>
            <rFont val="Tahoma"/>
            <family val="2"/>
          </rPr>
          <t xml:space="preserve">
проверити збир!
</t>
        </r>
      </text>
    </comment>
    <comment ref="I4319" authorId="0" shapeId="0">
      <text>
        <r>
          <rPr>
            <b/>
            <sz val="9"/>
            <color indexed="81"/>
            <rFont val="Tahoma"/>
            <family val="2"/>
          </rPr>
          <t>LPA:</t>
        </r>
        <r>
          <rPr>
            <sz val="9"/>
            <color indexed="81"/>
            <rFont val="Tahoma"/>
            <family val="2"/>
          </rPr>
          <t xml:space="preserve">
проверити збир!
</t>
        </r>
      </text>
    </comment>
    <comment ref="I4320" authorId="0" shapeId="0">
      <text>
        <r>
          <rPr>
            <b/>
            <sz val="9"/>
            <color indexed="81"/>
            <rFont val="Tahoma"/>
            <family val="2"/>
          </rPr>
          <t>LPA:</t>
        </r>
        <r>
          <rPr>
            <sz val="9"/>
            <color indexed="81"/>
            <rFont val="Tahoma"/>
            <family val="2"/>
          </rPr>
          <t xml:space="preserve">
проверити збир!
</t>
        </r>
      </text>
    </comment>
    <comment ref="I4321" authorId="0" shapeId="0">
      <text>
        <r>
          <rPr>
            <b/>
            <sz val="9"/>
            <color indexed="81"/>
            <rFont val="Tahoma"/>
            <family val="2"/>
          </rPr>
          <t>LPA:</t>
        </r>
        <r>
          <rPr>
            <sz val="9"/>
            <color indexed="81"/>
            <rFont val="Tahoma"/>
            <family val="2"/>
          </rPr>
          <t xml:space="preserve">
проверити збир!
</t>
        </r>
      </text>
    </comment>
    <comment ref="I4322" authorId="0" shapeId="0">
      <text>
        <r>
          <rPr>
            <b/>
            <sz val="9"/>
            <color indexed="81"/>
            <rFont val="Tahoma"/>
            <family val="2"/>
          </rPr>
          <t>LPA:</t>
        </r>
        <r>
          <rPr>
            <sz val="9"/>
            <color indexed="81"/>
            <rFont val="Tahoma"/>
            <family val="2"/>
          </rPr>
          <t xml:space="preserve">
проверити збир!
</t>
        </r>
      </text>
    </comment>
    <comment ref="I4323" authorId="0" shapeId="0">
      <text>
        <r>
          <rPr>
            <b/>
            <sz val="9"/>
            <color indexed="81"/>
            <rFont val="Tahoma"/>
            <family val="2"/>
          </rPr>
          <t>LPA:</t>
        </r>
        <r>
          <rPr>
            <sz val="9"/>
            <color indexed="81"/>
            <rFont val="Tahoma"/>
            <family val="2"/>
          </rPr>
          <t xml:space="preserve">
проверити збир!
</t>
        </r>
      </text>
    </comment>
    <comment ref="I4324" authorId="0" shapeId="0">
      <text>
        <r>
          <rPr>
            <b/>
            <sz val="9"/>
            <color indexed="81"/>
            <rFont val="Tahoma"/>
            <family val="2"/>
          </rPr>
          <t>LPA:</t>
        </r>
        <r>
          <rPr>
            <sz val="9"/>
            <color indexed="81"/>
            <rFont val="Tahoma"/>
            <family val="2"/>
          </rPr>
          <t xml:space="preserve">
проверити збир!
</t>
        </r>
      </text>
    </comment>
    <comment ref="I4325" authorId="0" shapeId="0">
      <text>
        <r>
          <rPr>
            <b/>
            <sz val="9"/>
            <color indexed="81"/>
            <rFont val="Tahoma"/>
            <family val="2"/>
          </rPr>
          <t>LPA:</t>
        </r>
        <r>
          <rPr>
            <sz val="9"/>
            <color indexed="81"/>
            <rFont val="Tahoma"/>
            <family val="2"/>
          </rPr>
          <t xml:space="preserve">
проверити збир!
</t>
        </r>
      </text>
    </comment>
    <comment ref="I4326" authorId="0" shapeId="0">
      <text>
        <r>
          <rPr>
            <b/>
            <sz val="9"/>
            <color indexed="81"/>
            <rFont val="Tahoma"/>
            <family val="2"/>
          </rPr>
          <t>LPA:</t>
        </r>
        <r>
          <rPr>
            <sz val="9"/>
            <color indexed="81"/>
            <rFont val="Tahoma"/>
            <family val="2"/>
          </rPr>
          <t xml:space="preserve">
проверити збир!
</t>
        </r>
      </text>
    </comment>
    <comment ref="I4327" authorId="0" shapeId="0">
      <text>
        <r>
          <rPr>
            <b/>
            <sz val="9"/>
            <color indexed="81"/>
            <rFont val="Tahoma"/>
            <family val="2"/>
          </rPr>
          <t>LPA:</t>
        </r>
        <r>
          <rPr>
            <sz val="9"/>
            <color indexed="81"/>
            <rFont val="Tahoma"/>
            <family val="2"/>
          </rPr>
          <t xml:space="preserve">
проверити збир!
</t>
        </r>
      </text>
    </comment>
    <comment ref="H4330" authorId="0" shapeId="0">
      <text>
        <r>
          <rPr>
            <b/>
            <sz val="9"/>
            <color indexed="81"/>
            <rFont val="Tahoma"/>
            <family val="2"/>
          </rPr>
          <t>LPA:</t>
        </r>
        <r>
          <rPr>
            <sz val="9"/>
            <color indexed="81"/>
            <rFont val="Tahoma"/>
            <family val="2"/>
          </rPr>
          <t xml:space="preserve">
проверити збир!</t>
        </r>
      </text>
    </comment>
    <comment ref="I4330" authorId="0" shapeId="0">
      <text>
        <r>
          <rPr>
            <b/>
            <sz val="9"/>
            <color indexed="81"/>
            <rFont val="Tahoma"/>
            <family val="2"/>
          </rPr>
          <t>LPA:</t>
        </r>
        <r>
          <rPr>
            <sz val="9"/>
            <color indexed="81"/>
            <rFont val="Tahoma"/>
            <family val="2"/>
          </rPr>
          <t xml:space="preserve">
проверити збир!</t>
        </r>
      </text>
    </comment>
    <comment ref="I4331" authorId="0" shapeId="0">
      <text>
        <r>
          <rPr>
            <b/>
            <sz val="9"/>
            <color indexed="81"/>
            <rFont val="Tahoma"/>
            <family val="2"/>
          </rPr>
          <t>LPA:</t>
        </r>
        <r>
          <rPr>
            <sz val="9"/>
            <color indexed="81"/>
            <rFont val="Tahoma"/>
            <family val="2"/>
          </rPr>
          <t xml:space="preserve">
проверити збир!
</t>
        </r>
      </text>
    </comment>
    <comment ref="I4332" authorId="0" shapeId="0">
      <text>
        <r>
          <rPr>
            <b/>
            <sz val="9"/>
            <color indexed="81"/>
            <rFont val="Tahoma"/>
            <family val="2"/>
          </rPr>
          <t>LPA:</t>
        </r>
        <r>
          <rPr>
            <sz val="9"/>
            <color indexed="81"/>
            <rFont val="Tahoma"/>
            <family val="2"/>
          </rPr>
          <t xml:space="preserve">
проверити збир!
</t>
        </r>
      </text>
    </comment>
    <comment ref="I4333" authorId="0" shapeId="0">
      <text>
        <r>
          <rPr>
            <b/>
            <sz val="9"/>
            <color indexed="81"/>
            <rFont val="Tahoma"/>
            <family val="2"/>
          </rPr>
          <t>LPA:</t>
        </r>
        <r>
          <rPr>
            <sz val="9"/>
            <color indexed="81"/>
            <rFont val="Tahoma"/>
            <family val="2"/>
          </rPr>
          <t xml:space="preserve">
проверити збир!
</t>
        </r>
      </text>
    </comment>
    <comment ref="I4334" authorId="0" shapeId="0">
      <text>
        <r>
          <rPr>
            <b/>
            <sz val="9"/>
            <color indexed="81"/>
            <rFont val="Tahoma"/>
            <family val="2"/>
          </rPr>
          <t>LPA:</t>
        </r>
        <r>
          <rPr>
            <sz val="9"/>
            <color indexed="81"/>
            <rFont val="Tahoma"/>
            <family val="2"/>
          </rPr>
          <t xml:space="preserve">
проверити збир!
</t>
        </r>
      </text>
    </comment>
    <comment ref="I4335" authorId="0" shapeId="0">
      <text>
        <r>
          <rPr>
            <b/>
            <sz val="9"/>
            <color indexed="81"/>
            <rFont val="Tahoma"/>
            <family val="2"/>
          </rPr>
          <t>LPA:</t>
        </r>
        <r>
          <rPr>
            <sz val="9"/>
            <color indexed="81"/>
            <rFont val="Tahoma"/>
            <family val="2"/>
          </rPr>
          <t xml:space="preserve">
проверити збир!
</t>
        </r>
      </text>
    </comment>
    <comment ref="I4336" authorId="0" shapeId="0">
      <text>
        <r>
          <rPr>
            <b/>
            <sz val="9"/>
            <color indexed="81"/>
            <rFont val="Tahoma"/>
            <family val="2"/>
          </rPr>
          <t>LPA:</t>
        </r>
        <r>
          <rPr>
            <sz val="9"/>
            <color indexed="81"/>
            <rFont val="Tahoma"/>
            <family val="2"/>
          </rPr>
          <t xml:space="preserve">
проверити збир!
</t>
        </r>
      </text>
    </comment>
    <comment ref="I4337" authorId="0" shapeId="0">
      <text>
        <r>
          <rPr>
            <b/>
            <sz val="9"/>
            <color indexed="81"/>
            <rFont val="Tahoma"/>
            <family val="2"/>
          </rPr>
          <t>LPA:</t>
        </r>
        <r>
          <rPr>
            <sz val="9"/>
            <color indexed="81"/>
            <rFont val="Tahoma"/>
            <family val="2"/>
          </rPr>
          <t xml:space="preserve">
проверити збир!
</t>
        </r>
      </text>
    </comment>
    <comment ref="I4338" authorId="0" shapeId="0">
      <text>
        <r>
          <rPr>
            <b/>
            <sz val="9"/>
            <color indexed="81"/>
            <rFont val="Tahoma"/>
            <family val="2"/>
          </rPr>
          <t>LPA:</t>
        </r>
        <r>
          <rPr>
            <sz val="9"/>
            <color indexed="81"/>
            <rFont val="Tahoma"/>
            <family val="2"/>
          </rPr>
          <t xml:space="preserve">
проверити збир!
</t>
        </r>
      </text>
    </comment>
    <comment ref="I4339" authorId="0" shapeId="0">
      <text>
        <r>
          <rPr>
            <b/>
            <sz val="9"/>
            <color indexed="81"/>
            <rFont val="Tahoma"/>
            <family val="2"/>
          </rPr>
          <t>LPA:</t>
        </r>
        <r>
          <rPr>
            <sz val="9"/>
            <color indexed="81"/>
            <rFont val="Tahoma"/>
            <family val="2"/>
          </rPr>
          <t xml:space="preserve">
проверити збир!
</t>
        </r>
      </text>
    </comment>
    <comment ref="I4340" authorId="0" shapeId="0">
      <text>
        <r>
          <rPr>
            <b/>
            <sz val="9"/>
            <color indexed="81"/>
            <rFont val="Tahoma"/>
            <family val="2"/>
          </rPr>
          <t>LPA:</t>
        </r>
        <r>
          <rPr>
            <sz val="9"/>
            <color indexed="81"/>
            <rFont val="Tahoma"/>
            <family val="2"/>
          </rPr>
          <t xml:space="preserve">
проверити збир!
</t>
        </r>
      </text>
    </comment>
    <comment ref="I4341" authorId="0" shapeId="0">
      <text>
        <r>
          <rPr>
            <b/>
            <sz val="9"/>
            <color indexed="81"/>
            <rFont val="Tahoma"/>
            <family val="2"/>
          </rPr>
          <t>LPA:</t>
        </r>
        <r>
          <rPr>
            <sz val="9"/>
            <color indexed="81"/>
            <rFont val="Tahoma"/>
            <family val="2"/>
          </rPr>
          <t xml:space="preserve">
проверити збир!
</t>
        </r>
      </text>
    </comment>
    <comment ref="I4342" authorId="0" shapeId="0">
      <text>
        <r>
          <rPr>
            <b/>
            <sz val="9"/>
            <color indexed="81"/>
            <rFont val="Tahoma"/>
            <family val="2"/>
          </rPr>
          <t>LPA:</t>
        </r>
        <r>
          <rPr>
            <sz val="9"/>
            <color indexed="81"/>
            <rFont val="Tahoma"/>
            <family val="2"/>
          </rPr>
          <t xml:space="preserve">
проверити збир!
</t>
        </r>
      </text>
    </comment>
    <comment ref="I4343" authorId="0" shapeId="0">
      <text>
        <r>
          <rPr>
            <b/>
            <sz val="9"/>
            <color indexed="81"/>
            <rFont val="Tahoma"/>
            <family val="2"/>
          </rPr>
          <t>LPA:</t>
        </r>
        <r>
          <rPr>
            <sz val="9"/>
            <color indexed="81"/>
            <rFont val="Tahoma"/>
            <family val="2"/>
          </rPr>
          <t xml:space="preserve">
проверити збир!
</t>
        </r>
      </text>
    </comment>
    <comment ref="I4344" authorId="0" shapeId="0">
      <text>
        <r>
          <rPr>
            <b/>
            <sz val="9"/>
            <color indexed="81"/>
            <rFont val="Tahoma"/>
            <family val="2"/>
          </rPr>
          <t>LPA:</t>
        </r>
        <r>
          <rPr>
            <sz val="9"/>
            <color indexed="81"/>
            <rFont val="Tahoma"/>
            <family val="2"/>
          </rPr>
          <t xml:space="preserve">
проверити збир!
</t>
        </r>
      </text>
    </comment>
    <comment ref="I4345" authorId="0" shapeId="0">
      <text>
        <r>
          <rPr>
            <b/>
            <sz val="9"/>
            <color indexed="81"/>
            <rFont val="Tahoma"/>
            <family val="2"/>
          </rPr>
          <t>LPA:</t>
        </r>
        <r>
          <rPr>
            <sz val="9"/>
            <color indexed="81"/>
            <rFont val="Tahoma"/>
            <family val="2"/>
          </rPr>
          <t xml:space="preserve">
проверити збир!
</t>
        </r>
      </text>
    </comment>
    <comment ref="I4414" authorId="0" shapeId="0">
      <text>
        <r>
          <rPr>
            <b/>
            <sz val="9"/>
            <color indexed="81"/>
            <rFont val="Tahoma"/>
            <family val="2"/>
          </rPr>
          <t>LPA:</t>
        </r>
        <r>
          <rPr>
            <sz val="9"/>
            <color indexed="81"/>
            <rFont val="Tahoma"/>
            <family val="2"/>
          </rPr>
          <t xml:space="preserve">
проверити збир!
</t>
        </r>
      </text>
    </comment>
    <comment ref="I4415" authorId="0" shapeId="0">
      <text>
        <r>
          <rPr>
            <b/>
            <sz val="9"/>
            <color indexed="81"/>
            <rFont val="Tahoma"/>
            <family val="2"/>
          </rPr>
          <t>LPA:</t>
        </r>
        <r>
          <rPr>
            <sz val="9"/>
            <color indexed="81"/>
            <rFont val="Tahoma"/>
            <family val="2"/>
          </rPr>
          <t xml:space="preserve">
проверити збир!
</t>
        </r>
      </text>
    </comment>
    <comment ref="I4416" authorId="0" shapeId="0">
      <text>
        <r>
          <rPr>
            <b/>
            <sz val="9"/>
            <color indexed="81"/>
            <rFont val="Tahoma"/>
            <family val="2"/>
          </rPr>
          <t>LPA:</t>
        </r>
        <r>
          <rPr>
            <sz val="9"/>
            <color indexed="81"/>
            <rFont val="Tahoma"/>
            <family val="2"/>
          </rPr>
          <t xml:space="preserve">
проверити збир!
</t>
        </r>
      </text>
    </comment>
    <comment ref="I4417" authorId="0" shapeId="0">
      <text>
        <r>
          <rPr>
            <b/>
            <sz val="9"/>
            <color indexed="81"/>
            <rFont val="Tahoma"/>
            <family val="2"/>
          </rPr>
          <t>LPA:</t>
        </r>
        <r>
          <rPr>
            <sz val="9"/>
            <color indexed="81"/>
            <rFont val="Tahoma"/>
            <family val="2"/>
          </rPr>
          <t xml:space="preserve">
проверити збир!
</t>
        </r>
      </text>
    </comment>
    <comment ref="I4418" authorId="0" shapeId="0">
      <text>
        <r>
          <rPr>
            <b/>
            <sz val="9"/>
            <color indexed="81"/>
            <rFont val="Tahoma"/>
            <family val="2"/>
          </rPr>
          <t>LPA:</t>
        </r>
        <r>
          <rPr>
            <sz val="9"/>
            <color indexed="81"/>
            <rFont val="Tahoma"/>
            <family val="2"/>
          </rPr>
          <t xml:space="preserve">
проверити збир!
</t>
        </r>
      </text>
    </comment>
    <comment ref="I4419" authorId="0" shapeId="0">
      <text>
        <r>
          <rPr>
            <b/>
            <sz val="9"/>
            <color indexed="81"/>
            <rFont val="Tahoma"/>
            <family val="2"/>
          </rPr>
          <t>LPA:</t>
        </r>
        <r>
          <rPr>
            <sz val="9"/>
            <color indexed="81"/>
            <rFont val="Tahoma"/>
            <family val="2"/>
          </rPr>
          <t xml:space="preserve">
проверити збир!
</t>
        </r>
      </text>
    </comment>
    <comment ref="I4420" authorId="0" shapeId="0">
      <text>
        <r>
          <rPr>
            <b/>
            <sz val="9"/>
            <color indexed="81"/>
            <rFont val="Tahoma"/>
            <family val="2"/>
          </rPr>
          <t>LPA:</t>
        </r>
        <r>
          <rPr>
            <sz val="9"/>
            <color indexed="81"/>
            <rFont val="Tahoma"/>
            <family val="2"/>
          </rPr>
          <t xml:space="preserve">
проверити збир!
</t>
        </r>
      </text>
    </comment>
    <comment ref="I4421" authorId="0" shapeId="0">
      <text>
        <r>
          <rPr>
            <b/>
            <sz val="9"/>
            <color indexed="81"/>
            <rFont val="Tahoma"/>
            <family val="2"/>
          </rPr>
          <t>LPA:</t>
        </r>
        <r>
          <rPr>
            <sz val="9"/>
            <color indexed="81"/>
            <rFont val="Tahoma"/>
            <family val="2"/>
          </rPr>
          <t xml:space="preserve">
проверити збир!
</t>
        </r>
      </text>
    </comment>
    <comment ref="I4422" authorId="0" shapeId="0">
      <text>
        <r>
          <rPr>
            <b/>
            <sz val="9"/>
            <color indexed="81"/>
            <rFont val="Tahoma"/>
            <family val="2"/>
          </rPr>
          <t>LPA:</t>
        </r>
        <r>
          <rPr>
            <sz val="9"/>
            <color indexed="81"/>
            <rFont val="Tahoma"/>
            <family val="2"/>
          </rPr>
          <t xml:space="preserve">
проверити збир!
</t>
        </r>
      </text>
    </comment>
    <comment ref="I4423" authorId="0" shapeId="0">
      <text>
        <r>
          <rPr>
            <b/>
            <sz val="9"/>
            <color indexed="81"/>
            <rFont val="Tahoma"/>
            <family val="2"/>
          </rPr>
          <t>LPA:</t>
        </r>
        <r>
          <rPr>
            <sz val="9"/>
            <color indexed="81"/>
            <rFont val="Tahoma"/>
            <family val="2"/>
          </rPr>
          <t xml:space="preserve">
проверити збир!
</t>
        </r>
      </text>
    </comment>
    <comment ref="I4424" authorId="0" shapeId="0">
      <text>
        <r>
          <rPr>
            <b/>
            <sz val="9"/>
            <color indexed="81"/>
            <rFont val="Tahoma"/>
            <family val="2"/>
          </rPr>
          <t>LPA:</t>
        </r>
        <r>
          <rPr>
            <sz val="9"/>
            <color indexed="81"/>
            <rFont val="Tahoma"/>
            <family val="2"/>
          </rPr>
          <t xml:space="preserve">
проверити збир!
</t>
        </r>
      </text>
    </comment>
    <comment ref="I4425" authorId="0" shapeId="0">
      <text>
        <r>
          <rPr>
            <b/>
            <sz val="9"/>
            <color indexed="81"/>
            <rFont val="Tahoma"/>
            <family val="2"/>
          </rPr>
          <t>LPA:</t>
        </r>
        <r>
          <rPr>
            <sz val="9"/>
            <color indexed="81"/>
            <rFont val="Tahoma"/>
            <family val="2"/>
          </rPr>
          <t xml:space="preserve">
проверити збир!
</t>
        </r>
      </text>
    </comment>
    <comment ref="I4426" authorId="0" shapeId="0">
      <text>
        <r>
          <rPr>
            <b/>
            <sz val="9"/>
            <color indexed="81"/>
            <rFont val="Tahoma"/>
            <family val="2"/>
          </rPr>
          <t>LPA:</t>
        </r>
        <r>
          <rPr>
            <sz val="9"/>
            <color indexed="81"/>
            <rFont val="Tahoma"/>
            <family val="2"/>
          </rPr>
          <t xml:space="preserve">
проверити збир!
</t>
        </r>
      </text>
    </comment>
    <comment ref="H4429" authorId="0" shapeId="0">
      <text>
        <r>
          <rPr>
            <b/>
            <sz val="9"/>
            <color indexed="81"/>
            <rFont val="Tahoma"/>
            <family val="2"/>
          </rPr>
          <t>LPA:</t>
        </r>
        <r>
          <rPr>
            <sz val="9"/>
            <color indexed="81"/>
            <rFont val="Tahoma"/>
            <family val="2"/>
          </rPr>
          <t xml:space="preserve">
проверити збир!</t>
        </r>
      </text>
    </comment>
    <comment ref="I4429" authorId="0" shapeId="0">
      <text>
        <r>
          <rPr>
            <b/>
            <sz val="9"/>
            <color indexed="81"/>
            <rFont val="Tahoma"/>
            <family val="2"/>
          </rPr>
          <t>LPA:</t>
        </r>
        <r>
          <rPr>
            <sz val="9"/>
            <color indexed="81"/>
            <rFont val="Tahoma"/>
            <family val="2"/>
          </rPr>
          <t xml:space="preserve">
проверити збир!</t>
        </r>
      </text>
    </comment>
    <comment ref="I4430" authorId="0" shapeId="0">
      <text>
        <r>
          <rPr>
            <b/>
            <sz val="9"/>
            <color indexed="81"/>
            <rFont val="Tahoma"/>
            <family val="2"/>
          </rPr>
          <t>LPA:</t>
        </r>
        <r>
          <rPr>
            <sz val="9"/>
            <color indexed="81"/>
            <rFont val="Tahoma"/>
            <family val="2"/>
          </rPr>
          <t xml:space="preserve">
проверити збир!
</t>
        </r>
      </text>
    </comment>
    <comment ref="I4431" authorId="0" shapeId="0">
      <text>
        <r>
          <rPr>
            <b/>
            <sz val="9"/>
            <color indexed="81"/>
            <rFont val="Tahoma"/>
            <family val="2"/>
          </rPr>
          <t>LPA:</t>
        </r>
        <r>
          <rPr>
            <sz val="9"/>
            <color indexed="81"/>
            <rFont val="Tahoma"/>
            <family val="2"/>
          </rPr>
          <t xml:space="preserve">
проверити збир!
</t>
        </r>
      </text>
    </comment>
    <comment ref="I4432" authorId="0" shapeId="0">
      <text>
        <r>
          <rPr>
            <b/>
            <sz val="9"/>
            <color indexed="81"/>
            <rFont val="Tahoma"/>
            <family val="2"/>
          </rPr>
          <t>LPA:</t>
        </r>
        <r>
          <rPr>
            <sz val="9"/>
            <color indexed="81"/>
            <rFont val="Tahoma"/>
            <family val="2"/>
          </rPr>
          <t xml:space="preserve">
проверити збир!
</t>
        </r>
      </text>
    </comment>
    <comment ref="I4433" authorId="0" shapeId="0">
      <text>
        <r>
          <rPr>
            <b/>
            <sz val="9"/>
            <color indexed="81"/>
            <rFont val="Tahoma"/>
            <family val="2"/>
          </rPr>
          <t>LPA:</t>
        </r>
        <r>
          <rPr>
            <sz val="9"/>
            <color indexed="81"/>
            <rFont val="Tahoma"/>
            <family val="2"/>
          </rPr>
          <t xml:space="preserve">
проверити збир!
</t>
        </r>
      </text>
    </comment>
    <comment ref="I4434" authorId="0" shapeId="0">
      <text>
        <r>
          <rPr>
            <b/>
            <sz val="9"/>
            <color indexed="81"/>
            <rFont val="Tahoma"/>
            <family val="2"/>
          </rPr>
          <t>LPA:</t>
        </r>
        <r>
          <rPr>
            <sz val="9"/>
            <color indexed="81"/>
            <rFont val="Tahoma"/>
            <family val="2"/>
          </rPr>
          <t xml:space="preserve">
проверити збир!
</t>
        </r>
      </text>
    </comment>
    <comment ref="I4435" authorId="0" shapeId="0">
      <text>
        <r>
          <rPr>
            <b/>
            <sz val="9"/>
            <color indexed="81"/>
            <rFont val="Tahoma"/>
            <family val="2"/>
          </rPr>
          <t>LPA:</t>
        </r>
        <r>
          <rPr>
            <sz val="9"/>
            <color indexed="81"/>
            <rFont val="Tahoma"/>
            <family val="2"/>
          </rPr>
          <t xml:space="preserve">
проверити збир!
</t>
        </r>
      </text>
    </comment>
    <comment ref="I4436" authorId="0" shapeId="0">
      <text>
        <r>
          <rPr>
            <b/>
            <sz val="9"/>
            <color indexed="81"/>
            <rFont val="Tahoma"/>
            <family val="2"/>
          </rPr>
          <t>LPA:</t>
        </r>
        <r>
          <rPr>
            <sz val="9"/>
            <color indexed="81"/>
            <rFont val="Tahoma"/>
            <family val="2"/>
          </rPr>
          <t xml:space="preserve">
проверити збир!
</t>
        </r>
      </text>
    </comment>
    <comment ref="I4437" authorId="0" shapeId="0">
      <text>
        <r>
          <rPr>
            <b/>
            <sz val="9"/>
            <color indexed="81"/>
            <rFont val="Tahoma"/>
            <family val="2"/>
          </rPr>
          <t>LPA:</t>
        </r>
        <r>
          <rPr>
            <sz val="9"/>
            <color indexed="81"/>
            <rFont val="Tahoma"/>
            <family val="2"/>
          </rPr>
          <t xml:space="preserve">
проверити збир!
</t>
        </r>
      </text>
    </comment>
    <comment ref="I4438" authorId="0" shapeId="0">
      <text>
        <r>
          <rPr>
            <b/>
            <sz val="9"/>
            <color indexed="81"/>
            <rFont val="Tahoma"/>
            <family val="2"/>
          </rPr>
          <t>LPA:</t>
        </r>
        <r>
          <rPr>
            <sz val="9"/>
            <color indexed="81"/>
            <rFont val="Tahoma"/>
            <family val="2"/>
          </rPr>
          <t xml:space="preserve">
проверити збир!
</t>
        </r>
      </text>
    </comment>
    <comment ref="I4439" authorId="0" shapeId="0">
      <text>
        <r>
          <rPr>
            <b/>
            <sz val="9"/>
            <color indexed="81"/>
            <rFont val="Tahoma"/>
            <family val="2"/>
          </rPr>
          <t>LPA:</t>
        </r>
        <r>
          <rPr>
            <sz val="9"/>
            <color indexed="81"/>
            <rFont val="Tahoma"/>
            <family val="2"/>
          </rPr>
          <t xml:space="preserve">
проверити збир!
</t>
        </r>
      </text>
    </comment>
    <comment ref="I4440" authorId="0" shapeId="0">
      <text>
        <r>
          <rPr>
            <b/>
            <sz val="9"/>
            <color indexed="81"/>
            <rFont val="Tahoma"/>
            <family val="2"/>
          </rPr>
          <t>LPA:</t>
        </r>
        <r>
          <rPr>
            <sz val="9"/>
            <color indexed="81"/>
            <rFont val="Tahoma"/>
            <family val="2"/>
          </rPr>
          <t xml:space="preserve">
проверити збир!
</t>
        </r>
      </text>
    </comment>
    <comment ref="I4441" authorId="0" shapeId="0">
      <text>
        <r>
          <rPr>
            <b/>
            <sz val="9"/>
            <color indexed="81"/>
            <rFont val="Tahoma"/>
            <family val="2"/>
          </rPr>
          <t>LPA:</t>
        </r>
        <r>
          <rPr>
            <sz val="9"/>
            <color indexed="81"/>
            <rFont val="Tahoma"/>
            <family val="2"/>
          </rPr>
          <t xml:space="preserve">
проверити збир!
</t>
        </r>
      </text>
    </comment>
    <comment ref="I4442" authorId="0" shapeId="0">
      <text>
        <r>
          <rPr>
            <b/>
            <sz val="9"/>
            <color indexed="81"/>
            <rFont val="Tahoma"/>
            <family val="2"/>
          </rPr>
          <t>LPA:</t>
        </r>
        <r>
          <rPr>
            <sz val="9"/>
            <color indexed="81"/>
            <rFont val="Tahoma"/>
            <family val="2"/>
          </rPr>
          <t xml:space="preserve">
проверити збир!
</t>
        </r>
      </text>
    </comment>
    <comment ref="I4443" authorId="0" shapeId="0">
      <text>
        <r>
          <rPr>
            <b/>
            <sz val="9"/>
            <color indexed="81"/>
            <rFont val="Tahoma"/>
            <family val="2"/>
          </rPr>
          <t>LPA:</t>
        </r>
        <r>
          <rPr>
            <sz val="9"/>
            <color indexed="81"/>
            <rFont val="Tahoma"/>
            <family val="2"/>
          </rPr>
          <t xml:space="preserve">
проверити збир!
</t>
        </r>
      </text>
    </comment>
    <comment ref="I4444" authorId="0" shapeId="0">
      <text>
        <r>
          <rPr>
            <b/>
            <sz val="9"/>
            <color indexed="81"/>
            <rFont val="Tahoma"/>
            <family val="2"/>
          </rPr>
          <t>LPA:</t>
        </r>
        <r>
          <rPr>
            <sz val="9"/>
            <color indexed="81"/>
            <rFont val="Tahoma"/>
            <family val="2"/>
          </rPr>
          <t xml:space="preserve">
проверити збир!
</t>
        </r>
      </text>
    </comment>
    <comment ref="H4448" authorId="0" shapeId="0">
      <text>
        <r>
          <rPr>
            <b/>
            <sz val="9"/>
            <color indexed="81"/>
            <rFont val="Tahoma"/>
            <family val="2"/>
          </rPr>
          <t>LPA:</t>
        </r>
        <r>
          <rPr>
            <sz val="9"/>
            <color indexed="81"/>
            <rFont val="Tahoma"/>
            <family val="2"/>
          </rPr>
          <t xml:space="preserve">
проверити збир!</t>
        </r>
      </text>
    </comment>
    <comment ref="I4448" authorId="0" shapeId="0">
      <text>
        <r>
          <rPr>
            <b/>
            <sz val="9"/>
            <color indexed="81"/>
            <rFont val="Tahoma"/>
            <family val="2"/>
          </rPr>
          <t>LPA:</t>
        </r>
        <r>
          <rPr>
            <sz val="9"/>
            <color indexed="81"/>
            <rFont val="Tahoma"/>
            <family val="2"/>
          </rPr>
          <t xml:space="preserve">
проверити збир!
</t>
        </r>
      </text>
    </comment>
    <comment ref="I4449" authorId="0" shapeId="0">
      <text>
        <r>
          <rPr>
            <b/>
            <sz val="9"/>
            <color indexed="81"/>
            <rFont val="Tahoma"/>
            <family val="2"/>
          </rPr>
          <t>LPA:</t>
        </r>
        <r>
          <rPr>
            <sz val="9"/>
            <color indexed="81"/>
            <rFont val="Tahoma"/>
            <family val="2"/>
          </rPr>
          <t xml:space="preserve">
проверити збир!
</t>
        </r>
      </text>
    </comment>
    <comment ref="I4450" authorId="0" shapeId="0">
      <text>
        <r>
          <rPr>
            <b/>
            <sz val="9"/>
            <color indexed="81"/>
            <rFont val="Tahoma"/>
            <family val="2"/>
          </rPr>
          <t>LPA:</t>
        </r>
        <r>
          <rPr>
            <sz val="9"/>
            <color indexed="81"/>
            <rFont val="Tahoma"/>
            <family val="2"/>
          </rPr>
          <t xml:space="preserve">
проверити збир!
</t>
        </r>
      </text>
    </comment>
    <comment ref="I4451" authorId="0" shapeId="0">
      <text>
        <r>
          <rPr>
            <b/>
            <sz val="9"/>
            <color indexed="81"/>
            <rFont val="Tahoma"/>
            <family val="2"/>
          </rPr>
          <t>LPA:</t>
        </r>
        <r>
          <rPr>
            <sz val="9"/>
            <color indexed="81"/>
            <rFont val="Tahoma"/>
            <family val="2"/>
          </rPr>
          <t xml:space="preserve">
проверити збир!
</t>
        </r>
      </text>
    </comment>
    <comment ref="I4452" authorId="0" shapeId="0">
      <text>
        <r>
          <rPr>
            <b/>
            <sz val="9"/>
            <color indexed="81"/>
            <rFont val="Tahoma"/>
            <family val="2"/>
          </rPr>
          <t>LPA:</t>
        </r>
        <r>
          <rPr>
            <sz val="9"/>
            <color indexed="81"/>
            <rFont val="Tahoma"/>
            <family val="2"/>
          </rPr>
          <t xml:space="preserve">
проверити збир!
</t>
        </r>
      </text>
    </comment>
    <comment ref="I4453" authorId="0" shapeId="0">
      <text>
        <r>
          <rPr>
            <b/>
            <sz val="9"/>
            <color indexed="81"/>
            <rFont val="Tahoma"/>
            <family val="2"/>
          </rPr>
          <t>LPA:</t>
        </r>
        <r>
          <rPr>
            <sz val="9"/>
            <color indexed="81"/>
            <rFont val="Tahoma"/>
            <family val="2"/>
          </rPr>
          <t xml:space="preserve">
проверити збир!
</t>
        </r>
      </text>
    </comment>
    <comment ref="I4454" authorId="0" shapeId="0">
      <text>
        <r>
          <rPr>
            <b/>
            <sz val="9"/>
            <color indexed="81"/>
            <rFont val="Tahoma"/>
            <family val="2"/>
          </rPr>
          <t>LPA:</t>
        </r>
        <r>
          <rPr>
            <sz val="9"/>
            <color indexed="81"/>
            <rFont val="Tahoma"/>
            <family val="2"/>
          </rPr>
          <t xml:space="preserve">
проверити збир!
</t>
        </r>
      </text>
    </comment>
    <comment ref="I4455" authorId="0" shapeId="0">
      <text>
        <r>
          <rPr>
            <b/>
            <sz val="9"/>
            <color indexed="81"/>
            <rFont val="Tahoma"/>
            <family val="2"/>
          </rPr>
          <t>LPA:</t>
        </r>
        <r>
          <rPr>
            <sz val="9"/>
            <color indexed="81"/>
            <rFont val="Tahoma"/>
            <family val="2"/>
          </rPr>
          <t xml:space="preserve">
проверити збир!
</t>
        </r>
      </text>
    </comment>
    <comment ref="I4456" authorId="0" shapeId="0">
      <text>
        <r>
          <rPr>
            <b/>
            <sz val="9"/>
            <color indexed="81"/>
            <rFont val="Tahoma"/>
            <family val="2"/>
          </rPr>
          <t>LPA:</t>
        </r>
        <r>
          <rPr>
            <sz val="9"/>
            <color indexed="81"/>
            <rFont val="Tahoma"/>
            <family val="2"/>
          </rPr>
          <t xml:space="preserve">
проверити збир!
</t>
        </r>
      </text>
    </comment>
    <comment ref="I4457" authorId="0" shapeId="0">
      <text>
        <r>
          <rPr>
            <b/>
            <sz val="9"/>
            <color indexed="81"/>
            <rFont val="Tahoma"/>
            <family val="2"/>
          </rPr>
          <t>LPA:</t>
        </r>
        <r>
          <rPr>
            <sz val="9"/>
            <color indexed="81"/>
            <rFont val="Tahoma"/>
            <family val="2"/>
          </rPr>
          <t xml:space="preserve">
проверити збир!
</t>
        </r>
      </text>
    </comment>
    <comment ref="I4458" authorId="0" shapeId="0">
      <text>
        <r>
          <rPr>
            <b/>
            <sz val="9"/>
            <color indexed="81"/>
            <rFont val="Tahoma"/>
            <family val="2"/>
          </rPr>
          <t>LPA:</t>
        </r>
        <r>
          <rPr>
            <sz val="9"/>
            <color indexed="81"/>
            <rFont val="Tahoma"/>
            <family val="2"/>
          </rPr>
          <t xml:space="preserve">
проверити збир!
</t>
        </r>
      </text>
    </comment>
    <comment ref="I4459" authorId="0" shapeId="0">
      <text>
        <r>
          <rPr>
            <b/>
            <sz val="9"/>
            <color indexed="81"/>
            <rFont val="Tahoma"/>
            <family val="2"/>
          </rPr>
          <t>LPA:</t>
        </r>
        <r>
          <rPr>
            <sz val="9"/>
            <color indexed="81"/>
            <rFont val="Tahoma"/>
            <family val="2"/>
          </rPr>
          <t xml:space="preserve">
проверити збир!
</t>
        </r>
      </text>
    </comment>
    <comment ref="I4460" authorId="0" shapeId="0">
      <text>
        <r>
          <rPr>
            <b/>
            <sz val="9"/>
            <color indexed="81"/>
            <rFont val="Tahoma"/>
            <family val="2"/>
          </rPr>
          <t>LPA:</t>
        </r>
        <r>
          <rPr>
            <sz val="9"/>
            <color indexed="81"/>
            <rFont val="Tahoma"/>
            <family val="2"/>
          </rPr>
          <t xml:space="preserve">
проверити збир!
</t>
        </r>
      </text>
    </comment>
    <comment ref="I4461" authorId="0" shapeId="0">
      <text>
        <r>
          <rPr>
            <b/>
            <sz val="9"/>
            <color indexed="81"/>
            <rFont val="Tahoma"/>
            <family val="2"/>
          </rPr>
          <t>LPA:</t>
        </r>
        <r>
          <rPr>
            <sz val="9"/>
            <color indexed="81"/>
            <rFont val="Tahoma"/>
            <family val="2"/>
          </rPr>
          <t xml:space="preserve">
проверити збир!
</t>
        </r>
      </text>
    </comment>
    <comment ref="I4462" authorId="0" shapeId="0">
      <text>
        <r>
          <rPr>
            <b/>
            <sz val="9"/>
            <color indexed="81"/>
            <rFont val="Tahoma"/>
            <family val="2"/>
          </rPr>
          <t>LPA:</t>
        </r>
        <r>
          <rPr>
            <sz val="9"/>
            <color indexed="81"/>
            <rFont val="Tahoma"/>
            <family val="2"/>
          </rPr>
          <t xml:space="preserve">
проверити збир!
</t>
        </r>
      </text>
    </comment>
    <comment ref="I4463" authorId="0" shapeId="0">
      <text>
        <r>
          <rPr>
            <b/>
            <sz val="9"/>
            <color indexed="81"/>
            <rFont val="Tahoma"/>
            <family val="2"/>
          </rPr>
          <t>LPA:</t>
        </r>
        <r>
          <rPr>
            <sz val="9"/>
            <color indexed="81"/>
            <rFont val="Tahoma"/>
            <family val="2"/>
          </rPr>
          <t xml:space="preserve">
проверити збир!
</t>
        </r>
      </text>
    </comment>
    <comment ref="I4534" authorId="0" shapeId="0">
      <text>
        <r>
          <rPr>
            <b/>
            <sz val="9"/>
            <color indexed="81"/>
            <rFont val="Tahoma"/>
            <family val="2"/>
          </rPr>
          <t>LPA:</t>
        </r>
        <r>
          <rPr>
            <sz val="9"/>
            <color indexed="81"/>
            <rFont val="Tahoma"/>
            <family val="2"/>
          </rPr>
          <t xml:space="preserve">
проверити збир!
</t>
        </r>
      </text>
    </comment>
    <comment ref="I4535" authorId="0" shapeId="0">
      <text>
        <r>
          <rPr>
            <b/>
            <sz val="9"/>
            <color indexed="81"/>
            <rFont val="Tahoma"/>
            <family val="2"/>
          </rPr>
          <t>LPA:</t>
        </r>
        <r>
          <rPr>
            <sz val="9"/>
            <color indexed="81"/>
            <rFont val="Tahoma"/>
            <family val="2"/>
          </rPr>
          <t xml:space="preserve">
проверити збир!
</t>
        </r>
      </text>
    </comment>
    <comment ref="I4536" authorId="0" shapeId="0">
      <text>
        <r>
          <rPr>
            <b/>
            <sz val="9"/>
            <color indexed="81"/>
            <rFont val="Tahoma"/>
            <family val="2"/>
          </rPr>
          <t>LPA:</t>
        </r>
        <r>
          <rPr>
            <sz val="9"/>
            <color indexed="81"/>
            <rFont val="Tahoma"/>
            <family val="2"/>
          </rPr>
          <t xml:space="preserve">
проверити збир!
</t>
        </r>
      </text>
    </comment>
    <comment ref="I4537" authorId="0" shapeId="0">
      <text>
        <r>
          <rPr>
            <b/>
            <sz val="9"/>
            <color indexed="81"/>
            <rFont val="Tahoma"/>
            <family val="2"/>
          </rPr>
          <t>LPA:</t>
        </r>
        <r>
          <rPr>
            <sz val="9"/>
            <color indexed="81"/>
            <rFont val="Tahoma"/>
            <family val="2"/>
          </rPr>
          <t xml:space="preserve">
проверити збир!
</t>
        </r>
      </text>
    </comment>
    <comment ref="I4538" authorId="0" shapeId="0">
      <text>
        <r>
          <rPr>
            <b/>
            <sz val="9"/>
            <color indexed="81"/>
            <rFont val="Tahoma"/>
            <family val="2"/>
          </rPr>
          <t>LPA:</t>
        </r>
        <r>
          <rPr>
            <sz val="9"/>
            <color indexed="81"/>
            <rFont val="Tahoma"/>
            <family val="2"/>
          </rPr>
          <t xml:space="preserve">
проверити збир!
</t>
        </r>
      </text>
    </comment>
    <comment ref="I4539" authorId="0" shapeId="0">
      <text>
        <r>
          <rPr>
            <b/>
            <sz val="9"/>
            <color indexed="81"/>
            <rFont val="Tahoma"/>
            <family val="2"/>
          </rPr>
          <t>LPA:</t>
        </r>
        <r>
          <rPr>
            <sz val="9"/>
            <color indexed="81"/>
            <rFont val="Tahoma"/>
            <family val="2"/>
          </rPr>
          <t xml:space="preserve">
проверити збир!
</t>
        </r>
      </text>
    </comment>
    <comment ref="I4540" authorId="0" shapeId="0">
      <text>
        <r>
          <rPr>
            <b/>
            <sz val="9"/>
            <color indexed="81"/>
            <rFont val="Tahoma"/>
            <family val="2"/>
          </rPr>
          <t>LPA:</t>
        </r>
        <r>
          <rPr>
            <sz val="9"/>
            <color indexed="81"/>
            <rFont val="Tahoma"/>
            <family val="2"/>
          </rPr>
          <t xml:space="preserve">
проверити збир!
</t>
        </r>
      </text>
    </comment>
    <comment ref="I4541" authorId="0" shapeId="0">
      <text>
        <r>
          <rPr>
            <b/>
            <sz val="9"/>
            <color indexed="81"/>
            <rFont val="Tahoma"/>
            <family val="2"/>
          </rPr>
          <t>LPA:</t>
        </r>
        <r>
          <rPr>
            <sz val="9"/>
            <color indexed="81"/>
            <rFont val="Tahoma"/>
            <family val="2"/>
          </rPr>
          <t xml:space="preserve">
проверити збир!
</t>
        </r>
      </text>
    </comment>
    <comment ref="I4542" authorId="0" shapeId="0">
      <text>
        <r>
          <rPr>
            <b/>
            <sz val="9"/>
            <color indexed="81"/>
            <rFont val="Tahoma"/>
            <family val="2"/>
          </rPr>
          <t>LPA:</t>
        </r>
        <r>
          <rPr>
            <sz val="9"/>
            <color indexed="81"/>
            <rFont val="Tahoma"/>
            <family val="2"/>
          </rPr>
          <t xml:space="preserve">
проверити збир!
</t>
        </r>
      </text>
    </comment>
    <comment ref="I4543" authorId="0" shapeId="0">
      <text>
        <r>
          <rPr>
            <b/>
            <sz val="9"/>
            <color indexed="81"/>
            <rFont val="Tahoma"/>
            <family val="2"/>
          </rPr>
          <t>LPA:</t>
        </r>
        <r>
          <rPr>
            <sz val="9"/>
            <color indexed="81"/>
            <rFont val="Tahoma"/>
            <family val="2"/>
          </rPr>
          <t xml:space="preserve">
проверити збир!
</t>
        </r>
      </text>
    </comment>
    <comment ref="I4544" authorId="0" shapeId="0">
      <text>
        <r>
          <rPr>
            <b/>
            <sz val="9"/>
            <color indexed="81"/>
            <rFont val="Tahoma"/>
            <family val="2"/>
          </rPr>
          <t>LPA:</t>
        </r>
        <r>
          <rPr>
            <sz val="9"/>
            <color indexed="81"/>
            <rFont val="Tahoma"/>
            <family val="2"/>
          </rPr>
          <t xml:space="preserve">
проверити збир!
</t>
        </r>
      </text>
    </comment>
    <comment ref="I4545" authorId="0" shapeId="0">
      <text>
        <r>
          <rPr>
            <b/>
            <sz val="9"/>
            <color indexed="81"/>
            <rFont val="Tahoma"/>
            <family val="2"/>
          </rPr>
          <t>LPA:</t>
        </r>
        <r>
          <rPr>
            <sz val="9"/>
            <color indexed="81"/>
            <rFont val="Tahoma"/>
            <family val="2"/>
          </rPr>
          <t xml:space="preserve">
проверити збир!
</t>
        </r>
      </text>
    </comment>
    <comment ref="I4546" authorId="0" shapeId="0">
      <text>
        <r>
          <rPr>
            <b/>
            <sz val="9"/>
            <color indexed="81"/>
            <rFont val="Tahoma"/>
            <family val="2"/>
          </rPr>
          <t>LPA:</t>
        </r>
        <r>
          <rPr>
            <sz val="9"/>
            <color indexed="81"/>
            <rFont val="Tahoma"/>
            <family val="2"/>
          </rPr>
          <t xml:space="preserve">
проверити збир!
</t>
        </r>
      </text>
    </comment>
    <comment ref="H4549" authorId="0" shapeId="0">
      <text>
        <r>
          <rPr>
            <b/>
            <sz val="9"/>
            <color indexed="81"/>
            <rFont val="Tahoma"/>
            <family val="2"/>
          </rPr>
          <t>LPA:</t>
        </r>
        <r>
          <rPr>
            <sz val="9"/>
            <color indexed="81"/>
            <rFont val="Tahoma"/>
            <family val="2"/>
          </rPr>
          <t xml:space="preserve">
проверити збир!</t>
        </r>
      </text>
    </comment>
    <comment ref="I4549" authorId="0" shapeId="0">
      <text>
        <r>
          <rPr>
            <b/>
            <sz val="9"/>
            <color indexed="81"/>
            <rFont val="Tahoma"/>
            <family val="2"/>
          </rPr>
          <t>LPA:</t>
        </r>
        <r>
          <rPr>
            <sz val="9"/>
            <color indexed="81"/>
            <rFont val="Tahoma"/>
            <family val="2"/>
          </rPr>
          <t xml:space="preserve">
проверити збир!</t>
        </r>
      </text>
    </comment>
    <comment ref="I4550" authorId="0" shapeId="0">
      <text>
        <r>
          <rPr>
            <b/>
            <sz val="9"/>
            <color indexed="81"/>
            <rFont val="Tahoma"/>
            <family val="2"/>
          </rPr>
          <t>LPA:</t>
        </r>
        <r>
          <rPr>
            <sz val="9"/>
            <color indexed="81"/>
            <rFont val="Tahoma"/>
            <family val="2"/>
          </rPr>
          <t xml:space="preserve">
проверити збир!
</t>
        </r>
      </text>
    </comment>
    <comment ref="I4551" authorId="0" shapeId="0">
      <text>
        <r>
          <rPr>
            <b/>
            <sz val="9"/>
            <color indexed="81"/>
            <rFont val="Tahoma"/>
            <family val="2"/>
          </rPr>
          <t>LPA:</t>
        </r>
        <r>
          <rPr>
            <sz val="9"/>
            <color indexed="81"/>
            <rFont val="Tahoma"/>
            <family val="2"/>
          </rPr>
          <t xml:space="preserve">
проверити збир!
</t>
        </r>
      </text>
    </comment>
    <comment ref="I4552" authorId="0" shapeId="0">
      <text>
        <r>
          <rPr>
            <b/>
            <sz val="9"/>
            <color indexed="81"/>
            <rFont val="Tahoma"/>
            <family val="2"/>
          </rPr>
          <t>LPA:</t>
        </r>
        <r>
          <rPr>
            <sz val="9"/>
            <color indexed="81"/>
            <rFont val="Tahoma"/>
            <family val="2"/>
          </rPr>
          <t xml:space="preserve">
проверити збир!
</t>
        </r>
      </text>
    </comment>
    <comment ref="I4553" authorId="0" shapeId="0">
      <text>
        <r>
          <rPr>
            <b/>
            <sz val="9"/>
            <color indexed="81"/>
            <rFont val="Tahoma"/>
            <family val="2"/>
          </rPr>
          <t>LPA:</t>
        </r>
        <r>
          <rPr>
            <sz val="9"/>
            <color indexed="81"/>
            <rFont val="Tahoma"/>
            <family val="2"/>
          </rPr>
          <t xml:space="preserve">
проверити збир!
</t>
        </r>
      </text>
    </comment>
    <comment ref="I4554" authorId="0" shapeId="0">
      <text>
        <r>
          <rPr>
            <b/>
            <sz val="9"/>
            <color indexed="81"/>
            <rFont val="Tahoma"/>
            <family val="2"/>
          </rPr>
          <t>LPA:</t>
        </r>
        <r>
          <rPr>
            <sz val="9"/>
            <color indexed="81"/>
            <rFont val="Tahoma"/>
            <family val="2"/>
          </rPr>
          <t xml:space="preserve">
проверити збир!
</t>
        </r>
      </text>
    </comment>
    <comment ref="I4555" authorId="0" shapeId="0">
      <text>
        <r>
          <rPr>
            <b/>
            <sz val="9"/>
            <color indexed="81"/>
            <rFont val="Tahoma"/>
            <family val="2"/>
          </rPr>
          <t>LPA:</t>
        </r>
        <r>
          <rPr>
            <sz val="9"/>
            <color indexed="81"/>
            <rFont val="Tahoma"/>
            <family val="2"/>
          </rPr>
          <t xml:space="preserve">
проверити збир!
</t>
        </r>
      </text>
    </comment>
    <comment ref="I4556" authorId="0" shapeId="0">
      <text>
        <r>
          <rPr>
            <b/>
            <sz val="9"/>
            <color indexed="81"/>
            <rFont val="Tahoma"/>
            <family val="2"/>
          </rPr>
          <t>LPA:</t>
        </r>
        <r>
          <rPr>
            <sz val="9"/>
            <color indexed="81"/>
            <rFont val="Tahoma"/>
            <family val="2"/>
          </rPr>
          <t xml:space="preserve">
проверити збир!
</t>
        </r>
      </text>
    </comment>
    <comment ref="I4557" authorId="0" shapeId="0">
      <text>
        <r>
          <rPr>
            <b/>
            <sz val="9"/>
            <color indexed="81"/>
            <rFont val="Tahoma"/>
            <family val="2"/>
          </rPr>
          <t>LPA:</t>
        </r>
        <r>
          <rPr>
            <sz val="9"/>
            <color indexed="81"/>
            <rFont val="Tahoma"/>
            <family val="2"/>
          </rPr>
          <t xml:space="preserve">
проверити збир!
</t>
        </r>
      </text>
    </comment>
    <comment ref="I4558" authorId="0" shapeId="0">
      <text>
        <r>
          <rPr>
            <b/>
            <sz val="9"/>
            <color indexed="81"/>
            <rFont val="Tahoma"/>
            <family val="2"/>
          </rPr>
          <t>LPA:</t>
        </r>
        <r>
          <rPr>
            <sz val="9"/>
            <color indexed="81"/>
            <rFont val="Tahoma"/>
            <family val="2"/>
          </rPr>
          <t xml:space="preserve">
проверити збир!
</t>
        </r>
      </text>
    </comment>
    <comment ref="I4559" authorId="0" shapeId="0">
      <text>
        <r>
          <rPr>
            <b/>
            <sz val="9"/>
            <color indexed="81"/>
            <rFont val="Tahoma"/>
            <family val="2"/>
          </rPr>
          <t>LPA:</t>
        </r>
        <r>
          <rPr>
            <sz val="9"/>
            <color indexed="81"/>
            <rFont val="Tahoma"/>
            <family val="2"/>
          </rPr>
          <t xml:space="preserve">
проверити збир!
</t>
        </r>
      </text>
    </comment>
    <comment ref="I4560" authorId="0" shapeId="0">
      <text>
        <r>
          <rPr>
            <b/>
            <sz val="9"/>
            <color indexed="81"/>
            <rFont val="Tahoma"/>
            <family val="2"/>
          </rPr>
          <t>LPA:</t>
        </r>
        <r>
          <rPr>
            <sz val="9"/>
            <color indexed="81"/>
            <rFont val="Tahoma"/>
            <family val="2"/>
          </rPr>
          <t xml:space="preserve">
проверити збир!
</t>
        </r>
      </text>
    </comment>
    <comment ref="I4561" authorId="0" shapeId="0">
      <text>
        <r>
          <rPr>
            <b/>
            <sz val="9"/>
            <color indexed="81"/>
            <rFont val="Tahoma"/>
            <family val="2"/>
          </rPr>
          <t>LPA:</t>
        </r>
        <r>
          <rPr>
            <sz val="9"/>
            <color indexed="81"/>
            <rFont val="Tahoma"/>
            <family val="2"/>
          </rPr>
          <t xml:space="preserve">
проверити збир!
</t>
        </r>
      </text>
    </comment>
    <comment ref="I4562" authorId="0" shapeId="0">
      <text>
        <r>
          <rPr>
            <b/>
            <sz val="9"/>
            <color indexed="81"/>
            <rFont val="Tahoma"/>
            <family val="2"/>
          </rPr>
          <t>LPA:</t>
        </r>
        <r>
          <rPr>
            <sz val="9"/>
            <color indexed="81"/>
            <rFont val="Tahoma"/>
            <family val="2"/>
          </rPr>
          <t xml:space="preserve">
проверити збир!
</t>
        </r>
      </text>
    </comment>
    <comment ref="I4563" authorId="0" shapeId="0">
      <text>
        <r>
          <rPr>
            <b/>
            <sz val="9"/>
            <color indexed="81"/>
            <rFont val="Tahoma"/>
            <family val="2"/>
          </rPr>
          <t>LPA:</t>
        </r>
        <r>
          <rPr>
            <sz val="9"/>
            <color indexed="81"/>
            <rFont val="Tahoma"/>
            <family val="2"/>
          </rPr>
          <t xml:space="preserve">
проверити збир!
</t>
        </r>
      </text>
    </comment>
    <comment ref="I4564" authorId="0" shapeId="0">
      <text>
        <r>
          <rPr>
            <b/>
            <sz val="9"/>
            <color indexed="81"/>
            <rFont val="Tahoma"/>
            <family val="2"/>
          </rPr>
          <t>LPA:</t>
        </r>
        <r>
          <rPr>
            <sz val="9"/>
            <color indexed="81"/>
            <rFont val="Tahoma"/>
            <family val="2"/>
          </rPr>
          <t xml:space="preserve">
проверити збир!
</t>
        </r>
      </text>
    </comment>
    <comment ref="I4633" authorId="0" shapeId="0">
      <text>
        <r>
          <rPr>
            <b/>
            <sz val="9"/>
            <color indexed="81"/>
            <rFont val="Tahoma"/>
            <family val="2"/>
          </rPr>
          <t>LPA:</t>
        </r>
        <r>
          <rPr>
            <sz val="9"/>
            <color indexed="81"/>
            <rFont val="Tahoma"/>
            <family val="2"/>
          </rPr>
          <t xml:space="preserve">
проверити збир!
</t>
        </r>
      </text>
    </comment>
    <comment ref="I4634" authorId="0" shapeId="0">
      <text>
        <r>
          <rPr>
            <b/>
            <sz val="9"/>
            <color indexed="81"/>
            <rFont val="Tahoma"/>
            <family val="2"/>
          </rPr>
          <t>LPA:</t>
        </r>
        <r>
          <rPr>
            <sz val="9"/>
            <color indexed="81"/>
            <rFont val="Tahoma"/>
            <family val="2"/>
          </rPr>
          <t xml:space="preserve">
проверити збир!
</t>
        </r>
      </text>
    </comment>
    <comment ref="I4635" authorId="0" shapeId="0">
      <text>
        <r>
          <rPr>
            <b/>
            <sz val="9"/>
            <color indexed="81"/>
            <rFont val="Tahoma"/>
            <family val="2"/>
          </rPr>
          <t>LPA:</t>
        </r>
        <r>
          <rPr>
            <sz val="9"/>
            <color indexed="81"/>
            <rFont val="Tahoma"/>
            <family val="2"/>
          </rPr>
          <t xml:space="preserve">
проверити збир!
</t>
        </r>
      </text>
    </comment>
    <comment ref="I4636" authorId="0" shapeId="0">
      <text>
        <r>
          <rPr>
            <b/>
            <sz val="9"/>
            <color indexed="81"/>
            <rFont val="Tahoma"/>
            <family val="2"/>
          </rPr>
          <t>LPA:</t>
        </r>
        <r>
          <rPr>
            <sz val="9"/>
            <color indexed="81"/>
            <rFont val="Tahoma"/>
            <family val="2"/>
          </rPr>
          <t xml:space="preserve">
проверити збир!
</t>
        </r>
      </text>
    </comment>
    <comment ref="I4637" authorId="0" shapeId="0">
      <text>
        <r>
          <rPr>
            <b/>
            <sz val="9"/>
            <color indexed="81"/>
            <rFont val="Tahoma"/>
            <family val="2"/>
          </rPr>
          <t>LPA:</t>
        </r>
        <r>
          <rPr>
            <sz val="9"/>
            <color indexed="81"/>
            <rFont val="Tahoma"/>
            <family val="2"/>
          </rPr>
          <t xml:space="preserve">
проверити збир!
</t>
        </r>
      </text>
    </comment>
    <comment ref="I4638" authorId="0" shapeId="0">
      <text>
        <r>
          <rPr>
            <b/>
            <sz val="9"/>
            <color indexed="81"/>
            <rFont val="Tahoma"/>
            <family val="2"/>
          </rPr>
          <t>LPA:</t>
        </r>
        <r>
          <rPr>
            <sz val="9"/>
            <color indexed="81"/>
            <rFont val="Tahoma"/>
            <family val="2"/>
          </rPr>
          <t xml:space="preserve">
проверити збир!
</t>
        </r>
      </text>
    </comment>
    <comment ref="I4639" authorId="0" shapeId="0">
      <text>
        <r>
          <rPr>
            <b/>
            <sz val="9"/>
            <color indexed="81"/>
            <rFont val="Tahoma"/>
            <family val="2"/>
          </rPr>
          <t>LPA:</t>
        </r>
        <r>
          <rPr>
            <sz val="9"/>
            <color indexed="81"/>
            <rFont val="Tahoma"/>
            <family val="2"/>
          </rPr>
          <t xml:space="preserve">
проверити збир!
</t>
        </r>
      </text>
    </comment>
    <comment ref="I4640" authorId="0" shapeId="0">
      <text>
        <r>
          <rPr>
            <b/>
            <sz val="9"/>
            <color indexed="81"/>
            <rFont val="Tahoma"/>
            <family val="2"/>
          </rPr>
          <t>LPA:</t>
        </r>
        <r>
          <rPr>
            <sz val="9"/>
            <color indexed="81"/>
            <rFont val="Tahoma"/>
            <family val="2"/>
          </rPr>
          <t xml:space="preserve">
проверити збир!
</t>
        </r>
      </text>
    </comment>
    <comment ref="I4641" authorId="0" shapeId="0">
      <text>
        <r>
          <rPr>
            <b/>
            <sz val="9"/>
            <color indexed="81"/>
            <rFont val="Tahoma"/>
            <family val="2"/>
          </rPr>
          <t>LPA:</t>
        </r>
        <r>
          <rPr>
            <sz val="9"/>
            <color indexed="81"/>
            <rFont val="Tahoma"/>
            <family val="2"/>
          </rPr>
          <t xml:space="preserve">
проверити збир!
</t>
        </r>
      </text>
    </comment>
    <comment ref="I4642" authorId="0" shapeId="0">
      <text>
        <r>
          <rPr>
            <b/>
            <sz val="9"/>
            <color indexed="81"/>
            <rFont val="Tahoma"/>
            <family val="2"/>
          </rPr>
          <t>LPA:</t>
        </r>
        <r>
          <rPr>
            <sz val="9"/>
            <color indexed="81"/>
            <rFont val="Tahoma"/>
            <family val="2"/>
          </rPr>
          <t xml:space="preserve">
проверити збир!
</t>
        </r>
      </text>
    </comment>
    <comment ref="I4643" authorId="0" shapeId="0">
      <text>
        <r>
          <rPr>
            <b/>
            <sz val="9"/>
            <color indexed="81"/>
            <rFont val="Tahoma"/>
            <family val="2"/>
          </rPr>
          <t>LPA:</t>
        </r>
        <r>
          <rPr>
            <sz val="9"/>
            <color indexed="81"/>
            <rFont val="Tahoma"/>
            <family val="2"/>
          </rPr>
          <t xml:space="preserve">
проверити збир!
</t>
        </r>
      </text>
    </comment>
    <comment ref="I4644" authorId="0" shapeId="0">
      <text>
        <r>
          <rPr>
            <b/>
            <sz val="9"/>
            <color indexed="81"/>
            <rFont val="Tahoma"/>
            <family val="2"/>
          </rPr>
          <t>LPA:</t>
        </r>
        <r>
          <rPr>
            <sz val="9"/>
            <color indexed="81"/>
            <rFont val="Tahoma"/>
            <family val="2"/>
          </rPr>
          <t xml:space="preserve">
проверити збир!
</t>
        </r>
      </text>
    </comment>
    <comment ref="I4645" authorId="0" shapeId="0">
      <text>
        <r>
          <rPr>
            <b/>
            <sz val="9"/>
            <color indexed="81"/>
            <rFont val="Tahoma"/>
            <family val="2"/>
          </rPr>
          <t>LPA:</t>
        </r>
        <r>
          <rPr>
            <sz val="9"/>
            <color indexed="81"/>
            <rFont val="Tahoma"/>
            <family val="2"/>
          </rPr>
          <t xml:space="preserve">
проверити збир!
</t>
        </r>
      </text>
    </comment>
    <comment ref="H4648" authorId="0" shapeId="0">
      <text>
        <r>
          <rPr>
            <b/>
            <sz val="9"/>
            <color indexed="81"/>
            <rFont val="Tahoma"/>
            <family val="2"/>
          </rPr>
          <t>LPA:</t>
        </r>
        <r>
          <rPr>
            <sz val="9"/>
            <color indexed="81"/>
            <rFont val="Tahoma"/>
            <family val="2"/>
          </rPr>
          <t xml:space="preserve">
проверити збир!</t>
        </r>
      </text>
    </comment>
    <comment ref="I4648" authorId="0" shapeId="0">
      <text>
        <r>
          <rPr>
            <b/>
            <sz val="9"/>
            <color indexed="81"/>
            <rFont val="Tahoma"/>
            <family val="2"/>
          </rPr>
          <t>LPA:</t>
        </r>
        <r>
          <rPr>
            <sz val="9"/>
            <color indexed="81"/>
            <rFont val="Tahoma"/>
            <family val="2"/>
          </rPr>
          <t xml:space="preserve">
проверити збир!</t>
        </r>
      </text>
    </comment>
    <comment ref="I4649" authorId="0" shapeId="0">
      <text>
        <r>
          <rPr>
            <b/>
            <sz val="9"/>
            <color indexed="81"/>
            <rFont val="Tahoma"/>
            <family val="2"/>
          </rPr>
          <t>LPA:</t>
        </r>
        <r>
          <rPr>
            <sz val="9"/>
            <color indexed="81"/>
            <rFont val="Tahoma"/>
            <family val="2"/>
          </rPr>
          <t xml:space="preserve">
проверити збир!
</t>
        </r>
      </text>
    </comment>
    <comment ref="I4650" authorId="0" shapeId="0">
      <text>
        <r>
          <rPr>
            <b/>
            <sz val="9"/>
            <color indexed="81"/>
            <rFont val="Tahoma"/>
            <family val="2"/>
          </rPr>
          <t>LPA:</t>
        </r>
        <r>
          <rPr>
            <sz val="9"/>
            <color indexed="81"/>
            <rFont val="Tahoma"/>
            <family val="2"/>
          </rPr>
          <t xml:space="preserve">
проверити збир!
</t>
        </r>
      </text>
    </comment>
    <comment ref="I4651" authorId="0" shapeId="0">
      <text>
        <r>
          <rPr>
            <b/>
            <sz val="9"/>
            <color indexed="81"/>
            <rFont val="Tahoma"/>
            <family val="2"/>
          </rPr>
          <t>LPA:</t>
        </r>
        <r>
          <rPr>
            <sz val="9"/>
            <color indexed="81"/>
            <rFont val="Tahoma"/>
            <family val="2"/>
          </rPr>
          <t xml:space="preserve">
проверити збир!
</t>
        </r>
      </text>
    </comment>
    <comment ref="I4652" authorId="0" shapeId="0">
      <text>
        <r>
          <rPr>
            <b/>
            <sz val="9"/>
            <color indexed="81"/>
            <rFont val="Tahoma"/>
            <family val="2"/>
          </rPr>
          <t>LPA:</t>
        </r>
        <r>
          <rPr>
            <sz val="9"/>
            <color indexed="81"/>
            <rFont val="Tahoma"/>
            <family val="2"/>
          </rPr>
          <t xml:space="preserve">
проверити збир!
</t>
        </r>
      </text>
    </comment>
    <comment ref="I4653" authorId="0" shapeId="0">
      <text>
        <r>
          <rPr>
            <b/>
            <sz val="9"/>
            <color indexed="81"/>
            <rFont val="Tahoma"/>
            <family val="2"/>
          </rPr>
          <t>LPA:</t>
        </r>
        <r>
          <rPr>
            <sz val="9"/>
            <color indexed="81"/>
            <rFont val="Tahoma"/>
            <family val="2"/>
          </rPr>
          <t xml:space="preserve">
проверити збир!
</t>
        </r>
      </text>
    </comment>
    <comment ref="I4654" authorId="0" shapeId="0">
      <text>
        <r>
          <rPr>
            <b/>
            <sz val="9"/>
            <color indexed="81"/>
            <rFont val="Tahoma"/>
            <family val="2"/>
          </rPr>
          <t>LPA:</t>
        </r>
        <r>
          <rPr>
            <sz val="9"/>
            <color indexed="81"/>
            <rFont val="Tahoma"/>
            <family val="2"/>
          </rPr>
          <t xml:space="preserve">
проверити збир!
</t>
        </r>
      </text>
    </comment>
    <comment ref="I4655" authorId="0" shapeId="0">
      <text>
        <r>
          <rPr>
            <b/>
            <sz val="9"/>
            <color indexed="81"/>
            <rFont val="Tahoma"/>
            <family val="2"/>
          </rPr>
          <t>LPA:</t>
        </r>
        <r>
          <rPr>
            <sz val="9"/>
            <color indexed="81"/>
            <rFont val="Tahoma"/>
            <family val="2"/>
          </rPr>
          <t xml:space="preserve">
проверити збир!
</t>
        </r>
      </text>
    </comment>
    <comment ref="I4656" authorId="0" shapeId="0">
      <text>
        <r>
          <rPr>
            <b/>
            <sz val="9"/>
            <color indexed="81"/>
            <rFont val="Tahoma"/>
            <family val="2"/>
          </rPr>
          <t>LPA:</t>
        </r>
        <r>
          <rPr>
            <sz val="9"/>
            <color indexed="81"/>
            <rFont val="Tahoma"/>
            <family val="2"/>
          </rPr>
          <t xml:space="preserve">
проверити збир!
</t>
        </r>
      </text>
    </comment>
    <comment ref="I4657" authorId="0" shapeId="0">
      <text>
        <r>
          <rPr>
            <b/>
            <sz val="9"/>
            <color indexed="81"/>
            <rFont val="Tahoma"/>
            <family val="2"/>
          </rPr>
          <t>LPA:</t>
        </r>
        <r>
          <rPr>
            <sz val="9"/>
            <color indexed="81"/>
            <rFont val="Tahoma"/>
            <family val="2"/>
          </rPr>
          <t xml:space="preserve">
проверити збир!
</t>
        </r>
      </text>
    </comment>
    <comment ref="I4658" authorId="0" shapeId="0">
      <text>
        <r>
          <rPr>
            <b/>
            <sz val="9"/>
            <color indexed="81"/>
            <rFont val="Tahoma"/>
            <family val="2"/>
          </rPr>
          <t>LPA:</t>
        </r>
        <r>
          <rPr>
            <sz val="9"/>
            <color indexed="81"/>
            <rFont val="Tahoma"/>
            <family val="2"/>
          </rPr>
          <t xml:space="preserve">
проверити збир!
</t>
        </r>
      </text>
    </comment>
    <comment ref="I4659" authorId="0" shapeId="0">
      <text>
        <r>
          <rPr>
            <b/>
            <sz val="9"/>
            <color indexed="81"/>
            <rFont val="Tahoma"/>
            <family val="2"/>
          </rPr>
          <t>LPA:</t>
        </r>
        <r>
          <rPr>
            <sz val="9"/>
            <color indexed="81"/>
            <rFont val="Tahoma"/>
            <family val="2"/>
          </rPr>
          <t xml:space="preserve">
проверити збир!
</t>
        </r>
      </text>
    </comment>
    <comment ref="I4660" authorId="0" shapeId="0">
      <text>
        <r>
          <rPr>
            <b/>
            <sz val="9"/>
            <color indexed="81"/>
            <rFont val="Tahoma"/>
            <family val="2"/>
          </rPr>
          <t>LPA:</t>
        </r>
        <r>
          <rPr>
            <sz val="9"/>
            <color indexed="81"/>
            <rFont val="Tahoma"/>
            <family val="2"/>
          </rPr>
          <t xml:space="preserve">
проверити збир!
</t>
        </r>
      </text>
    </comment>
    <comment ref="I4661" authorId="0" shapeId="0">
      <text>
        <r>
          <rPr>
            <b/>
            <sz val="9"/>
            <color indexed="81"/>
            <rFont val="Tahoma"/>
            <family val="2"/>
          </rPr>
          <t>LPA:</t>
        </r>
        <r>
          <rPr>
            <sz val="9"/>
            <color indexed="81"/>
            <rFont val="Tahoma"/>
            <family val="2"/>
          </rPr>
          <t xml:space="preserve">
проверити збир!
</t>
        </r>
      </text>
    </comment>
    <comment ref="I4662" authorId="0" shapeId="0">
      <text>
        <r>
          <rPr>
            <b/>
            <sz val="9"/>
            <color indexed="81"/>
            <rFont val="Tahoma"/>
            <family val="2"/>
          </rPr>
          <t>LPA:</t>
        </r>
        <r>
          <rPr>
            <sz val="9"/>
            <color indexed="81"/>
            <rFont val="Tahoma"/>
            <family val="2"/>
          </rPr>
          <t xml:space="preserve">
проверити збир!
</t>
        </r>
      </text>
    </comment>
    <comment ref="I4663" authorId="0" shapeId="0">
      <text>
        <r>
          <rPr>
            <b/>
            <sz val="9"/>
            <color indexed="81"/>
            <rFont val="Tahoma"/>
            <family val="2"/>
          </rPr>
          <t>LPA:</t>
        </r>
        <r>
          <rPr>
            <sz val="9"/>
            <color indexed="81"/>
            <rFont val="Tahoma"/>
            <family val="2"/>
          </rPr>
          <t xml:space="preserve">
проверити збир!
</t>
        </r>
      </text>
    </comment>
    <comment ref="I4732" authorId="0" shapeId="0">
      <text>
        <r>
          <rPr>
            <b/>
            <sz val="9"/>
            <color indexed="81"/>
            <rFont val="Tahoma"/>
            <family val="2"/>
          </rPr>
          <t>LPA:</t>
        </r>
        <r>
          <rPr>
            <sz val="9"/>
            <color indexed="81"/>
            <rFont val="Tahoma"/>
            <family val="2"/>
          </rPr>
          <t xml:space="preserve">
проверити збир!
</t>
        </r>
      </text>
    </comment>
    <comment ref="I4733" authorId="0" shapeId="0">
      <text>
        <r>
          <rPr>
            <b/>
            <sz val="9"/>
            <color indexed="81"/>
            <rFont val="Tahoma"/>
            <family val="2"/>
          </rPr>
          <t>LPA:</t>
        </r>
        <r>
          <rPr>
            <sz val="9"/>
            <color indexed="81"/>
            <rFont val="Tahoma"/>
            <family val="2"/>
          </rPr>
          <t xml:space="preserve">
проверити збир!
</t>
        </r>
      </text>
    </comment>
    <comment ref="I4734" authorId="0" shapeId="0">
      <text>
        <r>
          <rPr>
            <b/>
            <sz val="9"/>
            <color indexed="81"/>
            <rFont val="Tahoma"/>
            <family val="2"/>
          </rPr>
          <t>LPA:</t>
        </r>
        <r>
          <rPr>
            <sz val="9"/>
            <color indexed="81"/>
            <rFont val="Tahoma"/>
            <family val="2"/>
          </rPr>
          <t xml:space="preserve">
проверити збир!
</t>
        </r>
      </text>
    </comment>
    <comment ref="I4735" authorId="0" shapeId="0">
      <text>
        <r>
          <rPr>
            <b/>
            <sz val="9"/>
            <color indexed="81"/>
            <rFont val="Tahoma"/>
            <family val="2"/>
          </rPr>
          <t>LPA:</t>
        </r>
        <r>
          <rPr>
            <sz val="9"/>
            <color indexed="81"/>
            <rFont val="Tahoma"/>
            <family val="2"/>
          </rPr>
          <t xml:space="preserve">
проверити збир!
</t>
        </r>
      </text>
    </comment>
    <comment ref="I4736" authorId="0" shapeId="0">
      <text>
        <r>
          <rPr>
            <b/>
            <sz val="9"/>
            <color indexed="81"/>
            <rFont val="Tahoma"/>
            <family val="2"/>
          </rPr>
          <t>LPA:</t>
        </r>
        <r>
          <rPr>
            <sz val="9"/>
            <color indexed="81"/>
            <rFont val="Tahoma"/>
            <family val="2"/>
          </rPr>
          <t xml:space="preserve">
проверити збир!
</t>
        </r>
      </text>
    </comment>
    <comment ref="I4737" authorId="0" shapeId="0">
      <text>
        <r>
          <rPr>
            <b/>
            <sz val="9"/>
            <color indexed="81"/>
            <rFont val="Tahoma"/>
            <family val="2"/>
          </rPr>
          <t>LPA:</t>
        </r>
        <r>
          <rPr>
            <sz val="9"/>
            <color indexed="81"/>
            <rFont val="Tahoma"/>
            <family val="2"/>
          </rPr>
          <t xml:space="preserve">
проверити збир!
</t>
        </r>
      </text>
    </comment>
    <comment ref="I4738" authorId="0" shapeId="0">
      <text>
        <r>
          <rPr>
            <b/>
            <sz val="9"/>
            <color indexed="81"/>
            <rFont val="Tahoma"/>
            <family val="2"/>
          </rPr>
          <t>LPA:</t>
        </r>
        <r>
          <rPr>
            <sz val="9"/>
            <color indexed="81"/>
            <rFont val="Tahoma"/>
            <family val="2"/>
          </rPr>
          <t xml:space="preserve">
проверити збир!
</t>
        </r>
      </text>
    </comment>
    <comment ref="I4739" authorId="0" shapeId="0">
      <text>
        <r>
          <rPr>
            <b/>
            <sz val="9"/>
            <color indexed="81"/>
            <rFont val="Tahoma"/>
            <family val="2"/>
          </rPr>
          <t>LPA:</t>
        </r>
        <r>
          <rPr>
            <sz val="9"/>
            <color indexed="81"/>
            <rFont val="Tahoma"/>
            <family val="2"/>
          </rPr>
          <t xml:space="preserve">
проверити збир!
</t>
        </r>
      </text>
    </comment>
    <comment ref="I4740" authorId="0" shapeId="0">
      <text>
        <r>
          <rPr>
            <b/>
            <sz val="9"/>
            <color indexed="81"/>
            <rFont val="Tahoma"/>
            <family val="2"/>
          </rPr>
          <t>LPA:</t>
        </r>
        <r>
          <rPr>
            <sz val="9"/>
            <color indexed="81"/>
            <rFont val="Tahoma"/>
            <family val="2"/>
          </rPr>
          <t xml:space="preserve">
проверити збир!
</t>
        </r>
      </text>
    </comment>
    <comment ref="I4741" authorId="0" shapeId="0">
      <text>
        <r>
          <rPr>
            <b/>
            <sz val="9"/>
            <color indexed="81"/>
            <rFont val="Tahoma"/>
            <family val="2"/>
          </rPr>
          <t>LPA:</t>
        </r>
        <r>
          <rPr>
            <sz val="9"/>
            <color indexed="81"/>
            <rFont val="Tahoma"/>
            <family val="2"/>
          </rPr>
          <t xml:space="preserve">
проверити збир!
</t>
        </r>
      </text>
    </comment>
    <comment ref="I4742" authorId="0" shapeId="0">
      <text>
        <r>
          <rPr>
            <b/>
            <sz val="9"/>
            <color indexed="81"/>
            <rFont val="Tahoma"/>
            <family val="2"/>
          </rPr>
          <t>LPA:</t>
        </r>
        <r>
          <rPr>
            <sz val="9"/>
            <color indexed="81"/>
            <rFont val="Tahoma"/>
            <family val="2"/>
          </rPr>
          <t xml:space="preserve">
проверити збир!
</t>
        </r>
      </text>
    </comment>
    <comment ref="I4743" authorId="0" shapeId="0">
      <text>
        <r>
          <rPr>
            <b/>
            <sz val="9"/>
            <color indexed="81"/>
            <rFont val="Tahoma"/>
            <family val="2"/>
          </rPr>
          <t>LPA:</t>
        </r>
        <r>
          <rPr>
            <sz val="9"/>
            <color indexed="81"/>
            <rFont val="Tahoma"/>
            <family val="2"/>
          </rPr>
          <t xml:space="preserve">
проверити збир!
</t>
        </r>
      </text>
    </comment>
    <comment ref="I4744" authorId="0" shapeId="0">
      <text>
        <r>
          <rPr>
            <b/>
            <sz val="9"/>
            <color indexed="81"/>
            <rFont val="Tahoma"/>
            <family val="2"/>
          </rPr>
          <t>LPA:</t>
        </r>
        <r>
          <rPr>
            <sz val="9"/>
            <color indexed="81"/>
            <rFont val="Tahoma"/>
            <family val="2"/>
          </rPr>
          <t xml:space="preserve">
проверити збир!
</t>
        </r>
      </text>
    </comment>
    <comment ref="H4747" authorId="0" shapeId="0">
      <text>
        <r>
          <rPr>
            <b/>
            <sz val="9"/>
            <color indexed="81"/>
            <rFont val="Tahoma"/>
            <family val="2"/>
          </rPr>
          <t>LPA:</t>
        </r>
        <r>
          <rPr>
            <sz val="9"/>
            <color indexed="81"/>
            <rFont val="Tahoma"/>
            <family val="2"/>
          </rPr>
          <t xml:space="preserve">
проверити збир!</t>
        </r>
      </text>
    </comment>
    <comment ref="I4747" authorId="0" shapeId="0">
      <text>
        <r>
          <rPr>
            <b/>
            <sz val="9"/>
            <color indexed="81"/>
            <rFont val="Tahoma"/>
            <family val="2"/>
          </rPr>
          <t>LPA:</t>
        </r>
        <r>
          <rPr>
            <sz val="9"/>
            <color indexed="81"/>
            <rFont val="Tahoma"/>
            <family val="2"/>
          </rPr>
          <t xml:space="preserve">
проверити збир!</t>
        </r>
      </text>
    </comment>
    <comment ref="I4748" authorId="0" shapeId="0">
      <text>
        <r>
          <rPr>
            <b/>
            <sz val="9"/>
            <color indexed="81"/>
            <rFont val="Tahoma"/>
            <family val="2"/>
          </rPr>
          <t>LPA:</t>
        </r>
        <r>
          <rPr>
            <sz val="9"/>
            <color indexed="81"/>
            <rFont val="Tahoma"/>
            <family val="2"/>
          </rPr>
          <t xml:space="preserve">
проверити збир!
</t>
        </r>
      </text>
    </comment>
    <comment ref="I4749" authorId="0" shapeId="0">
      <text>
        <r>
          <rPr>
            <b/>
            <sz val="9"/>
            <color indexed="81"/>
            <rFont val="Tahoma"/>
            <family val="2"/>
          </rPr>
          <t>LPA:</t>
        </r>
        <r>
          <rPr>
            <sz val="9"/>
            <color indexed="81"/>
            <rFont val="Tahoma"/>
            <family val="2"/>
          </rPr>
          <t xml:space="preserve">
проверити збир!
</t>
        </r>
      </text>
    </comment>
    <comment ref="I4750" authorId="0" shapeId="0">
      <text>
        <r>
          <rPr>
            <b/>
            <sz val="9"/>
            <color indexed="81"/>
            <rFont val="Tahoma"/>
            <family val="2"/>
          </rPr>
          <t>LPA:</t>
        </r>
        <r>
          <rPr>
            <sz val="9"/>
            <color indexed="81"/>
            <rFont val="Tahoma"/>
            <family val="2"/>
          </rPr>
          <t xml:space="preserve">
проверити збир!
</t>
        </r>
      </text>
    </comment>
    <comment ref="I4751" authorId="0" shapeId="0">
      <text>
        <r>
          <rPr>
            <b/>
            <sz val="9"/>
            <color indexed="81"/>
            <rFont val="Tahoma"/>
            <family val="2"/>
          </rPr>
          <t>LPA:</t>
        </r>
        <r>
          <rPr>
            <sz val="9"/>
            <color indexed="81"/>
            <rFont val="Tahoma"/>
            <family val="2"/>
          </rPr>
          <t xml:space="preserve">
проверити збир!
</t>
        </r>
      </text>
    </comment>
    <comment ref="I4752" authorId="0" shapeId="0">
      <text>
        <r>
          <rPr>
            <b/>
            <sz val="9"/>
            <color indexed="81"/>
            <rFont val="Tahoma"/>
            <family val="2"/>
          </rPr>
          <t>LPA:</t>
        </r>
        <r>
          <rPr>
            <sz val="9"/>
            <color indexed="81"/>
            <rFont val="Tahoma"/>
            <family val="2"/>
          </rPr>
          <t xml:space="preserve">
проверити збир!
</t>
        </r>
      </text>
    </comment>
    <comment ref="I4753" authorId="0" shapeId="0">
      <text>
        <r>
          <rPr>
            <b/>
            <sz val="9"/>
            <color indexed="81"/>
            <rFont val="Tahoma"/>
            <family val="2"/>
          </rPr>
          <t>LPA:</t>
        </r>
        <r>
          <rPr>
            <sz val="9"/>
            <color indexed="81"/>
            <rFont val="Tahoma"/>
            <family val="2"/>
          </rPr>
          <t xml:space="preserve">
проверити збир!
</t>
        </r>
      </text>
    </comment>
    <comment ref="I4754" authorId="0" shapeId="0">
      <text>
        <r>
          <rPr>
            <b/>
            <sz val="9"/>
            <color indexed="81"/>
            <rFont val="Tahoma"/>
            <family val="2"/>
          </rPr>
          <t>LPA:</t>
        </r>
        <r>
          <rPr>
            <sz val="9"/>
            <color indexed="81"/>
            <rFont val="Tahoma"/>
            <family val="2"/>
          </rPr>
          <t xml:space="preserve">
проверити збир!
</t>
        </r>
      </text>
    </comment>
    <comment ref="I4755" authorId="0" shapeId="0">
      <text>
        <r>
          <rPr>
            <b/>
            <sz val="9"/>
            <color indexed="81"/>
            <rFont val="Tahoma"/>
            <family val="2"/>
          </rPr>
          <t>LPA:</t>
        </r>
        <r>
          <rPr>
            <sz val="9"/>
            <color indexed="81"/>
            <rFont val="Tahoma"/>
            <family val="2"/>
          </rPr>
          <t xml:space="preserve">
проверити збир!
</t>
        </r>
      </text>
    </comment>
    <comment ref="I4756" authorId="0" shapeId="0">
      <text>
        <r>
          <rPr>
            <b/>
            <sz val="9"/>
            <color indexed="81"/>
            <rFont val="Tahoma"/>
            <family val="2"/>
          </rPr>
          <t>LPA:</t>
        </r>
        <r>
          <rPr>
            <sz val="9"/>
            <color indexed="81"/>
            <rFont val="Tahoma"/>
            <family val="2"/>
          </rPr>
          <t xml:space="preserve">
проверити збир!
</t>
        </r>
      </text>
    </comment>
    <comment ref="I4757" authorId="0" shapeId="0">
      <text>
        <r>
          <rPr>
            <b/>
            <sz val="9"/>
            <color indexed="81"/>
            <rFont val="Tahoma"/>
            <family val="2"/>
          </rPr>
          <t>LPA:</t>
        </r>
        <r>
          <rPr>
            <sz val="9"/>
            <color indexed="81"/>
            <rFont val="Tahoma"/>
            <family val="2"/>
          </rPr>
          <t xml:space="preserve">
проверити збир!
</t>
        </r>
      </text>
    </comment>
    <comment ref="I4758" authorId="0" shapeId="0">
      <text>
        <r>
          <rPr>
            <b/>
            <sz val="9"/>
            <color indexed="81"/>
            <rFont val="Tahoma"/>
            <family val="2"/>
          </rPr>
          <t>LPA:</t>
        </r>
        <r>
          <rPr>
            <sz val="9"/>
            <color indexed="81"/>
            <rFont val="Tahoma"/>
            <family val="2"/>
          </rPr>
          <t xml:space="preserve">
проверити збир!
</t>
        </r>
      </text>
    </comment>
    <comment ref="I4759" authorId="0" shapeId="0">
      <text>
        <r>
          <rPr>
            <b/>
            <sz val="9"/>
            <color indexed="81"/>
            <rFont val="Tahoma"/>
            <family val="2"/>
          </rPr>
          <t>LPA:</t>
        </r>
        <r>
          <rPr>
            <sz val="9"/>
            <color indexed="81"/>
            <rFont val="Tahoma"/>
            <family val="2"/>
          </rPr>
          <t xml:space="preserve">
проверити збир!
</t>
        </r>
      </text>
    </comment>
    <comment ref="I4760" authorId="0" shapeId="0">
      <text>
        <r>
          <rPr>
            <b/>
            <sz val="9"/>
            <color indexed="81"/>
            <rFont val="Tahoma"/>
            <family val="2"/>
          </rPr>
          <t>LPA:</t>
        </r>
        <r>
          <rPr>
            <sz val="9"/>
            <color indexed="81"/>
            <rFont val="Tahoma"/>
            <family val="2"/>
          </rPr>
          <t xml:space="preserve">
проверити збир!
</t>
        </r>
      </text>
    </comment>
    <comment ref="I4761" authorId="0" shapeId="0">
      <text>
        <r>
          <rPr>
            <b/>
            <sz val="9"/>
            <color indexed="81"/>
            <rFont val="Tahoma"/>
            <family val="2"/>
          </rPr>
          <t>LPA:</t>
        </r>
        <r>
          <rPr>
            <sz val="9"/>
            <color indexed="81"/>
            <rFont val="Tahoma"/>
            <family val="2"/>
          </rPr>
          <t xml:space="preserve">
проверити збир!
</t>
        </r>
      </text>
    </comment>
    <comment ref="I4762" authorId="0" shapeId="0">
      <text>
        <r>
          <rPr>
            <b/>
            <sz val="9"/>
            <color indexed="81"/>
            <rFont val="Tahoma"/>
            <family val="2"/>
          </rPr>
          <t>LPA:</t>
        </r>
        <r>
          <rPr>
            <sz val="9"/>
            <color indexed="81"/>
            <rFont val="Tahoma"/>
            <family val="2"/>
          </rPr>
          <t xml:space="preserve">
проверити збир!
</t>
        </r>
      </text>
    </comment>
    <comment ref="H4766" authorId="0" shapeId="0">
      <text>
        <r>
          <rPr>
            <b/>
            <sz val="9"/>
            <color indexed="81"/>
            <rFont val="Tahoma"/>
            <family val="2"/>
          </rPr>
          <t>LPA:</t>
        </r>
        <r>
          <rPr>
            <sz val="9"/>
            <color indexed="81"/>
            <rFont val="Tahoma"/>
            <family val="2"/>
          </rPr>
          <t xml:space="preserve">
проверити збир!</t>
        </r>
      </text>
    </comment>
    <comment ref="I4766" authorId="0" shapeId="0">
      <text>
        <r>
          <rPr>
            <b/>
            <sz val="9"/>
            <color indexed="81"/>
            <rFont val="Tahoma"/>
            <family val="2"/>
          </rPr>
          <t>LPA:</t>
        </r>
        <r>
          <rPr>
            <sz val="9"/>
            <color indexed="81"/>
            <rFont val="Tahoma"/>
            <family val="2"/>
          </rPr>
          <t xml:space="preserve">
проверити збир!
</t>
        </r>
      </text>
    </comment>
    <comment ref="I4767" authorId="0" shapeId="0">
      <text>
        <r>
          <rPr>
            <b/>
            <sz val="9"/>
            <color indexed="81"/>
            <rFont val="Tahoma"/>
            <family val="2"/>
          </rPr>
          <t>LPA:</t>
        </r>
        <r>
          <rPr>
            <sz val="9"/>
            <color indexed="81"/>
            <rFont val="Tahoma"/>
            <family val="2"/>
          </rPr>
          <t xml:space="preserve">
проверити збир!
</t>
        </r>
      </text>
    </comment>
    <comment ref="I4768" authorId="0" shapeId="0">
      <text>
        <r>
          <rPr>
            <b/>
            <sz val="9"/>
            <color indexed="81"/>
            <rFont val="Tahoma"/>
            <family val="2"/>
          </rPr>
          <t>LPA:</t>
        </r>
        <r>
          <rPr>
            <sz val="9"/>
            <color indexed="81"/>
            <rFont val="Tahoma"/>
            <family val="2"/>
          </rPr>
          <t xml:space="preserve">
проверити збир!
</t>
        </r>
      </text>
    </comment>
    <comment ref="I4769" authorId="0" shapeId="0">
      <text>
        <r>
          <rPr>
            <b/>
            <sz val="9"/>
            <color indexed="81"/>
            <rFont val="Tahoma"/>
            <family val="2"/>
          </rPr>
          <t>LPA:</t>
        </r>
        <r>
          <rPr>
            <sz val="9"/>
            <color indexed="81"/>
            <rFont val="Tahoma"/>
            <family val="2"/>
          </rPr>
          <t xml:space="preserve">
проверити збир!
</t>
        </r>
      </text>
    </comment>
    <comment ref="I4770" authorId="0" shapeId="0">
      <text>
        <r>
          <rPr>
            <b/>
            <sz val="9"/>
            <color indexed="81"/>
            <rFont val="Tahoma"/>
            <family val="2"/>
          </rPr>
          <t>LPA:</t>
        </r>
        <r>
          <rPr>
            <sz val="9"/>
            <color indexed="81"/>
            <rFont val="Tahoma"/>
            <family val="2"/>
          </rPr>
          <t xml:space="preserve">
проверити збир!
</t>
        </r>
      </text>
    </comment>
    <comment ref="I4771" authorId="0" shapeId="0">
      <text>
        <r>
          <rPr>
            <b/>
            <sz val="9"/>
            <color indexed="81"/>
            <rFont val="Tahoma"/>
            <family val="2"/>
          </rPr>
          <t>LPA:</t>
        </r>
        <r>
          <rPr>
            <sz val="9"/>
            <color indexed="81"/>
            <rFont val="Tahoma"/>
            <family val="2"/>
          </rPr>
          <t xml:space="preserve">
проверити збир!
</t>
        </r>
      </text>
    </comment>
    <comment ref="I4772" authorId="0" shapeId="0">
      <text>
        <r>
          <rPr>
            <b/>
            <sz val="9"/>
            <color indexed="81"/>
            <rFont val="Tahoma"/>
            <family val="2"/>
          </rPr>
          <t>LPA:</t>
        </r>
        <r>
          <rPr>
            <sz val="9"/>
            <color indexed="81"/>
            <rFont val="Tahoma"/>
            <family val="2"/>
          </rPr>
          <t xml:space="preserve">
проверити збир!
</t>
        </r>
      </text>
    </comment>
    <comment ref="I4773" authorId="0" shapeId="0">
      <text>
        <r>
          <rPr>
            <b/>
            <sz val="9"/>
            <color indexed="81"/>
            <rFont val="Tahoma"/>
            <family val="2"/>
          </rPr>
          <t>LPA:</t>
        </r>
        <r>
          <rPr>
            <sz val="9"/>
            <color indexed="81"/>
            <rFont val="Tahoma"/>
            <family val="2"/>
          </rPr>
          <t xml:space="preserve">
проверити збир!
</t>
        </r>
      </text>
    </comment>
    <comment ref="I4774" authorId="0" shapeId="0">
      <text>
        <r>
          <rPr>
            <b/>
            <sz val="9"/>
            <color indexed="81"/>
            <rFont val="Tahoma"/>
            <family val="2"/>
          </rPr>
          <t>LPA:</t>
        </r>
        <r>
          <rPr>
            <sz val="9"/>
            <color indexed="81"/>
            <rFont val="Tahoma"/>
            <family val="2"/>
          </rPr>
          <t xml:space="preserve">
проверити збир!
</t>
        </r>
      </text>
    </comment>
    <comment ref="I4775" authorId="0" shapeId="0">
      <text>
        <r>
          <rPr>
            <b/>
            <sz val="9"/>
            <color indexed="81"/>
            <rFont val="Tahoma"/>
            <family val="2"/>
          </rPr>
          <t>LPA:</t>
        </r>
        <r>
          <rPr>
            <sz val="9"/>
            <color indexed="81"/>
            <rFont val="Tahoma"/>
            <family val="2"/>
          </rPr>
          <t xml:space="preserve">
проверити збир!
</t>
        </r>
      </text>
    </comment>
    <comment ref="I4776" authorId="0" shapeId="0">
      <text>
        <r>
          <rPr>
            <b/>
            <sz val="9"/>
            <color indexed="81"/>
            <rFont val="Tahoma"/>
            <family val="2"/>
          </rPr>
          <t>LPA:</t>
        </r>
        <r>
          <rPr>
            <sz val="9"/>
            <color indexed="81"/>
            <rFont val="Tahoma"/>
            <family val="2"/>
          </rPr>
          <t xml:space="preserve">
проверити збир!
</t>
        </r>
      </text>
    </comment>
    <comment ref="I4777" authorId="0" shapeId="0">
      <text>
        <r>
          <rPr>
            <b/>
            <sz val="9"/>
            <color indexed="81"/>
            <rFont val="Tahoma"/>
            <family val="2"/>
          </rPr>
          <t>LPA:</t>
        </r>
        <r>
          <rPr>
            <sz val="9"/>
            <color indexed="81"/>
            <rFont val="Tahoma"/>
            <family val="2"/>
          </rPr>
          <t xml:space="preserve">
проверити збир!
</t>
        </r>
      </text>
    </comment>
    <comment ref="I4778" authorId="0" shapeId="0">
      <text>
        <r>
          <rPr>
            <b/>
            <sz val="9"/>
            <color indexed="81"/>
            <rFont val="Tahoma"/>
            <family val="2"/>
          </rPr>
          <t>LPA:</t>
        </r>
        <r>
          <rPr>
            <sz val="9"/>
            <color indexed="81"/>
            <rFont val="Tahoma"/>
            <family val="2"/>
          </rPr>
          <t xml:space="preserve">
проверити збир!
</t>
        </r>
      </text>
    </comment>
    <comment ref="I4779" authorId="0" shapeId="0">
      <text>
        <r>
          <rPr>
            <b/>
            <sz val="9"/>
            <color indexed="81"/>
            <rFont val="Tahoma"/>
            <family val="2"/>
          </rPr>
          <t>LPA:</t>
        </r>
        <r>
          <rPr>
            <sz val="9"/>
            <color indexed="81"/>
            <rFont val="Tahoma"/>
            <family val="2"/>
          </rPr>
          <t xml:space="preserve">
проверити збир!
</t>
        </r>
      </text>
    </comment>
    <comment ref="I4780" authorId="0" shapeId="0">
      <text>
        <r>
          <rPr>
            <b/>
            <sz val="9"/>
            <color indexed="81"/>
            <rFont val="Tahoma"/>
            <family val="2"/>
          </rPr>
          <t>LPA:</t>
        </r>
        <r>
          <rPr>
            <sz val="9"/>
            <color indexed="81"/>
            <rFont val="Tahoma"/>
            <family val="2"/>
          </rPr>
          <t xml:space="preserve">
проверити збир!
</t>
        </r>
      </text>
    </comment>
    <comment ref="I4781" authorId="0" shapeId="0">
      <text>
        <r>
          <rPr>
            <b/>
            <sz val="9"/>
            <color indexed="81"/>
            <rFont val="Tahoma"/>
            <family val="2"/>
          </rPr>
          <t>LPA:</t>
        </r>
        <r>
          <rPr>
            <sz val="9"/>
            <color indexed="81"/>
            <rFont val="Tahoma"/>
            <family val="2"/>
          </rPr>
          <t xml:space="preserve">
проверити збир!
</t>
        </r>
      </text>
    </comment>
    <comment ref="I4851" authorId="0" shapeId="0">
      <text>
        <r>
          <rPr>
            <b/>
            <sz val="9"/>
            <color indexed="81"/>
            <rFont val="Tahoma"/>
            <family val="2"/>
          </rPr>
          <t>LPA:</t>
        </r>
        <r>
          <rPr>
            <sz val="9"/>
            <color indexed="81"/>
            <rFont val="Tahoma"/>
            <family val="2"/>
          </rPr>
          <t xml:space="preserve">
проверити збир!
</t>
        </r>
      </text>
    </comment>
    <comment ref="I4852" authorId="0" shapeId="0">
      <text>
        <r>
          <rPr>
            <b/>
            <sz val="9"/>
            <color indexed="81"/>
            <rFont val="Tahoma"/>
            <family val="2"/>
          </rPr>
          <t>LPA:</t>
        </r>
        <r>
          <rPr>
            <sz val="9"/>
            <color indexed="81"/>
            <rFont val="Tahoma"/>
            <family val="2"/>
          </rPr>
          <t xml:space="preserve">
проверити збир!
</t>
        </r>
      </text>
    </comment>
    <comment ref="I4853" authorId="0" shapeId="0">
      <text>
        <r>
          <rPr>
            <b/>
            <sz val="9"/>
            <color indexed="81"/>
            <rFont val="Tahoma"/>
            <family val="2"/>
          </rPr>
          <t>LPA:</t>
        </r>
        <r>
          <rPr>
            <sz val="9"/>
            <color indexed="81"/>
            <rFont val="Tahoma"/>
            <family val="2"/>
          </rPr>
          <t xml:space="preserve">
проверити збир!
</t>
        </r>
      </text>
    </comment>
    <comment ref="I4854" authorId="0" shapeId="0">
      <text>
        <r>
          <rPr>
            <b/>
            <sz val="9"/>
            <color indexed="81"/>
            <rFont val="Tahoma"/>
            <family val="2"/>
          </rPr>
          <t>LPA:</t>
        </r>
        <r>
          <rPr>
            <sz val="9"/>
            <color indexed="81"/>
            <rFont val="Tahoma"/>
            <family val="2"/>
          </rPr>
          <t xml:space="preserve">
проверити збир!
</t>
        </r>
      </text>
    </comment>
    <comment ref="I4855" authorId="0" shapeId="0">
      <text>
        <r>
          <rPr>
            <b/>
            <sz val="9"/>
            <color indexed="81"/>
            <rFont val="Tahoma"/>
            <family val="2"/>
          </rPr>
          <t>LPA:</t>
        </r>
        <r>
          <rPr>
            <sz val="9"/>
            <color indexed="81"/>
            <rFont val="Tahoma"/>
            <family val="2"/>
          </rPr>
          <t xml:space="preserve">
проверити збир!
</t>
        </r>
      </text>
    </comment>
    <comment ref="I4856" authorId="0" shapeId="0">
      <text>
        <r>
          <rPr>
            <b/>
            <sz val="9"/>
            <color indexed="81"/>
            <rFont val="Tahoma"/>
            <family val="2"/>
          </rPr>
          <t>LPA:</t>
        </r>
        <r>
          <rPr>
            <sz val="9"/>
            <color indexed="81"/>
            <rFont val="Tahoma"/>
            <family val="2"/>
          </rPr>
          <t xml:space="preserve">
проверити збир!
</t>
        </r>
      </text>
    </comment>
    <comment ref="I4857" authorId="0" shapeId="0">
      <text>
        <r>
          <rPr>
            <b/>
            <sz val="9"/>
            <color indexed="81"/>
            <rFont val="Tahoma"/>
            <family val="2"/>
          </rPr>
          <t>LPA:</t>
        </r>
        <r>
          <rPr>
            <sz val="9"/>
            <color indexed="81"/>
            <rFont val="Tahoma"/>
            <family val="2"/>
          </rPr>
          <t xml:space="preserve">
проверити збир!
</t>
        </r>
      </text>
    </comment>
    <comment ref="I4858" authorId="0" shapeId="0">
      <text>
        <r>
          <rPr>
            <b/>
            <sz val="9"/>
            <color indexed="81"/>
            <rFont val="Tahoma"/>
            <family val="2"/>
          </rPr>
          <t>LPA:</t>
        </r>
        <r>
          <rPr>
            <sz val="9"/>
            <color indexed="81"/>
            <rFont val="Tahoma"/>
            <family val="2"/>
          </rPr>
          <t xml:space="preserve">
проверити збир!
</t>
        </r>
      </text>
    </comment>
    <comment ref="I4859" authorId="0" shapeId="0">
      <text>
        <r>
          <rPr>
            <b/>
            <sz val="9"/>
            <color indexed="81"/>
            <rFont val="Tahoma"/>
            <family val="2"/>
          </rPr>
          <t>LPA:</t>
        </r>
        <r>
          <rPr>
            <sz val="9"/>
            <color indexed="81"/>
            <rFont val="Tahoma"/>
            <family val="2"/>
          </rPr>
          <t xml:space="preserve">
проверити збир!
</t>
        </r>
      </text>
    </comment>
    <comment ref="I4860" authorId="0" shapeId="0">
      <text>
        <r>
          <rPr>
            <b/>
            <sz val="9"/>
            <color indexed="81"/>
            <rFont val="Tahoma"/>
            <family val="2"/>
          </rPr>
          <t>LPA:</t>
        </r>
        <r>
          <rPr>
            <sz val="9"/>
            <color indexed="81"/>
            <rFont val="Tahoma"/>
            <family val="2"/>
          </rPr>
          <t xml:space="preserve">
проверити збир!
</t>
        </r>
      </text>
    </comment>
    <comment ref="I4861" authorId="0" shapeId="0">
      <text>
        <r>
          <rPr>
            <b/>
            <sz val="9"/>
            <color indexed="81"/>
            <rFont val="Tahoma"/>
            <family val="2"/>
          </rPr>
          <t>LPA:</t>
        </r>
        <r>
          <rPr>
            <sz val="9"/>
            <color indexed="81"/>
            <rFont val="Tahoma"/>
            <family val="2"/>
          </rPr>
          <t xml:space="preserve">
проверити збир!
</t>
        </r>
      </text>
    </comment>
    <comment ref="I4862" authorId="0" shapeId="0">
      <text>
        <r>
          <rPr>
            <b/>
            <sz val="9"/>
            <color indexed="81"/>
            <rFont val="Tahoma"/>
            <family val="2"/>
          </rPr>
          <t>LPA:</t>
        </r>
        <r>
          <rPr>
            <sz val="9"/>
            <color indexed="81"/>
            <rFont val="Tahoma"/>
            <family val="2"/>
          </rPr>
          <t xml:space="preserve">
проверити збир!
</t>
        </r>
      </text>
    </comment>
    <comment ref="I4863" authorId="0" shapeId="0">
      <text>
        <r>
          <rPr>
            <b/>
            <sz val="9"/>
            <color indexed="81"/>
            <rFont val="Tahoma"/>
            <family val="2"/>
          </rPr>
          <t>LPA:</t>
        </r>
        <r>
          <rPr>
            <sz val="9"/>
            <color indexed="81"/>
            <rFont val="Tahoma"/>
            <family val="2"/>
          </rPr>
          <t xml:space="preserve">
проверити збир!
</t>
        </r>
      </text>
    </comment>
    <comment ref="H4866" authorId="0" shapeId="0">
      <text>
        <r>
          <rPr>
            <b/>
            <sz val="9"/>
            <color indexed="81"/>
            <rFont val="Tahoma"/>
            <family val="2"/>
          </rPr>
          <t>LPA:</t>
        </r>
        <r>
          <rPr>
            <sz val="9"/>
            <color indexed="81"/>
            <rFont val="Tahoma"/>
            <family val="2"/>
          </rPr>
          <t xml:space="preserve">
проверити збир!</t>
        </r>
      </text>
    </comment>
    <comment ref="I4866" authorId="0" shapeId="0">
      <text>
        <r>
          <rPr>
            <b/>
            <sz val="9"/>
            <color indexed="81"/>
            <rFont val="Tahoma"/>
            <family val="2"/>
          </rPr>
          <t>LPA:</t>
        </r>
        <r>
          <rPr>
            <sz val="9"/>
            <color indexed="81"/>
            <rFont val="Tahoma"/>
            <family val="2"/>
          </rPr>
          <t xml:space="preserve">
проверити збир!</t>
        </r>
      </text>
    </comment>
    <comment ref="I4867" authorId="0" shapeId="0">
      <text>
        <r>
          <rPr>
            <b/>
            <sz val="9"/>
            <color indexed="81"/>
            <rFont val="Tahoma"/>
            <family val="2"/>
          </rPr>
          <t>LPA:</t>
        </r>
        <r>
          <rPr>
            <sz val="9"/>
            <color indexed="81"/>
            <rFont val="Tahoma"/>
            <family val="2"/>
          </rPr>
          <t xml:space="preserve">
проверити збир!
</t>
        </r>
      </text>
    </comment>
    <comment ref="I4868" authorId="0" shapeId="0">
      <text>
        <r>
          <rPr>
            <b/>
            <sz val="9"/>
            <color indexed="81"/>
            <rFont val="Tahoma"/>
            <family val="2"/>
          </rPr>
          <t>LPA:</t>
        </r>
        <r>
          <rPr>
            <sz val="9"/>
            <color indexed="81"/>
            <rFont val="Tahoma"/>
            <family val="2"/>
          </rPr>
          <t xml:space="preserve">
проверити збир!
</t>
        </r>
      </text>
    </comment>
    <comment ref="I4869" authorId="0" shapeId="0">
      <text>
        <r>
          <rPr>
            <b/>
            <sz val="9"/>
            <color indexed="81"/>
            <rFont val="Tahoma"/>
            <family val="2"/>
          </rPr>
          <t>LPA:</t>
        </r>
        <r>
          <rPr>
            <sz val="9"/>
            <color indexed="81"/>
            <rFont val="Tahoma"/>
            <family val="2"/>
          </rPr>
          <t xml:space="preserve">
проверити збир!
</t>
        </r>
      </text>
    </comment>
    <comment ref="I4870" authorId="0" shapeId="0">
      <text>
        <r>
          <rPr>
            <b/>
            <sz val="9"/>
            <color indexed="81"/>
            <rFont val="Tahoma"/>
            <family val="2"/>
          </rPr>
          <t>LPA:</t>
        </r>
        <r>
          <rPr>
            <sz val="9"/>
            <color indexed="81"/>
            <rFont val="Tahoma"/>
            <family val="2"/>
          </rPr>
          <t xml:space="preserve">
проверити збир!
</t>
        </r>
      </text>
    </comment>
    <comment ref="I4871" authorId="0" shapeId="0">
      <text>
        <r>
          <rPr>
            <b/>
            <sz val="9"/>
            <color indexed="81"/>
            <rFont val="Tahoma"/>
            <family val="2"/>
          </rPr>
          <t>LPA:</t>
        </r>
        <r>
          <rPr>
            <sz val="9"/>
            <color indexed="81"/>
            <rFont val="Tahoma"/>
            <family val="2"/>
          </rPr>
          <t xml:space="preserve">
проверити збир!
</t>
        </r>
      </text>
    </comment>
    <comment ref="I4872" authorId="0" shapeId="0">
      <text>
        <r>
          <rPr>
            <b/>
            <sz val="9"/>
            <color indexed="81"/>
            <rFont val="Tahoma"/>
            <family val="2"/>
          </rPr>
          <t>LPA:</t>
        </r>
        <r>
          <rPr>
            <sz val="9"/>
            <color indexed="81"/>
            <rFont val="Tahoma"/>
            <family val="2"/>
          </rPr>
          <t xml:space="preserve">
проверити збир!
</t>
        </r>
      </text>
    </comment>
    <comment ref="I4873" authorId="0" shapeId="0">
      <text>
        <r>
          <rPr>
            <b/>
            <sz val="9"/>
            <color indexed="81"/>
            <rFont val="Tahoma"/>
            <family val="2"/>
          </rPr>
          <t>LPA:</t>
        </r>
        <r>
          <rPr>
            <sz val="9"/>
            <color indexed="81"/>
            <rFont val="Tahoma"/>
            <family val="2"/>
          </rPr>
          <t xml:space="preserve">
проверити збир!
</t>
        </r>
      </text>
    </comment>
    <comment ref="I4874" authorId="0" shapeId="0">
      <text>
        <r>
          <rPr>
            <b/>
            <sz val="9"/>
            <color indexed="81"/>
            <rFont val="Tahoma"/>
            <family val="2"/>
          </rPr>
          <t>LPA:</t>
        </r>
        <r>
          <rPr>
            <sz val="9"/>
            <color indexed="81"/>
            <rFont val="Tahoma"/>
            <family val="2"/>
          </rPr>
          <t xml:space="preserve">
проверити збир!
</t>
        </r>
      </text>
    </comment>
    <comment ref="I4875" authorId="0" shapeId="0">
      <text>
        <r>
          <rPr>
            <b/>
            <sz val="9"/>
            <color indexed="81"/>
            <rFont val="Tahoma"/>
            <family val="2"/>
          </rPr>
          <t>LPA:</t>
        </r>
        <r>
          <rPr>
            <sz val="9"/>
            <color indexed="81"/>
            <rFont val="Tahoma"/>
            <family val="2"/>
          </rPr>
          <t xml:space="preserve">
проверити збир!
</t>
        </r>
      </text>
    </comment>
    <comment ref="I4876" authorId="0" shapeId="0">
      <text>
        <r>
          <rPr>
            <b/>
            <sz val="9"/>
            <color indexed="81"/>
            <rFont val="Tahoma"/>
            <family val="2"/>
          </rPr>
          <t>LPA:</t>
        </r>
        <r>
          <rPr>
            <sz val="9"/>
            <color indexed="81"/>
            <rFont val="Tahoma"/>
            <family val="2"/>
          </rPr>
          <t xml:space="preserve">
проверити збир!
</t>
        </r>
      </text>
    </comment>
    <comment ref="I4877" authorId="0" shapeId="0">
      <text>
        <r>
          <rPr>
            <b/>
            <sz val="9"/>
            <color indexed="81"/>
            <rFont val="Tahoma"/>
            <family val="2"/>
          </rPr>
          <t>LPA:</t>
        </r>
        <r>
          <rPr>
            <sz val="9"/>
            <color indexed="81"/>
            <rFont val="Tahoma"/>
            <family val="2"/>
          </rPr>
          <t xml:space="preserve">
проверити збир!
</t>
        </r>
      </text>
    </comment>
    <comment ref="I4878" authorId="0" shapeId="0">
      <text>
        <r>
          <rPr>
            <b/>
            <sz val="9"/>
            <color indexed="81"/>
            <rFont val="Tahoma"/>
            <family val="2"/>
          </rPr>
          <t>LPA:</t>
        </r>
        <r>
          <rPr>
            <sz val="9"/>
            <color indexed="81"/>
            <rFont val="Tahoma"/>
            <family val="2"/>
          </rPr>
          <t xml:space="preserve">
проверити збир!
</t>
        </r>
      </text>
    </comment>
    <comment ref="I4879" authorId="0" shapeId="0">
      <text>
        <r>
          <rPr>
            <b/>
            <sz val="9"/>
            <color indexed="81"/>
            <rFont val="Tahoma"/>
            <family val="2"/>
          </rPr>
          <t>LPA:</t>
        </r>
        <r>
          <rPr>
            <sz val="9"/>
            <color indexed="81"/>
            <rFont val="Tahoma"/>
            <family val="2"/>
          </rPr>
          <t xml:space="preserve">
проверити збир!
</t>
        </r>
      </text>
    </comment>
    <comment ref="I4880" authorId="0" shapeId="0">
      <text>
        <r>
          <rPr>
            <b/>
            <sz val="9"/>
            <color indexed="81"/>
            <rFont val="Tahoma"/>
            <family val="2"/>
          </rPr>
          <t>LPA:</t>
        </r>
        <r>
          <rPr>
            <sz val="9"/>
            <color indexed="81"/>
            <rFont val="Tahoma"/>
            <family val="2"/>
          </rPr>
          <t xml:space="preserve">
проверити збир!
</t>
        </r>
      </text>
    </comment>
    <comment ref="I4881" authorId="0" shapeId="0">
      <text>
        <r>
          <rPr>
            <b/>
            <sz val="9"/>
            <color indexed="81"/>
            <rFont val="Tahoma"/>
            <family val="2"/>
          </rPr>
          <t>LPA:</t>
        </r>
        <r>
          <rPr>
            <sz val="9"/>
            <color indexed="81"/>
            <rFont val="Tahoma"/>
            <family val="2"/>
          </rPr>
          <t xml:space="preserve">
проверити збир!
</t>
        </r>
      </text>
    </comment>
    <comment ref="I4950" authorId="0" shapeId="0">
      <text>
        <r>
          <rPr>
            <b/>
            <sz val="9"/>
            <color indexed="81"/>
            <rFont val="Tahoma"/>
            <family val="2"/>
          </rPr>
          <t>LPA:</t>
        </r>
        <r>
          <rPr>
            <sz val="9"/>
            <color indexed="81"/>
            <rFont val="Tahoma"/>
            <family val="2"/>
          </rPr>
          <t xml:space="preserve">
проверити збир!
</t>
        </r>
      </text>
    </comment>
    <comment ref="I4951" authorId="0" shapeId="0">
      <text>
        <r>
          <rPr>
            <b/>
            <sz val="9"/>
            <color indexed="81"/>
            <rFont val="Tahoma"/>
            <family val="2"/>
          </rPr>
          <t>LPA:</t>
        </r>
        <r>
          <rPr>
            <sz val="9"/>
            <color indexed="81"/>
            <rFont val="Tahoma"/>
            <family val="2"/>
          </rPr>
          <t xml:space="preserve">
проверити збир!
</t>
        </r>
      </text>
    </comment>
    <comment ref="I4952" authorId="0" shapeId="0">
      <text>
        <r>
          <rPr>
            <b/>
            <sz val="9"/>
            <color indexed="81"/>
            <rFont val="Tahoma"/>
            <family val="2"/>
          </rPr>
          <t>LPA:</t>
        </r>
        <r>
          <rPr>
            <sz val="9"/>
            <color indexed="81"/>
            <rFont val="Tahoma"/>
            <family val="2"/>
          </rPr>
          <t xml:space="preserve">
проверити збир!
</t>
        </r>
      </text>
    </comment>
    <comment ref="I4953" authorId="0" shapeId="0">
      <text>
        <r>
          <rPr>
            <b/>
            <sz val="9"/>
            <color indexed="81"/>
            <rFont val="Tahoma"/>
            <family val="2"/>
          </rPr>
          <t>LPA:</t>
        </r>
        <r>
          <rPr>
            <sz val="9"/>
            <color indexed="81"/>
            <rFont val="Tahoma"/>
            <family val="2"/>
          </rPr>
          <t xml:space="preserve">
проверити збир!
</t>
        </r>
      </text>
    </comment>
    <comment ref="I4954" authorId="0" shapeId="0">
      <text>
        <r>
          <rPr>
            <b/>
            <sz val="9"/>
            <color indexed="81"/>
            <rFont val="Tahoma"/>
            <family val="2"/>
          </rPr>
          <t>LPA:</t>
        </r>
        <r>
          <rPr>
            <sz val="9"/>
            <color indexed="81"/>
            <rFont val="Tahoma"/>
            <family val="2"/>
          </rPr>
          <t xml:space="preserve">
проверити збир!
</t>
        </r>
      </text>
    </comment>
    <comment ref="I4955" authorId="0" shapeId="0">
      <text>
        <r>
          <rPr>
            <b/>
            <sz val="9"/>
            <color indexed="81"/>
            <rFont val="Tahoma"/>
            <family val="2"/>
          </rPr>
          <t>LPA:</t>
        </r>
        <r>
          <rPr>
            <sz val="9"/>
            <color indexed="81"/>
            <rFont val="Tahoma"/>
            <family val="2"/>
          </rPr>
          <t xml:space="preserve">
проверити збир!
</t>
        </r>
      </text>
    </comment>
    <comment ref="I4956" authorId="0" shapeId="0">
      <text>
        <r>
          <rPr>
            <b/>
            <sz val="9"/>
            <color indexed="81"/>
            <rFont val="Tahoma"/>
            <family val="2"/>
          </rPr>
          <t>LPA:</t>
        </r>
        <r>
          <rPr>
            <sz val="9"/>
            <color indexed="81"/>
            <rFont val="Tahoma"/>
            <family val="2"/>
          </rPr>
          <t xml:space="preserve">
проверити збир!
</t>
        </r>
      </text>
    </comment>
    <comment ref="I4957" authorId="0" shapeId="0">
      <text>
        <r>
          <rPr>
            <b/>
            <sz val="9"/>
            <color indexed="81"/>
            <rFont val="Tahoma"/>
            <family val="2"/>
          </rPr>
          <t>LPA:</t>
        </r>
        <r>
          <rPr>
            <sz val="9"/>
            <color indexed="81"/>
            <rFont val="Tahoma"/>
            <family val="2"/>
          </rPr>
          <t xml:space="preserve">
проверити збир!
</t>
        </r>
      </text>
    </comment>
    <comment ref="I4958" authorId="0" shapeId="0">
      <text>
        <r>
          <rPr>
            <b/>
            <sz val="9"/>
            <color indexed="81"/>
            <rFont val="Tahoma"/>
            <family val="2"/>
          </rPr>
          <t>LPA:</t>
        </r>
        <r>
          <rPr>
            <sz val="9"/>
            <color indexed="81"/>
            <rFont val="Tahoma"/>
            <family val="2"/>
          </rPr>
          <t xml:space="preserve">
проверити збир!
</t>
        </r>
      </text>
    </comment>
    <comment ref="I4959" authorId="0" shapeId="0">
      <text>
        <r>
          <rPr>
            <b/>
            <sz val="9"/>
            <color indexed="81"/>
            <rFont val="Tahoma"/>
            <family val="2"/>
          </rPr>
          <t>LPA:</t>
        </r>
        <r>
          <rPr>
            <sz val="9"/>
            <color indexed="81"/>
            <rFont val="Tahoma"/>
            <family val="2"/>
          </rPr>
          <t xml:space="preserve">
проверити збир!
</t>
        </r>
      </text>
    </comment>
    <comment ref="I4960" authorId="0" shapeId="0">
      <text>
        <r>
          <rPr>
            <b/>
            <sz val="9"/>
            <color indexed="81"/>
            <rFont val="Tahoma"/>
            <family val="2"/>
          </rPr>
          <t>LPA:</t>
        </r>
        <r>
          <rPr>
            <sz val="9"/>
            <color indexed="81"/>
            <rFont val="Tahoma"/>
            <family val="2"/>
          </rPr>
          <t xml:space="preserve">
проверити збир!
</t>
        </r>
      </text>
    </comment>
    <comment ref="I4961" authorId="0" shapeId="0">
      <text>
        <r>
          <rPr>
            <b/>
            <sz val="9"/>
            <color indexed="81"/>
            <rFont val="Tahoma"/>
            <family val="2"/>
          </rPr>
          <t>LPA:</t>
        </r>
        <r>
          <rPr>
            <sz val="9"/>
            <color indexed="81"/>
            <rFont val="Tahoma"/>
            <family val="2"/>
          </rPr>
          <t xml:space="preserve">
проверити збир!
</t>
        </r>
      </text>
    </comment>
    <comment ref="I4962" authorId="0" shapeId="0">
      <text>
        <r>
          <rPr>
            <b/>
            <sz val="9"/>
            <color indexed="81"/>
            <rFont val="Tahoma"/>
            <family val="2"/>
          </rPr>
          <t>LPA:</t>
        </r>
        <r>
          <rPr>
            <sz val="9"/>
            <color indexed="81"/>
            <rFont val="Tahoma"/>
            <family val="2"/>
          </rPr>
          <t xml:space="preserve">
проверити збир!
</t>
        </r>
      </text>
    </comment>
    <comment ref="H4965" authorId="0" shapeId="0">
      <text>
        <r>
          <rPr>
            <b/>
            <sz val="9"/>
            <color indexed="81"/>
            <rFont val="Tahoma"/>
            <family val="2"/>
          </rPr>
          <t>LPA:</t>
        </r>
        <r>
          <rPr>
            <sz val="9"/>
            <color indexed="81"/>
            <rFont val="Tahoma"/>
            <family val="2"/>
          </rPr>
          <t xml:space="preserve">
проверити збир!</t>
        </r>
      </text>
    </comment>
    <comment ref="I4965" authorId="0" shapeId="0">
      <text>
        <r>
          <rPr>
            <b/>
            <sz val="9"/>
            <color indexed="81"/>
            <rFont val="Tahoma"/>
            <family val="2"/>
          </rPr>
          <t>LPA:</t>
        </r>
        <r>
          <rPr>
            <sz val="9"/>
            <color indexed="81"/>
            <rFont val="Tahoma"/>
            <family val="2"/>
          </rPr>
          <t xml:space="preserve">
проверити збир!</t>
        </r>
      </text>
    </comment>
    <comment ref="I4966" authorId="0" shapeId="0">
      <text>
        <r>
          <rPr>
            <b/>
            <sz val="9"/>
            <color indexed="81"/>
            <rFont val="Tahoma"/>
            <family val="2"/>
          </rPr>
          <t>LPA:</t>
        </r>
        <r>
          <rPr>
            <sz val="9"/>
            <color indexed="81"/>
            <rFont val="Tahoma"/>
            <family val="2"/>
          </rPr>
          <t xml:space="preserve">
проверити збир!
</t>
        </r>
      </text>
    </comment>
    <comment ref="I4967" authorId="0" shapeId="0">
      <text>
        <r>
          <rPr>
            <b/>
            <sz val="9"/>
            <color indexed="81"/>
            <rFont val="Tahoma"/>
            <family val="2"/>
          </rPr>
          <t>LPA:</t>
        </r>
        <r>
          <rPr>
            <sz val="9"/>
            <color indexed="81"/>
            <rFont val="Tahoma"/>
            <family val="2"/>
          </rPr>
          <t xml:space="preserve">
проверити збир!
</t>
        </r>
      </text>
    </comment>
    <comment ref="I4968" authorId="0" shapeId="0">
      <text>
        <r>
          <rPr>
            <b/>
            <sz val="9"/>
            <color indexed="81"/>
            <rFont val="Tahoma"/>
            <family val="2"/>
          </rPr>
          <t>LPA:</t>
        </r>
        <r>
          <rPr>
            <sz val="9"/>
            <color indexed="81"/>
            <rFont val="Tahoma"/>
            <family val="2"/>
          </rPr>
          <t xml:space="preserve">
проверити збир!
</t>
        </r>
      </text>
    </comment>
    <comment ref="I4969" authorId="0" shapeId="0">
      <text>
        <r>
          <rPr>
            <b/>
            <sz val="9"/>
            <color indexed="81"/>
            <rFont val="Tahoma"/>
            <family val="2"/>
          </rPr>
          <t>LPA:</t>
        </r>
        <r>
          <rPr>
            <sz val="9"/>
            <color indexed="81"/>
            <rFont val="Tahoma"/>
            <family val="2"/>
          </rPr>
          <t xml:space="preserve">
проверити збир!
</t>
        </r>
      </text>
    </comment>
    <comment ref="I4970" authorId="0" shapeId="0">
      <text>
        <r>
          <rPr>
            <b/>
            <sz val="9"/>
            <color indexed="81"/>
            <rFont val="Tahoma"/>
            <family val="2"/>
          </rPr>
          <t>LPA:</t>
        </r>
        <r>
          <rPr>
            <sz val="9"/>
            <color indexed="81"/>
            <rFont val="Tahoma"/>
            <family val="2"/>
          </rPr>
          <t xml:space="preserve">
проверити збир!
</t>
        </r>
      </text>
    </comment>
    <comment ref="I4971" authorId="0" shapeId="0">
      <text>
        <r>
          <rPr>
            <b/>
            <sz val="9"/>
            <color indexed="81"/>
            <rFont val="Tahoma"/>
            <family val="2"/>
          </rPr>
          <t>LPA:</t>
        </r>
        <r>
          <rPr>
            <sz val="9"/>
            <color indexed="81"/>
            <rFont val="Tahoma"/>
            <family val="2"/>
          </rPr>
          <t xml:space="preserve">
проверити збир!
</t>
        </r>
      </text>
    </comment>
    <comment ref="I4972" authorId="0" shapeId="0">
      <text>
        <r>
          <rPr>
            <b/>
            <sz val="9"/>
            <color indexed="81"/>
            <rFont val="Tahoma"/>
            <family val="2"/>
          </rPr>
          <t>LPA:</t>
        </r>
        <r>
          <rPr>
            <sz val="9"/>
            <color indexed="81"/>
            <rFont val="Tahoma"/>
            <family val="2"/>
          </rPr>
          <t xml:space="preserve">
проверити збир!
</t>
        </r>
      </text>
    </comment>
    <comment ref="I4973" authorId="0" shapeId="0">
      <text>
        <r>
          <rPr>
            <b/>
            <sz val="9"/>
            <color indexed="81"/>
            <rFont val="Tahoma"/>
            <family val="2"/>
          </rPr>
          <t>LPA:</t>
        </r>
        <r>
          <rPr>
            <sz val="9"/>
            <color indexed="81"/>
            <rFont val="Tahoma"/>
            <family val="2"/>
          </rPr>
          <t xml:space="preserve">
проверити збир!
</t>
        </r>
      </text>
    </comment>
    <comment ref="I4974" authorId="0" shapeId="0">
      <text>
        <r>
          <rPr>
            <b/>
            <sz val="9"/>
            <color indexed="81"/>
            <rFont val="Tahoma"/>
            <family val="2"/>
          </rPr>
          <t>LPA:</t>
        </r>
        <r>
          <rPr>
            <sz val="9"/>
            <color indexed="81"/>
            <rFont val="Tahoma"/>
            <family val="2"/>
          </rPr>
          <t xml:space="preserve">
проверити збир!
</t>
        </r>
      </text>
    </comment>
    <comment ref="I4975" authorId="0" shapeId="0">
      <text>
        <r>
          <rPr>
            <b/>
            <sz val="9"/>
            <color indexed="81"/>
            <rFont val="Tahoma"/>
            <family val="2"/>
          </rPr>
          <t>LPA:</t>
        </r>
        <r>
          <rPr>
            <sz val="9"/>
            <color indexed="81"/>
            <rFont val="Tahoma"/>
            <family val="2"/>
          </rPr>
          <t xml:space="preserve">
проверити збир!
</t>
        </r>
      </text>
    </comment>
    <comment ref="I4976" authorId="0" shapeId="0">
      <text>
        <r>
          <rPr>
            <b/>
            <sz val="9"/>
            <color indexed="81"/>
            <rFont val="Tahoma"/>
            <family val="2"/>
          </rPr>
          <t>LPA:</t>
        </r>
        <r>
          <rPr>
            <sz val="9"/>
            <color indexed="81"/>
            <rFont val="Tahoma"/>
            <family val="2"/>
          </rPr>
          <t xml:space="preserve">
проверити збир!
</t>
        </r>
      </text>
    </comment>
    <comment ref="I4977" authorId="0" shapeId="0">
      <text>
        <r>
          <rPr>
            <b/>
            <sz val="9"/>
            <color indexed="81"/>
            <rFont val="Tahoma"/>
            <family val="2"/>
          </rPr>
          <t>LPA:</t>
        </r>
        <r>
          <rPr>
            <sz val="9"/>
            <color indexed="81"/>
            <rFont val="Tahoma"/>
            <family val="2"/>
          </rPr>
          <t xml:space="preserve">
проверити збир!
</t>
        </r>
      </text>
    </comment>
    <comment ref="I4978" authorId="0" shapeId="0">
      <text>
        <r>
          <rPr>
            <b/>
            <sz val="9"/>
            <color indexed="81"/>
            <rFont val="Tahoma"/>
            <family val="2"/>
          </rPr>
          <t>LPA:</t>
        </r>
        <r>
          <rPr>
            <sz val="9"/>
            <color indexed="81"/>
            <rFont val="Tahoma"/>
            <family val="2"/>
          </rPr>
          <t xml:space="preserve">
проверити збир!
</t>
        </r>
      </text>
    </comment>
    <comment ref="I4979" authorId="0" shapeId="0">
      <text>
        <r>
          <rPr>
            <b/>
            <sz val="9"/>
            <color indexed="81"/>
            <rFont val="Tahoma"/>
            <family val="2"/>
          </rPr>
          <t>LPA:</t>
        </r>
        <r>
          <rPr>
            <sz val="9"/>
            <color indexed="81"/>
            <rFont val="Tahoma"/>
            <family val="2"/>
          </rPr>
          <t xml:space="preserve">
проверити збир!
</t>
        </r>
      </text>
    </comment>
    <comment ref="I4980" authorId="0" shapeId="0">
      <text>
        <r>
          <rPr>
            <b/>
            <sz val="9"/>
            <color indexed="81"/>
            <rFont val="Tahoma"/>
            <family val="2"/>
          </rPr>
          <t>LPA:</t>
        </r>
        <r>
          <rPr>
            <sz val="9"/>
            <color indexed="81"/>
            <rFont val="Tahoma"/>
            <family val="2"/>
          </rPr>
          <t xml:space="preserve">
проверити збир!
</t>
        </r>
      </text>
    </comment>
    <comment ref="I5049" authorId="0" shapeId="0">
      <text>
        <r>
          <rPr>
            <b/>
            <sz val="9"/>
            <color indexed="81"/>
            <rFont val="Tahoma"/>
            <family val="2"/>
          </rPr>
          <t>LPA:</t>
        </r>
        <r>
          <rPr>
            <sz val="9"/>
            <color indexed="81"/>
            <rFont val="Tahoma"/>
            <family val="2"/>
          </rPr>
          <t xml:space="preserve">
проверити збир!
</t>
        </r>
      </text>
    </comment>
    <comment ref="I5050" authorId="0" shapeId="0">
      <text>
        <r>
          <rPr>
            <b/>
            <sz val="9"/>
            <color indexed="81"/>
            <rFont val="Tahoma"/>
            <family val="2"/>
          </rPr>
          <t>LPA:</t>
        </r>
        <r>
          <rPr>
            <sz val="9"/>
            <color indexed="81"/>
            <rFont val="Tahoma"/>
            <family val="2"/>
          </rPr>
          <t xml:space="preserve">
проверити збир!
</t>
        </r>
      </text>
    </comment>
    <comment ref="I5051" authorId="0" shapeId="0">
      <text>
        <r>
          <rPr>
            <b/>
            <sz val="9"/>
            <color indexed="81"/>
            <rFont val="Tahoma"/>
            <family val="2"/>
          </rPr>
          <t>LPA:</t>
        </r>
        <r>
          <rPr>
            <sz val="9"/>
            <color indexed="81"/>
            <rFont val="Tahoma"/>
            <family val="2"/>
          </rPr>
          <t xml:space="preserve">
проверити збир!
</t>
        </r>
      </text>
    </comment>
    <comment ref="I5052" authorId="0" shapeId="0">
      <text>
        <r>
          <rPr>
            <b/>
            <sz val="9"/>
            <color indexed="81"/>
            <rFont val="Tahoma"/>
            <family val="2"/>
          </rPr>
          <t>LPA:</t>
        </r>
        <r>
          <rPr>
            <sz val="9"/>
            <color indexed="81"/>
            <rFont val="Tahoma"/>
            <family val="2"/>
          </rPr>
          <t xml:space="preserve">
проверити збир!
</t>
        </r>
      </text>
    </comment>
    <comment ref="I5053" authorId="0" shapeId="0">
      <text>
        <r>
          <rPr>
            <b/>
            <sz val="9"/>
            <color indexed="81"/>
            <rFont val="Tahoma"/>
            <family val="2"/>
          </rPr>
          <t>LPA:</t>
        </r>
        <r>
          <rPr>
            <sz val="9"/>
            <color indexed="81"/>
            <rFont val="Tahoma"/>
            <family val="2"/>
          </rPr>
          <t xml:space="preserve">
проверити збир!
</t>
        </r>
      </text>
    </comment>
    <comment ref="I5054" authorId="0" shapeId="0">
      <text>
        <r>
          <rPr>
            <b/>
            <sz val="9"/>
            <color indexed="81"/>
            <rFont val="Tahoma"/>
            <family val="2"/>
          </rPr>
          <t>LPA:</t>
        </r>
        <r>
          <rPr>
            <sz val="9"/>
            <color indexed="81"/>
            <rFont val="Tahoma"/>
            <family val="2"/>
          </rPr>
          <t xml:space="preserve">
проверити збир!
</t>
        </r>
      </text>
    </comment>
    <comment ref="I5055" authorId="0" shapeId="0">
      <text>
        <r>
          <rPr>
            <b/>
            <sz val="9"/>
            <color indexed="81"/>
            <rFont val="Tahoma"/>
            <family val="2"/>
          </rPr>
          <t>LPA:</t>
        </r>
        <r>
          <rPr>
            <sz val="9"/>
            <color indexed="81"/>
            <rFont val="Tahoma"/>
            <family val="2"/>
          </rPr>
          <t xml:space="preserve">
проверити збир!
</t>
        </r>
      </text>
    </comment>
    <comment ref="I5056" authorId="0" shapeId="0">
      <text>
        <r>
          <rPr>
            <b/>
            <sz val="9"/>
            <color indexed="81"/>
            <rFont val="Tahoma"/>
            <family val="2"/>
          </rPr>
          <t>LPA:</t>
        </r>
        <r>
          <rPr>
            <sz val="9"/>
            <color indexed="81"/>
            <rFont val="Tahoma"/>
            <family val="2"/>
          </rPr>
          <t xml:space="preserve">
проверити збир!
</t>
        </r>
      </text>
    </comment>
    <comment ref="I5057" authorId="0" shapeId="0">
      <text>
        <r>
          <rPr>
            <b/>
            <sz val="9"/>
            <color indexed="81"/>
            <rFont val="Tahoma"/>
            <family val="2"/>
          </rPr>
          <t>LPA:</t>
        </r>
        <r>
          <rPr>
            <sz val="9"/>
            <color indexed="81"/>
            <rFont val="Tahoma"/>
            <family val="2"/>
          </rPr>
          <t xml:space="preserve">
проверити збир!
</t>
        </r>
      </text>
    </comment>
    <comment ref="I5058" authorId="0" shapeId="0">
      <text>
        <r>
          <rPr>
            <b/>
            <sz val="9"/>
            <color indexed="81"/>
            <rFont val="Tahoma"/>
            <family val="2"/>
          </rPr>
          <t>LPA:</t>
        </r>
        <r>
          <rPr>
            <sz val="9"/>
            <color indexed="81"/>
            <rFont val="Tahoma"/>
            <family val="2"/>
          </rPr>
          <t xml:space="preserve">
проверити збир!
</t>
        </r>
      </text>
    </comment>
    <comment ref="I5059" authorId="0" shapeId="0">
      <text>
        <r>
          <rPr>
            <b/>
            <sz val="9"/>
            <color indexed="81"/>
            <rFont val="Tahoma"/>
            <family val="2"/>
          </rPr>
          <t>LPA:</t>
        </r>
        <r>
          <rPr>
            <sz val="9"/>
            <color indexed="81"/>
            <rFont val="Tahoma"/>
            <family val="2"/>
          </rPr>
          <t xml:space="preserve">
проверити збир!
</t>
        </r>
      </text>
    </comment>
    <comment ref="I5060" authorId="0" shapeId="0">
      <text>
        <r>
          <rPr>
            <b/>
            <sz val="9"/>
            <color indexed="81"/>
            <rFont val="Tahoma"/>
            <family val="2"/>
          </rPr>
          <t>LPA:</t>
        </r>
        <r>
          <rPr>
            <sz val="9"/>
            <color indexed="81"/>
            <rFont val="Tahoma"/>
            <family val="2"/>
          </rPr>
          <t xml:space="preserve">
проверити збир!
</t>
        </r>
      </text>
    </comment>
    <comment ref="I5061" authorId="0" shapeId="0">
      <text>
        <r>
          <rPr>
            <b/>
            <sz val="9"/>
            <color indexed="81"/>
            <rFont val="Tahoma"/>
            <family val="2"/>
          </rPr>
          <t>LPA:</t>
        </r>
        <r>
          <rPr>
            <sz val="9"/>
            <color indexed="81"/>
            <rFont val="Tahoma"/>
            <family val="2"/>
          </rPr>
          <t xml:space="preserve">
проверити збир!
</t>
        </r>
      </text>
    </comment>
    <comment ref="H5064" authorId="0" shapeId="0">
      <text>
        <r>
          <rPr>
            <b/>
            <sz val="9"/>
            <color indexed="81"/>
            <rFont val="Tahoma"/>
            <family val="2"/>
          </rPr>
          <t>LPA:</t>
        </r>
        <r>
          <rPr>
            <sz val="9"/>
            <color indexed="81"/>
            <rFont val="Tahoma"/>
            <family val="2"/>
          </rPr>
          <t xml:space="preserve">
проверити збир!</t>
        </r>
      </text>
    </comment>
    <comment ref="I5064" authorId="0" shapeId="0">
      <text>
        <r>
          <rPr>
            <b/>
            <sz val="9"/>
            <color indexed="81"/>
            <rFont val="Tahoma"/>
            <family val="2"/>
          </rPr>
          <t>LPA:</t>
        </r>
        <r>
          <rPr>
            <sz val="9"/>
            <color indexed="81"/>
            <rFont val="Tahoma"/>
            <family val="2"/>
          </rPr>
          <t xml:space="preserve">
проверити збир!</t>
        </r>
      </text>
    </comment>
    <comment ref="I5065" authorId="0" shapeId="0">
      <text>
        <r>
          <rPr>
            <b/>
            <sz val="9"/>
            <color indexed="81"/>
            <rFont val="Tahoma"/>
            <family val="2"/>
          </rPr>
          <t>LPA:</t>
        </r>
        <r>
          <rPr>
            <sz val="9"/>
            <color indexed="81"/>
            <rFont val="Tahoma"/>
            <family val="2"/>
          </rPr>
          <t xml:space="preserve">
проверити збир!
</t>
        </r>
      </text>
    </comment>
    <comment ref="I5066" authorId="0" shapeId="0">
      <text>
        <r>
          <rPr>
            <b/>
            <sz val="9"/>
            <color indexed="81"/>
            <rFont val="Tahoma"/>
            <family val="2"/>
          </rPr>
          <t>LPA:</t>
        </r>
        <r>
          <rPr>
            <sz val="9"/>
            <color indexed="81"/>
            <rFont val="Tahoma"/>
            <family val="2"/>
          </rPr>
          <t xml:space="preserve">
проверити збир!
</t>
        </r>
      </text>
    </comment>
    <comment ref="I5067" authorId="0" shapeId="0">
      <text>
        <r>
          <rPr>
            <b/>
            <sz val="9"/>
            <color indexed="81"/>
            <rFont val="Tahoma"/>
            <family val="2"/>
          </rPr>
          <t>LPA:</t>
        </r>
        <r>
          <rPr>
            <sz val="9"/>
            <color indexed="81"/>
            <rFont val="Tahoma"/>
            <family val="2"/>
          </rPr>
          <t xml:space="preserve">
проверити збир!
</t>
        </r>
      </text>
    </comment>
    <comment ref="I5068" authorId="0" shapeId="0">
      <text>
        <r>
          <rPr>
            <b/>
            <sz val="9"/>
            <color indexed="81"/>
            <rFont val="Tahoma"/>
            <family val="2"/>
          </rPr>
          <t>LPA:</t>
        </r>
        <r>
          <rPr>
            <sz val="9"/>
            <color indexed="81"/>
            <rFont val="Tahoma"/>
            <family val="2"/>
          </rPr>
          <t xml:space="preserve">
проверити збир!
</t>
        </r>
      </text>
    </comment>
    <comment ref="I5069" authorId="0" shapeId="0">
      <text>
        <r>
          <rPr>
            <b/>
            <sz val="9"/>
            <color indexed="81"/>
            <rFont val="Tahoma"/>
            <family val="2"/>
          </rPr>
          <t>LPA:</t>
        </r>
        <r>
          <rPr>
            <sz val="9"/>
            <color indexed="81"/>
            <rFont val="Tahoma"/>
            <family val="2"/>
          </rPr>
          <t xml:space="preserve">
проверити збир!
</t>
        </r>
      </text>
    </comment>
    <comment ref="I5070" authorId="0" shapeId="0">
      <text>
        <r>
          <rPr>
            <b/>
            <sz val="9"/>
            <color indexed="81"/>
            <rFont val="Tahoma"/>
            <family val="2"/>
          </rPr>
          <t>LPA:</t>
        </r>
        <r>
          <rPr>
            <sz val="9"/>
            <color indexed="81"/>
            <rFont val="Tahoma"/>
            <family val="2"/>
          </rPr>
          <t xml:space="preserve">
проверити збир!
</t>
        </r>
      </text>
    </comment>
    <comment ref="I5071" authorId="0" shapeId="0">
      <text>
        <r>
          <rPr>
            <b/>
            <sz val="9"/>
            <color indexed="81"/>
            <rFont val="Tahoma"/>
            <family val="2"/>
          </rPr>
          <t>LPA:</t>
        </r>
        <r>
          <rPr>
            <sz val="9"/>
            <color indexed="81"/>
            <rFont val="Tahoma"/>
            <family val="2"/>
          </rPr>
          <t xml:space="preserve">
проверити збир!
</t>
        </r>
      </text>
    </comment>
    <comment ref="I5072" authorId="0" shapeId="0">
      <text>
        <r>
          <rPr>
            <b/>
            <sz val="9"/>
            <color indexed="81"/>
            <rFont val="Tahoma"/>
            <family val="2"/>
          </rPr>
          <t>LPA:</t>
        </r>
        <r>
          <rPr>
            <sz val="9"/>
            <color indexed="81"/>
            <rFont val="Tahoma"/>
            <family val="2"/>
          </rPr>
          <t xml:space="preserve">
проверити збир!
</t>
        </r>
      </text>
    </comment>
    <comment ref="I5073" authorId="0" shapeId="0">
      <text>
        <r>
          <rPr>
            <b/>
            <sz val="9"/>
            <color indexed="81"/>
            <rFont val="Tahoma"/>
            <family val="2"/>
          </rPr>
          <t>LPA:</t>
        </r>
        <r>
          <rPr>
            <sz val="9"/>
            <color indexed="81"/>
            <rFont val="Tahoma"/>
            <family val="2"/>
          </rPr>
          <t xml:space="preserve">
проверити збир!
</t>
        </r>
      </text>
    </comment>
    <comment ref="I5074" authorId="0" shapeId="0">
      <text>
        <r>
          <rPr>
            <b/>
            <sz val="9"/>
            <color indexed="81"/>
            <rFont val="Tahoma"/>
            <family val="2"/>
          </rPr>
          <t>LPA:</t>
        </r>
        <r>
          <rPr>
            <sz val="9"/>
            <color indexed="81"/>
            <rFont val="Tahoma"/>
            <family val="2"/>
          </rPr>
          <t xml:space="preserve">
проверити збир!
</t>
        </r>
      </text>
    </comment>
    <comment ref="I5075" authorId="0" shapeId="0">
      <text>
        <r>
          <rPr>
            <b/>
            <sz val="9"/>
            <color indexed="81"/>
            <rFont val="Tahoma"/>
            <family val="2"/>
          </rPr>
          <t>LPA:</t>
        </r>
        <r>
          <rPr>
            <sz val="9"/>
            <color indexed="81"/>
            <rFont val="Tahoma"/>
            <family val="2"/>
          </rPr>
          <t xml:space="preserve">
проверити збир!
</t>
        </r>
      </text>
    </comment>
    <comment ref="I5076" authorId="0" shapeId="0">
      <text>
        <r>
          <rPr>
            <b/>
            <sz val="9"/>
            <color indexed="81"/>
            <rFont val="Tahoma"/>
            <family val="2"/>
          </rPr>
          <t>LPA:</t>
        </r>
        <r>
          <rPr>
            <sz val="9"/>
            <color indexed="81"/>
            <rFont val="Tahoma"/>
            <family val="2"/>
          </rPr>
          <t xml:space="preserve">
проверити збир!
</t>
        </r>
      </text>
    </comment>
    <comment ref="I5077" authorId="0" shapeId="0">
      <text>
        <r>
          <rPr>
            <b/>
            <sz val="9"/>
            <color indexed="81"/>
            <rFont val="Tahoma"/>
            <family val="2"/>
          </rPr>
          <t>LPA:</t>
        </r>
        <r>
          <rPr>
            <sz val="9"/>
            <color indexed="81"/>
            <rFont val="Tahoma"/>
            <family val="2"/>
          </rPr>
          <t xml:space="preserve">
проверити збир!
</t>
        </r>
      </text>
    </comment>
    <comment ref="I5078" authorId="0" shapeId="0">
      <text>
        <r>
          <rPr>
            <b/>
            <sz val="9"/>
            <color indexed="81"/>
            <rFont val="Tahoma"/>
            <family val="2"/>
          </rPr>
          <t>LPA:</t>
        </r>
        <r>
          <rPr>
            <sz val="9"/>
            <color indexed="81"/>
            <rFont val="Tahoma"/>
            <family val="2"/>
          </rPr>
          <t xml:space="preserve">
проверити збир!
</t>
        </r>
      </text>
    </comment>
    <comment ref="I5079" authorId="0" shapeId="0">
      <text>
        <r>
          <rPr>
            <b/>
            <sz val="9"/>
            <color indexed="81"/>
            <rFont val="Tahoma"/>
            <family val="2"/>
          </rPr>
          <t>LPA:</t>
        </r>
        <r>
          <rPr>
            <sz val="9"/>
            <color indexed="81"/>
            <rFont val="Tahoma"/>
            <family val="2"/>
          </rPr>
          <t xml:space="preserve">
проверити збир!
</t>
        </r>
      </text>
    </comment>
    <comment ref="H5083" authorId="0" shapeId="0">
      <text>
        <r>
          <rPr>
            <b/>
            <sz val="9"/>
            <color indexed="81"/>
            <rFont val="Tahoma"/>
            <family val="2"/>
          </rPr>
          <t>LPA:</t>
        </r>
        <r>
          <rPr>
            <sz val="9"/>
            <color indexed="81"/>
            <rFont val="Tahoma"/>
            <family val="2"/>
          </rPr>
          <t xml:space="preserve">
проверити збир!</t>
        </r>
      </text>
    </comment>
    <comment ref="I5083" authorId="0" shapeId="0">
      <text>
        <r>
          <rPr>
            <b/>
            <sz val="9"/>
            <color indexed="81"/>
            <rFont val="Tahoma"/>
            <family val="2"/>
          </rPr>
          <t>LPA:</t>
        </r>
        <r>
          <rPr>
            <sz val="9"/>
            <color indexed="81"/>
            <rFont val="Tahoma"/>
            <family val="2"/>
          </rPr>
          <t xml:space="preserve">
проверити збир!
</t>
        </r>
      </text>
    </comment>
    <comment ref="I5084" authorId="0" shapeId="0">
      <text>
        <r>
          <rPr>
            <b/>
            <sz val="9"/>
            <color indexed="81"/>
            <rFont val="Tahoma"/>
            <family val="2"/>
          </rPr>
          <t>LPA:</t>
        </r>
        <r>
          <rPr>
            <sz val="9"/>
            <color indexed="81"/>
            <rFont val="Tahoma"/>
            <family val="2"/>
          </rPr>
          <t xml:space="preserve">
проверити збир!
</t>
        </r>
      </text>
    </comment>
    <comment ref="I5085" authorId="0" shapeId="0">
      <text>
        <r>
          <rPr>
            <b/>
            <sz val="9"/>
            <color indexed="81"/>
            <rFont val="Tahoma"/>
            <family val="2"/>
          </rPr>
          <t>LPA:</t>
        </r>
        <r>
          <rPr>
            <sz val="9"/>
            <color indexed="81"/>
            <rFont val="Tahoma"/>
            <family val="2"/>
          </rPr>
          <t xml:space="preserve">
проверити збир!
</t>
        </r>
      </text>
    </comment>
    <comment ref="I5086" authorId="0" shapeId="0">
      <text>
        <r>
          <rPr>
            <b/>
            <sz val="9"/>
            <color indexed="81"/>
            <rFont val="Tahoma"/>
            <family val="2"/>
          </rPr>
          <t>LPA:</t>
        </r>
        <r>
          <rPr>
            <sz val="9"/>
            <color indexed="81"/>
            <rFont val="Tahoma"/>
            <family val="2"/>
          </rPr>
          <t xml:space="preserve">
проверити збир!
</t>
        </r>
      </text>
    </comment>
    <comment ref="I5087" authorId="0" shapeId="0">
      <text>
        <r>
          <rPr>
            <b/>
            <sz val="9"/>
            <color indexed="81"/>
            <rFont val="Tahoma"/>
            <family val="2"/>
          </rPr>
          <t>LPA:</t>
        </r>
        <r>
          <rPr>
            <sz val="9"/>
            <color indexed="81"/>
            <rFont val="Tahoma"/>
            <family val="2"/>
          </rPr>
          <t xml:space="preserve">
проверити збир!
</t>
        </r>
      </text>
    </comment>
    <comment ref="I5088" authorId="0" shapeId="0">
      <text>
        <r>
          <rPr>
            <b/>
            <sz val="9"/>
            <color indexed="81"/>
            <rFont val="Tahoma"/>
            <family val="2"/>
          </rPr>
          <t>LPA:</t>
        </r>
        <r>
          <rPr>
            <sz val="9"/>
            <color indexed="81"/>
            <rFont val="Tahoma"/>
            <family val="2"/>
          </rPr>
          <t xml:space="preserve">
проверити збир!
</t>
        </r>
      </text>
    </comment>
    <comment ref="I5089" authorId="0" shapeId="0">
      <text>
        <r>
          <rPr>
            <b/>
            <sz val="9"/>
            <color indexed="81"/>
            <rFont val="Tahoma"/>
            <family val="2"/>
          </rPr>
          <t>LPA:</t>
        </r>
        <r>
          <rPr>
            <sz val="9"/>
            <color indexed="81"/>
            <rFont val="Tahoma"/>
            <family val="2"/>
          </rPr>
          <t xml:space="preserve">
проверити збир!
</t>
        </r>
      </text>
    </comment>
    <comment ref="I5090" authorId="0" shapeId="0">
      <text>
        <r>
          <rPr>
            <b/>
            <sz val="9"/>
            <color indexed="81"/>
            <rFont val="Tahoma"/>
            <family val="2"/>
          </rPr>
          <t>LPA:</t>
        </r>
        <r>
          <rPr>
            <sz val="9"/>
            <color indexed="81"/>
            <rFont val="Tahoma"/>
            <family val="2"/>
          </rPr>
          <t xml:space="preserve">
проверити збир!
</t>
        </r>
      </text>
    </comment>
    <comment ref="I5091" authorId="0" shapeId="0">
      <text>
        <r>
          <rPr>
            <b/>
            <sz val="9"/>
            <color indexed="81"/>
            <rFont val="Tahoma"/>
            <family val="2"/>
          </rPr>
          <t>LPA:</t>
        </r>
        <r>
          <rPr>
            <sz val="9"/>
            <color indexed="81"/>
            <rFont val="Tahoma"/>
            <family val="2"/>
          </rPr>
          <t xml:space="preserve">
проверити збир!
</t>
        </r>
      </text>
    </comment>
    <comment ref="I5092" authorId="0" shapeId="0">
      <text>
        <r>
          <rPr>
            <b/>
            <sz val="9"/>
            <color indexed="81"/>
            <rFont val="Tahoma"/>
            <family val="2"/>
          </rPr>
          <t>LPA:</t>
        </r>
        <r>
          <rPr>
            <sz val="9"/>
            <color indexed="81"/>
            <rFont val="Tahoma"/>
            <family val="2"/>
          </rPr>
          <t xml:space="preserve">
проверити збир!
</t>
        </r>
      </text>
    </comment>
    <comment ref="I5093" authorId="0" shapeId="0">
      <text>
        <r>
          <rPr>
            <b/>
            <sz val="9"/>
            <color indexed="81"/>
            <rFont val="Tahoma"/>
            <family val="2"/>
          </rPr>
          <t>LPA:</t>
        </r>
        <r>
          <rPr>
            <sz val="9"/>
            <color indexed="81"/>
            <rFont val="Tahoma"/>
            <family val="2"/>
          </rPr>
          <t xml:space="preserve">
проверити збир!
</t>
        </r>
      </text>
    </comment>
    <comment ref="I5094" authorId="0" shapeId="0">
      <text>
        <r>
          <rPr>
            <b/>
            <sz val="9"/>
            <color indexed="81"/>
            <rFont val="Tahoma"/>
            <family val="2"/>
          </rPr>
          <t>LPA:</t>
        </r>
        <r>
          <rPr>
            <sz val="9"/>
            <color indexed="81"/>
            <rFont val="Tahoma"/>
            <family val="2"/>
          </rPr>
          <t xml:space="preserve">
проверити збир!
</t>
        </r>
      </text>
    </comment>
    <comment ref="I5095" authorId="0" shapeId="0">
      <text>
        <r>
          <rPr>
            <b/>
            <sz val="9"/>
            <color indexed="81"/>
            <rFont val="Tahoma"/>
            <family val="2"/>
          </rPr>
          <t>LPA:</t>
        </r>
        <r>
          <rPr>
            <sz val="9"/>
            <color indexed="81"/>
            <rFont val="Tahoma"/>
            <family val="2"/>
          </rPr>
          <t xml:space="preserve">
проверити збир!
</t>
        </r>
      </text>
    </comment>
    <comment ref="I5096" authorId="0" shapeId="0">
      <text>
        <r>
          <rPr>
            <b/>
            <sz val="9"/>
            <color indexed="81"/>
            <rFont val="Tahoma"/>
            <family val="2"/>
          </rPr>
          <t>LPA:</t>
        </r>
        <r>
          <rPr>
            <sz val="9"/>
            <color indexed="81"/>
            <rFont val="Tahoma"/>
            <family val="2"/>
          </rPr>
          <t xml:space="preserve">
проверити збир!
</t>
        </r>
      </text>
    </comment>
    <comment ref="I5097" authorId="0" shapeId="0">
      <text>
        <r>
          <rPr>
            <b/>
            <sz val="9"/>
            <color indexed="81"/>
            <rFont val="Tahoma"/>
            <family val="2"/>
          </rPr>
          <t>LPA:</t>
        </r>
        <r>
          <rPr>
            <sz val="9"/>
            <color indexed="81"/>
            <rFont val="Tahoma"/>
            <family val="2"/>
          </rPr>
          <t xml:space="preserve">
проверити збир!
</t>
        </r>
      </text>
    </comment>
    <comment ref="I5098" authorId="0" shapeId="0">
      <text>
        <r>
          <rPr>
            <b/>
            <sz val="9"/>
            <color indexed="81"/>
            <rFont val="Tahoma"/>
            <family val="2"/>
          </rPr>
          <t>LPA:</t>
        </r>
        <r>
          <rPr>
            <sz val="9"/>
            <color indexed="81"/>
            <rFont val="Tahoma"/>
            <family val="2"/>
          </rPr>
          <t xml:space="preserve">
проверити збир!
</t>
        </r>
      </text>
    </comment>
    <comment ref="I5234" authorId="0" shapeId="0">
      <text>
        <r>
          <rPr>
            <b/>
            <sz val="9"/>
            <color indexed="81"/>
            <rFont val="Tahoma"/>
            <family val="2"/>
          </rPr>
          <t>LPA:</t>
        </r>
        <r>
          <rPr>
            <sz val="9"/>
            <color indexed="81"/>
            <rFont val="Tahoma"/>
            <family val="2"/>
          </rPr>
          <t xml:space="preserve">
проверити збир!
</t>
        </r>
      </text>
    </comment>
    <comment ref="I5235" authorId="0" shapeId="0">
      <text>
        <r>
          <rPr>
            <b/>
            <sz val="9"/>
            <color indexed="81"/>
            <rFont val="Tahoma"/>
            <family val="2"/>
          </rPr>
          <t>LPA:</t>
        </r>
        <r>
          <rPr>
            <sz val="9"/>
            <color indexed="81"/>
            <rFont val="Tahoma"/>
            <family val="2"/>
          </rPr>
          <t xml:space="preserve">
проверити збир!
</t>
        </r>
      </text>
    </comment>
    <comment ref="I5236" authorId="0" shapeId="0">
      <text>
        <r>
          <rPr>
            <b/>
            <sz val="9"/>
            <color indexed="81"/>
            <rFont val="Tahoma"/>
            <family val="2"/>
          </rPr>
          <t>LPA:</t>
        </r>
        <r>
          <rPr>
            <sz val="9"/>
            <color indexed="81"/>
            <rFont val="Tahoma"/>
            <family val="2"/>
          </rPr>
          <t xml:space="preserve">
проверити збир!
</t>
        </r>
      </text>
    </comment>
    <comment ref="I5237" authorId="0" shapeId="0">
      <text>
        <r>
          <rPr>
            <b/>
            <sz val="9"/>
            <color indexed="81"/>
            <rFont val="Tahoma"/>
            <family val="2"/>
          </rPr>
          <t>LPA:</t>
        </r>
        <r>
          <rPr>
            <sz val="9"/>
            <color indexed="81"/>
            <rFont val="Tahoma"/>
            <family val="2"/>
          </rPr>
          <t xml:space="preserve">
проверити збир!
</t>
        </r>
      </text>
    </comment>
    <comment ref="I5238" authorId="0" shapeId="0">
      <text>
        <r>
          <rPr>
            <b/>
            <sz val="9"/>
            <color indexed="81"/>
            <rFont val="Tahoma"/>
            <family val="2"/>
          </rPr>
          <t>LPA:</t>
        </r>
        <r>
          <rPr>
            <sz val="9"/>
            <color indexed="81"/>
            <rFont val="Tahoma"/>
            <family val="2"/>
          </rPr>
          <t xml:space="preserve">
проверити збир!
</t>
        </r>
      </text>
    </comment>
    <comment ref="I5239" authorId="0" shapeId="0">
      <text>
        <r>
          <rPr>
            <b/>
            <sz val="9"/>
            <color indexed="81"/>
            <rFont val="Tahoma"/>
            <family val="2"/>
          </rPr>
          <t>LPA:</t>
        </r>
        <r>
          <rPr>
            <sz val="9"/>
            <color indexed="81"/>
            <rFont val="Tahoma"/>
            <family val="2"/>
          </rPr>
          <t xml:space="preserve">
проверити збир!
</t>
        </r>
      </text>
    </comment>
    <comment ref="I5240" authorId="0" shapeId="0">
      <text>
        <r>
          <rPr>
            <b/>
            <sz val="9"/>
            <color indexed="81"/>
            <rFont val="Tahoma"/>
            <family val="2"/>
          </rPr>
          <t>LPA:</t>
        </r>
        <r>
          <rPr>
            <sz val="9"/>
            <color indexed="81"/>
            <rFont val="Tahoma"/>
            <family val="2"/>
          </rPr>
          <t xml:space="preserve">
проверити збир!
</t>
        </r>
      </text>
    </comment>
    <comment ref="I5241" authorId="0" shapeId="0">
      <text>
        <r>
          <rPr>
            <b/>
            <sz val="9"/>
            <color indexed="81"/>
            <rFont val="Tahoma"/>
            <family val="2"/>
          </rPr>
          <t>LPA:</t>
        </r>
        <r>
          <rPr>
            <sz val="9"/>
            <color indexed="81"/>
            <rFont val="Tahoma"/>
            <family val="2"/>
          </rPr>
          <t xml:space="preserve">
проверити збир!
</t>
        </r>
      </text>
    </comment>
    <comment ref="I5242" authorId="0" shapeId="0">
      <text>
        <r>
          <rPr>
            <b/>
            <sz val="9"/>
            <color indexed="81"/>
            <rFont val="Tahoma"/>
            <family val="2"/>
          </rPr>
          <t>LPA:</t>
        </r>
        <r>
          <rPr>
            <sz val="9"/>
            <color indexed="81"/>
            <rFont val="Tahoma"/>
            <family val="2"/>
          </rPr>
          <t xml:space="preserve">
проверити збир!
</t>
        </r>
      </text>
    </comment>
    <comment ref="I5243" authorId="0" shapeId="0">
      <text>
        <r>
          <rPr>
            <b/>
            <sz val="9"/>
            <color indexed="81"/>
            <rFont val="Tahoma"/>
            <family val="2"/>
          </rPr>
          <t>LPA:</t>
        </r>
        <r>
          <rPr>
            <sz val="9"/>
            <color indexed="81"/>
            <rFont val="Tahoma"/>
            <family val="2"/>
          </rPr>
          <t xml:space="preserve">
проверити збир!
</t>
        </r>
      </text>
    </comment>
    <comment ref="I5244" authorId="0" shapeId="0">
      <text>
        <r>
          <rPr>
            <b/>
            <sz val="9"/>
            <color indexed="81"/>
            <rFont val="Tahoma"/>
            <family val="2"/>
          </rPr>
          <t>LPA:</t>
        </r>
        <r>
          <rPr>
            <sz val="9"/>
            <color indexed="81"/>
            <rFont val="Tahoma"/>
            <family val="2"/>
          </rPr>
          <t xml:space="preserve">
проверити збир!
</t>
        </r>
      </text>
    </comment>
    <comment ref="I5245" authorId="0" shapeId="0">
      <text>
        <r>
          <rPr>
            <b/>
            <sz val="9"/>
            <color indexed="81"/>
            <rFont val="Tahoma"/>
            <family val="2"/>
          </rPr>
          <t>LPA:</t>
        </r>
        <r>
          <rPr>
            <sz val="9"/>
            <color indexed="81"/>
            <rFont val="Tahoma"/>
            <family val="2"/>
          </rPr>
          <t xml:space="preserve">
проверити збир!
</t>
        </r>
      </text>
    </comment>
    <comment ref="I5246" authorId="0" shapeId="0">
      <text>
        <r>
          <rPr>
            <b/>
            <sz val="9"/>
            <color indexed="81"/>
            <rFont val="Tahoma"/>
            <family val="2"/>
          </rPr>
          <t>LPA:</t>
        </r>
        <r>
          <rPr>
            <sz val="9"/>
            <color indexed="81"/>
            <rFont val="Tahoma"/>
            <family val="2"/>
          </rPr>
          <t xml:space="preserve">
проверити збир!
</t>
        </r>
      </text>
    </comment>
    <comment ref="H5249" authorId="0" shapeId="0">
      <text>
        <r>
          <rPr>
            <b/>
            <sz val="9"/>
            <color indexed="81"/>
            <rFont val="Tahoma"/>
            <family val="2"/>
          </rPr>
          <t>LPA:</t>
        </r>
        <r>
          <rPr>
            <sz val="9"/>
            <color indexed="81"/>
            <rFont val="Tahoma"/>
            <family val="2"/>
          </rPr>
          <t xml:space="preserve">
проверити збир!</t>
        </r>
      </text>
    </comment>
    <comment ref="I5249" authorId="0" shapeId="0">
      <text>
        <r>
          <rPr>
            <b/>
            <sz val="9"/>
            <color indexed="81"/>
            <rFont val="Tahoma"/>
            <family val="2"/>
          </rPr>
          <t>LPA:</t>
        </r>
        <r>
          <rPr>
            <sz val="9"/>
            <color indexed="81"/>
            <rFont val="Tahoma"/>
            <family val="2"/>
          </rPr>
          <t xml:space="preserve">
проверити збир!</t>
        </r>
      </text>
    </comment>
    <comment ref="I5250" authorId="0" shapeId="0">
      <text>
        <r>
          <rPr>
            <b/>
            <sz val="9"/>
            <color indexed="81"/>
            <rFont val="Tahoma"/>
            <family val="2"/>
          </rPr>
          <t>LPA:</t>
        </r>
        <r>
          <rPr>
            <sz val="9"/>
            <color indexed="81"/>
            <rFont val="Tahoma"/>
            <family val="2"/>
          </rPr>
          <t xml:space="preserve">
проверити збир!
</t>
        </r>
      </text>
    </comment>
    <comment ref="I5251" authorId="0" shapeId="0">
      <text>
        <r>
          <rPr>
            <b/>
            <sz val="9"/>
            <color indexed="81"/>
            <rFont val="Tahoma"/>
            <family val="2"/>
          </rPr>
          <t>LPA:</t>
        </r>
        <r>
          <rPr>
            <sz val="9"/>
            <color indexed="81"/>
            <rFont val="Tahoma"/>
            <family val="2"/>
          </rPr>
          <t xml:space="preserve">
проверити збир!
</t>
        </r>
      </text>
    </comment>
    <comment ref="I5252" authorId="0" shapeId="0">
      <text>
        <r>
          <rPr>
            <b/>
            <sz val="9"/>
            <color indexed="81"/>
            <rFont val="Tahoma"/>
            <family val="2"/>
          </rPr>
          <t>LPA:</t>
        </r>
        <r>
          <rPr>
            <sz val="9"/>
            <color indexed="81"/>
            <rFont val="Tahoma"/>
            <family val="2"/>
          </rPr>
          <t xml:space="preserve">
проверити збир!
</t>
        </r>
      </text>
    </comment>
    <comment ref="I5253" authorId="0" shapeId="0">
      <text>
        <r>
          <rPr>
            <b/>
            <sz val="9"/>
            <color indexed="81"/>
            <rFont val="Tahoma"/>
            <family val="2"/>
          </rPr>
          <t>LPA:</t>
        </r>
        <r>
          <rPr>
            <sz val="9"/>
            <color indexed="81"/>
            <rFont val="Tahoma"/>
            <family val="2"/>
          </rPr>
          <t xml:space="preserve">
проверити збир!
</t>
        </r>
      </text>
    </comment>
    <comment ref="I5254" authorId="0" shapeId="0">
      <text>
        <r>
          <rPr>
            <b/>
            <sz val="9"/>
            <color indexed="81"/>
            <rFont val="Tahoma"/>
            <family val="2"/>
          </rPr>
          <t>LPA:</t>
        </r>
        <r>
          <rPr>
            <sz val="9"/>
            <color indexed="81"/>
            <rFont val="Tahoma"/>
            <family val="2"/>
          </rPr>
          <t xml:space="preserve">
проверити збир!
</t>
        </r>
      </text>
    </comment>
    <comment ref="I5255" authorId="0" shapeId="0">
      <text>
        <r>
          <rPr>
            <b/>
            <sz val="9"/>
            <color indexed="81"/>
            <rFont val="Tahoma"/>
            <family val="2"/>
          </rPr>
          <t>LPA:</t>
        </r>
        <r>
          <rPr>
            <sz val="9"/>
            <color indexed="81"/>
            <rFont val="Tahoma"/>
            <family val="2"/>
          </rPr>
          <t xml:space="preserve">
проверити збир!
</t>
        </r>
      </text>
    </comment>
    <comment ref="I5256" authorId="0" shapeId="0">
      <text>
        <r>
          <rPr>
            <b/>
            <sz val="9"/>
            <color indexed="81"/>
            <rFont val="Tahoma"/>
            <family val="2"/>
          </rPr>
          <t>LPA:</t>
        </r>
        <r>
          <rPr>
            <sz val="9"/>
            <color indexed="81"/>
            <rFont val="Tahoma"/>
            <family val="2"/>
          </rPr>
          <t xml:space="preserve">
проверити збир!
</t>
        </r>
      </text>
    </comment>
    <comment ref="I5257" authorId="0" shapeId="0">
      <text>
        <r>
          <rPr>
            <b/>
            <sz val="9"/>
            <color indexed="81"/>
            <rFont val="Tahoma"/>
            <family val="2"/>
          </rPr>
          <t>LPA:</t>
        </r>
        <r>
          <rPr>
            <sz val="9"/>
            <color indexed="81"/>
            <rFont val="Tahoma"/>
            <family val="2"/>
          </rPr>
          <t xml:space="preserve">
проверити збир!
</t>
        </r>
      </text>
    </comment>
    <comment ref="I5258" authorId="0" shapeId="0">
      <text>
        <r>
          <rPr>
            <b/>
            <sz val="9"/>
            <color indexed="81"/>
            <rFont val="Tahoma"/>
            <family val="2"/>
          </rPr>
          <t>LPA:</t>
        </r>
        <r>
          <rPr>
            <sz val="9"/>
            <color indexed="81"/>
            <rFont val="Tahoma"/>
            <family val="2"/>
          </rPr>
          <t xml:space="preserve">
проверити збир!
</t>
        </r>
      </text>
    </comment>
    <comment ref="I5259" authorId="0" shapeId="0">
      <text>
        <r>
          <rPr>
            <b/>
            <sz val="9"/>
            <color indexed="81"/>
            <rFont val="Tahoma"/>
            <family val="2"/>
          </rPr>
          <t>LPA:</t>
        </r>
        <r>
          <rPr>
            <sz val="9"/>
            <color indexed="81"/>
            <rFont val="Tahoma"/>
            <family val="2"/>
          </rPr>
          <t xml:space="preserve">
проверити збир!
</t>
        </r>
      </text>
    </comment>
    <comment ref="I5260" authorId="0" shapeId="0">
      <text>
        <r>
          <rPr>
            <b/>
            <sz val="9"/>
            <color indexed="81"/>
            <rFont val="Tahoma"/>
            <family val="2"/>
          </rPr>
          <t>LPA:</t>
        </r>
        <r>
          <rPr>
            <sz val="9"/>
            <color indexed="81"/>
            <rFont val="Tahoma"/>
            <family val="2"/>
          </rPr>
          <t xml:space="preserve">
проверити збир!
</t>
        </r>
      </text>
    </comment>
    <comment ref="I5261" authorId="0" shapeId="0">
      <text>
        <r>
          <rPr>
            <b/>
            <sz val="9"/>
            <color indexed="81"/>
            <rFont val="Tahoma"/>
            <family val="2"/>
          </rPr>
          <t>LPA:</t>
        </r>
        <r>
          <rPr>
            <sz val="9"/>
            <color indexed="81"/>
            <rFont val="Tahoma"/>
            <family val="2"/>
          </rPr>
          <t xml:space="preserve">
проверити збир!
</t>
        </r>
      </text>
    </comment>
    <comment ref="I5262" authorId="0" shapeId="0">
      <text>
        <r>
          <rPr>
            <b/>
            <sz val="9"/>
            <color indexed="81"/>
            <rFont val="Tahoma"/>
            <family val="2"/>
          </rPr>
          <t>LPA:</t>
        </r>
        <r>
          <rPr>
            <sz val="9"/>
            <color indexed="81"/>
            <rFont val="Tahoma"/>
            <family val="2"/>
          </rPr>
          <t xml:space="preserve">
проверити збир!
</t>
        </r>
      </text>
    </comment>
    <comment ref="I5263" authorId="0" shapeId="0">
      <text>
        <r>
          <rPr>
            <b/>
            <sz val="9"/>
            <color indexed="81"/>
            <rFont val="Tahoma"/>
            <family val="2"/>
          </rPr>
          <t>LPA:</t>
        </r>
        <r>
          <rPr>
            <sz val="9"/>
            <color indexed="81"/>
            <rFont val="Tahoma"/>
            <family val="2"/>
          </rPr>
          <t xml:space="preserve">
проверити збир!
</t>
        </r>
      </text>
    </comment>
    <comment ref="I5264" authorId="0" shapeId="0">
      <text>
        <r>
          <rPr>
            <b/>
            <sz val="9"/>
            <color indexed="81"/>
            <rFont val="Tahoma"/>
            <family val="2"/>
          </rPr>
          <t>LPA:</t>
        </r>
        <r>
          <rPr>
            <sz val="9"/>
            <color indexed="81"/>
            <rFont val="Tahoma"/>
            <family val="2"/>
          </rPr>
          <t xml:space="preserve">
проверити збир!
</t>
        </r>
      </text>
    </comment>
    <comment ref="H5268" authorId="0" shapeId="0">
      <text>
        <r>
          <rPr>
            <b/>
            <sz val="9"/>
            <color indexed="81"/>
            <rFont val="Tahoma"/>
            <family val="2"/>
          </rPr>
          <t>LPA:</t>
        </r>
        <r>
          <rPr>
            <sz val="9"/>
            <color indexed="81"/>
            <rFont val="Tahoma"/>
            <family val="2"/>
          </rPr>
          <t xml:space="preserve">
проверити збир!</t>
        </r>
      </text>
    </comment>
    <comment ref="I5268" authorId="0" shapeId="0">
      <text>
        <r>
          <rPr>
            <b/>
            <sz val="9"/>
            <color indexed="81"/>
            <rFont val="Tahoma"/>
            <family val="2"/>
          </rPr>
          <t>LPA:</t>
        </r>
        <r>
          <rPr>
            <sz val="9"/>
            <color indexed="81"/>
            <rFont val="Tahoma"/>
            <family val="2"/>
          </rPr>
          <t xml:space="preserve">
проверити збир!
</t>
        </r>
      </text>
    </comment>
    <comment ref="I5269" authorId="0" shapeId="0">
      <text>
        <r>
          <rPr>
            <b/>
            <sz val="9"/>
            <color indexed="81"/>
            <rFont val="Tahoma"/>
            <family val="2"/>
          </rPr>
          <t>LPA:</t>
        </r>
        <r>
          <rPr>
            <sz val="9"/>
            <color indexed="81"/>
            <rFont val="Tahoma"/>
            <family val="2"/>
          </rPr>
          <t xml:space="preserve">
проверити збир!
</t>
        </r>
      </text>
    </comment>
    <comment ref="I5270" authorId="0" shapeId="0">
      <text>
        <r>
          <rPr>
            <b/>
            <sz val="9"/>
            <color indexed="81"/>
            <rFont val="Tahoma"/>
            <family val="2"/>
          </rPr>
          <t>LPA:</t>
        </r>
        <r>
          <rPr>
            <sz val="9"/>
            <color indexed="81"/>
            <rFont val="Tahoma"/>
            <family val="2"/>
          </rPr>
          <t xml:space="preserve">
проверити збир!
</t>
        </r>
      </text>
    </comment>
    <comment ref="I5271" authorId="0" shapeId="0">
      <text>
        <r>
          <rPr>
            <b/>
            <sz val="9"/>
            <color indexed="81"/>
            <rFont val="Tahoma"/>
            <family val="2"/>
          </rPr>
          <t>LPA:</t>
        </r>
        <r>
          <rPr>
            <sz val="9"/>
            <color indexed="81"/>
            <rFont val="Tahoma"/>
            <family val="2"/>
          </rPr>
          <t xml:space="preserve">
проверити збир!
</t>
        </r>
      </text>
    </comment>
    <comment ref="I5272" authorId="0" shapeId="0">
      <text>
        <r>
          <rPr>
            <b/>
            <sz val="9"/>
            <color indexed="81"/>
            <rFont val="Tahoma"/>
            <family val="2"/>
          </rPr>
          <t>LPA:</t>
        </r>
        <r>
          <rPr>
            <sz val="9"/>
            <color indexed="81"/>
            <rFont val="Tahoma"/>
            <family val="2"/>
          </rPr>
          <t xml:space="preserve">
проверити збир!
</t>
        </r>
      </text>
    </comment>
    <comment ref="I5273" authorId="0" shapeId="0">
      <text>
        <r>
          <rPr>
            <b/>
            <sz val="9"/>
            <color indexed="81"/>
            <rFont val="Tahoma"/>
            <family val="2"/>
          </rPr>
          <t>LPA:</t>
        </r>
        <r>
          <rPr>
            <sz val="9"/>
            <color indexed="81"/>
            <rFont val="Tahoma"/>
            <family val="2"/>
          </rPr>
          <t xml:space="preserve">
проверити збир!
</t>
        </r>
      </text>
    </comment>
    <comment ref="I5274" authorId="0" shapeId="0">
      <text>
        <r>
          <rPr>
            <b/>
            <sz val="9"/>
            <color indexed="81"/>
            <rFont val="Tahoma"/>
            <family val="2"/>
          </rPr>
          <t>LPA:</t>
        </r>
        <r>
          <rPr>
            <sz val="9"/>
            <color indexed="81"/>
            <rFont val="Tahoma"/>
            <family val="2"/>
          </rPr>
          <t xml:space="preserve">
проверити збир!
</t>
        </r>
      </text>
    </comment>
    <comment ref="I5275" authorId="0" shapeId="0">
      <text>
        <r>
          <rPr>
            <b/>
            <sz val="9"/>
            <color indexed="81"/>
            <rFont val="Tahoma"/>
            <family val="2"/>
          </rPr>
          <t>LPA:</t>
        </r>
        <r>
          <rPr>
            <sz val="9"/>
            <color indexed="81"/>
            <rFont val="Tahoma"/>
            <family val="2"/>
          </rPr>
          <t xml:space="preserve">
проверити збир!
</t>
        </r>
      </text>
    </comment>
    <comment ref="I5276" authorId="0" shapeId="0">
      <text>
        <r>
          <rPr>
            <b/>
            <sz val="9"/>
            <color indexed="81"/>
            <rFont val="Tahoma"/>
            <family val="2"/>
          </rPr>
          <t>LPA:</t>
        </r>
        <r>
          <rPr>
            <sz val="9"/>
            <color indexed="81"/>
            <rFont val="Tahoma"/>
            <family val="2"/>
          </rPr>
          <t xml:space="preserve">
проверити збир!
</t>
        </r>
      </text>
    </comment>
    <comment ref="I5277" authorId="0" shapeId="0">
      <text>
        <r>
          <rPr>
            <b/>
            <sz val="9"/>
            <color indexed="81"/>
            <rFont val="Tahoma"/>
            <family val="2"/>
          </rPr>
          <t>LPA:</t>
        </r>
        <r>
          <rPr>
            <sz val="9"/>
            <color indexed="81"/>
            <rFont val="Tahoma"/>
            <family val="2"/>
          </rPr>
          <t xml:space="preserve">
проверити збир!
</t>
        </r>
      </text>
    </comment>
    <comment ref="I5278" authorId="0" shapeId="0">
      <text>
        <r>
          <rPr>
            <b/>
            <sz val="9"/>
            <color indexed="81"/>
            <rFont val="Tahoma"/>
            <family val="2"/>
          </rPr>
          <t>LPA:</t>
        </r>
        <r>
          <rPr>
            <sz val="9"/>
            <color indexed="81"/>
            <rFont val="Tahoma"/>
            <family val="2"/>
          </rPr>
          <t xml:space="preserve">
проверити збир!
</t>
        </r>
      </text>
    </comment>
    <comment ref="I5279" authorId="0" shapeId="0">
      <text>
        <r>
          <rPr>
            <b/>
            <sz val="9"/>
            <color indexed="81"/>
            <rFont val="Tahoma"/>
            <family val="2"/>
          </rPr>
          <t>LPA:</t>
        </r>
        <r>
          <rPr>
            <sz val="9"/>
            <color indexed="81"/>
            <rFont val="Tahoma"/>
            <family val="2"/>
          </rPr>
          <t xml:space="preserve">
проверити збир!
</t>
        </r>
      </text>
    </comment>
    <comment ref="I5280" authorId="0" shapeId="0">
      <text>
        <r>
          <rPr>
            <b/>
            <sz val="9"/>
            <color indexed="81"/>
            <rFont val="Tahoma"/>
            <family val="2"/>
          </rPr>
          <t>LPA:</t>
        </r>
        <r>
          <rPr>
            <sz val="9"/>
            <color indexed="81"/>
            <rFont val="Tahoma"/>
            <family val="2"/>
          </rPr>
          <t xml:space="preserve">
проверити збир!
</t>
        </r>
      </text>
    </comment>
    <comment ref="I5281" authorId="0" shapeId="0">
      <text>
        <r>
          <rPr>
            <b/>
            <sz val="9"/>
            <color indexed="81"/>
            <rFont val="Tahoma"/>
            <family val="2"/>
          </rPr>
          <t>LPA:</t>
        </r>
        <r>
          <rPr>
            <sz val="9"/>
            <color indexed="81"/>
            <rFont val="Tahoma"/>
            <family val="2"/>
          </rPr>
          <t xml:space="preserve">
проверити збир!
</t>
        </r>
      </text>
    </comment>
    <comment ref="I5282" authorId="0" shapeId="0">
      <text>
        <r>
          <rPr>
            <b/>
            <sz val="9"/>
            <color indexed="81"/>
            <rFont val="Tahoma"/>
            <family val="2"/>
          </rPr>
          <t>LPA:</t>
        </r>
        <r>
          <rPr>
            <sz val="9"/>
            <color indexed="81"/>
            <rFont val="Tahoma"/>
            <family val="2"/>
          </rPr>
          <t xml:space="preserve">
проверити збир!
</t>
        </r>
      </text>
    </comment>
    <comment ref="I5283" authorId="0" shapeId="0">
      <text>
        <r>
          <rPr>
            <b/>
            <sz val="9"/>
            <color indexed="81"/>
            <rFont val="Tahoma"/>
            <family val="2"/>
          </rPr>
          <t>LPA:</t>
        </r>
        <r>
          <rPr>
            <sz val="9"/>
            <color indexed="81"/>
            <rFont val="Tahoma"/>
            <family val="2"/>
          </rPr>
          <t xml:space="preserve">
проверити збир!
</t>
        </r>
      </text>
    </comment>
    <comment ref="I5377" authorId="0" shapeId="0">
      <text>
        <r>
          <rPr>
            <b/>
            <sz val="9"/>
            <color indexed="81"/>
            <rFont val="Tahoma"/>
            <family val="2"/>
          </rPr>
          <t>LPA:</t>
        </r>
        <r>
          <rPr>
            <sz val="9"/>
            <color indexed="81"/>
            <rFont val="Tahoma"/>
            <family val="2"/>
          </rPr>
          <t xml:space="preserve">
проверити збир!
</t>
        </r>
      </text>
    </comment>
    <comment ref="I5378" authorId="0" shapeId="0">
      <text>
        <r>
          <rPr>
            <b/>
            <sz val="9"/>
            <color indexed="81"/>
            <rFont val="Tahoma"/>
            <family val="2"/>
          </rPr>
          <t>LPA:</t>
        </r>
        <r>
          <rPr>
            <sz val="9"/>
            <color indexed="81"/>
            <rFont val="Tahoma"/>
            <family val="2"/>
          </rPr>
          <t xml:space="preserve">
проверити збир!
</t>
        </r>
      </text>
    </comment>
    <comment ref="I5379" authorId="0" shapeId="0">
      <text>
        <r>
          <rPr>
            <b/>
            <sz val="9"/>
            <color indexed="81"/>
            <rFont val="Tahoma"/>
            <family val="2"/>
          </rPr>
          <t>LPA:</t>
        </r>
        <r>
          <rPr>
            <sz val="9"/>
            <color indexed="81"/>
            <rFont val="Tahoma"/>
            <family val="2"/>
          </rPr>
          <t xml:space="preserve">
проверити збир!
</t>
        </r>
      </text>
    </comment>
    <comment ref="I5380" authorId="0" shapeId="0">
      <text>
        <r>
          <rPr>
            <b/>
            <sz val="9"/>
            <color indexed="81"/>
            <rFont val="Tahoma"/>
            <family val="2"/>
          </rPr>
          <t>LPA:</t>
        </r>
        <r>
          <rPr>
            <sz val="9"/>
            <color indexed="81"/>
            <rFont val="Tahoma"/>
            <family val="2"/>
          </rPr>
          <t xml:space="preserve">
проверити збир!
</t>
        </r>
      </text>
    </comment>
    <comment ref="I5381" authorId="0" shapeId="0">
      <text>
        <r>
          <rPr>
            <b/>
            <sz val="9"/>
            <color indexed="81"/>
            <rFont val="Tahoma"/>
            <family val="2"/>
          </rPr>
          <t>LPA:</t>
        </r>
        <r>
          <rPr>
            <sz val="9"/>
            <color indexed="81"/>
            <rFont val="Tahoma"/>
            <family val="2"/>
          </rPr>
          <t xml:space="preserve">
проверити збир!
</t>
        </r>
      </text>
    </comment>
    <comment ref="I5382" authorId="0" shapeId="0">
      <text>
        <r>
          <rPr>
            <b/>
            <sz val="9"/>
            <color indexed="81"/>
            <rFont val="Tahoma"/>
            <family val="2"/>
          </rPr>
          <t>LPA:</t>
        </r>
        <r>
          <rPr>
            <sz val="9"/>
            <color indexed="81"/>
            <rFont val="Tahoma"/>
            <family val="2"/>
          </rPr>
          <t xml:space="preserve">
проверити збир!
</t>
        </r>
      </text>
    </comment>
    <comment ref="I5383" authorId="0" shapeId="0">
      <text>
        <r>
          <rPr>
            <b/>
            <sz val="9"/>
            <color indexed="81"/>
            <rFont val="Tahoma"/>
            <family val="2"/>
          </rPr>
          <t>LPA:</t>
        </r>
        <r>
          <rPr>
            <sz val="9"/>
            <color indexed="81"/>
            <rFont val="Tahoma"/>
            <family val="2"/>
          </rPr>
          <t xml:space="preserve">
проверити збир!
</t>
        </r>
      </text>
    </comment>
    <comment ref="I5384" authorId="0" shapeId="0">
      <text>
        <r>
          <rPr>
            <b/>
            <sz val="9"/>
            <color indexed="81"/>
            <rFont val="Tahoma"/>
            <family val="2"/>
          </rPr>
          <t>LPA:</t>
        </r>
        <r>
          <rPr>
            <sz val="9"/>
            <color indexed="81"/>
            <rFont val="Tahoma"/>
            <family val="2"/>
          </rPr>
          <t xml:space="preserve">
проверити збир!
</t>
        </r>
      </text>
    </comment>
    <comment ref="I5385" authorId="0" shapeId="0">
      <text>
        <r>
          <rPr>
            <b/>
            <sz val="9"/>
            <color indexed="81"/>
            <rFont val="Tahoma"/>
            <family val="2"/>
          </rPr>
          <t>LPA:</t>
        </r>
        <r>
          <rPr>
            <sz val="9"/>
            <color indexed="81"/>
            <rFont val="Tahoma"/>
            <family val="2"/>
          </rPr>
          <t xml:space="preserve">
проверити збир!
</t>
        </r>
      </text>
    </comment>
    <comment ref="I5386" authorId="0" shapeId="0">
      <text>
        <r>
          <rPr>
            <b/>
            <sz val="9"/>
            <color indexed="81"/>
            <rFont val="Tahoma"/>
            <family val="2"/>
          </rPr>
          <t>LPA:</t>
        </r>
        <r>
          <rPr>
            <sz val="9"/>
            <color indexed="81"/>
            <rFont val="Tahoma"/>
            <family val="2"/>
          </rPr>
          <t xml:space="preserve">
проверити збир!
</t>
        </r>
      </text>
    </comment>
    <comment ref="I5387" authorId="0" shapeId="0">
      <text>
        <r>
          <rPr>
            <b/>
            <sz val="9"/>
            <color indexed="81"/>
            <rFont val="Tahoma"/>
            <family val="2"/>
          </rPr>
          <t>LPA:</t>
        </r>
        <r>
          <rPr>
            <sz val="9"/>
            <color indexed="81"/>
            <rFont val="Tahoma"/>
            <family val="2"/>
          </rPr>
          <t xml:space="preserve">
проверити збир!
</t>
        </r>
      </text>
    </comment>
    <comment ref="I5388" authorId="0" shapeId="0">
      <text>
        <r>
          <rPr>
            <b/>
            <sz val="9"/>
            <color indexed="81"/>
            <rFont val="Tahoma"/>
            <family val="2"/>
          </rPr>
          <t>LPA:</t>
        </r>
        <r>
          <rPr>
            <sz val="9"/>
            <color indexed="81"/>
            <rFont val="Tahoma"/>
            <family val="2"/>
          </rPr>
          <t xml:space="preserve">
проверити збир!
</t>
        </r>
      </text>
    </comment>
    <comment ref="I5389" authorId="0" shapeId="0">
      <text>
        <r>
          <rPr>
            <b/>
            <sz val="9"/>
            <color indexed="81"/>
            <rFont val="Tahoma"/>
            <family val="2"/>
          </rPr>
          <t>LPA:</t>
        </r>
        <r>
          <rPr>
            <sz val="9"/>
            <color indexed="81"/>
            <rFont val="Tahoma"/>
            <family val="2"/>
          </rPr>
          <t xml:space="preserve">
проверити збир!
</t>
        </r>
      </text>
    </comment>
    <comment ref="H5392" authorId="0" shapeId="0">
      <text>
        <r>
          <rPr>
            <b/>
            <sz val="9"/>
            <color indexed="81"/>
            <rFont val="Tahoma"/>
            <family val="2"/>
          </rPr>
          <t>LPA:</t>
        </r>
        <r>
          <rPr>
            <sz val="9"/>
            <color indexed="81"/>
            <rFont val="Tahoma"/>
            <family val="2"/>
          </rPr>
          <t xml:space="preserve">
проверити збир!</t>
        </r>
      </text>
    </comment>
    <comment ref="I5392" authorId="0" shapeId="0">
      <text>
        <r>
          <rPr>
            <b/>
            <sz val="9"/>
            <color indexed="81"/>
            <rFont val="Tahoma"/>
            <family val="2"/>
          </rPr>
          <t>LPA:</t>
        </r>
        <r>
          <rPr>
            <sz val="9"/>
            <color indexed="81"/>
            <rFont val="Tahoma"/>
            <family val="2"/>
          </rPr>
          <t xml:space="preserve">
проверити збир!</t>
        </r>
      </text>
    </comment>
    <comment ref="I5393" authorId="0" shapeId="0">
      <text>
        <r>
          <rPr>
            <b/>
            <sz val="9"/>
            <color indexed="81"/>
            <rFont val="Tahoma"/>
            <family val="2"/>
          </rPr>
          <t>LPA:</t>
        </r>
        <r>
          <rPr>
            <sz val="9"/>
            <color indexed="81"/>
            <rFont val="Tahoma"/>
            <family val="2"/>
          </rPr>
          <t xml:space="preserve">
проверити збир!
</t>
        </r>
      </text>
    </comment>
    <comment ref="I5394" authorId="0" shapeId="0">
      <text>
        <r>
          <rPr>
            <b/>
            <sz val="9"/>
            <color indexed="81"/>
            <rFont val="Tahoma"/>
            <family val="2"/>
          </rPr>
          <t>LPA:</t>
        </r>
        <r>
          <rPr>
            <sz val="9"/>
            <color indexed="81"/>
            <rFont val="Tahoma"/>
            <family val="2"/>
          </rPr>
          <t xml:space="preserve">
проверити збир!
</t>
        </r>
      </text>
    </comment>
    <comment ref="I5395" authorId="0" shapeId="0">
      <text>
        <r>
          <rPr>
            <b/>
            <sz val="9"/>
            <color indexed="81"/>
            <rFont val="Tahoma"/>
            <family val="2"/>
          </rPr>
          <t>LPA:</t>
        </r>
        <r>
          <rPr>
            <sz val="9"/>
            <color indexed="81"/>
            <rFont val="Tahoma"/>
            <family val="2"/>
          </rPr>
          <t xml:space="preserve">
проверити збир!
</t>
        </r>
      </text>
    </comment>
    <comment ref="I5396" authorId="0" shapeId="0">
      <text>
        <r>
          <rPr>
            <b/>
            <sz val="9"/>
            <color indexed="81"/>
            <rFont val="Tahoma"/>
            <family val="2"/>
          </rPr>
          <t>LPA:</t>
        </r>
        <r>
          <rPr>
            <sz val="9"/>
            <color indexed="81"/>
            <rFont val="Tahoma"/>
            <family val="2"/>
          </rPr>
          <t xml:space="preserve">
проверити збир!
</t>
        </r>
      </text>
    </comment>
    <comment ref="I5397" authorId="0" shapeId="0">
      <text>
        <r>
          <rPr>
            <b/>
            <sz val="9"/>
            <color indexed="81"/>
            <rFont val="Tahoma"/>
            <family val="2"/>
          </rPr>
          <t>LPA:</t>
        </r>
        <r>
          <rPr>
            <sz val="9"/>
            <color indexed="81"/>
            <rFont val="Tahoma"/>
            <family val="2"/>
          </rPr>
          <t xml:space="preserve">
проверити збир!
</t>
        </r>
      </text>
    </comment>
    <comment ref="I5398" authorId="0" shapeId="0">
      <text>
        <r>
          <rPr>
            <b/>
            <sz val="9"/>
            <color indexed="81"/>
            <rFont val="Tahoma"/>
            <family val="2"/>
          </rPr>
          <t>LPA:</t>
        </r>
        <r>
          <rPr>
            <sz val="9"/>
            <color indexed="81"/>
            <rFont val="Tahoma"/>
            <family val="2"/>
          </rPr>
          <t xml:space="preserve">
проверити збир!
</t>
        </r>
      </text>
    </comment>
    <comment ref="I5399" authorId="0" shapeId="0">
      <text>
        <r>
          <rPr>
            <b/>
            <sz val="9"/>
            <color indexed="81"/>
            <rFont val="Tahoma"/>
            <family val="2"/>
          </rPr>
          <t>LPA:</t>
        </r>
        <r>
          <rPr>
            <sz val="9"/>
            <color indexed="81"/>
            <rFont val="Tahoma"/>
            <family val="2"/>
          </rPr>
          <t xml:space="preserve">
проверити збир!
</t>
        </r>
      </text>
    </comment>
    <comment ref="I5400" authorId="0" shapeId="0">
      <text>
        <r>
          <rPr>
            <b/>
            <sz val="9"/>
            <color indexed="81"/>
            <rFont val="Tahoma"/>
            <family val="2"/>
          </rPr>
          <t>LPA:</t>
        </r>
        <r>
          <rPr>
            <sz val="9"/>
            <color indexed="81"/>
            <rFont val="Tahoma"/>
            <family val="2"/>
          </rPr>
          <t xml:space="preserve">
проверити збир!
</t>
        </r>
      </text>
    </comment>
    <comment ref="I5401" authorId="0" shapeId="0">
      <text>
        <r>
          <rPr>
            <b/>
            <sz val="9"/>
            <color indexed="81"/>
            <rFont val="Tahoma"/>
            <family val="2"/>
          </rPr>
          <t>LPA:</t>
        </r>
        <r>
          <rPr>
            <sz val="9"/>
            <color indexed="81"/>
            <rFont val="Tahoma"/>
            <family val="2"/>
          </rPr>
          <t xml:space="preserve">
проверити збир!
</t>
        </r>
      </text>
    </comment>
    <comment ref="I5402" authorId="0" shapeId="0">
      <text>
        <r>
          <rPr>
            <b/>
            <sz val="9"/>
            <color indexed="81"/>
            <rFont val="Tahoma"/>
            <family val="2"/>
          </rPr>
          <t>LPA:</t>
        </r>
        <r>
          <rPr>
            <sz val="9"/>
            <color indexed="81"/>
            <rFont val="Tahoma"/>
            <family val="2"/>
          </rPr>
          <t xml:space="preserve">
проверити збир!
</t>
        </r>
      </text>
    </comment>
    <comment ref="I5403" authorId="0" shapeId="0">
      <text>
        <r>
          <rPr>
            <b/>
            <sz val="9"/>
            <color indexed="81"/>
            <rFont val="Tahoma"/>
            <family val="2"/>
          </rPr>
          <t>LPA:</t>
        </r>
        <r>
          <rPr>
            <sz val="9"/>
            <color indexed="81"/>
            <rFont val="Tahoma"/>
            <family val="2"/>
          </rPr>
          <t xml:space="preserve">
проверити збир!
</t>
        </r>
      </text>
    </comment>
    <comment ref="I5404" authorId="0" shapeId="0">
      <text>
        <r>
          <rPr>
            <b/>
            <sz val="9"/>
            <color indexed="81"/>
            <rFont val="Tahoma"/>
            <family val="2"/>
          </rPr>
          <t>LPA:</t>
        </r>
        <r>
          <rPr>
            <sz val="9"/>
            <color indexed="81"/>
            <rFont val="Tahoma"/>
            <family val="2"/>
          </rPr>
          <t xml:space="preserve">
проверити збир!
</t>
        </r>
      </text>
    </comment>
    <comment ref="I5405" authorId="0" shapeId="0">
      <text>
        <r>
          <rPr>
            <b/>
            <sz val="9"/>
            <color indexed="81"/>
            <rFont val="Tahoma"/>
            <family val="2"/>
          </rPr>
          <t>LPA:</t>
        </r>
        <r>
          <rPr>
            <sz val="9"/>
            <color indexed="81"/>
            <rFont val="Tahoma"/>
            <family val="2"/>
          </rPr>
          <t xml:space="preserve">
проверити збир!
</t>
        </r>
      </text>
    </comment>
    <comment ref="I5406" authorId="0" shapeId="0">
      <text>
        <r>
          <rPr>
            <b/>
            <sz val="9"/>
            <color indexed="81"/>
            <rFont val="Tahoma"/>
            <family val="2"/>
          </rPr>
          <t>LPA:</t>
        </r>
        <r>
          <rPr>
            <sz val="9"/>
            <color indexed="81"/>
            <rFont val="Tahoma"/>
            <family val="2"/>
          </rPr>
          <t xml:space="preserve">
проверити збир!
</t>
        </r>
      </text>
    </comment>
    <comment ref="I5407" authorId="0" shapeId="0">
      <text>
        <r>
          <rPr>
            <b/>
            <sz val="9"/>
            <color indexed="81"/>
            <rFont val="Tahoma"/>
            <family val="2"/>
          </rPr>
          <t>LPA:</t>
        </r>
        <r>
          <rPr>
            <sz val="9"/>
            <color indexed="81"/>
            <rFont val="Tahoma"/>
            <family val="2"/>
          </rPr>
          <t xml:space="preserve">
проверити збир!
</t>
        </r>
      </text>
    </comment>
    <comment ref="I5476" authorId="0" shapeId="0">
      <text>
        <r>
          <rPr>
            <b/>
            <sz val="9"/>
            <color indexed="81"/>
            <rFont val="Tahoma"/>
            <family val="2"/>
          </rPr>
          <t>LPA:</t>
        </r>
        <r>
          <rPr>
            <sz val="9"/>
            <color indexed="81"/>
            <rFont val="Tahoma"/>
            <family val="2"/>
          </rPr>
          <t xml:space="preserve">
проверити збир!
</t>
        </r>
      </text>
    </comment>
    <comment ref="I5477" authorId="0" shapeId="0">
      <text>
        <r>
          <rPr>
            <b/>
            <sz val="9"/>
            <color indexed="81"/>
            <rFont val="Tahoma"/>
            <family val="2"/>
          </rPr>
          <t>LPA:</t>
        </r>
        <r>
          <rPr>
            <sz val="9"/>
            <color indexed="81"/>
            <rFont val="Tahoma"/>
            <family val="2"/>
          </rPr>
          <t xml:space="preserve">
проверити збир!
</t>
        </r>
      </text>
    </comment>
    <comment ref="I5478" authorId="0" shapeId="0">
      <text>
        <r>
          <rPr>
            <b/>
            <sz val="9"/>
            <color indexed="81"/>
            <rFont val="Tahoma"/>
            <family val="2"/>
          </rPr>
          <t>LPA:</t>
        </r>
        <r>
          <rPr>
            <sz val="9"/>
            <color indexed="81"/>
            <rFont val="Tahoma"/>
            <family val="2"/>
          </rPr>
          <t xml:space="preserve">
проверити збир!
</t>
        </r>
      </text>
    </comment>
    <comment ref="I5479" authorId="0" shapeId="0">
      <text>
        <r>
          <rPr>
            <b/>
            <sz val="9"/>
            <color indexed="81"/>
            <rFont val="Tahoma"/>
            <family val="2"/>
          </rPr>
          <t>LPA:</t>
        </r>
        <r>
          <rPr>
            <sz val="9"/>
            <color indexed="81"/>
            <rFont val="Tahoma"/>
            <family val="2"/>
          </rPr>
          <t xml:space="preserve">
проверити збир!
</t>
        </r>
      </text>
    </comment>
    <comment ref="I5480" authorId="0" shapeId="0">
      <text>
        <r>
          <rPr>
            <b/>
            <sz val="9"/>
            <color indexed="81"/>
            <rFont val="Tahoma"/>
            <family val="2"/>
          </rPr>
          <t>LPA:</t>
        </r>
        <r>
          <rPr>
            <sz val="9"/>
            <color indexed="81"/>
            <rFont val="Tahoma"/>
            <family val="2"/>
          </rPr>
          <t xml:space="preserve">
проверити збир!
</t>
        </r>
      </text>
    </comment>
    <comment ref="I5481" authorId="0" shapeId="0">
      <text>
        <r>
          <rPr>
            <b/>
            <sz val="9"/>
            <color indexed="81"/>
            <rFont val="Tahoma"/>
            <family val="2"/>
          </rPr>
          <t>LPA:</t>
        </r>
        <r>
          <rPr>
            <sz val="9"/>
            <color indexed="81"/>
            <rFont val="Tahoma"/>
            <family val="2"/>
          </rPr>
          <t xml:space="preserve">
проверити збир!
</t>
        </r>
      </text>
    </comment>
    <comment ref="I5482" authorId="0" shapeId="0">
      <text>
        <r>
          <rPr>
            <b/>
            <sz val="9"/>
            <color indexed="81"/>
            <rFont val="Tahoma"/>
            <family val="2"/>
          </rPr>
          <t>LPA:</t>
        </r>
        <r>
          <rPr>
            <sz val="9"/>
            <color indexed="81"/>
            <rFont val="Tahoma"/>
            <family val="2"/>
          </rPr>
          <t xml:space="preserve">
проверити збир!
</t>
        </r>
      </text>
    </comment>
    <comment ref="I5483" authorId="0" shapeId="0">
      <text>
        <r>
          <rPr>
            <b/>
            <sz val="9"/>
            <color indexed="81"/>
            <rFont val="Tahoma"/>
            <family val="2"/>
          </rPr>
          <t>LPA:</t>
        </r>
        <r>
          <rPr>
            <sz val="9"/>
            <color indexed="81"/>
            <rFont val="Tahoma"/>
            <family val="2"/>
          </rPr>
          <t xml:space="preserve">
проверити збир!
</t>
        </r>
      </text>
    </comment>
    <comment ref="I5484" authorId="0" shapeId="0">
      <text>
        <r>
          <rPr>
            <b/>
            <sz val="9"/>
            <color indexed="81"/>
            <rFont val="Tahoma"/>
            <family val="2"/>
          </rPr>
          <t>LPA:</t>
        </r>
        <r>
          <rPr>
            <sz val="9"/>
            <color indexed="81"/>
            <rFont val="Tahoma"/>
            <family val="2"/>
          </rPr>
          <t xml:space="preserve">
проверити збир!
</t>
        </r>
      </text>
    </comment>
    <comment ref="I5485" authorId="0" shapeId="0">
      <text>
        <r>
          <rPr>
            <b/>
            <sz val="9"/>
            <color indexed="81"/>
            <rFont val="Tahoma"/>
            <family val="2"/>
          </rPr>
          <t>LPA:</t>
        </r>
        <r>
          <rPr>
            <sz val="9"/>
            <color indexed="81"/>
            <rFont val="Tahoma"/>
            <family val="2"/>
          </rPr>
          <t xml:space="preserve">
проверити збир!
</t>
        </r>
      </text>
    </comment>
    <comment ref="I5486" authorId="0" shapeId="0">
      <text>
        <r>
          <rPr>
            <b/>
            <sz val="9"/>
            <color indexed="81"/>
            <rFont val="Tahoma"/>
            <family val="2"/>
          </rPr>
          <t>LPA:</t>
        </r>
        <r>
          <rPr>
            <sz val="9"/>
            <color indexed="81"/>
            <rFont val="Tahoma"/>
            <family val="2"/>
          </rPr>
          <t xml:space="preserve">
проверити збир!
</t>
        </r>
      </text>
    </comment>
    <comment ref="I5487" authorId="0" shapeId="0">
      <text>
        <r>
          <rPr>
            <b/>
            <sz val="9"/>
            <color indexed="81"/>
            <rFont val="Tahoma"/>
            <family val="2"/>
          </rPr>
          <t>LPA:</t>
        </r>
        <r>
          <rPr>
            <sz val="9"/>
            <color indexed="81"/>
            <rFont val="Tahoma"/>
            <family val="2"/>
          </rPr>
          <t xml:space="preserve">
проверити збир!
</t>
        </r>
      </text>
    </comment>
    <comment ref="I5488" authorId="0" shapeId="0">
      <text>
        <r>
          <rPr>
            <b/>
            <sz val="9"/>
            <color indexed="81"/>
            <rFont val="Tahoma"/>
            <family val="2"/>
          </rPr>
          <t>LPA:</t>
        </r>
        <r>
          <rPr>
            <sz val="9"/>
            <color indexed="81"/>
            <rFont val="Tahoma"/>
            <family val="2"/>
          </rPr>
          <t xml:space="preserve">
проверити збир!
</t>
        </r>
      </text>
    </comment>
    <comment ref="H5491" authorId="0" shapeId="0">
      <text>
        <r>
          <rPr>
            <b/>
            <sz val="9"/>
            <color indexed="81"/>
            <rFont val="Tahoma"/>
            <family val="2"/>
          </rPr>
          <t>LPA:</t>
        </r>
        <r>
          <rPr>
            <sz val="9"/>
            <color indexed="81"/>
            <rFont val="Tahoma"/>
            <family val="2"/>
          </rPr>
          <t xml:space="preserve">
проверити збир!</t>
        </r>
      </text>
    </comment>
    <comment ref="I5491" authorId="0" shapeId="0">
      <text>
        <r>
          <rPr>
            <b/>
            <sz val="9"/>
            <color indexed="81"/>
            <rFont val="Tahoma"/>
            <family val="2"/>
          </rPr>
          <t>LPA:</t>
        </r>
        <r>
          <rPr>
            <sz val="9"/>
            <color indexed="81"/>
            <rFont val="Tahoma"/>
            <family val="2"/>
          </rPr>
          <t xml:space="preserve">
проверити збир!</t>
        </r>
      </text>
    </comment>
    <comment ref="I5492" authorId="0" shapeId="0">
      <text>
        <r>
          <rPr>
            <b/>
            <sz val="9"/>
            <color indexed="81"/>
            <rFont val="Tahoma"/>
            <family val="2"/>
          </rPr>
          <t>LPA:</t>
        </r>
        <r>
          <rPr>
            <sz val="9"/>
            <color indexed="81"/>
            <rFont val="Tahoma"/>
            <family val="2"/>
          </rPr>
          <t xml:space="preserve">
проверити збир!
</t>
        </r>
      </text>
    </comment>
    <comment ref="I5493" authorId="0" shapeId="0">
      <text>
        <r>
          <rPr>
            <b/>
            <sz val="9"/>
            <color indexed="81"/>
            <rFont val="Tahoma"/>
            <family val="2"/>
          </rPr>
          <t>LPA:</t>
        </r>
        <r>
          <rPr>
            <sz val="9"/>
            <color indexed="81"/>
            <rFont val="Tahoma"/>
            <family val="2"/>
          </rPr>
          <t xml:space="preserve">
проверити збир!
</t>
        </r>
      </text>
    </comment>
    <comment ref="I5494" authorId="0" shapeId="0">
      <text>
        <r>
          <rPr>
            <b/>
            <sz val="9"/>
            <color indexed="81"/>
            <rFont val="Tahoma"/>
            <family val="2"/>
          </rPr>
          <t>LPA:</t>
        </r>
        <r>
          <rPr>
            <sz val="9"/>
            <color indexed="81"/>
            <rFont val="Tahoma"/>
            <family val="2"/>
          </rPr>
          <t xml:space="preserve">
проверити збир!
</t>
        </r>
      </text>
    </comment>
    <comment ref="I5495" authorId="0" shapeId="0">
      <text>
        <r>
          <rPr>
            <b/>
            <sz val="9"/>
            <color indexed="81"/>
            <rFont val="Tahoma"/>
            <family val="2"/>
          </rPr>
          <t>LPA:</t>
        </r>
        <r>
          <rPr>
            <sz val="9"/>
            <color indexed="81"/>
            <rFont val="Tahoma"/>
            <family val="2"/>
          </rPr>
          <t xml:space="preserve">
проверити збир!
</t>
        </r>
      </text>
    </comment>
    <comment ref="I5496" authorId="0" shapeId="0">
      <text>
        <r>
          <rPr>
            <b/>
            <sz val="9"/>
            <color indexed="81"/>
            <rFont val="Tahoma"/>
            <family val="2"/>
          </rPr>
          <t>LPA:</t>
        </r>
        <r>
          <rPr>
            <sz val="9"/>
            <color indexed="81"/>
            <rFont val="Tahoma"/>
            <family val="2"/>
          </rPr>
          <t xml:space="preserve">
проверити збир!
</t>
        </r>
      </text>
    </comment>
    <comment ref="I5497" authorId="0" shapeId="0">
      <text>
        <r>
          <rPr>
            <b/>
            <sz val="9"/>
            <color indexed="81"/>
            <rFont val="Tahoma"/>
            <family val="2"/>
          </rPr>
          <t>LPA:</t>
        </r>
        <r>
          <rPr>
            <sz val="9"/>
            <color indexed="81"/>
            <rFont val="Tahoma"/>
            <family val="2"/>
          </rPr>
          <t xml:space="preserve">
проверити збир!
</t>
        </r>
      </text>
    </comment>
    <comment ref="I5498" authorId="0" shapeId="0">
      <text>
        <r>
          <rPr>
            <b/>
            <sz val="9"/>
            <color indexed="81"/>
            <rFont val="Tahoma"/>
            <family val="2"/>
          </rPr>
          <t>LPA:</t>
        </r>
        <r>
          <rPr>
            <sz val="9"/>
            <color indexed="81"/>
            <rFont val="Tahoma"/>
            <family val="2"/>
          </rPr>
          <t xml:space="preserve">
проверити збир!
</t>
        </r>
      </text>
    </comment>
    <comment ref="I5499" authorId="0" shapeId="0">
      <text>
        <r>
          <rPr>
            <b/>
            <sz val="9"/>
            <color indexed="81"/>
            <rFont val="Tahoma"/>
            <family val="2"/>
          </rPr>
          <t>LPA:</t>
        </r>
        <r>
          <rPr>
            <sz val="9"/>
            <color indexed="81"/>
            <rFont val="Tahoma"/>
            <family val="2"/>
          </rPr>
          <t xml:space="preserve">
проверити збир!
</t>
        </r>
      </text>
    </comment>
    <comment ref="I5500" authorId="0" shapeId="0">
      <text>
        <r>
          <rPr>
            <b/>
            <sz val="9"/>
            <color indexed="81"/>
            <rFont val="Tahoma"/>
            <family val="2"/>
          </rPr>
          <t>LPA:</t>
        </r>
        <r>
          <rPr>
            <sz val="9"/>
            <color indexed="81"/>
            <rFont val="Tahoma"/>
            <family val="2"/>
          </rPr>
          <t xml:space="preserve">
проверити збир!
</t>
        </r>
      </text>
    </comment>
    <comment ref="I5501" authorId="0" shapeId="0">
      <text>
        <r>
          <rPr>
            <b/>
            <sz val="9"/>
            <color indexed="81"/>
            <rFont val="Tahoma"/>
            <family val="2"/>
          </rPr>
          <t>LPA:</t>
        </r>
        <r>
          <rPr>
            <sz val="9"/>
            <color indexed="81"/>
            <rFont val="Tahoma"/>
            <family val="2"/>
          </rPr>
          <t xml:space="preserve">
проверити збир!
</t>
        </r>
      </text>
    </comment>
    <comment ref="I5502" authorId="0" shapeId="0">
      <text>
        <r>
          <rPr>
            <b/>
            <sz val="9"/>
            <color indexed="81"/>
            <rFont val="Tahoma"/>
            <family val="2"/>
          </rPr>
          <t>LPA:</t>
        </r>
        <r>
          <rPr>
            <sz val="9"/>
            <color indexed="81"/>
            <rFont val="Tahoma"/>
            <family val="2"/>
          </rPr>
          <t xml:space="preserve">
проверити збир!
</t>
        </r>
      </text>
    </comment>
    <comment ref="I5503" authorId="0" shapeId="0">
      <text>
        <r>
          <rPr>
            <b/>
            <sz val="9"/>
            <color indexed="81"/>
            <rFont val="Tahoma"/>
            <family val="2"/>
          </rPr>
          <t>LPA:</t>
        </r>
        <r>
          <rPr>
            <sz val="9"/>
            <color indexed="81"/>
            <rFont val="Tahoma"/>
            <family val="2"/>
          </rPr>
          <t xml:space="preserve">
проверити збир!
</t>
        </r>
      </text>
    </comment>
    <comment ref="I5504" authorId="0" shapeId="0">
      <text>
        <r>
          <rPr>
            <b/>
            <sz val="9"/>
            <color indexed="81"/>
            <rFont val="Tahoma"/>
            <family val="2"/>
          </rPr>
          <t>LPA:</t>
        </r>
        <r>
          <rPr>
            <sz val="9"/>
            <color indexed="81"/>
            <rFont val="Tahoma"/>
            <family val="2"/>
          </rPr>
          <t xml:space="preserve">
проверити збир!
</t>
        </r>
      </text>
    </comment>
    <comment ref="I5505" authorId="0" shapeId="0">
      <text>
        <r>
          <rPr>
            <b/>
            <sz val="9"/>
            <color indexed="81"/>
            <rFont val="Tahoma"/>
            <family val="2"/>
          </rPr>
          <t>LPA:</t>
        </r>
        <r>
          <rPr>
            <sz val="9"/>
            <color indexed="81"/>
            <rFont val="Tahoma"/>
            <family val="2"/>
          </rPr>
          <t xml:space="preserve">
проверити збир!
</t>
        </r>
      </text>
    </comment>
    <comment ref="I5506" authorId="0" shapeId="0">
      <text>
        <r>
          <rPr>
            <b/>
            <sz val="9"/>
            <color indexed="81"/>
            <rFont val="Tahoma"/>
            <family val="2"/>
          </rPr>
          <t>LPA:</t>
        </r>
        <r>
          <rPr>
            <sz val="9"/>
            <color indexed="81"/>
            <rFont val="Tahoma"/>
            <family val="2"/>
          </rPr>
          <t xml:space="preserve">
проверити збир!
</t>
        </r>
      </text>
    </comment>
    <comment ref="I5575" authorId="0" shapeId="0">
      <text>
        <r>
          <rPr>
            <b/>
            <sz val="9"/>
            <color indexed="81"/>
            <rFont val="Tahoma"/>
            <family val="2"/>
          </rPr>
          <t>LPA:</t>
        </r>
        <r>
          <rPr>
            <sz val="9"/>
            <color indexed="81"/>
            <rFont val="Tahoma"/>
            <family val="2"/>
          </rPr>
          <t xml:space="preserve">
проверити збир!
</t>
        </r>
      </text>
    </comment>
    <comment ref="I5576" authorId="0" shapeId="0">
      <text>
        <r>
          <rPr>
            <b/>
            <sz val="9"/>
            <color indexed="81"/>
            <rFont val="Tahoma"/>
            <family val="2"/>
          </rPr>
          <t>LPA:</t>
        </r>
        <r>
          <rPr>
            <sz val="9"/>
            <color indexed="81"/>
            <rFont val="Tahoma"/>
            <family val="2"/>
          </rPr>
          <t xml:space="preserve">
проверити збир!
</t>
        </r>
      </text>
    </comment>
    <comment ref="I5577" authorId="0" shapeId="0">
      <text>
        <r>
          <rPr>
            <b/>
            <sz val="9"/>
            <color indexed="81"/>
            <rFont val="Tahoma"/>
            <family val="2"/>
          </rPr>
          <t>LPA:</t>
        </r>
        <r>
          <rPr>
            <sz val="9"/>
            <color indexed="81"/>
            <rFont val="Tahoma"/>
            <family val="2"/>
          </rPr>
          <t xml:space="preserve">
проверити збир!
</t>
        </r>
      </text>
    </comment>
    <comment ref="I5578" authorId="0" shapeId="0">
      <text>
        <r>
          <rPr>
            <b/>
            <sz val="9"/>
            <color indexed="81"/>
            <rFont val="Tahoma"/>
            <family val="2"/>
          </rPr>
          <t>LPA:</t>
        </r>
        <r>
          <rPr>
            <sz val="9"/>
            <color indexed="81"/>
            <rFont val="Tahoma"/>
            <family val="2"/>
          </rPr>
          <t xml:space="preserve">
проверити збир!
</t>
        </r>
      </text>
    </comment>
    <comment ref="I5579" authorId="0" shapeId="0">
      <text>
        <r>
          <rPr>
            <b/>
            <sz val="9"/>
            <color indexed="81"/>
            <rFont val="Tahoma"/>
            <family val="2"/>
          </rPr>
          <t>LPA:</t>
        </r>
        <r>
          <rPr>
            <sz val="9"/>
            <color indexed="81"/>
            <rFont val="Tahoma"/>
            <family val="2"/>
          </rPr>
          <t xml:space="preserve">
проверити збир!
</t>
        </r>
      </text>
    </comment>
    <comment ref="I5580" authorId="0" shapeId="0">
      <text>
        <r>
          <rPr>
            <b/>
            <sz val="9"/>
            <color indexed="81"/>
            <rFont val="Tahoma"/>
            <family val="2"/>
          </rPr>
          <t>LPA:</t>
        </r>
        <r>
          <rPr>
            <sz val="9"/>
            <color indexed="81"/>
            <rFont val="Tahoma"/>
            <family val="2"/>
          </rPr>
          <t xml:space="preserve">
проверити збир!
</t>
        </r>
      </text>
    </comment>
    <comment ref="I5581" authorId="0" shapeId="0">
      <text>
        <r>
          <rPr>
            <b/>
            <sz val="9"/>
            <color indexed="81"/>
            <rFont val="Tahoma"/>
            <family val="2"/>
          </rPr>
          <t>LPA:</t>
        </r>
        <r>
          <rPr>
            <sz val="9"/>
            <color indexed="81"/>
            <rFont val="Tahoma"/>
            <family val="2"/>
          </rPr>
          <t xml:space="preserve">
проверити збир!
</t>
        </r>
      </text>
    </comment>
    <comment ref="I5582" authorId="0" shapeId="0">
      <text>
        <r>
          <rPr>
            <b/>
            <sz val="9"/>
            <color indexed="81"/>
            <rFont val="Tahoma"/>
            <family val="2"/>
          </rPr>
          <t>LPA:</t>
        </r>
        <r>
          <rPr>
            <sz val="9"/>
            <color indexed="81"/>
            <rFont val="Tahoma"/>
            <family val="2"/>
          </rPr>
          <t xml:space="preserve">
проверити збир!
</t>
        </r>
      </text>
    </comment>
    <comment ref="I5583" authorId="0" shapeId="0">
      <text>
        <r>
          <rPr>
            <b/>
            <sz val="9"/>
            <color indexed="81"/>
            <rFont val="Tahoma"/>
            <family val="2"/>
          </rPr>
          <t>LPA:</t>
        </r>
        <r>
          <rPr>
            <sz val="9"/>
            <color indexed="81"/>
            <rFont val="Tahoma"/>
            <family val="2"/>
          </rPr>
          <t xml:space="preserve">
проверити збир!
</t>
        </r>
      </text>
    </comment>
    <comment ref="I5584" authorId="0" shapeId="0">
      <text>
        <r>
          <rPr>
            <b/>
            <sz val="9"/>
            <color indexed="81"/>
            <rFont val="Tahoma"/>
            <family val="2"/>
          </rPr>
          <t>LPA:</t>
        </r>
        <r>
          <rPr>
            <sz val="9"/>
            <color indexed="81"/>
            <rFont val="Tahoma"/>
            <family val="2"/>
          </rPr>
          <t xml:space="preserve">
проверити збир!
</t>
        </r>
      </text>
    </comment>
    <comment ref="I5585" authorId="0" shapeId="0">
      <text>
        <r>
          <rPr>
            <b/>
            <sz val="9"/>
            <color indexed="81"/>
            <rFont val="Tahoma"/>
            <family val="2"/>
          </rPr>
          <t>LPA:</t>
        </r>
        <r>
          <rPr>
            <sz val="9"/>
            <color indexed="81"/>
            <rFont val="Tahoma"/>
            <family val="2"/>
          </rPr>
          <t xml:space="preserve">
проверити збир!
</t>
        </r>
      </text>
    </comment>
    <comment ref="I5586" authorId="0" shapeId="0">
      <text>
        <r>
          <rPr>
            <b/>
            <sz val="9"/>
            <color indexed="81"/>
            <rFont val="Tahoma"/>
            <family val="2"/>
          </rPr>
          <t>LPA:</t>
        </r>
        <r>
          <rPr>
            <sz val="9"/>
            <color indexed="81"/>
            <rFont val="Tahoma"/>
            <family val="2"/>
          </rPr>
          <t xml:space="preserve">
проверити збир!
</t>
        </r>
      </text>
    </comment>
    <comment ref="I5587" authorId="0" shapeId="0">
      <text>
        <r>
          <rPr>
            <b/>
            <sz val="9"/>
            <color indexed="81"/>
            <rFont val="Tahoma"/>
            <family val="2"/>
          </rPr>
          <t>LPA:</t>
        </r>
        <r>
          <rPr>
            <sz val="9"/>
            <color indexed="81"/>
            <rFont val="Tahoma"/>
            <family val="2"/>
          </rPr>
          <t xml:space="preserve">
проверити збир!
</t>
        </r>
      </text>
    </comment>
    <comment ref="H5590" authorId="0" shapeId="0">
      <text>
        <r>
          <rPr>
            <b/>
            <sz val="9"/>
            <color indexed="81"/>
            <rFont val="Tahoma"/>
            <family val="2"/>
          </rPr>
          <t>LPA:</t>
        </r>
        <r>
          <rPr>
            <sz val="9"/>
            <color indexed="81"/>
            <rFont val="Tahoma"/>
            <family val="2"/>
          </rPr>
          <t xml:space="preserve">
проверити збир!</t>
        </r>
      </text>
    </comment>
    <comment ref="I5590" authorId="0" shapeId="0">
      <text>
        <r>
          <rPr>
            <b/>
            <sz val="9"/>
            <color indexed="81"/>
            <rFont val="Tahoma"/>
            <family val="2"/>
          </rPr>
          <t>LPA:</t>
        </r>
        <r>
          <rPr>
            <sz val="9"/>
            <color indexed="81"/>
            <rFont val="Tahoma"/>
            <family val="2"/>
          </rPr>
          <t xml:space="preserve">
проверити збир!</t>
        </r>
      </text>
    </comment>
    <comment ref="I5591" authorId="0" shapeId="0">
      <text>
        <r>
          <rPr>
            <b/>
            <sz val="9"/>
            <color indexed="81"/>
            <rFont val="Tahoma"/>
            <family val="2"/>
          </rPr>
          <t>LPA:</t>
        </r>
        <r>
          <rPr>
            <sz val="9"/>
            <color indexed="81"/>
            <rFont val="Tahoma"/>
            <family val="2"/>
          </rPr>
          <t xml:space="preserve">
проверити збир!
</t>
        </r>
      </text>
    </comment>
    <comment ref="I5592" authorId="0" shapeId="0">
      <text>
        <r>
          <rPr>
            <b/>
            <sz val="9"/>
            <color indexed="81"/>
            <rFont val="Tahoma"/>
            <family val="2"/>
          </rPr>
          <t>LPA:</t>
        </r>
        <r>
          <rPr>
            <sz val="9"/>
            <color indexed="81"/>
            <rFont val="Tahoma"/>
            <family val="2"/>
          </rPr>
          <t xml:space="preserve">
проверити збир!
</t>
        </r>
      </text>
    </comment>
    <comment ref="I5593" authorId="0" shapeId="0">
      <text>
        <r>
          <rPr>
            <b/>
            <sz val="9"/>
            <color indexed="81"/>
            <rFont val="Tahoma"/>
            <family val="2"/>
          </rPr>
          <t>LPA:</t>
        </r>
        <r>
          <rPr>
            <sz val="9"/>
            <color indexed="81"/>
            <rFont val="Tahoma"/>
            <family val="2"/>
          </rPr>
          <t xml:space="preserve">
проверити збир!
</t>
        </r>
      </text>
    </comment>
    <comment ref="I5594" authorId="0" shapeId="0">
      <text>
        <r>
          <rPr>
            <b/>
            <sz val="9"/>
            <color indexed="81"/>
            <rFont val="Tahoma"/>
            <family val="2"/>
          </rPr>
          <t>LPA:</t>
        </r>
        <r>
          <rPr>
            <sz val="9"/>
            <color indexed="81"/>
            <rFont val="Tahoma"/>
            <family val="2"/>
          </rPr>
          <t xml:space="preserve">
проверити збир!
</t>
        </r>
      </text>
    </comment>
    <comment ref="I5595" authorId="0" shapeId="0">
      <text>
        <r>
          <rPr>
            <b/>
            <sz val="9"/>
            <color indexed="81"/>
            <rFont val="Tahoma"/>
            <family val="2"/>
          </rPr>
          <t>LPA:</t>
        </r>
        <r>
          <rPr>
            <sz val="9"/>
            <color indexed="81"/>
            <rFont val="Tahoma"/>
            <family val="2"/>
          </rPr>
          <t xml:space="preserve">
проверити збир!
</t>
        </r>
      </text>
    </comment>
    <comment ref="I5596" authorId="0" shapeId="0">
      <text>
        <r>
          <rPr>
            <b/>
            <sz val="9"/>
            <color indexed="81"/>
            <rFont val="Tahoma"/>
            <family val="2"/>
          </rPr>
          <t>LPA:</t>
        </r>
        <r>
          <rPr>
            <sz val="9"/>
            <color indexed="81"/>
            <rFont val="Tahoma"/>
            <family val="2"/>
          </rPr>
          <t xml:space="preserve">
проверити збир!
</t>
        </r>
      </text>
    </comment>
    <comment ref="I5597" authorId="0" shapeId="0">
      <text>
        <r>
          <rPr>
            <b/>
            <sz val="9"/>
            <color indexed="81"/>
            <rFont val="Tahoma"/>
            <family val="2"/>
          </rPr>
          <t>LPA:</t>
        </r>
        <r>
          <rPr>
            <sz val="9"/>
            <color indexed="81"/>
            <rFont val="Tahoma"/>
            <family val="2"/>
          </rPr>
          <t xml:space="preserve">
проверити збир!
</t>
        </r>
      </text>
    </comment>
    <comment ref="I5598" authorId="0" shapeId="0">
      <text>
        <r>
          <rPr>
            <b/>
            <sz val="9"/>
            <color indexed="81"/>
            <rFont val="Tahoma"/>
            <family val="2"/>
          </rPr>
          <t>LPA:</t>
        </r>
        <r>
          <rPr>
            <sz val="9"/>
            <color indexed="81"/>
            <rFont val="Tahoma"/>
            <family val="2"/>
          </rPr>
          <t xml:space="preserve">
проверити збир!
</t>
        </r>
      </text>
    </comment>
    <comment ref="I5599" authorId="0" shapeId="0">
      <text>
        <r>
          <rPr>
            <b/>
            <sz val="9"/>
            <color indexed="81"/>
            <rFont val="Tahoma"/>
            <family val="2"/>
          </rPr>
          <t>LPA:</t>
        </r>
        <r>
          <rPr>
            <sz val="9"/>
            <color indexed="81"/>
            <rFont val="Tahoma"/>
            <family val="2"/>
          </rPr>
          <t xml:space="preserve">
проверити збир!
</t>
        </r>
      </text>
    </comment>
    <comment ref="I5600" authorId="0" shapeId="0">
      <text>
        <r>
          <rPr>
            <b/>
            <sz val="9"/>
            <color indexed="81"/>
            <rFont val="Tahoma"/>
            <family val="2"/>
          </rPr>
          <t>LPA:</t>
        </r>
        <r>
          <rPr>
            <sz val="9"/>
            <color indexed="81"/>
            <rFont val="Tahoma"/>
            <family val="2"/>
          </rPr>
          <t xml:space="preserve">
проверити збир!
</t>
        </r>
      </text>
    </comment>
    <comment ref="I5601" authorId="0" shapeId="0">
      <text>
        <r>
          <rPr>
            <b/>
            <sz val="9"/>
            <color indexed="81"/>
            <rFont val="Tahoma"/>
            <family val="2"/>
          </rPr>
          <t>LPA:</t>
        </r>
        <r>
          <rPr>
            <sz val="9"/>
            <color indexed="81"/>
            <rFont val="Tahoma"/>
            <family val="2"/>
          </rPr>
          <t xml:space="preserve">
проверити збир!
</t>
        </r>
      </text>
    </comment>
    <comment ref="I5602" authorId="0" shapeId="0">
      <text>
        <r>
          <rPr>
            <b/>
            <sz val="9"/>
            <color indexed="81"/>
            <rFont val="Tahoma"/>
            <family val="2"/>
          </rPr>
          <t>LPA:</t>
        </r>
        <r>
          <rPr>
            <sz val="9"/>
            <color indexed="81"/>
            <rFont val="Tahoma"/>
            <family val="2"/>
          </rPr>
          <t xml:space="preserve">
проверити збир!
</t>
        </r>
      </text>
    </comment>
    <comment ref="I5603" authorId="0" shapeId="0">
      <text>
        <r>
          <rPr>
            <b/>
            <sz val="9"/>
            <color indexed="81"/>
            <rFont val="Tahoma"/>
            <family val="2"/>
          </rPr>
          <t>LPA:</t>
        </r>
        <r>
          <rPr>
            <sz val="9"/>
            <color indexed="81"/>
            <rFont val="Tahoma"/>
            <family val="2"/>
          </rPr>
          <t xml:space="preserve">
проверити збир!
</t>
        </r>
      </text>
    </comment>
    <comment ref="I5604" authorId="0" shapeId="0">
      <text>
        <r>
          <rPr>
            <b/>
            <sz val="9"/>
            <color indexed="81"/>
            <rFont val="Tahoma"/>
            <family val="2"/>
          </rPr>
          <t>LPA:</t>
        </r>
        <r>
          <rPr>
            <sz val="9"/>
            <color indexed="81"/>
            <rFont val="Tahoma"/>
            <family val="2"/>
          </rPr>
          <t xml:space="preserve">
проверити збир!
</t>
        </r>
      </text>
    </comment>
    <comment ref="I5605" authorId="0" shapeId="0">
      <text>
        <r>
          <rPr>
            <b/>
            <sz val="9"/>
            <color indexed="81"/>
            <rFont val="Tahoma"/>
            <family val="2"/>
          </rPr>
          <t>LPA:</t>
        </r>
        <r>
          <rPr>
            <sz val="9"/>
            <color indexed="81"/>
            <rFont val="Tahoma"/>
            <family val="2"/>
          </rPr>
          <t xml:space="preserve">
проверити збир!
</t>
        </r>
      </text>
    </comment>
    <comment ref="H5609" authorId="0" shapeId="0">
      <text>
        <r>
          <rPr>
            <b/>
            <sz val="9"/>
            <color indexed="81"/>
            <rFont val="Tahoma"/>
            <family val="2"/>
          </rPr>
          <t>LPA:</t>
        </r>
        <r>
          <rPr>
            <sz val="9"/>
            <color indexed="81"/>
            <rFont val="Tahoma"/>
            <family val="2"/>
          </rPr>
          <t xml:space="preserve">
проверити збир!</t>
        </r>
      </text>
    </comment>
    <comment ref="I5609" authorId="0" shapeId="0">
      <text>
        <r>
          <rPr>
            <b/>
            <sz val="9"/>
            <color indexed="81"/>
            <rFont val="Tahoma"/>
            <family val="2"/>
          </rPr>
          <t>LPA:</t>
        </r>
        <r>
          <rPr>
            <sz val="9"/>
            <color indexed="81"/>
            <rFont val="Tahoma"/>
            <family val="2"/>
          </rPr>
          <t xml:space="preserve">
проверити збир!
</t>
        </r>
      </text>
    </comment>
    <comment ref="I5610" authorId="0" shapeId="0">
      <text>
        <r>
          <rPr>
            <b/>
            <sz val="9"/>
            <color indexed="81"/>
            <rFont val="Tahoma"/>
            <family val="2"/>
          </rPr>
          <t>LPA:</t>
        </r>
        <r>
          <rPr>
            <sz val="9"/>
            <color indexed="81"/>
            <rFont val="Tahoma"/>
            <family val="2"/>
          </rPr>
          <t xml:space="preserve">
проверити збир!
</t>
        </r>
      </text>
    </comment>
    <comment ref="I5611" authorId="0" shapeId="0">
      <text>
        <r>
          <rPr>
            <b/>
            <sz val="9"/>
            <color indexed="81"/>
            <rFont val="Tahoma"/>
            <family val="2"/>
          </rPr>
          <t>LPA:</t>
        </r>
        <r>
          <rPr>
            <sz val="9"/>
            <color indexed="81"/>
            <rFont val="Tahoma"/>
            <family val="2"/>
          </rPr>
          <t xml:space="preserve">
проверити збир!
</t>
        </r>
      </text>
    </comment>
    <comment ref="I5612" authorId="0" shapeId="0">
      <text>
        <r>
          <rPr>
            <b/>
            <sz val="9"/>
            <color indexed="81"/>
            <rFont val="Tahoma"/>
            <family val="2"/>
          </rPr>
          <t>LPA:</t>
        </r>
        <r>
          <rPr>
            <sz val="9"/>
            <color indexed="81"/>
            <rFont val="Tahoma"/>
            <family val="2"/>
          </rPr>
          <t xml:space="preserve">
проверити збир!
</t>
        </r>
      </text>
    </comment>
    <comment ref="I5613" authorId="0" shapeId="0">
      <text>
        <r>
          <rPr>
            <b/>
            <sz val="9"/>
            <color indexed="81"/>
            <rFont val="Tahoma"/>
            <family val="2"/>
          </rPr>
          <t>LPA:</t>
        </r>
        <r>
          <rPr>
            <sz val="9"/>
            <color indexed="81"/>
            <rFont val="Tahoma"/>
            <family val="2"/>
          </rPr>
          <t xml:space="preserve">
проверити збир!
</t>
        </r>
      </text>
    </comment>
    <comment ref="I5614" authorId="0" shapeId="0">
      <text>
        <r>
          <rPr>
            <b/>
            <sz val="9"/>
            <color indexed="81"/>
            <rFont val="Tahoma"/>
            <family val="2"/>
          </rPr>
          <t>LPA:</t>
        </r>
        <r>
          <rPr>
            <sz val="9"/>
            <color indexed="81"/>
            <rFont val="Tahoma"/>
            <family val="2"/>
          </rPr>
          <t xml:space="preserve">
проверити збир!
</t>
        </r>
      </text>
    </comment>
    <comment ref="I5615" authorId="0" shapeId="0">
      <text>
        <r>
          <rPr>
            <b/>
            <sz val="9"/>
            <color indexed="81"/>
            <rFont val="Tahoma"/>
            <family val="2"/>
          </rPr>
          <t>LPA:</t>
        </r>
        <r>
          <rPr>
            <sz val="9"/>
            <color indexed="81"/>
            <rFont val="Tahoma"/>
            <family val="2"/>
          </rPr>
          <t xml:space="preserve">
проверити збир!
</t>
        </r>
      </text>
    </comment>
    <comment ref="I5616" authorId="0" shapeId="0">
      <text>
        <r>
          <rPr>
            <b/>
            <sz val="9"/>
            <color indexed="81"/>
            <rFont val="Tahoma"/>
            <family val="2"/>
          </rPr>
          <t>LPA:</t>
        </r>
        <r>
          <rPr>
            <sz val="9"/>
            <color indexed="81"/>
            <rFont val="Tahoma"/>
            <family val="2"/>
          </rPr>
          <t xml:space="preserve">
проверити збир!
</t>
        </r>
      </text>
    </comment>
    <comment ref="I5617" authorId="0" shapeId="0">
      <text>
        <r>
          <rPr>
            <b/>
            <sz val="9"/>
            <color indexed="81"/>
            <rFont val="Tahoma"/>
            <family val="2"/>
          </rPr>
          <t>LPA:</t>
        </r>
        <r>
          <rPr>
            <sz val="9"/>
            <color indexed="81"/>
            <rFont val="Tahoma"/>
            <family val="2"/>
          </rPr>
          <t xml:space="preserve">
проверити збир!
</t>
        </r>
      </text>
    </comment>
    <comment ref="I5618" authorId="0" shapeId="0">
      <text>
        <r>
          <rPr>
            <b/>
            <sz val="9"/>
            <color indexed="81"/>
            <rFont val="Tahoma"/>
            <family val="2"/>
          </rPr>
          <t>LPA:</t>
        </r>
        <r>
          <rPr>
            <sz val="9"/>
            <color indexed="81"/>
            <rFont val="Tahoma"/>
            <family val="2"/>
          </rPr>
          <t xml:space="preserve">
проверити збир!
</t>
        </r>
      </text>
    </comment>
    <comment ref="I5619" authorId="0" shapeId="0">
      <text>
        <r>
          <rPr>
            <b/>
            <sz val="9"/>
            <color indexed="81"/>
            <rFont val="Tahoma"/>
            <family val="2"/>
          </rPr>
          <t>LPA:</t>
        </r>
        <r>
          <rPr>
            <sz val="9"/>
            <color indexed="81"/>
            <rFont val="Tahoma"/>
            <family val="2"/>
          </rPr>
          <t xml:space="preserve">
проверити збир!
</t>
        </r>
      </text>
    </comment>
    <comment ref="I5620" authorId="0" shapeId="0">
      <text>
        <r>
          <rPr>
            <b/>
            <sz val="9"/>
            <color indexed="81"/>
            <rFont val="Tahoma"/>
            <family val="2"/>
          </rPr>
          <t>LPA:</t>
        </r>
        <r>
          <rPr>
            <sz val="9"/>
            <color indexed="81"/>
            <rFont val="Tahoma"/>
            <family val="2"/>
          </rPr>
          <t xml:space="preserve">
проверити збир!
</t>
        </r>
      </text>
    </comment>
    <comment ref="I5621" authorId="0" shapeId="0">
      <text>
        <r>
          <rPr>
            <b/>
            <sz val="9"/>
            <color indexed="81"/>
            <rFont val="Tahoma"/>
            <family val="2"/>
          </rPr>
          <t>LPA:</t>
        </r>
        <r>
          <rPr>
            <sz val="9"/>
            <color indexed="81"/>
            <rFont val="Tahoma"/>
            <family val="2"/>
          </rPr>
          <t xml:space="preserve">
проверити збир!
</t>
        </r>
      </text>
    </comment>
    <comment ref="I5622" authorId="0" shapeId="0">
      <text>
        <r>
          <rPr>
            <b/>
            <sz val="9"/>
            <color indexed="81"/>
            <rFont val="Tahoma"/>
            <family val="2"/>
          </rPr>
          <t>LPA:</t>
        </r>
        <r>
          <rPr>
            <sz val="9"/>
            <color indexed="81"/>
            <rFont val="Tahoma"/>
            <family val="2"/>
          </rPr>
          <t xml:space="preserve">
проверити збир!
</t>
        </r>
      </text>
    </comment>
    <comment ref="I5623" authorId="0" shapeId="0">
      <text>
        <r>
          <rPr>
            <b/>
            <sz val="9"/>
            <color indexed="81"/>
            <rFont val="Tahoma"/>
            <family val="2"/>
          </rPr>
          <t>LPA:</t>
        </r>
        <r>
          <rPr>
            <sz val="9"/>
            <color indexed="81"/>
            <rFont val="Tahoma"/>
            <family val="2"/>
          </rPr>
          <t xml:space="preserve">
проверити збир!
</t>
        </r>
      </text>
    </comment>
    <comment ref="I5624" authorId="0" shapeId="0">
      <text>
        <r>
          <rPr>
            <b/>
            <sz val="9"/>
            <color indexed="81"/>
            <rFont val="Tahoma"/>
            <family val="2"/>
          </rPr>
          <t>LPA:</t>
        </r>
        <r>
          <rPr>
            <sz val="9"/>
            <color indexed="81"/>
            <rFont val="Tahoma"/>
            <family val="2"/>
          </rPr>
          <t xml:space="preserve">
проверити збир!
</t>
        </r>
      </text>
    </comment>
    <comment ref="H5628" authorId="0" shapeId="0">
      <text>
        <r>
          <rPr>
            <b/>
            <sz val="9"/>
            <color indexed="81"/>
            <rFont val="Tahoma"/>
            <family val="2"/>
          </rPr>
          <t>LPA:</t>
        </r>
        <r>
          <rPr>
            <sz val="9"/>
            <color indexed="81"/>
            <rFont val="Tahoma"/>
            <family val="2"/>
          </rPr>
          <t xml:space="preserve">
провери збир!</t>
        </r>
      </text>
    </comment>
    <comment ref="I5628" authorId="0" shapeId="0">
      <text>
        <r>
          <rPr>
            <b/>
            <sz val="9"/>
            <color indexed="81"/>
            <rFont val="Tahoma"/>
            <family val="2"/>
          </rPr>
          <t>LPA:</t>
        </r>
        <r>
          <rPr>
            <sz val="9"/>
            <color indexed="81"/>
            <rFont val="Tahoma"/>
            <family val="2"/>
          </rPr>
          <t xml:space="preserve">
проверити збир!
</t>
        </r>
      </text>
    </comment>
    <comment ref="I5629" authorId="0" shapeId="0">
      <text>
        <r>
          <rPr>
            <b/>
            <sz val="9"/>
            <color indexed="81"/>
            <rFont val="Tahoma"/>
            <family val="2"/>
          </rPr>
          <t>LPA:</t>
        </r>
        <r>
          <rPr>
            <sz val="9"/>
            <color indexed="81"/>
            <rFont val="Tahoma"/>
            <family val="2"/>
          </rPr>
          <t xml:space="preserve">
проверити збир!
</t>
        </r>
      </text>
    </comment>
    <comment ref="I5630" authorId="0" shapeId="0">
      <text>
        <r>
          <rPr>
            <b/>
            <sz val="9"/>
            <color indexed="81"/>
            <rFont val="Tahoma"/>
            <family val="2"/>
          </rPr>
          <t>LPA:</t>
        </r>
        <r>
          <rPr>
            <sz val="9"/>
            <color indexed="81"/>
            <rFont val="Tahoma"/>
            <family val="2"/>
          </rPr>
          <t xml:space="preserve">
проверити збир!
</t>
        </r>
      </text>
    </comment>
    <comment ref="I5631" authorId="0" shapeId="0">
      <text>
        <r>
          <rPr>
            <b/>
            <sz val="9"/>
            <color indexed="81"/>
            <rFont val="Tahoma"/>
            <family val="2"/>
          </rPr>
          <t>LPA:</t>
        </r>
        <r>
          <rPr>
            <sz val="9"/>
            <color indexed="81"/>
            <rFont val="Tahoma"/>
            <family val="2"/>
          </rPr>
          <t xml:space="preserve">
проверити збир!
</t>
        </r>
      </text>
    </comment>
    <comment ref="I5632" authorId="0" shapeId="0">
      <text>
        <r>
          <rPr>
            <b/>
            <sz val="9"/>
            <color indexed="81"/>
            <rFont val="Tahoma"/>
            <family val="2"/>
          </rPr>
          <t>LPA:</t>
        </r>
        <r>
          <rPr>
            <sz val="9"/>
            <color indexed="81"/>
            <rFont val="Tahoma"/>
            <family val="2"/>
          </rPr>
          <t xml:space="preserve">
проверити збир!
</t>
        </r>
      </text>
    </comment>
    <comment ref="I5633" authorId="0" shapeId="0">
      <text>
        <r>
          <rPr>
            <b/>
            <sz val="9"/>
            <color indexed="81"/>
            <rFont val="Tahoma"/>
            <family val="2"/>
          </rPr>
          <t>LPA:</t>
        </r>
        <r>
          <rPr>
            <sz val="9"/>
            <color indexed="81"/>
            <rFont val="Tahoma"/>
            <family val="2"/>
          </rPr>
          <t xml:space="preserve">
проверити збир!
</t>
        </r>
      </text>
    </comment>
    <comment ref="I5634" authorId="0" shapeId="0">
      <text>
        <r>
          <rPr>
            <b/>
            <sz val="9"/>
            <color indexed="81"/>
            <rFont val="Tahoma"/>
            <family val="2"/>
          </rPr>
          <t>LPA:</t>
        </r>
        <r>
          <rPr>
            <sz val="9"/>
            <color indexed="81"/>
            <rFont val="Tahoma"/>
            <family val="2"/>
          </rPr>
          <t xml:space="preserve">
проверити збир!
</t>
        </r>
      </text>
    </comment>
    <comment ref="I5635" authorId="0" shapeId="0">
      <text>
        <r>
          <rPr>
            <b/>
            <sz val="9"/>
            <color indexed="81"/>
            <rFont val="Tahoma"/>
            <family val="2"/>
          </rPr>
          <t>LPA:</t>
        </r>
        <r>
          <rPr>
            <sz val="9"/>
            <color indexed="81"/>
            <rFont val="Tahoma"/>
            <family val="2"/>
          </rPr>
          <t xml:space="preserve">
проверити збир!
</t>
        </r>
      </text>
    </comment>
    <comment ref="I5636" authorId="0" shapeId="0">
      <text>
        <r>
          <rPr>
            <b/>
            <sz val="9"/>
            <color indexed="81"/>
            <rFont val="Tahoma"/>
            <family val="2"/>
          </rPr>
          <t>LPA:</t>
        </r>
        <r>
          <rPr>
            <sz val="9"/>
            <color indexed="81"/>
            <rFont val="Tahoma"/>
            <family val="2"/>
          </rPr>
          <t xml:space="preserve">
проверити збир!
</t>
        </r>
      </text>
    </comment>
    <comment ref="I5637" authorId="0" shapeId="0">
      <text>
        <r>
          <rPr>
            <b/>
            <sz val="9"/>
            <color indexed="81"/>
            <rFont val="Tahoma"/>
            <family val="2"/>
          </rPr>
          <t>LPA:</t>
        </r>
        <r>
          <rPr>
            <sz val="9"/>
            <color indexed="81"/>
            <rFont val="Tahoma"/>
            <family val="2"/>
          </rPr>
          <t xml:space="preserve">
проверити збир!
</t>
        </r>
      </text>
    </comment>
    <comment ref="I5638" authorId="0" shapeId="0">
      <text>
        <r>
          <rPr>
            <b/>
            <sz val="9"/>
            <color indexed="81"/>
            <rFont val="Tahoma"/>
            <family val="2"/>
          </rPr>
          <t>LPA:</t>
        </r>
        <r>
          <rPr>
            <sz val="9"/>
            <color indexed="81"/>
            <rFont val="Tahoma"/>
            <family val="2"/>
          </rPr>
          <t xml:space="preserve">
проверити збир!
</t>
        </r>
      </text>
    </comment>
    <comment ref="I5639" authorId="0" shapeId="0">
      <text>
        <r>
          <rPr>
            <b/>
            <sz val="9"/>
            <color indexed="81"/>
            <rFont val="Tahoma"/>
            <family val="2"/>
          </rPr>
          <t>LPA:</t>
        </r>
        <r>
          <rPr>
            <sz val="9"/>
            <color indexed="81"/>
            <rFont val="Tahoma"/>
            <family val="2"/>
          </rPr>
          <t xml:space="preserve">
проверити збир!
</t>
        </r>
      </text>
    </comment>
    <comment ref="I5640" authorId="0" shapeId="0">
      <text>
        <r>
          <rPr>
            <b/>
            <sz val="9"/>
            <color indexed="81"/>
            <rFont val="Tahoma"/>
            <family val="2"/>
          </rPr>
          <t>LPA:</t>
        </r>
        <r>
          <rPr>
            <sz val="9"/>
            <color indexed="81"/>
            <rFont val="Tahoma"/>
            <family val="2"/>
          </rPr>
          <t xml:space="preserve">
проверити збир!
</t>
        </r>
      </text>
    </comment>
    <comment ref="I5641" authorId="0" shapeId="0">
      <text>
        <r>
          <rPr>
            <b/>
            <sz val="9"/>
            <color indexed="81"/>
            <rFont val="Tahoma"/>
            <family val="2"/>
          </rPr>
          <t>LPA:</t>
        </r>
        <r>
          <rPr>
            <sz val="9"/>
            <color indexed="81"/>
            <rFont val="Tahoma"/>
            <family val="2"/>
          </rPr>
          <t xml:space="preserve">
проверити збир!
</t>
        </r>
      </text>
    </comment>
    <comment ref="I5642" authorId="0" shapeId="0">
      <text>
        <r>
          <rPr>
            <b/>
            <sz val="9"/>
            <color indexed="81"/>
            <rFont val="Tahoma"/>
            <family val="2"/>
          </rPr>
          <t>LPA:</t>
        </r>
        <r>
          <rPr>
            <sz val="9"/>
            <color indexed="81"/>
            <rFont val="Tahoma"/>
            <family val="2"/>
          </rPr>
          <t xml:space="preserve">
проверити збир!
</t>
        </r>
      </text>
    </comment>
    <comment ref="I5643" authorId="0" shapeId="0">
      <text>
        <r>
          <rPr>
            <b/>
            <sz val="9"/>
            <color indexed="81"/>
            <rFont val="Tahoma"/>
            <family val="2"/>
          </rPr>
          <t>LPA:</t>
        </r>
        <r>
          <rPr>
            <sz val="9"/>
            <color indexed="81"/>
            <rFont val="Tahoma"/>
            <family val="2"/>
          </rPr>
          <t xml:space="preserve">
проверити збир!
</t>
        </r>
      </text>
    </comment>
    <comment ref="I6053" authorId="0" shapeId="0">
      <text>
        <r>
          <rPr>
            <b/>
            <sz val="9"/>
            <color indexed="81"/>
            <rFont val="Tahoma"/>
            <family val="2"/>
          </rPr>
          <t>LPA:</t>
        </r>
        <r>
          <rPr>
            <sz val="9"/>
            <color indexed="81"/>
            <rFont val="Tahoma"/>
            <family val="2"/>
          </rPr>
          <t xml:space="preserve">
проверити збир!
</t>
        </r>
      </text>
    </comment>
    <comment ref="I6054" authorId="0" shapeId="0">
      <text>
        <r>
          <rPr>
            <b/>
            <sz val="9"/>
            <color indexed="81"/>
            <rFont val="Tahoma"/>
            <family val="2"/>
          </rPr>
          <t>LPA:</t>
        </r>
        <r>
          <rPr>
            <sz val="9"/>
            <color indexed="81"/>
            <rFont val="Tahoma"/>
            <family val="2"/>
          </rPr>
          <t xml:space="preserve">
проверити збир!
</t>
        </r>
      </text>
    </comment>
    <comment ref="I6055" authorId="0" shapeId="0">
      <text>
        <r>
          <rPr>
            <b/>
            <sz val="9"/>
            <color indexed="81"/>
            <rFont val="Tahoma"/>
            <family val="2"/>
          </rPr>
          <t>LPA:</t>
        </r>
        <r>
          <rPr>
            <sz val="9"/>
            <color indexed="81"/>
            <rFont val="Tahoma"/>
            <family val="2"/>
          </rPr>
          <t xml:space="preserve">
проверити збир!
</t>
        </r>
      </text>
    </comment>
    <comment ref="I6056" authorId="0" shapeId="0">
      <text>
        <r>
          <rPr>
            <b/>
            <sz val="9"/>
            <color indexed="81"/>
            <rFont val="Tahoma"/>
            <family val="2"/>
          </rPr>
          <t>LPA:</t>
        </r>
        <r>
          <rPr>
            <sz val="9"/>
            <color indexed="81"/>
            <rFont val="Tahoma"/>
            <family val="2"/>
          </rPr>
          <t xml:space="preserve">
проверити збир!
</t>
        </r>
      </text>
    </comment>
    <comment ref="I6057" authorId="0" shapeId="0">
      <text>
        <r>
          <rPr>
            <b/>
            <sz val="9"/>
            <color indexed="81"/>
            <rFont val="Tahoma"/>
            <family val="2"/>
          </rPr>
          <t>LPA:</t>
        </r>
        <r>
          <rPr>
            <sz val="9"/>
            <color indexed="81"/>
            <rFont val="Tahoma"/>
            <family val="2"/>
          </rPr>
          <t xml:space="preserve">
проверити збир!
</t>
        </r>
      </text>
    </comment>
    <comment ref="I6058" authorId="0" shapeId="0">
      <text>
        <r>
          <rPr>
            <b/>
            <sz val="9"/>
            <color indexed="81"/>
            <rFont val="Tahoma"/>
            <family val="2"/>
          </rPr>
          <t>LPA:</t>
        </r>
        <r>
          <rPr>
            <sz val="9"/>
            <color indexed="81"/>
            <rFont val="Tahoma"/>
            <family val="2"/>
          </rPr>
          <t xml:space="preserve">
проверити збир!
</t>
        </r>
      </text>
    </comment>
    <comment ref="I6059" authorId="0" shapeId="0">
      <text>
        <r>
          <rPr>
            <b/>
            <sz val="9"/>
            <color indexed="81"/>
            <rFont val="Tahoma"/>
            <family val="2"/>
          </rPr>
          <t>LPA:</t>
        </r>
        <r>
          <rPr>
            <sz val="9"/>
            <color indexed="81"/>
            <rFont val="Tahoma"/>
            <family val="2"/>
          </rPr>
          <t xml:space="preserve">
проверити збир!
</t>
        </r>
      </text>
    </comment>
    <comment ref="I6060" authorId="0" shapeId="0">
      <text>
        <r>
          <rPr>
            <b/>
            <sz val="9"/>
            <color indexed="81"/>
            <rFont val="Tahoma"/>
            <family val="2"/>
          </rPr>
          <t>LPA:</t>
        </r>
        <r>
          <rPr>
            <sz val="9"/>
            <color indexed="81"/>
            <rFont val="Tahoma"/>
            <family val="2"/>
          </rPr>
          <t xml:space="preserve">
проверити збир!
</t>
        </r>
      </text>
    </comment>
    <comment ref="I6061" authorId="0" shapeId="0">
      <text>
        <r>
          <rPr>
            <b/>
            <sz val="9"/>
            <color indexed="81"/>
            <rFont val="Tahoma"/>
            <family val="2"/>
          </rPr>
          <t>LPA:</t>
        </r>
        <r>
          <rPr>
            <sz val="9"/>
            <color indexed="81"/>
            <rFont val="Tahoma"/>
            <family val="2"/>
          </rPr>
          <t xml:space="preserve">
проверити збир!
</t>
        </r>
      </text>
    </comment>
    <comment ref="I6062" authorId="0" shapeId="0">
      <text>
        <r>
          <rPr>
            <b/>
            <sz val="9"/>
            <color indexed="81"/>
            <rFont val="Tahoma"/>
            <family val="2"/>
          </rPr>
          <t>LPA:</t>
        </r>
        <r>
          <rPr>
            <sz val="9"/>
            <color indexed="81"/>
            <rFont val="Tahoma"/>
            <family val="2"/>
          </rPr>
          <t xml:space="preserve">
проверити збир!
</t>
        </r>
      </text>
    </comment>
    <comment ref="I6063" authorId="0" shapeId="0">
      <text>
        <r>
          <rPr>
            <b/>
            <sz val="9"/>
            <color indexed="81"/>
            <rFont val="Tahoma"/>
            <family val="2"/>
          </rPr>
          <t>LPA:</t>
        </r>
        <r>
          <rPr>
            <sz val="9"/>
            <color indexed="81"/>
            <rFont val="Tahoma"/>
            <family val="2"/>
          </rPr>
          <t xml:space="preserve">
проверити збир!
</t>
        </r>
      </text>
    </comment>
    <comment ref="I6064" authorId="0" shapeId="0">
      <text>
        <r>
          <rPr>
            <b/>
            <sz val="9"/>
            <color indexed="81"/>
            <rFont val="Tahoma"/>
            <family val="2"/>
          </rPr>
          <t>LPA:</t>
        </r>
        <r>
          <rPr>
            <sz val="9"/>
            <color indexed="81"/>
            <rFont val="Tahoma"/>
            <family val="2"/>
          </rPr>
          <t xml:space="preserve">
проверити збир!
</t>
        </r>
      </text>
    </comment>
    <comment ref="I6065" authorId="0" shapeId="0">
      <text>
        <r>
          <rPr>
            <b/>
            <sz val="9"/>
            <color indexed="81"/>
            <rFont val="Tahoma"/>
            <family val="2"/>
          </rPr>
          <t>LPA:</t>
        </r>
        <r>
          <rPr>
            <sz val="9"/>
            <color indexed="81"/>
            <rFont val="Tahoma"/>
            <family val="2"/>
          </rPr>
          <t xml:space="preserve">
проверити збир!
</t>
        </r>
      </text>
    </comment>
    <comment ref="I6071" authorId="0" shapeId="0">
      <text>
        <r>
          <rPr>
            <b/>
            <sz val="9"/>
            <color indexed="81"/>
            <rFont val="Tahoma"/>
            <family val="2"/>
          </rPr>
          <t>LPA:</t>
        </r>
        <r>
          <rPr>
            <sz val="9"/>
            <color indexed="81"/>
            <rFont val="Tahoma"/>
            <family val="2"/>
          </rPr>
          <t xml:space="preserve">
проверити збир!
</t>
        </r>
      </text>
    </comment>
    <comment ref="I6072" authorId="0" shapeId="0">
      <text>
        <r>
          <rPr>
            <b/>
            <sz val="9"/>
            <color indexed="81"/>
            <rFont val="Tahoma"/>
            <family val="2"/>
          </rPr>
          <t>LPA:</t>
        </r>
        <r>
          <rPr>
            <sz val="9"/>
            <color indexed="81"/>
            <rFont val="Tahoma"/>
            <family val="2"/>
          </rPr>
          <t xml:space="preserve">
проверити збир!
</t>
        </r>
      </text>
    </comment>
    <comment ref="I6073" authorId="0" shapeId="0">
      <text>
        <r>
          <rPr>
            <b/>
            <sz val="9"/>
            <color indexed="81"/>
            <rFont val="Tahoma"/>
            <family val="2"/>
          </rPr>
          <t>LPA:</t>
        </r>
        <r>
          <rPr>
            <sz val="9"/>
            <color indexed="81"/>
            <rFont val="Tahoma"/>
            <family val="2"/>
          </rPr>
          <t xml:space="preserve">
проверити збир!
</t>
        </r>
      </text>
    </comment>
    <comment ref="I6074" authorId="0" shapeId="0">
      <text>
        <r>
          <rPr>
            <b/>
            <sz val="9"/>
            <color indexed="81"/>
            <rFont val="Tahoma"/>
            <family val="2"/>
          </rPr>
          <t>LPA:</t>
        </r>
        <r>
          <rPr>
            <sz val="9"/>
            <color indexed="81"/>
            <rFont val="Tahoma"/>
            <family val="2"/>
          </rPr>
          <t xml:space="preserve">
проверити збир!
</t>
        </r>
      </text>
    </comment>
    <comment ref="I6075" authorId="0" shapeId="0">
      <text>
        <r>
          <rPr>
            <b/>
            <sz val="9"/>
            <color indexed="81"/>
            <rFont val="Tahoma"/>
            <family val="2"/>
          </rPr>
          <t>LPA:</t>
        </r>
        <r>
          <rPr>
            <sz val="9"/>
            <color indexed="81"/>
            <rFont val="Tahoma"/>
            <family val="2"/>
          </rPr>
          <t xml:space="preserve">
проверити збир!
</t>
        </r>
      </text>
    </comment>
    <comment ref="I6076" authorId="0" shapeId="0">
      <text>
        <r>
          <rPr>
            <b/>
            <sz val="9"/>
            <color indexed="81"/>
            <rFont val="Tahoma"/>
            <family val="2"/>
          </rPr>
          <t>LPA:</t>
        </r>
        <r>
          <rPr>
            <sz val="9"/>
            <color indexed="81"/>
            <rFont val="Tahoma"/>
            <family val="2"/>
          </rPr>
          <t xml:space="preserve">
проверити збир!
</t>
        </r>
      </text>
    </comment>
    <comment ref="I6077" authorId="0" shapeId="0">
      <text>
        <r>
          <rPr>
            <b/>
            <sz val="9"/>
            <color indexed="81"/>
            <rFont val="Tahoma"/>
            <family val="2"/>
          </rPr>
          <t>LPA:</t>
        </r>
        <r>
          <rPr>
            <sz val="9"/>
            <color indexed="81"/>
            <rFont val="Tahoma"/>
            <family val="2"/>
          </rPr>
          <t xml:space="preserve">
проверити збир!
</t>
        </r>
      </text>
    </comment>
    <comment ref="I6078" authorId="0" shapeId="0">
      <text>
        <r>
          <rPr>
            <b/>
            <sz val="9"/>
            <color indexed="81"/>
            <rFont val="Tahoma"/>
            <family val="2"/>
          </rPr>
          <t>LPA:</t>
        </r>
        <r>
          <rPr>
            <sz val="9"/>
            <color indexed="81"/>
            <rFont val="Tahoma"/>
            <family val="2"/>
          </rPr>
          <t xml:space="preserve">
проверити збир!
</t>
        </r>
      </text>
    </comment>
    <comment ref="I6079" authorId="0" shapeId="0">
      <text>
        <r>
          <rPr>
            <b/>
            <sz val="9"/>
            <color indexed="81"/>
            <rFont val="Tahoma"/>
            <family val="2"/>
          </rPr>
          <t>LPA:</t>
        </r>
        <r>
          <rPr>
            <sz val="9"/>
            <color indexed="81"/>
            <rFont val="Tahoma"/>
            <family val="2"/>
          </rPr>
          <t xml:space="preserve">
проверити збир!
</t>
        </r>
      </text>
    </comment>
    <comment ref="I6080" authorId="0" shapeId="0">
      <text>
        <r>
          <rPr>
            <b/>
            <sz val="9"/>
            <color indexed="81"/>
            <rFont val="Tahoma"/>
            <family val="2"/>
          </rPr>
          <t>LPA:</t>
        </r>
        <r>
          <rPr>
            <sz val="9"/>
            <color indexed="81"/>
            <rFont val="Tahoma"/>
            <family val="2"/>
          </rPr>
          <t xml:space="preserve">
проверити збир!
</t>
        </r>
      </text>
    </comment>
    <comment ref="I6081" authorId="0" shapeId="0">
      <text>
        <r>
          <rPr>
            <b/>
            <sz val="9"/>
            <color indexed="81"/>
            <rFont val="Tahoma"/>
            <family val="2"/>
          </rPr>
          <t>LPA:</t>
        </r>
        <r>
          <rPr>
            <sz val="9"/>
            <color indexed="81"/>
            <rFont val="Tahoma"/>
            <family val="2"/>
          </rPr>
          <t xml:space="preserve">
проверити збир!
</t>
        </r>
      </text>
    </comment>
    <comment ref="I6082" authorId="0" shapeId="0">
      <text>
        <r>
          <rPr>
            <b/>
            <sz val="9"/>
            <color indexed="81"/>
            <rFont val="Tahoma"/>
            <family val="2"/>
          </rPr>
          <t>LPA:</t>
        </r>
        <r>
          <rPr>
            <sz val="9"/>
            <color indexed="81"/>
            <rFont val="Tahoma"/>
            <family val="2"/>
          </rPr>
          <t xml:space="preserve">
проверити збир!
</t>
        </r>
      </text>
    </comment>
    <comment ref="I6083" authorId="0" shapeId="0">
      <text>
        <r>
          <rPr>
            <b/>
            <sz val="9"/>
            <color indexed="81"/>
            <rFont val="Tahoma"/>
            <family val="2"/>
          </rPr>
          <t>LPA:</t>
        </r>
        <r>
          <rPr>
            <sz val="9"/>
            <color indexed="81"/>
            <rFont val="Tahoma"/>
            <family val="2"/>
          </rPr>
          <t xml:space="preserve">
проверити збир!
</t>
        </r>
      </text>
    </comment>
    <comment ref="H6106" authorId="0" shapeId="0">
      <text>
        <r>
          <rPr>
            <b/>
            <sz val="9"/>
            <color indexed="81"/>
            <rFont val="Tahoma"/>
            <family val="2"/>
          </rPr>
          <t>LPA:</t>
        </r>
        <r>
          <rPr>
            <sz val="9"/>
            <color indexed="81"/>
            <rFont val="Tahoma"/>
            <family val="2"/>
          </rPr>
          <t xml:space="preserve">
проверити збир!</t>
        </r>
      </text>
    </comment>
    <comment ref="I6106" authorId="0" shapeId="0">
      <text>
        <r>
          <rPr>
            <b/>
            <sz val="9"/>
            <color indexed="81"/>
            <rFont val="Tahoma"/>
            <family val="2"/>
          </rPr>
          <t>LPA:</t>
        </r>
        <r>
          <rPr>
            <sz val="9"/>
            <color indexed="81"/>
            <rFont val="Tahoma"/>
            <family val="2"/>
          </rPr>
          <t xml:space="preserve">
проверити збир!
</t>
        </r>
      </text>
    </comment>
    <comment ref="I6107" authorId="0" shapeId="0">
      <text>
        <r>
          <rPr>
            <b/>
            <sz val="9"/>
            <color indexed="81"/>
            <rFont val="Tahoma"/>
            <family val="2"/>
          </rPr>
          <t>LPA:</t>
        </r>
        <r>
          <rPr>
            <sz val="9"/>
            <color indexed="81"/>
            <rFont val="Tahoma"/>
            <family val="2"/>
          </rPr>
          <t xml:space="preserve">
проверити збир!
</t>
        </r>
      </text>
    </comment>
    <comment ref="I6108" authorId="0" shapeId="0">
      <text>
        <r>
          <rPr>
            <b/>
            <sz val="9"/>
            <color indexed="81"/>
            <rFont val="Tahoma"/>
            <family val="2"/>
          </rPr>
          <t>LPA:</t>
        </r>
        <r>
          <rPr>
            <sz val="9"/>
            <color indexed="81"/>
            <rFont val="Tahoma"/>
            <family val="2"/>
          </rPr>
          <t xml:space="preserve">
проверити збир!
</t>
        </r>
      </text>
    </comment>
    <comment ref="I6109" authorId="0" shapeId="0">
      <text>
        <r>
          <rPr>
            <b/>
            <sz val="9"/>
            <color indexed="81"/>
            <rFont val="Tahoma"/>
            <family val="2"/>
          </rPr>
          <t>LPA:</t>
        </r>
        <r>
          <rPr>
            <sz val="9"/>
            <color indexed="81"/>
            <rFont val="Tahoma"/>
            <family val="2"/>
          </rPr>
          <t xml:space="preserve">
проверити збир!
</t>
        </r>
      </text>
    </comment>
    <comment ref="I6110" authorId="0" shapeId="0">
      <text>
        <r>
          <rPr>
            <b/>
            <sz val="9"/>
            <color indexed="81"/>
            <rFont val="Tahoma"/>
            <family val="2"/>
          </rPr>
          <t>LPA:</t>
        </r>
        <r>
          <rPr>
            <sz val="9"/>
            <color indexed="81"/>
            <rFont val="Tahoma"/>
            <family val="2"/>
          </rPr>
          <t xml:space="preserve">
проверити збир!
</t>
        </r>
      </text>
    </comment>
    <comment ref="I6111" authorId="0" shapeId="0">
      <text>
        <r>
          <rPr>
            <b/>
            <sz val="9"/>
            <color indexed="81"/>
            <rFont val="Tahoma"/>
            <family val="2"/>
          </rPr>
          <t>LPA:</t>
        </r>
        <r>
          <rPr>
            <sz val="9"/>
            <color indexed="81"/>
            <rFont val="Tahoma"/>
            <family val="2"/>
          </rPr>
          <t xml:space="preserve">
проверити збир!
</t>
        </r>
      </text>
    </comment>
    <comment ref="I6112" authorId="0" shapeId="0">
      <text>
        <r>
          <rPr>
            <b/>
            <sz val="9"/>
            <color indexed="81"/>
            <rFont val="Tahoma"/>
            <family val="2"/>
          </rPr>
          <t>LPA:</t>
        </r>
        <r>
          <rPr>
            <sz val="9"/>
            <color indexed="81"/>
            <rFont val="Tahoma"/>
            <family val="2"/>
          </rPr>
          <t xml:space="preserve">
проверити збир!
</t>
        </r>
      </text>
    </comment>
    <comment ref="I6113" authorId="0" shapeId="0">
      <text>
        <r>
          <rPr>
            <b/>
            <sz val="9"/>
            <color indexed="81"/>
            <rFont val="Tahoma"/>
            <family val="2"/>
          </rPr>
          <t>LPA:</t>
        </r>
        <r>
          <rPr>
            <sz val="9"/>
            <color indexed="81"/>
            <rFont val="Tahoma"/>
            <family val="2"/>
          </rPr>
          <t xml:space="preserve">
проверити збир!
</t>
        </r>
      </text>
    </comment>
    <comment ref="I6114" authorId="0" shapeId="0">
      <text>
        <r>
          <rPr>
            <b/>
            <sz val="9"/>
            <color indexed="81"/>
            <rFont val="Tahoma"/>
            <family val="2"/>
          </rPr>
          <t>LPA:</t>
        </r>
        <r>
          <rPr>
            <sz val="9"/>
            <color indexed="81"/>
            <rFont val="Tahoma"/>
            <family val="2"/>
          </rPr>
          <t xml:space="preserve">
проверити збир!
</t>
        </r>
      </text>
    </comment>
    <comment ref="I6115" authorId="0" shapeId="0">
      <text>
        <r>
          <rPr>
            <b/>
            <sz val="9"/>
            <color indexed="81"/>
            <rFont val="Tahoma"/>
            <family val="2"/>
          </rPr>
          <t>LPA:</t>
        </r>
        <r>
          <rPr>
            <sz val="9"/>
            <color indexed="81"/>
            <rFont val="Tahoma"/>
            <family val="2"/>
          </rPr>
          <t xml:space="preserve">
проверити збир!
</t>
        </r>
      </text>
    </comment>
    <comment ref="I6116" authorId="0" shapeId="0">
      <text>
        <r>
          <rPr>
            <b/>
            <sz val="9"/>
            <color indexed="81"/>
            <rFont val="Tahoma"/>
            <family val="2"/>
          </rPr>
          <t>LPA:</t>
        </r>
        <r>
          <rPr>
            <sz val="9"/>
            <color indexed="81"/>
            <rFont val="Tahoma"/>
            <family val="2"/>
          </rPr>
          <t xml:space="preserve">
проверити збир!
</t>
        </r>
      </text>
    </comment>
    <comment ref="I6117" authorId="0" shapeId="0">
      <text>
        <r>
          <rPr>
            <b/>
            <sz val="9"/>
            <color indexed="81"/>
            <rFont val="Tahoma"/>
            <family val="2"/>
          </rPr>
          <t>LPA:</t>
        </r>
        <r>
          <rPr>
            <sz val="9"/>
            <color indexed="81"/>
            <rFont val="Tahoma"/>
            <family val="2"/>
          </rPr>
          <t xml:space="preserve">
проверити збир!
</t>
        </r>
      </text>
    </comment>
    <comment ref="I6118" authorId="0" shapeId="0">
      <text>
        <r>
          <rPr>
            <b/>
            <sz val="9"/>
            <color indexed="81"/>
            <rFont val="Tahoma"/>
            <family val="2"/>
          </rPr>
          <t>LPA:</t>
        </r>
        <r>
          <rPr>
            <sz val="9"/>
            <color indexed="81"/>
            <rFont val="Tahoma"/>
            <family val="2"/>
          </rPr>
          <t xml:space="preserve">
проверити збир!
</t>
        </r>
      </text>
    </comment>
    <comment ref="I6119" authorId="0" shapeId="0">
      <text>
        <r>
          <rPr>
            <b/>
            <sz val="9"/>
            <color indexed="81"/>
            <rFont val="Tahoma"/>
            <family val="2"/>
          </rPr>
          <t>LPA:</t>
        </r>
        <r>
          <rPr>
            <sz val="9"/>
            <color indexed="81"/>
            <rFont val="Tahoma"/>
            <family val="2"/>
          </rPr>
          <t xml:space="preserve">
проверити збир!
</t>
        </r>
      </text>
    </comment>
    <comment ref="I6120" authorId="0" shapeId="0">
      <text>
        <r>
          <rPr>
            <b/>
            <sz val="9"/>
            <color indexed="81"/>
            <rFont val="Tahoma"/>
            <family val="2"/>
          </rPr>
          <t>LPA:</t>
        </r>
        <r>
          <rPr>
            <sz val="9"/>
            <color indexed="81"/>
            <rFont val="Tahoma"/>
            <family val="2"/>
          </rPr>
          <t xml:space="preserve">
проверити збир!
</t>
        </r>
      </text>
    </comment>
    <comment ref="I6121" authorId="0" shapeId="0">
      <text>
        <r>
          <rPr>
            <b/>
            <sz val="9"/>
            <color indexed="81"/>
            <rFont val="Tahoma"/>
            <family val="2"/>
          </rPr>
          <t>LPA:</t>
        </r>
        <r>
          <rPr>
            <sz val="9"/>
            <color indexed="81"/>
            <rFont val="Tahoma"/>
            <family val="2"/>
          </rPr>
          <t xml:space="preserve">
проверити збир!
</t>
        </r>
      </text>
    </comment>
    <comment ref="I6192" authorId="0" shapeId="0">
      <text>
        <r>
          <rPr>
            <b/>
            <sz val="9"/>
            <color indexed="81"/>
            <rFont val="Tahoma"/>
            <family val="2"/>
          </rPr>
          <t>LPA:</t>
        </r>
        <r>
          <rPr>
            <sz val="9"/>
            <color indexed="81"/>
            <rFont val="Tahoma"/>
            <family val="2"/>
          </rPr>
          <t xml:space="preserve">
проверити збир!
</t>
        </r>
      </text>
    </comment>
    <comment ref="I6193" authorId="0" shapeId="0">
      <text>
        <r>
          <rPr>
            <b/>
            <sz val="9"/>
            <color indexed="81"/>
            <rFont val="Tahoma"/>
            <family val="2"/>
          </rPr>
          <t>LPA:</t>
        </r>
        <r>
          <rPr>
            <sz val="9"/>
            <color indexed="81"/>
            <rFont val="Tahoma"/>
            <family val="2"/>
          </rPr>
          <t xml:space="preserve">
проверити збир!
</t>
        </r>
      </text>
    </comment>
    <comment ref="I6194" authorId="0" shapeId="0">
      <text>
        <r>
          <rPr>
            <b/>
            <sz val="9"/>
            <color indexed="81"/>
            <rFont val="Tahoma"/>
            <family val="2"/>
          </rPr>
          <t>LPA:</t>
        </r>
        <r>
          <rPr>
            <sz val="9"/>
            <color indexed="81"/>
            <rFont val="Tahoma"/>
            <family val="2"/>
          </rPr>
          <t xml:space="preserve">
проверити збир!
</t>
        </r>
      </text>
    </comment>
    <comment ref="I6195" authorId="0" shapeId="0">
      <text>
        <r>
          <rPr>
            <b/>
            <sz val="9"/>
            <color indexed="81"/>
            <rFont val="Tahoma"/>
            <family val="2"/>
          </rPr>
          <t>LPA:</t>
        </r>
        <r>
          <rPr>
            <sz val="9"/>
            <color indexed="81"/>
            <rFont val="Tahoma"/>
            <family val="2"/>
          </rPr>
          <t xml:space="preserve">
проверити збир!
</t>
        </r>
      </text>
    </comment>
    <comment ref="I6196" authorId="0" shapeId="0">
      <text>
        <r>
          <rPr>
            <b/>
            <sz val="9"/>
            <color indexed="81"/>
            <rFont val="Tahoma"/>
            <family val="2"/>
          </rPr>
          <t>LPA:</t>
        </r>
        <r>
          <rPr>
            <sz val="9"/>
            <color indexed="81"/>
            <rFont val="Tahoma"/>
            <family val="2"/>
          </rPr>
          <t xml:space="preserve">
проверити збир!
</t>
        </r>
      </text>
    </comment>
    <comment ref="I6197" authorId="0" shapeId="0">
      <text>
        <r>
          <rPr>
            <b/>
            <sz val="9"/>
            <color indexed="81"/>
            <rFont val="Tahoma"/>
            <family val="2"/>
          </rPr>
          <t>LPA:</t>
        </r>
        <r>
          <rPr>
            <sz val="9"/>
            <color indexed="81"/>
            <rFont val="Tahoma"/>
            <family val="2"/>
          </rPr>
          <t xml:space="preserve">
проверити збир!
</t>
        </r>
      </text>
    </comment>
    <comment ref="I6198" authorId="0" shapeId="0">
      <text>
        <r>
          <rPr>
            <b/>
            <sz val="9"/>
            <color indexed="81"/>
            <rFont val="Tahoma"/>
            <family val="2"/>
          </rPr>
          <t>LPA:</t>
        </r>
        <r>
          <rPr>
            <sz val="9"/>
            <color indexed="81"/>
            <rFont val="Tahoma"/>
            <family val="2"/>
          </rPr>
          <t xml:space="preserve">
проверити збир!
</t>
        </r>
      </text>
    </comment>
    <comment ref="I6199" authorId="0" shapeId="0">
      <text>
        <r>
          <rPr>
            <b/>
            <sz val="9"/>
            <color indexed="81"/>
            <rFont val="Tahoma"/>
            <family val="2"/>
          </rPr>
          <t>LPA:</t>
        </r>
        <r>
          <rPr>
            <sz val="9"/>
            <color indexed="81"/>
            <rFont val="Tahoma"/>
            <family val="2"/>
          </rPr>
          <t xml:space="preserve">
проверити збир!
</t>
        </r>
      </text>
    </comment>
    <comment ref="I6200" authorId="0" shapeId="0">
      <text>
        <r>
          <rPr>
            <b/>
            <sz val="9"/>
            <color indexed="81"/>
            <rFont val="Tahoma"/>
            <family val="2"/>
          </rPr>
          <t>LPA:</t>
        </r>
        <r>
          <rPr>
            <sz val="9"/>
            <color indexed="81"/>
            <rFont val="Tahoma"/>
            <family val="2"/>
          </rPr>
          <t xml:space="preserve">
проверити збир!
</t>
        </r>
      </text>
    </comment>
    <comment ref="I6201" authorId="0" shapeId="0">
      <text>
        <r>
          <rPr>
            <b/>
            <sz val="9"/>
            <color indexed="81"/>
            <rFont val="Tahoma"/>
            <family val="2"/>
          </rPr>
          <t>LPA:</t>
        </r>
        <r>
          <rPr>
            <sz val="9"/>
            <color indexed="81"/>
            <rFont val="Tahoma"/>
            <family val="2"/>
          </rPr>
          <t xml:space="preserve">
проверити збир!
</t>
        </r>
      </text>
    </comment>
    <comment ref="I6202" authorId="0" shapeId="0">
      <text>
        <r>
          <rPr>
            <b/>
            <sz val="9"/>
            <color indexed="81"/>
            <rFont val="Tahoma"/>
            <family val="2"/>
          </rPr>
          <t>LPA:</t>
        </r>
        <r>
          <rPr>
            <sz val="9"/>
            <color indexed="81"/>
            <rFont val="Tahoma"/>
            <family val="2"/>
          </rPr>
          <t xml:space="preserve">
проверити збир!
</t>
        </r>
      </text>
    </comment>
    <comment ref="I6203" authorId="0" shapeId="0">
      <text>
        <r>
          <rPr>
            <b/>
            <sz val="9"/>
            <color indexed="81"/>
            <rFont val="Tahoma"/>
            <family val="2"/>
          </rPr>
          <t>LPA:</t>
        </r>
        <r>
          <rPr>
            <sz val="9"/>
            <color indexed="81"/>
            <rFont val="Tahoma"/>
            <family val="2"/>
          </rPr>
          <t xml:space="preserve">
проверити збир!
</t>
        </r>
      </text>
    </comment>
    <comment ref="I6204" authorId="0" shapeId="0">
      <text>
        <r>
          <rPr>
            <b/>
            <sz val="9"/>
            <color indexed="81"/>
            <rFont val="Tahoma"/>
            <family val="2"/>
          </rPr>
          <t>LPA:</t>
        </r>
        <r>
          <rPr>
            <sz val="9"/>
            <color indexed="81"/>
            <rFont val="Tahoma"/>
            <family val="2"/>
          </rPr>
          <t xml:space="preserve">
проверити збир!
</t>
        </r>
      </text>
    </comment>
    <comment ref="H6207" authorId="0" shapeId="0">
      <text>
        <r>
          <rPr>
            <b/>
            <sz val="9"/>
            <color indexed="81"/>
            <rFont val="Tahoma"/>
            <family val="2"/>
          </rPr>
          <t>LPA:</t>
        </r>
        <r>
          <rPr>
            <sz val="9"/>
            <color indexed="81"/>
            <rFont val="Tahoma"/>
            <family val="2"/>
          </rPr>
          <t xml:space="preserve">
проверити збир!</t>
        </r>
      </text>
    </comment>
    <comment ref="I6207" authorId="0" shapeId="0">
      <text>
        <r>
          <rPr>
            <b/>
            <sz val="9"/>
            <color indexed="81"/>
            <rFont val="Tahoma"/>
            <family val="2"/>
          </rPr>
          <t>LPA:</t>
        </r>
        <r>
          <rPr>
            <sz val="9"/>
            <color indexed="81"/>
            <rFont val="Tahoma"/>
            <family val="2"/>
          </rPr>
          <t xml:space="preserve">
проверити збир!</t>
        </r>
      </text>
    </comment>
    <comment ref="I6208" authorId="0" shapeId="0">
      <text>
        <r>
          <rPr>
            <b/>
            <sz val="9"/>
            <color indexed="81"/>
            <rFont val="Tahoma"/>
            <family val="2"/>
          </rPr>
          <t>LPA:</t>
        </r>
        <r>
          <rPr>
            <sz val="9"/>
            <color indexed="81"/>
            <rFont val="Tahoma"/>
            <family val="2"/>
          </rPr>
          <t xml:space="preserve">
проверити збир!
</t>
        </r>
      </text>
    </comment>
    <comment ref="I6209" authorId="0" shapeId="0">
      <text>
        <r>
          <rPr>
            <b/>
            <sz val="9"/>
            <color indexed="81"/>
            <rFont val="Tahoma"/>
            <family val="2"/>
          </rPr>
          <t>LPA:</t>
        </r>
        <r>
          <rPr>
            <sz val="9"/>
            <color indexed="81"/>
            <rFont val="Tahoma"/>
            <family val="2"/>
          </rPr>
          <t xml:space="preserve">
проверити збир!
</t>
        </r>
      </text>
    </comment>
    <comment ref="I6210" authorId="0" shapeId="0">
      <text>
        <r>
          <rPr>
            <b/>
            <sz val="9"/>
            <color indexed="81"/>
            <rFont val="Tahoma"/>
            <family val="2"/>
          </rPr>
          <t>LPA:</t>
        </r>
        <r>
          <rPr>
            <sz val="9"/>
            <color indexed="81"/>
            <rFont val="Tahoma"/>
            <family val="2"/>
          </rPr>
          <t xml:space="preserve">
проверити збир!
</t>
        </r>
      </text>
    </comment>
    <comment ref="I6211" authorId="0" shapeId="0">
      <text>
        <r>
          <rPr>
            <b/>
            <sz val="9"/>
            <color indexed="81"/>
            <rFont val="Tahoma"/>
            <family val="2"/>
          </rPr>
          <t>LPA:</t>
        </r>
        <r>
          <rPr>
            <sz val="9"/>
            <color indexed="81"/>
            <rFont val="Tahoma"/>
            <family val="2"/>
          </rPr>
          <t xml:space="preserve">
проверити збир!
</t>
        </r>
      </text>
    </comment>
    <comment ref="I6212" authorId="0" shapeId="0">
      <text>
        <r>
          <rPr>
            <b/>
            <sz val="9"/>
            <color indexed="81"/>
            <rFont val="Tahoma"/>
            <family val="2"/>
          </rPr>
          <t>LPA:</t>
        </r>
        <r>
          <rPr>
            <sz val="9"/>
            <color indexed="81"/>
            <rFont val="Tahoma"/>
            <family val="2"/>
          </rPr>
          <t xml:space="preserve">
проверити збир!
</t>
        </r>
      </text>
    </comment>
    <comment ref="I6213" authorId="0" shapeId="0">
      <text>
        <r>
          <rPr>
            <b/>
            <sz val="9"/>
            <color indexed="81"/>
            <rFont val="Tahoma"/>
            <family val="2"/>
          </rPr>
          <t>LPA:</t>
        </r>
        <r>
          <rPr>
            <sz val="9"/>
            <color indexed="81"/>
            <rFont val="Tahoma"/>
            <family val="2"/>
          </rPr>
          <t xml:space="preserve">
проверити збир!
</t>
        </r>
      </text>
    </comment>
    <comment ref="I6214" authorId="0" shapeId="0">
      <text>
        <r>
          <rPr>
            <b/>
            <sz val="9"/>
            <color indexed="81"/>
            <rFont val="Tahoma"/>
            <family val="2"/>
          </rPr>
          <t>LPA:</t>
        </r>
        <r>
          <rPr>
            <sz val="9"/>
            <color indexed="81"/>
            <rFont val="Tahoma"/>
            <family val="2"/>
          </rPr>
          <t xml:space="preserve">
проверити збир!
</t>
        </r>
      </text>
    </comment>
    <comment ref="I6215" authorId="0" shapeId="0">
      <text>
        <r>
          <rPr>
            <b/>
            <sz val="9"/>
            <color indexed="81"/>
            <rFont val="Tahoma"/>
            <family val="2"/>
          </rPr>
          <t>LPA:</t>
        </r>
        <r>
          <rPr>
            <sz val="9"/>
            <color indexed="81"/>
            <rFont val="Tahoma"/>
            <family val="2"/>
          </rPr>
          <t xml:space="preserve">
проверити збир!
</t>
        </r>
      </text>
    </comment>
    <comment ref="I6216" authorId="0" shapeId="0">
      <text>
        <r>
          <rPr>
            <b/>
            <sz val="9"/>
            <color indexed="81"/>
            <rFont val="Tahoma"/>
            <family val="2"/>
          </rPr>
          <t>LPA:</t>
        </r>
        <r>
          <rPr>
            <sz val="9"/>
            <color indexed="81"/>
            <rFont val="Tahoma"/>
            <family val="2"/>
          </rPr>
          <t xml:space="preserve">
проверити збир!
</t>
        </r>
      </text>
    </comment>
    <comment ref="I6217" authorId="0" shapeId="0">
      <text>
        <r>
          <rPr>
            <b/>
            <sz val="9"/>
            <color indexed="81"/>
            <rFont val="Tahoma"/>
            <family val="2"/>
          </rPr>
          <t>LPA:</t>
        </r>
        <r>
          <rPr>
            <sz val="9"/>
            <color indexed="81"/>
            <rFont val="Tahoma"/>
            <family val="2"/>
          </rPr>
          <t xml:space="preserve">
проверити збир!
</t>
        </r>
      </text>
    </comment>
    <comment ref="I6218" authorId="0" shapeId="0">
      <text>
        <r>
          <rPr>
            <b/>
            <sz val="9"/>
            <color indexed="81"/>
            <rFont val="Tahoma"/>
            <family val="2"/>
          </rPr>
          <t>LPA:</t>
        </r>
        <r>
          <rPr>
            <sz val="9"/>
            <color indexed="81"/>
            <rFont val="Tahoma"/>
            <family val="2"/>
          </rPr>
          <t xml:space="preserve">
проверити збир!
</t>
        </r>
      </text>
    </comment>
    <comment ref="I6219" authorId="0" shapeId="0">
      <text>
        <r>
          <rPr>
            <b/>
            <sz val="9"/>
            <color indexed="81"/>
            <rFont val="Tahoma"/>
            <family val="2"/>
          </rPr>
          <t>LPA:</t>
        </r>
        <r>
          <rPr>
            <sz val="9"/>
            <color indexed="81"/>
            <rFont val="Tahoma"/>
            <family val="2"/>
          </rPr>
          <t xml:space="preserve">
проверити збир!
</t>
        </r>
      </text>
    </comment>
    <comment ref="I6220" authorId="0" shapeId="0">
      <text>
        <r>
          <rPr>
            <b/>
            <sz val="9"/>
            <color indexed="81"/>
            <rFont val="Tahoma"/>
            <family val="2"/>
          </rPr>
          <t>LPA:</t>
        </r>
        <r>
          <rPr>
            <sz val="9"/>
            <color indexed="81"/>
            <rFont val="Tahoma"/>
            <family val="2"/>
          </rPr>
          <t xml:space="preserve">
проверити збир!
</t>
        </r>
      </text>
    </comment>
    <comment ref="I6221" authorId="0" shapeId="0">
      <text>
        <r>
          <rPr>
            <b/>
            <sz val="9"/>
            <color indexed="81"/>
            <rFont val="Tahoma"/>
            <family val="2"/>
          </rPr>
          <t>LPA:</t>
        </r>
        <r>
          <rPr>
            <sz val="9"/>
            <color indexed="81"/>
            <rFont val="Tahoma"/>
            <family val="2"/>
          </rPr>
          <t xml:space="preserve">
проверити збир!
</t>
        </r>
      </text>
    </comment>
    <comment ref="I6222" authorId="0" shapeId="0">
      <text>
        <r>
          <rPr>
            <b/>
            <sz val="9"/>
            <color indexed="81"/>
            <rFont val="Tahoma"/>
            <family val="2"/>
          </rPr>
          <t>LPA:</t>
        </r>
        <r>
          <rPr>
            <sz val="9"/>
            <color indexed="81"/>
            <rFont val="Tahoma"/>
            <family val="2"/>
          </rPr>
          <t xml:space="preserve">
проверити збир!
</t>
        </r>
      </text>
    </comment>
    <comment ref="H6226" authorId="0" shapeId="0">
      <text>
        <r>
          <rPr>
            <b/>
            <sz val="9"/>
            <color indexed="81"/>
            <rFont val="Tahoma"/>
            <family val="2"/>
          </rPr>
          <t>LPA:</t>
        </r>
        <r>
          <rPr>
            <sz val="9"/>
            <color indexed="81"/>
            <rFont val="Tahoma"/>
            <family val="2"/>
          </rPr>
          <t xml:space="preserve">
проверити збир!</t>
        </r>
      </text>
    </comment>
    <comment ref="I6226" authorId="0" shapeId="0">
      <text>
        <r>
          <rPr>
            <b/>
            <sz val="9"/>
            <color indexed="81"/>
            <rFont val="Tahoma"/>
            <family val="2"/>
          </rPr>
          <t>LPA:</t>
        </r>
        <r>
          <rPr>
            <sz val="9"/>
            <color indexed="81"/>
            <rFont val="Tahoma"/>
            <family val="2"/>
          </rPr>
          <t xml:space="preserve">
проверити збир!
</t>
        </r>
      </text>
    </comment>
    <comment ref="I6227" authorId="0" shapeId="0">
      <text>
        <r>
          <rPr>
            <b/>
            <sz val="9"/>
            <color indexed="81"/>
            <rFont val="Tahoma"/>
            <family val="2"/>
          </rPr>
          <t>LPA:</t>
        </r>
        <r>
          <rPr>
            <sz val="9"/>
            <color indexed="81"/>
            <rFont val="Tahoma"/>
            <family val="2"/>
          </rPr>
          <t xml:space="preserve">
проверити збир!
</t>
        </r>
      </text>
    </comment>
    <comment ref="I6228" authorId="0" shapeId="0">
      <text>
        <r>
          <rPr>
            <b/>
            <sz val="9"/>
            <color indexed="81"/>
            <rFont val="Tahoma"/>
            <family val="2"/>
          </rPr>
          <t>LPA:</t>
        </r>
        <r>
          <rPr>
            <sz val="9"/>
            <color indexed="81"/>
            <rFont val="Tahoma"/>
            <family val="2"/>
          </rPr>
          <t xml:space="preserve">
проверити збир!
</t>
        </r>
      </text>
    </comment>
    <comment ref="I6229" authorId="0" shapeId="0">
      <text>
        <r>
          <rPr>
            <b/>
            <sz val="9"/>
            <color indexed="81"/>
            <rFont val="Tahoma"/>
            <family val="2"/>
          </rPr>
          <t>LPA:</t>
        </r>
        <r>
          <rPr>
            <sz val="9"/>
            <color indexed="81"/>
            <rFont val="Tahoma"/>
            <family val="2"/>
          </rPr>
          <t xml:space="preserve">
проверити збир!
</t>
        </r>
      </text>
    </comment>
    <comment ref="I6230" authorId="0" shapeId="0">
      <text>
        <r>
          <rPr>
            <b/>
            <sz val="9"/>
            <color indexed="81"/>
            <rFont val="Tahoma"/>
            <family val="2"/>
          </rPr>
          <t>LPA:</t>
        </r>
        <r>
          <rPr>
            <sz val="9"/>
            <color indexed="81"/>
            <rFont val="Tahoma"/>
            <family val="2"/>
          </rPr>
          <t xml:space="preserve">
проверити збир!
</t>
        </r>
      </text>
    </comment>
    <comment ref="I6231" authorId="0" shapeId="0">
      <text>
        <r>
          <rPr>
            <b/>
            <sz val="9"/>
            <color indexed="81"/>
            <rFont val="Tahoma"/>
            <family val="2"/>
          </rPr>
          <t>LPA:</t>
        </r>
        <r>
          <rPr>
            <sz val="9"/>
            <color indexed="81"/>
            <rFont val="Tahoma"/>
            <family val="2"/>
          </rPr>
          <t xml:space="preserve">
проверити збир!
</t>
        </r>
      </text>
    </comment>
    <comment ref="I6232" authorId="0" shapeId="0">
      <text>
        <r>
          <rPr>
            <b/>
            <sz val="9"/>
            <color indexed="81"/>
            <rFont val="Tahoma"/>
            <family val="2"/>
          </rPr>
          <t>LPA:</t>
        </r>
        <r>
          <rPr>
            <sz val="9"/>
            <color indexed="81"/>
            <rFont val="Tahoma"/>
            <family val="2"/>
          </rPr>
          <t xml:space="preserve">
проверити збир!
</t>
        </r>
      </text>
    </comment>
    <comment ref="I6233" authorId="0" shapeId="0">
      <text>
        <r>
          <rPr>
            <b/>
            <sz val="9"/>
            <color indexed="81"/>
            <rFont val="Tahoma"/>
            <family val="2"/>
          </rPr>
          <t>LPA:</t>
        </r>
        <r>
          <rPr>
            <sz val="9"/>
            <color indexed="81"/>
            <rFont val="Tahoma"/>
            <family val="2"/>
          </rPr>
          <t xml:space="preserve">
проверити збир!
</t>
        </r>
      </text>
    </comment>
    <comment ref="I6234" authorId="0" shapeId="0">
      <text>
        <r>
          <rPr>
            <b/>
            <sz val="9"/>
            <color indexed="81"/>
            <rFont val="Tahoma"/>
            <family val="2"/>
          </rPr>
          <t>LPA:</t>
        </r>
        <r>
          <rPr>
            <sz val="9"/>
            <color indexed="81"/>
            <rFont val="Tahoma"/>
            <family val="2"/>
          </rPr>
          <t xml:space="preserve">
проверити збир!
</t>
        </r>
      </text>
    </comment>
    <comment ref="I6235" authorId="0" shapeId="0">
      <text>
        <r>
          <rPr>
            <b/>
            <sz val="9"/>
            <color indexed="81"/>
            <rFont val="Tahoma"/>
            <family val="2"/>
          </rPr>
          <t>LPA:</t>
        </r>
        <r>
          <rPr>
            <sz val="9"/>
            <color indexed="81"/>
            <rFont val="Tahoma"/>
            <family val="2"/>
          </rPr>
          <t xml:space="preserve">
проверити збир!
</t>
        </r>
      </text>
    </comment>
    <comment ref="I6236" authorId="0" shapeId="0">
      <text>
        <r>
          <rPr>
            <b/>
            <sz val="9"/>
            <color indexed="81"/>
            <rFont val="Tahoma"/>
            <family val="2"/>
          </rPr>
          <t>LPA:</t>
        </r>
        <r>
          <rPr>
            <sz val="9"/>
            <color indexed="81"/>
            <rFont val="Tahoma"/>
            <family val="2"/>
          </rPr>
          <t xml:space="preserve">
проверити збир!
</t>
        </r>
      </text>
    </comment>
    <comment ref="I6237" authorId="0" shapeId="0">
      <text>
        <r>
          <rPr>
            <b/>
            <sz val="9"/>
            <color indexed="81"/>
            <rFont val="Tahoma"/>
            <family val="2"/>
          </rPr>
          <t>LPA:</t>
        </r>
        <r>
          <rPr>
            <sz val="9"/>
            <color indexed="81"/>
            <rFont val="Tahoma"/>
            <family val="2"/>
          </rPr>
          <t xml:space="preserve">
проверити збир!
</t>
        </r>
      </text>
    </comment>
    <comment ref="I6238" authorId="0" shapeId="0">
      <text>
        <r>
          <rPr>
            <b/>
            <sz val="9"/>
            <color indexed="81"/>
            <rFont val="Tahoma"/>
            <family val="2"/>
          </rPr>
          <t>LPA:</t>
        </r>
        <r>
          <rPr>
            <sz val="9"/>
            <color indexed="81"/>
            <rFont val="Tahoma"/>
            <family val="2"/>
          </rPr>
          <t xml:space="preserve">
проверити збир!
</t>
        </r>
      </text>
    </comment>
    <comment ref="I6239" authorId="0" shapeId="0">
      <text>
        <r>
          <rPr>
            <b/>
            <sz val="9"/>
            <color indexed="81"/>
            <rFont val="Tahoma"/>
            <family val="2"/>
          </rPr>
          <t>LPA:</t>
        </r>
        <r>
          <rPr>
            <sz val="9"/>
            <color indexed="81"/>
            <rFont val="Tahoma"/>
            <family val="2"/>
          </rPr>
          <t xml:space="preserve">
проверити збир!
</t>
        </r>
      </text>
    </comment>
    <comment ref="I6240" authorId="0" shapeId="0">
      <text>
        <r>
          <rPr>
            <b/>
            <sz val="9"/>
            <color indexed="81"/>
            <rFont val="Tahoma"/>
            <family val="2"/>
          </rPr>
          <t>LPA:</t>
        </r>
        <r>
          <rPr>
            <sz val="9"/>
            <color indexed="81"/>
            <rFont val="Tahoma"/>
            <family val="2"/>
          </rPr>
          <t xml:space="preserve">
проверити збир!
</t>
        </r>
      </text>
    </comment>
    <comment ref="I6241" authorId="0" shapeId="0">
      <text>
        <r>
          <rPr>
            <b/>
            <sz val="9"/>
            <color indexed="81"/>
            <rFont val="Tahoma"/>
            <family val="2"/>
          </rPr>
          <t>LPA:</t>
        </r>
        <r>
          <rPr>
            <sz val="9"/>
            <color indexed="81"/>
            <rFont val="Tahoma"/>
            <family val="2"/>
          </rPr>
          <t xml:space="preserve">
проверити збир!
</t>
        </r>
      </text>
    </comment>
    <comment ref="H6245" authorId="0" shapeId="0">
      <text>
        <r>
          <rPr>
            <b/>
            <sz val="9"/>
            <color indexed="81"/>
            <rFont val="Tahoma"/>
            <family val="2"/>
          </rPr>
          <t>LPA:</t>
        </r>
        <r>
          <rPr>
            <sz val="9"/>
            <color indexed="81"/>
            <rFont val="Tahoma"/>
            <family val="2"/>
          </rPr>
          <t xml:space="preserve">
проверити збир!</t>
        </r>
      </text>
    </comment>
    <comment ref="I6245" authorId="0" shapeId="0">
      <text>
        <r>
          <rPr>
            <b/>
            <sz val="9"/>
            <color indexed="81"/>
            <rFont val="Tahoma"/>
            <family val="2"/>
          </rPr>
          <t>LPA:</t>
        </r>
        <r>
          <rPr>
            <sz val="9"/>
            <color indexed="81"/>
            <rFont val="Tahoma"/>
            <family val="2"/>
          </rPr>
          <t xml:space="preserve">
проверити збир!
</t>
        </r>
      </text>
    </comment>
    <comment ref="I6246" authorId="0" shapeId="0">
      <text>
        <r>
          <rPr>
            <b/>
            <sz val="9"/>
            <color indexed="81"/>
            <rFont val="Tahoma"/>
            <family val="2"/>
          </rPr>
          <t>LPA:</t>
        </r>
        <r>
          <rPr>
            <sz val="9"/>
            <color indexed="81"/>
            <rFont val="Tahoma"/>
            <family val="2"/>
          </rPr>
          <t xml:space="preserve">
проверити збир!
</t>
        </r>
      </text>
    </comment>
    <comment ref="I6247" authorId="0" shapeId="0">
      <text>
        <r>
          <rPr>
            <b/>
            <sz val="9"/>
            <color indexed="81"/>
            <rFont val="Tahoma"/>
            <family val="2"/>
          </rPr>
          <t>LPA:</t>
        </r>
        <r>
          <rPr>
            <sz val="9"/>
            <color indexed="81"/>
            <rFont val="Tahoma"/>
            <family val="2"/>
          </rPr>
          <t xml:space="preserve">
проверити збир!
</t>
        </r>
      </text>
    </comment>
    <comment ref="I6248" authorId="0" shapeId="0">
      <text>
        <r>
          <rPr>
            <b/>
            <sz val="9"/>
            <color indexed="81"/>
            <rFont val="Tahoma"/>
            <family val="2"/>
          </rPr>
          <t>LPA:</t>
        </r>
        <r>
          <rPr>
            <sz val="9"/>
            <color indexed="81"/>
            <rFont val="Tahoma"/>
            <family val="2"/>
          </rPr>
          <t xml:space="preserve">
проверити збир!
</t>
        </r>
      </text>
    </comment>
    <comment ref="I6249" authorId="0" shapeId="0">
      <text>
        <r>
          <rPr>
            <b/>
            <sz val="9"/>
            <color indexed="81"/>
            <rFont val="Tahoma"/>
            <family val="2"/>
          </rPr>
          <t>LPA:</t>
        </r>
        <r>
          <rPr>
            <sz val="9"/>
            <color indexed="81"/>
            <rFont val="Tahoma"/>
            <family val="2"/>
          </rPr>
          <t xml:space="preserve">
проверити збир!
</t>
        </r>
      </text>
    </comment>
    <comment ref="I6250" authorId="0" shapeId="0">
      <text>
        <r>
          <rPr>
            <b/>
            <sz val="9"/>
            <color indexed="81"/>
            <rFont val="Tahoma"/>
            <family val="2"/>
          </rPr>
          <t>LPA:</t>
        </r>
        <r>
          <rPr>
            <sz val="9"/>
            <color indexed="81"/>
            <rFont val="Tahoma"/>
            <family val="2"/>
          </rPr>
          <t xml:space="preserve">
проверити збир!
</t>
        </r>
      </text>
    </comment>
    <comment ref="I6251" authorId="0" shapeId="0">
      <text>
        <r>
          <rPr>
            <b/>
            <sz val="9"/>
            <color indexed="81"/>
            <rFont val="Tahoma"/>
            <family val="2"/>
          </rPr>
          <t>LPA:</t>
        </r>
        <r>
          <rPr>
            <sz val="9"/>
            <color indexed="81"/>
            <rFont val="Tahoma"/>
            <family val="2"/>
          </rPr>
          <t xml:space="preserve">
проверити збир!
</t>
        </r>
      </text>
    </comment>
    <comment ref="I6252" authorId="0" shapeId="0">
      <text>
        <r>
          <rPr>
            <b/>
            <sz val="9"/>
            <color indexed="81"/>
            <rFont val="Tahoma"/>
            <family val="2"/>
          </rPr>
          <t>LPA:</t>
        </r>
        <r>
          <rPr>
            <sz val="9"/>
            <color indexed="81"/>
            <rFont val="Tahoma"/>
            <family val="2"/>
          </rPr>
          <t xml:space="preserve">
проверити збир!
</t>
        </r>
      </text>
    </comment>
    <comment ref="I6253" authorId="0" shapeId="0">
      <text>
        <r>
          <rPr>
            <b/>
            <sz val="9"/>
            <color indexed="81"/>
            <rFont val="Tahoma"/>
            <family val="2"/>
          </rPr>
          <t>LPA:</t>
        </r>
        <r>
          <rPr>
            <sz val="9"/>
            <color indexed="81"/>
            <rFont val="Tahoma"/>
            <family val="2"/>
          </rPr>
          <t xml:space="preserve">
проверити збир!
</t>
        </r>
      </text>
    </comment>
    <comment ref="I6254" authorId="0" shapeId="0">
      <text>
        <r>
          <rPr>
            <b/>
            <sz val="9"/>
            <color indexed="81"/>
            <rFont val="Tahoma"/>
            <family val="2"/>
          </rPr>
          <t>LPA:</t>
        </r>
        <r>
          <rPr>
            <sz val="9"/>
            <color indexed="81"/>
            <rFont val="Tahoma"/>
            <family val="2"/>
          </rPr>
          <t xml:space="preserve">
проверити збир!
</t>
        </r>
      </text>
    </comment>
    <comment ref="I6255" authorId="0" shapeId="0">
      <text>
        <r>
          <rPr>
            <b/>
            <sz val="9"/>
            <color indexed="81"/>
            <rFont val="Tahoma"/>
            <family val="2"/>
          </rPr>
          <t>LPA:</t>
        </r>
        <r>
          <rPr>
            <sz val="9"/>
            <color indexed="81"/>
            <rFont val="Tahoma"/>
            <family val="2"/>
          </rPr>
          <t xml:space="preserve">
проверити збир!
</t>
        </r>
      </text>
    </comment>
    <comment ref="I6256" authorId="0" shapeId="0">
      <text>
        <r>
          <rPr>
            <b/>
            <sz val="9"/>
            <color indexed="81"/>
            <rFont val="Tahoma"/>
            <family val="2"/>
          </rPr>
          <t>LPA:</t>
        </r>
        <r>
          <rPr>
            <sz val="9"/>
            <color indexed="81"/>
            <rFont val="Tahoma"/>
            <family val="2"/>
          </rPr>
          <t xml:space="preserve">
проверити збир!
</t>
        </r>
      </text>
    </comment>
    <comment ref="I6257" authorId="0" shapeId="0">
      <text>
        <r>
          <rPr>
            <b/>
            <sz val="9"/>
            <color indexed="81"/>
            <rFont val="Tahoma"/>
            <family val="2"/>
          </rPr>
          <t>LPA:</t>
        </r>
        <r>
          <rPr>
            <sz val="9"/>
            <color indexed="81"/>
            <rFont val="Tahoma"/>
            <family val="2"/>
          </rPr>
          <t xml:space="preserve">
проверити збир!
</t>
        </r>
      </text>
    </comment>
    <comment ref="I6258" authorId="0" shapeId="0">
      <text>
        <r>
          <rPr>
            <b/>
            <sz val="9"/>
            <color indexed="81"/>
            <rFont val="Tahoma"/>
            <family val="2"/>
          </rPr>
          <t>LPA:</t>
        </r>
        <r>
          <rPr>
            <sz val="9"/>
            <color indexed="81"/>
            <rFont val="Tahoma"/>
            <family val="2"/>
          </rPr>
          <t xml:space="preserve">
проверити збир!
</t>
        </r>
      </text>
    </comment>
    <comment ref="I6259" authorId="0" shapeId="0">
      <text>
        <r>
          <rPr>
            <b/>
            <sz val="9"/>
            <color indexed="81"/>
            <rFont val="Tahoma"/>
            <family val="2"/>
          </rPr>
          <t>LPA:</t>
        </r>
        <r>
          <rPr>
            <sz val="9"/>
            <color indexed="81"/>
            <rFont val="Tahoma"/>
            <family val="2"/>
          </rPr>
          <t xml:space="preserve">
проверити збир!
</t>
        </r>
      </text>
    </comment>
    <comment ref="I6260" authorId="0" shapeId="0">
      <text>
        <r>
          <rPr>
            <b/>
            <sz val="9"/>
            <color indexed="81"/>
            <rFont val="Tahoma"/>
            <family val="2"/>
          </rPr>
          <t>LPA:</t>
        </r>
        <r>
          <rPr>
            <sz val="9"/>
            <color indexed="81"/>
            <rFont val="Tahoma"/>
            <family val="2"/>
          </rPr>
          <t xml:space="preserve">
проверити збир!
</t>
        </r>
      </text>
    </comment>
    <comment ref="H6594" authorId="0" shapeId="0">
      <text>
        <r>
          <rPr>
            <b/>
            <sz val="9"/>
            <color indexed="81"/>
            <rFont val="Tahoma"/>
            <family val="2"/>
          </rPr>
          <t>LPA:</t>
        </r>
        <r>
          <rPr>
            <sz val="9"/>
            <color indexed="81"/>
            <rFont val="Tahoma"/>
            <family val="2"/>
          </rPr>
          <t xml:space="preserve">
проверити збир!</t>
        </r>
      </text>
    </comment>
    <comment ref="I6594" authorId="0" shapeId="0">
      <text>
        <r>
          <rPr>
            <b/>
            <sz val="9"/>
            <color indexed="81"/>
            <rFont val="Tahoma"/>
            <family val="2"/>
          </rPr>
          <t>LPA:</t>
        </r>
        <r>
          <rPr>
            <sz val="9"/>
            <color indexed="81"/>
            <rFont val="Tahoma"/>
            <family val="2"/>
          </rPr>
          <t xml:space="preserve">
проверити збир!
</t>
        </r>
      </text>
    </comment>
    <comment ref="I6595" authorId="0" shapeId="0">
      <text>
        <r>
          <rPr>
            <b/>
            <sz val="9"/>
            <color indexed="81"/>
            <rFont val="Tahoma"/>
            <family val="2"/>
          </rPr>
          <t>LPA:</t>
        </r>
        <r>
          <rPr>
            <sz val="9"/>
            <color indexed="81"/>
            <rFont val="Tahoma"/>
            <family val="2"/>
          </rPr>
          <t xml:space="preserve">
проверити збир!
</t>
        </r>
      </text>
    </comment>
    <comment ref="I6596" authorId="0" shapeId="0">
      <text>
        <r>
          <rPr>
            <b/>
            <sz val="9"/>
            <color indexed="81"/>
            <rFont val="Tahoma"/>
            <family val="2"/>
          </rPr>
          <t>LPA:</t>
        </r>
        <r>
          <rPr>
            <sz val="9"/>
            <color indexed="81"/>
            <rFont val="Tahoma"/>
            <family val="2"/>
          </rPr>
          <t xml:space="preserve">
проверити збир!
</t>
        </r>
      </text>
    </comment>
    <comment ref="I6597" authorId="0" shapeId="0">
      <text>
        <r>
          <rPr>
            <b/>
            <sz val="9"/>
            <color indexed="81"/>
            <rFont val="Tahoma"/>
            <family val="2"/>
          </rPr>
          <t>LPA:</t>
        </r>
        <r>
          <rPr>
            <sz val="9"/>
            <color indexed="81"/>
            <rFont val="Tahoma"/>
            <family val="2"/>
          </rPr>
          <t xml:space="preserve">
проверити збир!
</t>
        </r>
      </text>
    </comment>
    <comment ref="I6598" authorId="0" shapeId="0">
      <text>
        <r>
          <rPr>
            <b/>
            <sz val="9"/>
            <color indexed="81"/>
            <rFont val="Tahoma"/>
            <family val="2"/>
          </rPr>
          <t>LPA:</t>
        </r>
        <r>
          <rPr>
            <sz val="9"/>
            <color indexed="81"/>
            <rFont val="Tahoma"/>
            <family val="2"/>
          </rPr>
          <t xml:space="preserve">
проверити збир!
</t>
        </r>
      </text>
    </comment>
    <comment ref="I6599" authorId="0" shapeId="0">
      <text>
        <r>
          <rPr>
            <b/>
            <sz val="9"/>
            <color indexed="81"/>
            <rFont val="Tahoma"/>
            <family val="2"/>
          </rPr>
          <t>LPA:</t>
        </r>
        <r>
          <rPr>
            <sz val="9"/>
            <color indexed="81"/>
            <rFont val="Tahoma"/>
            <family val="2"/>
          </rPr>
          <t xml:space="preserve">
проверити збир!
</t>
        </r>
      </text>
    </comment>
    <comment ref="I6600" authorId="0" shapeId="0">
      <text>
        <r>
          <rPr>
            <b/>
            <sz val="9"/>
            <color indexed="81"/>
            <rFont val="Tahoma"/>
            <family val="2"/>
          </rPr>
          <t>LPA:</t>
        </r>
        <r>
          <rPr>
            <sz val="9"/>
            <color indexed="81"/>
            <rFont val="Tahoma"/>
            <family val="2"/>
          </rPr>
          <t xml:space="preserve">
проверити збир!
</t>
        </r>
      </text>
    </comment>
    <comment ref="I6601" authorId="0" shapeId="0">
      <text>
        <r>
          <rPr>
            <b/>
            <sz val="9"/>
            <color indexed="81"/>
            <rFont val="Tahoma"/>
            <family val="2"/>
          </rPr>
          <t>LPA:</t>
        </r>
        <r>
          <rPr>
            <sz val="9"/>
            <color indexed="81"/>
            <rFont val="Tahoma"/>
            <family val="2"/>
          </rPr>
          <t xml:space="preserve">
проверити збир!
</t>
        </r>
      </text>
    </comment>
    <comment ref="I6602" authorId="0" shapeId="0">
      <text>
        <r>
          <rPr>
            <b/>
            <sz val="9"/>
            <color indexed="81"/>
            <rFont val="Tahoma"/>
            <family val="2"/>
          </rPr>
          <t>LPA:</t>
        </r>
        <r>
          <rPr>
            <sz val="9"/>
            <color indexed="81"/>
            <rFont val="Tahoma"/>
            <family val="2"/>
          </rPr>
          <t xml:space="preserve">
проверити збир!
</t>
        </r>
      </text>
    </comment>
    <comment ref="I6603" authorId="0" shapeId="0">
      <text>
        <r>
          <rPr>
            <b/>
            <sz val="9"/>
            <color indexed="81"/>
            <rFont val="Tahoma"/>
            <family val="2"/>
          </rPr>
          <t>LPA:</t>
        </r>
        <r>
          <rPr>
            <sz val="9"/>
            <color indexed="81"/>
            <rFont val="Tahoma"/>
            <family val="2"/>
          </rPr>
          <t xml:space="preserve">
проверити збир!
</t>
        </r>
      </text>
    </comment>
    <comment ref="I6604" authorId="0" shapeId="0">
      <text>
        <r>
          <rPr>
            <b/>
            <sz val="9"/>
            <color indexed="81"/>
            <rFont val="Tahoma"/>
            <family val="2"/>
          </rPr>
          <t>LPA:</t>
        </r>
        <r>
          <rPr>
            <sz val="9"/>
            <color indexed="81"/>
            <rFont val="Tahoma"/>
            <family val="2"/>
          </rPr>
          <t xml:space="preserve">
проверити збир!
</t>
        </r>
      </text>
    </comment>
    <comment ref="I6605" authorId="0" shapeId="0">
      <text>
        <r>
          <rPr>
            <b/>
            <sz val="9"/>
            <color indexed="81"/>
            <rFont val="Tahoma"/>
            <family val="2"/>
          </rPr>
          <t>LPA:</t>
        </r>
        <r>
          <rPr>
            <sz val="9"/>
            <color indexed="81"/>
            <rFont val="Tahoma"/>
            <family val="2"/>
          </rPr>
          <t xml:space="preserve">
проверити збир!
</t>
        </r>
      </text>
    </comment>
    <comment ref="I6606" authorId="0" shapeId="0">
      <text>
        <r>
          <rPr>
            <b/>
            <sz val="9"/>
            <color indexed="81"/>
            <rFont val="Tahoma"/>
            <family val="2"/>
          </rPr>
          <t>LPA:</t>
        </r>
        <r>
          <rPr>
            <sz val="9"/>
            <color indexed="81"/>
            <rFont val="Tahoma"/>
            <family val="2"/>
          </rPr>
          <t xml:space="preserve">
проверити збир!
</t>
        </r>
      </text>
    </comment>
    <comment ref="I6607" authorId="0" shapeId="0">
      <text>
        <r>
          <rPr>
            <b/>
            <sz val="9"/>
            <color indexed="81"/>
            <rFont val="Tahoma"/>
            <family val="2"/>
          </rPr>
          <t>LPA:</t>
        </r>
        <r>
          <rPr>
            <sz val="9"/>
            <color indexed="81"/>
            <rFont val="Tahoma"/>
            <family val="2"/>
          </rPr>
          <t xml:space="preserve">
проверити збир!
</t>
        </r>
      </text>
    </comment>
    <comment ref="I6608" authorId="0" shapeId="0">
      <text>
        <r>
          <rPr>
            <b/>
            <sz val="9"/>
            <color indexed="81"/>
            <rFont val="Tahoma"/>
            <family val="2"/>
          </rPr>
          <t>LPA:</t>
        </r>
        <r>
          <rPr>
            <sz val="9"/>
            <color indexed="81"/>
            <rFont val="Tahoma"/>
            <family val="2"/>
          </rPr>
          <t xml:space="preserve">
проверити збир!
</t>
        </r>
      </text>
    </comment>
    <comment ref="I6609" authorId="0" shapeId="0">
      <text>
        <r>
          <rPr>
            <b/>
            <sz val="9"/>
            <color indexed="81"/>
            <rFont val="Tahoma"/>
            <family val="2"/>
          </rPr>
          <t>LPA:</t>
        </r>
        <r>
          <rPr>
            <sz val="9"/>
            <color indexed="81"/>
            <rFont val="Tahoma"/>
            <family val="2"/>
          </rPr>
          <t xml:space="preserve">
проверити збир!
</t>
        </r>
      </text>
    </comment>
    <comment ref="I6623" authorId="0" shapeId="0">
      <text>
        <r>
          <rPr>
            <b/>
            <sz val="9"/>
            <color indexed="81"/>
            <rFont val="Tahoma"/>
            <family val="2"/>
          </rPr>
          <t>LPA:</t>
        </r>
        <r>
          <rPr>
            <sz val="9"/>
            <color indexed="81"/>
            <rFont val="Tahoma"/>
            <family val="2"/>
          </rPr>
          <t xml:space="preserve">
проверити збир!
</t>
        </r>
      </text>
    </comment>
    <comment ref="I6624" authorId="0" shapeId="0">
      <text>
        <r>
          <rPr>
            <b/>
            <sz val="9"/>
            <color indexed="81"/>
            <rFont val="Tahoma"/>
            <family val="2"/>
          </rPr>
          <t>LPA:</t>
        </r>
        <r>
          <rPr>
            <sz val="9"/>
            <color indexed="81"/>
            <rFont val="Tahoma"/>
            <family val="2"/>
          </rPr>
          <t xml:space="preserve">
проверити збир!
</t>
        </r>
      </text>
    </comment>
    <comment ref="I6625" authorId="0" shapeId="0">
      <text>
        <r>
          <rPr>
            <b/>
            <sz val="9"/>
            <color indexed="81"/>
            <rFont val="Tahoma"/>
            <family val="2"/>
          </rPr>
          <t>LPA:</t>
        </r>
        <r>
          <rPr>
            <sz val="9"/>
            <color indexed="81"/>
            <rFont val="Tahoma"/>
            <family val="2"/>
          </rPr>
          <t xml:space="preserve">
проверити збир!
</t>
        </r>
      </text>
    </comment>
    <comment ref="I6626" authorId="0" shapeId="0">
      <text>
        <r>
          <rPr>
            <b/>
            <sz val="9"/>
            <color indexed="81"/>
            <rFont val="Tahoma"/>
            <family val="2"/>
          </rPr>
          <t>LPA:</t>
        </r>
        <r>
          <rPr>
            <sz val="9"/>
            <color indexed="81"/>
            <rFont val="Tahoma"/>
            <family val="2"/>
          </rPr>
          <t xml:space="preserve">
проверити збир!
</t>
        </r>
      </text>
    </comment>
    <comment ref="I6627" authorId="0" shapeId="0">
      <text>
        <r>
          <rPr>
            <b/>
            <sz val="9"/>
            <color indexed="81"/>
            <rFont val="Tahoma"/>
            <family val="2"/>
          </rPr>
          <t>LPA:</t>
        </r>
        <r>
          <rPr>
            <sz val="9"/>
            <color indexed="81"/>
            <rFont val="Tahoma"/>
            <family val="2"/>
          </rPr>
          <t xml:space="preserve">
проверити збир!
</t>
        </r>
      </text>
    </comment>
    <comment ref="I6628" authorId="0" shapeId="0">
      <text>
        <r>
          <rPr>
            <b/>
            <sz val="9"/>
            <color indexed="81"/>
            <rFont val="Tahoma"/>
            <family val="2"/>
          </rPr>
          <t>LPA:</t>
        </r>
        <r>
          <rPr>
            <sz val="9"/>
            <color indexed="81"/>
            <rFont val="Tahoma"/>
            <family val="2"/>
          </rPr>
          <t xml:space="preserve">
проверити збир!
</t>
        </r>
      </text>
    </comment>
    <comment ref="I6629" authorId="0" shapeId="0">
      <text>
        <r>
          <rPr>
            <b/>
            <sz val="9"/>
            <color indexed="81"/>
            <rFont val="Tahoma"/>
            <family val="2"/>
          </rPr>
          <t>LPA:</t>
        </r>
        <r>
          <rPr>
            <sz val="9"/>
            <color indexed="81"/>
            <rFont val="Tahoma"/>
            <family val="2"/>
          </rPr>
          <t xml:space="preserve">
проверити збир!
</t>
        </r>
      </text>
    </comment>
    <comment ref="I6630" authorId="0" shapeId="0">
      <text>
        <r>
          <rPr>
            <b/>
            <sz val="9"/>
            <color indexed="81"/>
            <rFont val="Tahoma"/>
            <family val="2"/>
          </rPr>
          <t>LPA:</t>
        </r>
        <r>
          <rPr>
            <sz val="9"/>
            <color indexed="81"/>
            <rFont val="Tahoma"/>
            <family val="2"/>
          </rPr>
          <t xml:space="preserve">
проверити збир!
</t>
        </r>
      </text>
    </comment>
    <comment ref="I6631" authorId="0" shapeId="0">
      <text>
        <r>
          <rPr>
            <b/>
            <sz val="9"/>
            <color indexed="81"/>
            <rFont val="Tahoma"/>
            <family val="2"/>
          </rPr>
          <t>LPA:</t>
        </r>
        <r>
          <rPr>
            <sz val="9"/>
            <color indexed="81"/>
            <rFont val="Tahoma"/>
            <family val="2"/>
          </rPr>
          <t xml:space="preserve">
проверити збир!
</t>
        </r>
      </text>
    </comment>
    <comment ref="I6632" authorId="0" shapeId="0">
      <text>
        <r>
          <rPr>
            <b/>
            <sz val="9"/>
            <color indexed="81"/>
            <rFont val="Tahoma"/>
            <family val="2"/>
          </rPr>
          <t>LPA:</t>
        </r>
        <r>
          <rPr>
            <sz val="9"/>
            <color indexed="81"/>
            <rFont val="Tahoma"/>
            <family val="2"/>
          </rPr>
          <t xml:space="preserve">
проверити збир!
</t>
        </r>
      </text>
    </comment>
    <comment ref="I6633" authorId="0" shapeId="0">
      <text>
        <r>
          <rPr>
            <b/>
            <sz val="9"/>
            <color indexed="81"/>
            <rFont val="Tahoma"/>
            <family val="2"/>
          </rPr>
          <t>LPA:</t>
        </r>
        <r>
          <rPr>
            <sz val="9"/>
            <color indexed="81"/>
            <rFont val="Tahoma"/>
            <family val="2"/>
          </rPr>
          <t xml:space="preserve">
проверити збир!
</t>
        </r>
      </text>
    </comment>
    <comment ref="I6634" authorId="0" shapeId="0">
      <text>
        <r>
          <rPr>
            <b/>
            <sz val="9"/>
            <color indexed="81"/>
            <rFont val="Tahoma"/>
            <family val="2"/>
          </rPr>
          <t>LPA:</t>
        </r>
        <r>
          <rPr>
            <sz val="9"/>
            <color indexed="81"/>
            <rFont val="Tahoma"/>
            <family val="2"/>
          </rPr>
          <t xml:space="preserve">
проверити збир!
</t>
        </r>
      </text>
    </comment>
    <comment ref="I6635" authorId="0" shapeId="0">
      <text>
        <r>
          <rPr>
            <b/>
            <sz val="9"/>
            <color indexed="81"/>
            <rFont val="Tahoma"/>
            <family val="2"/>
          </rPr>
          <t>LPA:</t>
        </r>
        <r>
          <rPr>
            <sz val="9"/>
            <color indexed="81"/>
            <rFont val="Tahoma"/>
            <family val="2"/>
          </rPr>
          <t xml:space="preserve">
проверити збир!
</t>
        </r>
      </text>
    </comment>
    <comment ref="H6638" authorId="0" shapeId="0">
      <text>
        <r>
          <rPr>
            <b/>
            <sz val="9"/>
            <color indexed="81"/>
            <rFont val="Tahoma"/>
            <family val="2"/>
          </rPr>
          <t>LPA:</t>
        </r>
        <r>
          <rPr>
            <sz val="9"/>
            <color indexed="81"/>
            <rFont val="Tahoma"/>
            <family val="2"/>
          </rPr>
          <t xml:space="preserve">
проверити збир!</t>
        </r>
      </text>
    </comment>
    <comment ref="I6638" authorId="0" shapeId="0">
      <text>
        <r>
          <rPr>
            <b/>
            <sz val="9"/>
            <color indexed="81"/>
            <rFont val="Tahoma"/>
            <family val="2"/>
          </rPr>
          <t>LPA:</t>
        </r>
        <r>
          <rPr>
            <sz val="9"/>
            <color indexed="81"/>
            <rFont val="Tahoma"/>
            <family val="2"/>
          </rPr>
          <t xml:space="preserve">
проверити збир!</t>
        </r>
      </text>
    </comment>
    <comment ref="I6639" authorId="0" shapeId="0">
      <text>
        <r>
          <rPr>
            <b/>
            <sz val="9"/>
            <color indexed="81"/>
            <rFont val="Tahoma"/>
            <family val="2"/>
          </rPr>
          <t>LPA:</t>
        </r>
        <r>
          <rPr>
            <sz val="9"/>
            <color indexed="81"/>
            <rFont val="Tahoma"/>
            <family val="2"/>
          </rPr>
          <t xml:space="preserve">
проверити збир!
</t>
        </r>
      </text>
    </comment>
    <comment ref="I6640" authorId="0" shapeId="0">
      <text>
        <r>
          <rPr>
            <b/>
            <sz val="9"/>
            <color indexed="81"/>
            <rFont val="Tahoma"/>
            <family val="2"/>
          </rPr>
          <t>LPA:</t>
        </r>
        <r>
          <rPr>
            <sz val="9"/>
            <color indexed="81"/>
            <rFont val="Tahoma"/>
            <family val="2"/>
          </rPr>
          <t xml:space="preserve">
проверити збир!
</t>
        </r>
      </text>
    </comment>
    <comment ref="I6641" authorId="0" shapeId="0">
      <text>
        <r>
          <rPr>
            <b/>
            <sz val="9"/>
            <color indexed="81"/>
            <rFont val="Tahoma"/>
            <family val="2"/>
          </rPr>
          <t>LPA:</t>
        </r>
        <r>
          <rPr>
            <sz val="9"/>
            <color indexed="81"/>
            <rFont val="Tahoma"/>
            <family val="2"/>
          </rPr>
          <t xml:space="preserve">
проверити збир!
</t>
        </r>
      </text>
    </comment>
    <comment ref="I6642" authorId="0" shapeId="0">
      <text>
        <r>
          <rPr>
            <b/>
            <sz val="9"/>
            <color indexed="81"/>
            <rFont val="Tahoma"/>
            <family val="2"/>
          </rPr>
          <t>LPA:</t>
        </r>
        <r>
          <rPr>
            <sz val="9"/>
            <color indexed="81"/>
            <rFont val="Tahoma"/>
            <family val="2"/>
          </rPr>
          <t xml:space="preserve">
проверити збир!
</t>
        </r>
      </text>
    </comment>
    <comment ref="I6643" authorId="0" shapeId="0">
      <text>
        <r>
          <rPr>
            <b/>
            <sz val="9"/>
            <color indexed="81"/>
            <rFont val="Tahoma"/>
            <family val="2"/>
          </rPr>
          <t>LPA:</t>
        </r>
        <r>
          <rPr>
            <sz val="9"/>
            <color indexed="81"/>
            <rFont val="Tahoma"/>
            <family val="2"/>
          </rPr>
          <t xml:space="preserve">
проверити збир!
</t>
        </r>
      </text>
    </comment>
    <comment ref="I6644" authorId="0" shapeId="0">
      <text>
        <r>
          <rPr>
            <b/>
            <sz val="9"/>
            <color indexed="81"/>
            <rFont val="Tahoma"/>
            <family val="2"/>
          </rPr>
          <t>LPA:</t>
        </r>
        <r>
          <rPr>
            <sz val="9"/>
            <color indexed="81"/>
            <rFont val="Tahoma"/>
            <family val="2"/>
          </rPr>
          <t xml:space="preserve">
проверити збир!
</t>
        </r>
      </text>
    </comment>
    <comment ref="I6645" authorId="0" shapeId="0">
      <text>
        <r>
          <rPr>
            <b/>
            <sz val="9"/>
            <color indexed="81"/>
            <rFont val="Tahoma"/>
            <family val="2"/>
          </rPr>
          <t>LPA:</t>
        </r>
        <r>
          <rPr>
            <sz val="9"/>
            <color indexed="81"/>
            <rFont val="Tahoma"/>
            <family val="2"/>
          </rPr>
          <t xml:space="preserve">
проверити збир!
</t>
        </r>
      </text>
    </comment>
    <comment ref="I6646" authorId="0" shapeId="0">
      <text>
        <r>
          <rPr>
            <b/>
            <sz val="9"/>
            <color indexed="81"/>
            <rFont val="Tahoma"/>
            <family val="2"/>
          </rPr>
          <t>LPA:</t>
        </r>
        <r>
          <rPr>
            <sz val="9"/>
            <color indexed="81"/>
            <rFont val="Tahoma"/>
            <family val="2"/>
          </rPr>
          <t xml:space="preserve">
проверити збир!
</t>
        </r>
      </text>
    </comment>
    <comment ref="I6647" authorId="0" shapeId="0">
      <text>
        <r>
          <rPr>
            <b/>
            <sz val="9"/>
            <color indexed="81"/>
            <rFont val="Tahoma"/>
            <family val="2"/>
          </rPr>
          <t>LPA:</t>
        </r>
        <r>
          <rPr>
            <sz val="9"/>
            <color indexed="81"/>
            <rFont val="Tahoma"/>
            <family val="2"/>
          </rPr>
          <t xml:space="preserve">
проверити збир!
</t>
        </r>
      </text>
    </comment>
    <comment ref="I6648" authorId="0" shapeId="0">
      <text>
        <r>
          <rPr>
            <b/>
            <sz val="9"/>
            <color indexed="81"/>
            <rFont val="Tahoma"/>
            <family val="2"/>
          </rPr>
          <t>LPA:</t>
        </r>
        <r>
          <rPr>
            <sz val="9"/>
            <color indexed="81"/>
            <rFont val="Tahoma"/>
            <family val="2"/>
          </rPr>
          <t xml:space="preserve">
проверити збир!
</t>
        </r>
      </text>
    </comment>
    <comment ref="I6649" authorId="0" shapeId="0">
      <text>
        <r>
          <rPr>
            <b/>
            <sz val="9"/>
            <color indexed="81"/>
            <rFont val="Tahoma"/>
            <family val="2"/>
          </rPr>
          <t>LPA:</t>
        </r>
        <r>
          <rPr>
            <sz val="9"/>
            <color indexed="81"/>
            <rFont val="Tahoma"/>
            <family val="2"/>
          </rPr>
          <t xml:space="preserve">
проверити збир!
</t>
        </r>
      </text>
    </comment>
    <comment ref="I6650" authorId="0" shapeId="0">
      <text>
        <r>
          <rPr>
            <b/>
            <sz val="9"/>
            <color indexed="81"/>
            <rFont val="Tahoma"/>
            <family val="2"/>
          </rPr>
          <t>LPA:</t>
        </r>
        <r>
          <rPr>
            <sz val="9"/>
            <color indexed="81"/>
            <rFont val="Tahoma"/>
            <family val="2"/>
          </rPr>
          <t xml:space="preserve">
проверити збир!
</t>
        </r>
      </text>
    </comment>
    <comment ref="I6651" authorId="0" shapeId="0">
      <text>
        <r>
          <rPr>
            <b/>
            <sz val="9"/>
            <color indexed="81"/>
            <rFont val="Tahoma"/>
            <family val="2"/>
          </rPr>
          <t>LPA:</t>
        </r>
        <r>
          <rPr>
            <sz val="9"/>
            <color indexed="81"/>
            <rFont val="Tahoma"/>
            <family val="2"/>
          </rPr>
          <t xml:space="preserve">
проверити збир!
</t>
        </r>
      </text>
    </comment>
    <comment ref="I6652" authorId="0" shapeId="0">
      <text>
        <r>
          <rPr>
            <b/>
            <sz val="9"/>
            <color indexed="81"/>
            <rFont val="Tahoma"/>
            <family val="2"/>
          </rPr>
          <t>LPA:</t>
        </r>
        <r>
          <rPr>
            <sz val="9"/>
            <color indexed="81"/>
            <rFont val="Tahoma"/>
            <family val="2"/>
          </rPr>
          <t xml:space="preserve">
проверити збир!
</t>
        </r>
      </text>
    </comment>
    <comment ref="I6653" authorId="0" shapeId="0">
      <text>
        <r>
          <rPr>
            <b/>
            <sz val="9"/>
            <color indexed="81"/>
            <rFont val="Tahoma"/>
            <family val="2"/>
          </rPr>
          <t>LPA:</t>
        </r>
        <r>
          <rPr>
            <sz val="9"/>
            <color indexed="81"/>
            <rFont val="Tahoma"/>
            <family val="2"/>
          </rPr>
          <t xml:space="preserve">
проверити збир!
</t>
        </r>
      </text>
    </comment>
    <comment ref="H6657" authorId="0" shapeId="0">
      <text>
        <r>
          <rPr>
            <b/>
            <sz val="9"/>
            <color indexed="81"/>
            <rFont val="Tahoma"/>
            <family val="2"/>
          </rPr>
          <t>LPA:</t>
        </r>
        <r>
          <rPr>
            <sz val="9"/>
            <color indexed="81"/>
            <rFont val="Tahoma"/>
            <family val="2"/>
          </rPr>
          <t xml:space="preserve">
проверити збир!</t>
        </r>
      </text>
    </comment>
    <comment ref="I6657" authorId="0" shapeId="0">
      <text>
        <r>
          <rPr>
            <b/>
            <sz val="9"/>
            <color indexed="81"/>
            <rFont val="Tahoma"/>
            <family val="2"/>
          </rPr>
          <t>LPA:</t>
        </r>
        <r>
          <rPr>
            <sz val="9"/>
            <color indexed="81"/>
            <rFont val="Tahoma"/>
            <family val="2"/>
          </rPr>
          <t xml:space="preserve">
проверити збир!
</t>
        </r>
      </text>
    </comment>
    <comment ref="I6658" authorId="0" shapeId="0">
      <text>
        <r>
          <rPr>
            <b/>
            <sz val="9"/>
            <color indexed="81"/>
            <rFont val="Tahoma"/>
            <family val="2"/>
          </rPr>
          <t>LPA:</t>
        </r>
        <r>
          <rPr>
            <sz val="9"/>
            <color indexed="81"/>
            <rFont val="Tahoma"/>
            <family val="2"/>
          </rPr>
          <t xml:space="preserve">
проверити збир!
</t>
        </r>
      </text>
    </comment>
    <comment ref="I6659" authorId="0" shapeId="0">
      <text>
        <r>
          <rPr>
            <b/>
            <sz val="9"/>
            <color indexed="81"/>
            <rFont val="Tahoma"/>
            <family val="2"/>
          </rPr>
          <t>LPA:</t>
        </r>
        <r>
          <rPr>
            <sz val="9"/>
            <color indexed="81"/>
            <rFont val="Tahoma"/>
            <family val="2"/>
          </rPr>
          <t xml:space="preserve">
проверити збир!
</t>
        </r>
      </text>
    </comment>
    <comment ref="I6660" authorId="0" shapeId="0">
      <text>
        <r>
          <rPr>
            <b/>
            <sz val="9"/>
            <color indexed="81"/>
            <rFont val="Tahoma"/>
            <family val="2"/>
          </rPr>
          <t>LPA:</t>
        </r>
        <r>
          <rPr>
            <sz val="9"/>
            <color indexed="81"/>
            <rFont val="Tahoma"/>
            <family val="2"/>
          </rPr>
          <t xml:space="preserve">
проверити збир!
</t>
        </r>
      </text>
    </comment>
    <comment ref="I6661" authorId="0" shapeId="0">
      <text>
        <r>
          <rPr>
            <b/>
            <sz val="9"/>
            <color indexed="81"/>
            <rFont val="Tahoma"/>
            <family val="2"/>
          </rPr>
          <t>LPA:</t>
        </r>
        <r>
          <rPr>
            <sz val="9"/>
            <color indexed="81"/>
            <rFont val="Tahoma"/>
            <family val="2"/>
          </rPr>
          <t xml:space="preserve">
проверити збир!
</t>
        </r>
      </text>
    </comment>
    <comment ref="I6662" authorId="0" shapeId="0">
      <text>
        <r>
          <rPr>
            <b/>
            <sz val="9"/>
            <color indexed="81"/>
            <rFont val="Tahoma"/>
            <family val="2"/>
          </rPr>
          <t>LPA:</t>
        </r>
        <r>
          <rPr>
            <sz val="9"/>
            <color indexed="81"/>
            <rFont val="Tahoma"/>
            <family val="2"/>
          </rPr>
          <t xml:space="preserve">
проверити збир!
</t>
        </r>
      </text>
    </comment>
    <comment ref="I6663" authorId="0" shapeId="0">
      <text>
        <r>
          <rPr>
            <b/>
            <sz val="9"/>
            <color indexed="81"/>
            <rFont val="Tahoma"/>
            <family val="2"/>
          </rPr>
          <t>LPA:</t>
        </r>
        <r>
          <rPr>
            <sz val="9"/>
            <color indexed="81"/>
            <rFont val="Tahoma"/>
            <family val="2"/>
          </rPr>
          <t xml:space="preserve">
проверити збир!
</t>
        </r>
      </text>
    </comment>
    <comment ref="I6664" authorId="0" shapeId="0">
      <text>
        <r>
          <rPr>
            <b/>
            <sz val="9"/>
            <color indexed="81"/>
            <rFont val="Tahoma"/>
            <family val="2"/>
          </rPr>
          <t>LPA:</t>
        </r>
        <r>
          <rPr>
            <sz val="9"/>
            <color indexed="81"/>
            <rFont val="Tahoma"/>
            <family val="2"/>
          </rPr>
          <t xml:space="preserve">
проверити збир!
</t>
        </r>
      </text>
    </comment>
    <comment ref="I6665" authorId="0" shapeId="0">
      <text>
        <r>
          <rPr>
            <b/>
            <sz val="9"/>
            <color indexed="81"/>
            <rFont val="Tahoma"/>
            <family val="2"/>
          </rPr>
          <t>LPA:</t>
        </r>
        <r>
          <rPr>
            <sz val="9"/>
            <color indexed="81"/>
            <rFont val="Tahoma"/>
            <family val="2"/>
          </rPr>
          <t xml:space="preserve">
проверити збир!
</t>
        </r>
      </text>
    </comment>
    <comment ref="I6666" authorId="0" shapeId="0">
      <text>
        <r>
          <rPr>
            <b/>
            <sz val="9"/>
            <color indexed="81"/>
            <rFont val="Tahoma"/>
            <family val="2"/>
          </rPr>
          <t>LPA:</t>
        </r>
        <r>
          <rPr>
            <sz val="9"/>
            <color indexed="81"/>
            <rFont val="Tahoma"/>
            <family val="2"/>
          </rPr>
          <t xml:space="preserve">
проверити збир!
</t>
        </r>
      </text>
    </comment>
    <comment ref="I6667" authorId="0" shapeId="0">
      <text>
        <r>
          <rPr>
            <b/>
            <sz val="9"/>
            <color indexed="81"/>
            <rFont val="Tahoma"/>
            <family val="2"/>
          </rPr>
          <t>LPA:</t>
        </r>
        <r>
          <rPr>
            <sz val="9"/>
            <color indexed="81"/>
            <rFont val="Tahoma"/>
            <family val="2"/>
          </rPr>
          <t xml:space="preserve">
проверити збир!
</t>
        </r>
      </text>
    </comment>
    <comment ref="I6668" authorId="0" shapeId="0">
      <text>
        <r>
          <rPr>
            <b/>
            <sz val="9"/>
            <color indexed="81"/>
            <rFont val="Tahoma"/>
            <family val="2"/>
          </rPr>
          <t>LPA:</t>
        </r>
        <r>
          <rPr>
            <sz val="9"/>
            <color indexed="81"/>
            <rFont val="Tahoma"/>
            <family val="2"/>
          </rPr>
          <t xml:space="preserve">
проверити збир!
</t>
        </r>
      </text>
    </comment>
    <comment ref="I6669" authorId="0" shapeId="0">
      <text>
        <r>
          <rPr>
            <b/>
            <sz val="9"/>
            <color indexed="81"/>
            <rFont val="Tahoma"/>
            <family val="2"/>
          </rPr>
          <t>LPA:</t>
        </r>
        <r>
          <rPr>
            <sz val="9"/>
            <color indexed="81"/>
            <rFont val="Tahoma"/>
            <family val="2"/>
          </rPr>
          <t xml:space="preserve">
проверити збир!
</t>
        </r>
      </text>
    </comment>
    <comment ref="I6670" authorId="0" shapeId="0">
      <text>
        <r>
          <rPr>
            <b/>
            <sz val="9"/>
            <color indexed="81"/>
            <rFont val="Tahoma"/>
            <family val="2"/>
          </rPr>
          <t>LPA:</t>
        </r>
        <r>
          <rPr>
            <sz val="9"/>
            <color indexed="81"/>
            <rFont val="Tahoma"/>
            <family val="2"/>
          </rPr>
          <t xml:space="preserve">
проверити збир!
</t>
        </r>
      </text>
    </comment>
    <comment ref="I6671" authorId="0" shapeId="0">
      <text>
        <r>
          <rPr>
            <b/>
            <sz val="9"/>
            <color indexed="81"/>
            <rFont val="Tahoma"/>
            <family val="2"/>
          </rPr>
          <t>LPA:</t>
        </r>
        <r>
          <rPr>
            <sz val="9"/>
            <color indexed="81"/>
            <rFont val="Tahoma"/>
            <family val="2"/>
          </rPr>
          <t xml:space="preserve">
проверити збир!
</t>
        </r>
      </text>
    </comment>
    <comment ref="I6672" authorId="0" shapeId="0">
      <text>
        <r>
          <rPr>
            <b/>
            <sz val="9"/>
            <color indexed="81"/>
            <rFont val="Tahoma"/>
            <family val="2"/>
          </rPr>
          <t>LPA:</t>
        </r>
        <r>
          <rPr>
            <sz val="9"/>
            <color indexed="81"/>
            <rFont val="Tahoma"/>
            <family val="2"/>
          </rPr>
          <t xml:space="preserve">
проверити збир!
</t>
        </r>
      </text>
    </comment>
    <comment ref="H6676" authorId="0" shapeId="0">
      <text>
        <r>
          <rPr>
            <b/>
            <sz val="9"/>
            <color indexed="81"/>
            <rFont val="Tahoma"/>
            <family val="2"/>
          </rPr>
          <t>LPA:</t>
        </r>
        <r>
          <rPr>
            <sz val="9"/>
            <color indexed="81"/>
            <rFont val="Tahoma"/>
            <family val="2"/>
          </rPr>
          <t xml:space="preserve">
проверити збир!</t>
        </r>
      </text>
    </comment>
    <comment ref="I6676" authorId="0" shapeId="0">
      <text>
        <r>
          <rPr>
            <b/>
            <sz val="9"/>
            <color indexed="81"/>
            <rFont val="Tahoma"/>
            <family val="2"/>
          </rPr>
          <t>LPA:</t>
        </r>
        <r>
          <rPr>
            <sz val="9"/>
            <color indexed="81"/>
            <rFont val="Tahoma"/>
            <family val="2"/>
          </rPr>
          <t xml:space="preserve">
проверити збир!
</t>
        </r>
      </text>
    </comment>
    <comment ref="I6677" authorId="0" shapeId="0">
      <text>
        <r>
          <rPr>
            <b/>
            <sz val="9"/>
            <color indexed="81"/>
            <rFont val="Tahoma"/>
            <family val="2"/>
          </rPr>
          <t>LPA:</t>
        </r>
        <r>
          <rPr>
            <sz val="9"/>
            <color indexed="81"/>
            <rFont val="Tahoma"/>
            <family val="2"/>
          </rPr>
          <t xml:space="preserve">
проверити збир!
</t>
        </r>
      </text>
    </comment>
    <comment ref="I6678" authorId="0" shapeId="0">
      <text>
        <r>
          <rPr>
            <b/>
            <sz val="9"/>
            <color indexed="81"/>
            <rFont val="Tahoma"/>
            <family val="2"/>
          </rPr>
          <t>LPA:</t>
        </r>
        <r>
          <rPr>
            <sz val="9"/>
            <color indexed="81"/>
            <rFont val="Tahoma"/>
            <family val="2"/>
          </rPr>
          <t xml:space="preserve">
проверити збир!
</t>
        </r>
      </text>
    </comment>
    <comment ref="I6679" authorId="0" shapeId="0">
      <text>
        <r>
          <rPr>
            <b/>
            <sz val="9"/>
            <color indexed="81"/>
            <rFont val="Tahoma"/>
            <family val="2"/>
          </rPr>
          <t>LPA:</t>
        </r>
        <r>
          <rPr>
            <sz val="9"/>
            <color indexed="81"/>
            <rFont val="Tahoma"/>
            <family val="2"/>
          </rPr>
          <t xml:space="preserve">
проверити збир!
</t>
        </r>
      </text>
    </comment>
    <comment ref="I6680" authorId="0" shapeId="0">
      <text>
        <r>
          <rPr>
            <b/>
            <sz val="9"/>
            <color indexed="81"/>
            <rFont val="Tahoma"/>
            <family val="2"/>
          </rPr>
          <t>LPA:</t>
        </r>
        <r>
          <rPr>
            <sz val="9"/>
            <color indexed="81"/>
            <rFont val="Tahoma"/>
            <family val="2"/>
          </rPr>
          <t xml:space="preserve">
проверити збир!
</t>
        </r>
      </text>
    </comment>
    <comment ref="I6681" authorId="0" shapeId="0">
      <text>
        <r>
          <rPr>
            <b/>
            <sz val="9"/>
            <color indexed="81"/>
            <rFont val="Tahoma"/>
            <family val="2"/>
          </rPr>
          <t>LPA:</t>
        </r>
        <r>
          <rPr>
            <sz val="9"/>
            <color indexed="81"/>
            <rFont val="Tahoma"/>
            <family val="2"/>
          </rPr>
          <t xml:space="preserve">
проверити збир!
</t>
        </r>
      </text>
    </comment>
    <comment ref="I6682" authorId="0" shapeId="0">
      <text>
        <r>
          <rPr>
            <b/>
            <sz val="9"/>
            <color indexed="81"/>
            <rFont val="Tahoma"/>
            <family val="2"/>
          </rPr>
          <t>LPA:</t>
        </r>
        <r>
          <rPr>
            <sz val="9"/>
            <color indexed="81"/>
            <rFont val="Tahoma"/>
            <family val="2"/>
          </rPr>
          <t xml:space="preserve">
проверити збир!
</t>
        </r>
      </text>
    </comment>
    <comment ref="I6683" authorId="0" shapeId="0">
      <text>
        <r>
          <rPr>
            <b/>
            <sz val="9"/>
            <color indexed="81"/>
            <rFont val="Tahoma"/>
            <family val="2"/>
          </rPr>
          <t>LPA:</t>
        </r>
        <r>
          <rPr>
            <sz val="9"/>
            <color indexed="81"/>
            <rFont val="Tahoma"/>
            <family val="2"/>
          </rPr>
          <t xml:space="preserve">
проверити збир!
</t>
        </r>
      </text>
    </comment>
    <comment ref="I6684" authorId="0" shapeId="0">
      <text>
        <r>
          <rPr>
            <b/>
            <sz val="9"/>
            <color indexed="81"/>
            <rFont val="Tahoma"/>
            <family val="2"/>
          </rPr>
          <t>LPA:</t>
        </r>
        <r>
          <rPr>
            <sz val="9"/>
            <color indexed="81"/>
            <rFont val="Tahoma"/>
            <family val="2"/>
          </rPr>
          <t xml:space="preserve">
проверити збир!
</t>
        </r>
      </text>
    </comment>
    <comment ref="I6685" authorId="0" shapeId="0">
      <text>
        <r>
          <rPr>
            <b/>
            <sz val="9"/>
            <color indexed="81"/>
            <rFont val="Tahoma"/>
            <family val="2"/>
          </rPr>
          <t>LPA:</t>
        </r>
        <r>
          <rPr>
            <sz val="9"/>
            <color indexed="81"/>
            <rFont val="Tahoma"/>
            <family val="2"/>
          </rPr>
          <t xml:space="preserve">
проверити збир!
</t>
        </r>
      </text>
    </comment>
    <comment ref="I6686" authorId="0" shapeId="0">
      <text>
        <r>
          <rPr>
            <b/>
            <sz val="9"/>
            <color indexed="81"/>
            <rFont val="Tahoma"/>
            <family val="2"/>
          </rPr>
          <t>LPA:</t>
        </r>
        <r>
          <rPr>
            <sz val="9"/>
            <color indexed="81"/>
            <rFont val="Tahoma"/>
            <family val="2"/>
          </rPr>
          <t xml:space="preserve">
проверити збир!
</t>
        </r>
      </text>
    </comment>
    <comment ref="I6687" authorId="0" shapeId="0">
      <text>
        <r>
          <rPr>
            <b/>
            <sz val="9"/>
            <color indexed="81"/>
            <rFont val="Tahoma"/>
            <family val="2"/>
          </rPr>
          <t>LPA:</t>
        </r>
        <r>
          <rPr>
            <sz val="9"/>
            <color indexed="81"/>
            <rFont val="Tahoma"/>
            <family val="2"/>
          </rPr>
          <t xml:space="preserve">
проверити збир!
</t>
        </r>
      </text>
    </comment>
    <comment ref="I6688" authorId="0" shapeId="0">
      <text>
        <r>
          <rPr>
            <b/>
            <sz val="9"/>
            <color indexed="81"/>
            <rFont val="Tahoma"/>
            <family val="2"/>
          </rPr>
          <t>LPA:</t>
        </r>
        <r>
          <rPr>
            <sz val="9"/>
            <color indexed="81"/>
            <rFont val="Tahoma"/>
            <family val="2"/>
          </rPr>
          <t xml:space="preserve">
проверити збир!
</t>
        </r>
      </text>
    </comment>
    <comment ref="I6689" authorId="0" shapeId="0">
      <text>
        <r>
          <rPr>
            <b/>
            <sz val="9"/>
            <color indexed="81"/>
            <rFont val="Tahoma"/>
            <family val="2"/>
          </rPr>
          <t>LPA:</t>
        </r>
        <r>
          <rPr>
            <sz val="9"/>
            <color indexed="81"/>
            <rFont val="Tahoma"/>
            <family val="2"/>
          </rPr>
          <t xml:space="preserve">
проверити збир!
</t>
        </r>
      </text>
    </comment>
    <comment ref="I6690" authorId="0" shapeId="0">
      <text>
        <r>
          <rPr>
            <b/>
            <sz val="9"/>
            <color indexed="81"/>
            <rFont val="Tahoma"/>
            <family val="2"/>
          </rPr>
          <t>LPA:</t>
        </r>
        <r>
          <rPr>
            <sz val="9"/>
            <color indexed="81"/>
            <rFont val="Tahoma"/>
            <family val="2"/>
          </rPr>
          <t xml:space="preserve">
проверити збир!
</t>
        </r>
      </text>
    </comment>
    <comment ref="I6691" authorId="0" shapeId="0">
      <text>
        <r>
          <rPr>
            <b/>
            <sz val="9"/>
            <color indexed="81"/>
            <rFont val="Tahoma"/>
            <family val="2"/>
          </rPr>
          <t>LPA:</t>
        </r>
        <r>
          <rPr>
            <sz val="9"/>
            <color indexed="81"/>
            <rFont val="Tahoma"/>
            <family val="2"/>
          </rPr>
          <t xml:space="preserve">
проверити збир!
</t>
        </r>
      </text>
    </comment>
    <comment ref="I6763" authorId="0" shapeId="0">
      <text>
        <r>
          <rPr>
            <b/>
            <sz val="9"/>
            <color indexed="81"/>
            <rFont val="Tahoma"/>
            <family val="2"/>
          </rPr>
          <t>LPA:</t>
        </r>
        <r>
          <rPr>
            <sz val="9"/>
            <color indexed="81"/>
            <rFont val="Tahoma"/>
            <family val="2"/>
          </rPr>
          <t xml:space="preserve">
проверити збир!
</t>
        </r>
      </text>
    </comment>
    <comment ref="I6764" authorId="0" shapeId="0">
      <text>
        <r>
          <rPr>
            <b/>
            <sz val="9"/>
            <color indexed="81"/>
            <rFont val="Tahoma"/>
            <family val="2"/>
          </rPr>
          <t>LPA:</t>
        </r>
        <r>
          <rPr>
            <sz val="9"/>
            <color indexed="81"/>
            <rFont val="Tahoma"/>
            <family val="2"/>
          </rPr>
          <t xml:space="preserve">
проверити збир!
</t>
        </r>
      </text>
    </comment>
    <comment ref="I6765" authorId="0" shapeId="0">
      <text>
        <r>
          <rPr>
            <b/>
            <sz val="9"/>
            <color indexed="81"/>
            <rFont val="Tahoma"/>
            <family val="2"/>
          </rPr>
          <t>LPA:</t>
        </r>
        <r>
          <rPr>
            <sz val="9"/>
            <color indexed="81"/>
            <rFont val="Tahoma"/>
            <family val="2"/>
          </rPr>
          <t xml:space="preserve">
проверити збир!
</t>
        </r>
      </text>
    </comment>
    <comment ref="I6766" authorId="0" shapeId="0">
      <text>
        <r>
          <rPr>
            <b/>
            <sz val="9"/>
            <color indexed="81"/>
            <rFont val="Tahoma"/>
            <family val="2"/>
          </rPr>
          <t>LPA:</t>
        </r>
        <r>
          <rPr>
            <sz val="9"/>
            <color indexed="81"/>
            <rFont val="Tahoma"/>
            <family val="2"/>
          </rPr>
          <t xml:space="preserve">
проверити збир!
</t>
        </r>
      </text>
    </comment>
    <comment ref="I6767" authorId="0" shapeId="0">
      <text>
        <r>
          <rPr>
            <b/>
            <sz val="9"/>
            <color indexed="81"/>
            <rFont val="Tahoma"/>
            <family val="2"/>
          </rPr>
          <t>LPA:</t>
        </r>
        <r>
          <rPr>
            <sz val="9"/>
            <color indexed="81"/>
            <rFont val="Tahoma"/>
            <family val="2"/>
          </rPr>
          <t xml:space="preserve">
проверити збир!
</t>
        </r>
      </text>
    </comment>
    <comment ref="I6768" authorId="0" shapeId="0">
      <text>
        <r>
          <rPr>
            <b/>
            <sz val="9"/>
            <color indexed="81"/>
            <rFont val="Tahoma"/>
            <family val="2"/>
          </rPr>
          <t>LPA:</t>
        </r>
        <r>
          <rPr>
            <sz val="9"/>
            <color indexed="81"/>
            <rFont val="Tahoma"/>
            <family val="2"/>
          </rPr>
          <t xml:space="preserve">
проверити збир!
</t>
        </r>
      </text>
    </comment>
    <comment ref="I6769" authorId="0" shapeId="0">
      <text>
        <r>
          <rPr>
            <b/>
            <sz val="9"/>
            <color indexed="81"/>
            <rFont val="Tahoma"/>
            <family val="2"/>
          </rPr>
          <t>LPA:</t>
        </r>
        <r>
          <rPr>
            <sz val="9"/>
            <color indexed="81"/>
            <rFont val="Tahoma"/>
            <family val="2"/>
          </rPr>
          <t xml:space="preserve">
проверити збир!
</t>
        </r>
      </text>
    </comment>
    <comment ref="I6770" authorId="0" shapeId="0">
      <text>
        <r>
          <rPr>
            <b/>
            <sz val="9"/>
            <color indexed="81"/>
            <rFont val="Tahoma"/>
            <family val="2"/>
          </rPr>
          <t>LPA:</t>
        </r>
        <r>
          <rPr>
            <sz val="9"/>
            <color indexed="81"/>
            <rFont val="Tahoma"/>
            <family val="2"/>
          </rPr>
          <t xml:space="preserve">
проверити збир!
</t>
        </r>
      </text>
    </comment>
    <comment ref="I6771" authorId="0" shapeId="0">
      <text>
        <r>
          <rPr>
            <b/>
            <sz val="9"/>
            <color indexed="81"/>
            <rFont val="Tahoma"/>
            <family val="2"/>
          </rPr>
          <t>LPA:</t>
        </r>
        <r>
          <rPr>
            <sz val="9"/>
            <color indexed="81"/>
            <rFont val="Tahoma"/>
            <family val="2"/>
          </rPr>
          <t xml:space="preserve">
проверити збир!
</t>
        </r>
      </text>
    </comment>
    <comment ref="I6772" authorId="0" shapeId="0">
      <text>
        <r>
          <rPr>
            <b/>
            <sz val="9"/>
            <color indexed="81"/>
            <rFont val="Tahoma"/>
            <family val="2"/>
          </rPr>
          <t>LPA:</t>
        </r>
        <r>
          <rPr>
            <sz val="9"/>
            <color indexed="81"/>
            <rFont val="Tahoma"/>
            <family val="2"/>
          </rPr>
          <t xml:space="preserve">
проверити збир!
</t>
        </r>
      </text>
    </comment>
    <comment ref="I6773" authorId="0" shapeId="0">
      <text>
        <r>
          <rPr>
            <b/>
            <sz val="9"/>
            <color indexed="81"/>
            <rFont val="Tahoma"/>
            <family val="2"/>
          </rPr>
          <t>LPA:</t>
        </r>
        <r>
          <rPr>
            <sz val="9"/>
            <color indexed="81"/>
            <rFont val="Tahoma"/>
            <family val="2"/>
          </rPr>
          <t xml:space="preserve">
проверити збир!
</t>
        </r>
      </text>
    </comment>
    <comment ref="I6774" authorId="0" shapeId="0">
      <text>
        <r>
          <rPr>
            <b/>
            <sz val="9"/>
            <color indexed="81"/>
            <rFont val="Tahoma"/>
            <family val="2"/>
          </rPr>
          <t>LPA:</t>
        </r>
        <r>
          <rPr>
            <sz val="9"/>
            <color indexed="81"/>
            <rFont val="Tahoma"/>
            <family val="2"/>
          </rPr>
          <t xml:space="preserve">
проверити збир!
</t>
        </r>
      </text>
    </comment>
    <comment ref="I6775" authorId="0" shapeId="0">
      <text>
        <r>
          <rPr>
            <b/>
            <sz val="9"/>
            <color indexed="81"/>
            <rFont val="Tahoma"/>
            <family val="2"/>
          </rPr>
          <t>LPA:</t>
        </r>
        <r>
          <rPr>
            <sz val="9"/>
            <color indexed="81"/>
            <rFont val="Tahoma"/>
            <family val="2"/>
          </rPr>
          <t xml:space="preserve">
проверити збир!
</t>
        </r>
      </text>
    </comment>
    <comment ref="H6778" authorId="0" shapeId="0">
      <text>
        <r>
          <rPr>
            <b/>
            <sz val="9"/>
            <color indexed="81"/>
            <rFont val="Tahoma"/>
            <family val="2"/>
          </rPr>
          <t>LPA:</t>
        </r>
        <r>
          <rPr>
            <sz val="9"/>
            <color indexed="81"/>
            <rFont val="Tahoma"/>
            <family val="2"/>
          </rPr>
          <t xml:space="preserve">
проверити збир!</t>
        </r>
      </text>
    </comment>
    <comment ref="I6778" authorId="0" shapeId="0">
      <text>
        <r>
          <rPr>
            <b/>
            <sz val="9"/>
            <color indexed="81"/>
            <rFont val="Tahoma"/>
            <family val="2"/>
          </rPr>
          <t>LPA:</t>
        </r>
        <r>
          <rPr>
            <sz val="9"/>
            <color indexed="81"/>
            <rFont val="Tahoma"/>
            <family val="2"/>
          </rPr>
          <t xml:space="preserve">
проверити збир!</t>
        </r>
      </text>
    </comment>
    <comment ref="I6779" authorId="0" shapeId="0">
      <text>
        <r>
          <rPr>
            <b/>
            <sz val="9"/>
            <color indexed="81"/>
            <rFont val="Tahoma"/>
            <family val="2"/>
          </rPr>
          <t>LPA:</t>
        </r>
        <r>
          <rPr>
            <sz val="9"/>
            <color indexed="81"/>
            <rFont val="Tahoma"/>
            <family val="2"/>
          </rPr>
          <t xml:space="preserve">
проверити збир!
</t>
        </r>
      </text>
    </comment>
    <comment ref="I6780" authorId="0" shapeId="0">
      <text>
        <r>
          <rPr>
            <b/>
            <sz val="9"/>
            <color indexed="81"/>
            <rFont val="Tahoma"/>
            <family val="2"/>
          </rPr>
          <t>LPA:</t>
        </r>
        <r>
          <rPr>
            <sz val="9"/>
            <color indexed="81"/>
            <rFont val="Tahoma"/>
            <family val="2"/>
          </rPr>
          <t xml:space="preserve">
проверити збир!
</t>
        </r>
      </text>
    </comment>
    <comment ref="I6781" authorId="0" shapeId="0">
      <text>
        <r>
          <rPr>
            <b/>
            <sz val="9"/>
            <color indexed="81"/>
            <rFont val="Tahoma"/>
            <family val="2"/>
          </rPr>
          <t>LPA:</t>
        </r>
        <r>
          <rPr>
            <sz val="9"/>
            <color indexed="81"/>
            <rFont val="Tahoma"/>
            <family val="2"/>
          </rPr>
          <t xml:space="preserve">
проверити збир!
</t>
        </r>
      </text>
    </comment>
    <comment ref="I6782" authorId="0" shapeId="0">
      <text>
        <r>
          <rPr>
            <b/>
            <sz val="9"/>
            <color indexed="81"/>
            <rFont val="Tahoma"/>
            <family val="2"/>
          </rPr>
          <t>LPA:</t>
        </r>
        <r>
          <rPr>
            <sz val="9"/>
            <color indexed="81"/>
            <rFont val="Tahoma"/>
            <family val="2"/>
          </rPr>
          <t xml:space="preserve">
проверити збир!
</t>
        </r>
      </text>
    </comment>
    <comment ref="I6783" authorId="0" shapeId="0">
      <text>
        <r>
          <rPr>
            <b/>
            <sz val="9"/>
            <color indexed="81"/>
            <rFont val="Tahoma"/>
            <family val="2"/>
          </rPr>
          <t>LPA:</t>
        </r>
        <r>
          <rPr>
            <sz val="9"/>
            <color indexed="81"/>
            <rFont val="Tahoma"/>
            <family val="2"/>
          </rPr>
          <t xml:space="preserve">
проверити збир!
</t>
        </r>
      </text>
    </comment>
    <comment ref="I6784" authorId="0" shapeId="0">
      <text>
        <r>
          <rPr>
            <b/>
            <sz val="9"/>
            <color indexed="81"/>
            <rFont val="Tahoma"/>
            <family val="2"/>
          </rPr>
          <t>LPA:</t>
        </r>
        <r>
          <rPr>
            <sz val="9"/>
            <color indexed="81"/>
            <rFont val="Tahoma"/>
            <family val="2"/>
          </rPr>
          <t xml:space="preserve">
проверити збир!
</t>
        </r>
      </text>
    </comment>
    <comment ref="I6785" authorId="0" shapeId="0">
      <text>
        <r>
          <rPr>
            <b/>
            <sz val="9"/>
            <color indexed="81"/>
            <rFont val="Tahoma"/>
            <family val="2"/>
          </rPr>
          <t>LPA:</t>
        </r>
        <r>
          <rPr>
            <sz val="9"/>
            <color indexed="81"/>
            <rFont val="Tahoma"/>
            <family val="2"/>
          </rPr>
          <t xml:space="preserve">
проверити збир!
</t>
        </r>
      </text>
    </comment>
    <comment ref="I6786" authorId="0" shapeId="0">
      <text>
        <r>
          <rPr>
            <b/>
            <sz val="9"/>
            <color indexed="81"/>
            <rFont val="Tahoma"/>
            <family val="2"/>
          </rPr>
          <t>LPA:</t>
        </r>
        <r>
          <rPr>
            <sz val="9"/>
            <color indexed="81"/>
            <rFont val="Tahoma"/>
            <family val="2"/>
          </rPr>
          <t xml:space="preserve">
проверити збир!
</t>
        </r>
      </text>
    </comment>
    <comment ref="I6787" authorId="0" shapeId="0">
      <text>
        <r>
          <rPr>
            <b/>
            <sz val="9"/>
            <color indexed="81"/>
            <rFont val="Tahoma"/>
            <family val="2"/>
          </rPr>
          <t>LPA:</t>
        </r>
        <r>
          <rPr>
            <sz val="9"/>
            <color indexed="81"/>
            <rFont val="Tahoma"/>
            <family val="2"/>
          </rPr>
          <t xml:space="preserve">
проверити збир!
</t>
        </r>
      </text>
    </comment>
    <comment ref="I6788" authorId="0" shapeId="0">
      <text>
        <r>
          <rPr>
            <b/>
            <sz val="9"/>
            <color indexed="81"/>
            <rFont val="Tahoma"/>
            <family val="2"/>
          </rPr>
          <t>LPA:</t>
        </r>
        <r>
          <rPr>
            <sz val="9"/>
            <color indexed="81"/>
            <rFont val="Tahoma"/>
            <family val="2"/>
          </rPr>
          <t xml:space="preserve">
проверити збир!
</t>
        </r>
      </text>
    </comment>
    <comment ref="I6789" authorId="0" shapeId="0">
      <text>
        <r>
          <rPr>
            <b/>
            <sz val="9"/>
            <color indexed="81"/>
            <rFont val="Tahoma"/>
            <family val="2"/>
          </rPr>
          <t>LPA:</t>
        </r>
        <r>
          <rPr>
            <sz val="9"/>
            <color indexed="81"/>
            <rFont val="Tahoma"/>
            <family val="2"/>
          </rPr>
          <t xml:space="preserve">
проверити збир!
</t>
        </r>
      </text>
    </comment>
    <comment ref="I6790" authorId="0" shapeId="0">
      <text>
        <r>
          <rPr>
            <b/>
            <sz val="9"/>
            <color indexed="81"/>
            <rFont val="Tahoma"/>
            <family val="2"/>
          </rPr>
          <t>LPA:</t>
        </r>
        <r>
          <rPr>
            <sz val="9"/>
            <color indexed="81"/>
            <rFont val="Tahoma"/>
            <family val="2"/>
          </rPr>
          <t xml:space="preserve">
проверити збир!
</t>
        </r>
      </text>
    </comment>
    <comment ref="I6791" authorId="0" shapeId="0">
      <text>
        <r>
          <rPr>
            <b/>
            <sz val="9"/>
            <color indexed="81"/>
            <rFont val="Tahoma"/>
            <family val="2"/>
          </rPr>
          <t>LPA:</t>
        </r>
        <r>
          <rPr>
            <sz val="9"/>
            <color indexed="81"/>
            <rFont val="Tahoma"/>
            <family val="2"/>
          </rPr>
          <t xml:space="preserve">
проверити збир!
</t>
        </r>
      </text>
    </comment>
    <comment ref="I6792" authorId="0" shapeId="0">
      <text>
        <r>
          <rPr>
            <b/>
            <sz val="9"/>
            <color indexed="81"/>
            <rFont val="Tahoma"/>
            <family val="2"/>
          </rPr>
          <t>LPA:</t>
        </r>
        <r>
          <rPr>
            <sz val="9"/>
            <color indexed="81"/>
            <rFont val="Tahoma"/>
            <family val="2"/>
          </rPr>
          <t xml:space="preserve">
проверити збир!
</t>
        </r>
      </text>
    </comment>
    <comment ref="I6793" authorId="0" shapeId="0">
      <text>
        <r>
          <rPr>
            <b/>
            <sz val="9"/>
            <color indexed="81"/>
            <rFont val="Tahoma"/>
            <family val="2"/>
          </rPr>
          <t>LPA:</t>
        </r>
        <r>
          <rPr>
            <sz val="9"/>
            <color indexed="81"/>
            <rFont val="Tahoma"/>
            <family val="2"/>
          </rPr>
          <t xml:space="preserve">
проверити збир!
</t>
        </r>
      </text>
    </comment>
    <comment ref="H6797" authorId="0" shapeId="0">
      <text>
        <r>
          <rPr>
            <b/>
            <sz val="9"/>
            <color indexed="81"/>
            <rFont val="Tahoma"/>
            <family val="2"/>
          </rPr>
          <t>LPA:</t>
        </r>
        <r>
          <rPr>
            <sz val="9"/>
            <color indexed="81"/>
            <rFont val="Tahoma"/>
            <family val="2"/>
          </rPr>
          <t xml:space="preserve">
проверити збир!</t>
        </r>
      </text>
    </comment>
    <comment ref="I6797" authorId="0" shapeId="0">
      <text>
        <r>
          <rPr>
            <b/>
            <sz val="9"/>
            <color indexed="81"/>
            <rFont val="Tahoma"/>
            <family val="2"/>
          </rPr>
          <t>LPA:</t>
        </r>
        <r>
          <rPr>
            <sz val="9"/>
            <color indexed="81"/>
            <rFont val="Tahoma"/>
            <family val="2"/>
          </rPr>
          <t xml:space="preserve">
проверити збир!
</t>
        </r>
      </text>
    </comment>
    <comment ref="I6798" authorId="0" shapeId="0">
      <text>
        <r>
          <rPr>
            <b/>
            <sz val="9"/>
            <color indexed="81"/>
            <rFont val="Tahoma"/>
            <family val="2"/>
          </rPr>
          <t>LPA:</t>
        </r>
        <r>
          <rPr>
            <sz val="9"/>
            <color indexed="81"/>
            <rFont val="Tahoma"/>
            <family val="2"/>
          </rPr>
          <t xml:space="preserve">
проверити збир!
</t>
        </r>
      </text>
    </comment>
    <comment ref="I6799" authorId="0" shapeId="0">
      <text>
        <r>
          <rPr>
            <b/>
            <sz val="9"/>
            <color indexed="81"/>
            <rFont val="Tahoma"/>
            <family val="2"/>
          </rPr>
          <t>LPA:</t>
        </r>
        <r>
          <rPr>
            <sz val="9"/>
            <color indexed="81"/>
            <rFont val="Tahoma"/>
            <family val="2"/>
          </rPr>
          <t xml:space="preserve">
проверити збир!
</t>
        </r>
      </text>
    </comment>
    <comment ref="I6800" authorId="0" shapeId="0">
      <text>
        <r>
          <rPr>
            <b/>
            <sz val="9"/>
            <color indexed="81"/>
            <rFont val="Tahoma"/>
            <family val="2"/>
          </rPr>
          <t>LPA:</t>
        </r>
        <r>
          <rPr>
            <sz val="9"/>
            <color indexed="81"/>
            <rFont val="Tahoma"/>
            <family val="2"/>
          </rPr>
          <t xml:space="preserve">
проверити збир!
</t>
        </r>
      </text>
    </comment>
    <comment ref="I6801" authorId="0" shapeId="0">
      <text>
        <r>
          <rPr>
            <b/>
            <sz val="9"/>
            <color indexed="81"/>
            <rFont val="Tahoma"/>
            <family val="2"/>
          </rPr>
          <t>LPA:</t>
        </r>
        <r>
          <rPr>
            <sz val="9"/>
            <color indexed="81"/>
            <rFont val="Tahoma"/>
            <family val="2"/>
          </rPr>
          <t xml:space="preserve">
проверити збир!
</t>
        </r>
      </text>
    </comment>
    <comment ref="I6802" authorId="0" shapeId="0">
      <text>
        <r>
          <rPr>
            <b/>
            <sz val="9"/>
            <color indexed="81"/>
            <rFont val="Tahoma"/>
            <family val="2"/>
          </rPr>
          <t>LPA:</t>
        </r>
        <r>
          <rPr>
            <sz val="9"/>
            <color indexed="81"/>
            <rFont val="Tahoma"/>
            <family val="2"/>
          </rPr>
          <t xml:space="preserve">
проверити збир!
</t>
        </r>
      </text>
    </comment>
    <comment ref="I6803" authorId="0" shapeId="0">
      <text>
        <r>
          <rPr>
            <b/>
            <sz val="9"/>
            <color indexed="81"/>
            <rFont val="Tahoma"/>
            <family val="2"/>
          </rPr>
          <t>LPA:</t>
        </r>
        <r>
          <rPr>
            <sz val="9"/>
            <color indexed="81"/>
            <rFont val="Tahoma"/>
            <family val="2"/>
          </rPr>
          <t xml:space="preserve">
проверити збир!
</t>
        </r>
      </text>
    </comment>
    <comment ref="I6804" authorId="0" shapeId="0">
      <text>
        <r>
          <rPr>
            <b/>
            <sz val="9"/>
            <color indexed="81"/>
            <rFont val="Tahoma"/>
            <family val="2"/>
          </rPr>
          <t>LPA:</t>
        </r>
        <r>
          <rPr>
            <sz val="9"/>
            <color indexed="81"/>
            <rFont val="Tahoma"/>
            <family val="2"/>
          </rPr>
          <t xml:space="preserve">
проверити збир!
</t>
        </r>
      </text>
    </comment>
    <comment ref="I6805" authorId="0" shapeId="0">
      <text>
        <r>
          <rPr>
            <b/>
            <sz val="9"/>
            <color indexed="81"/>
            <rFont val="Tahoma"/>
            <family val="2"/>
          </rPr>
          <t>LPA:</t>
        </r>
        <r>
          <rPr>
            <sz val="9"/>
            <color indexed="81"/>
            <rFont val="Tahoma"/>
            <family val="2"/>
          </rPr>
          <t xml:space="preserve">
проверити збир!
</t>
        </r>
      </text>
    </comment>
    <comment ref="I6806" authorId="0" shapeId="0">
      <text>
        <r>
          <rPr>
            <b/>
            <sz val="9"/>
            <color indexed="81"/>
            <rFont val="Tahoma"/>
            <family val="2"/>
          </rPr>
          <t>LPA:</t>
        </r>
        <r>
          <rPr>
            <sz val="9"/>
            <color indexed="81"/>
            <rFont val="Tahoma"/>
            <family val="2"/>
          </rPr>
          <t xml:space="preserve">
проверити збир!
</t>
        </r>
      </text>
    </comment>
    <comment ref="I6807" authorId="0" shapeId="0">
      <text>
        <r>
          <rPr>
            <b/>
            <sz val="9"/>
            <color indexed="81"/>
            <rFont val="Tahoma"/>
            <family val="2"/>
          </rPr>
          <t>LPA:</t>
        </r>
        <r>
          <rPr>
            <sz val="9"/>
            <color indexed="81"/>
            <rFont val="Tahoma"/>
            <family val="2"/>
          </rPr>
          <t xml:space="preserve">
проверити збир!
</t>
        </r>
      </text>
    </comment>
    <comment ref="I6808" authorId="0" shapeId="0">
      <text>
        <r>
          <rPr>
            <b/>
            <sz val="9"/>
            <color indexed="81"/>
            <rFont val="Tahoma"/>
            <family val="2"/>
          </rPr>
          <t>LPA:</t>
        </r>
        <r>
          <rPr>
            <sz val="9"/>
            <color indexed="81"/>
            <rFont val="Tahoma"/>
            <family val="2"/>
          </rPr>
          <t xml:space="preserve">
проверити збир!
</t>
        </r>
      </text>
    </comment>
    <comment ref="I6809" authorId="0" shapeId="0">
      <text>
        <r>
          <rPr>
            <b/>
            <sz val="9"/>
            <color indexed="81"/>
            <rFont val="Tahoma"/>
            <family val="2"/>
          </rPr>
          <t>LPA:</t>
        </r>
        <r>
          <rPr>
            <sz val="9"/>
            <color indexed="81"/>
            <rFont val="Tahoma"/>
            <family val="2"/>
          </rPr>
          <t xml:space="preserve">
проверити збир!
</t>
        </r>
      </text>
    </comment>
    <comment ref="I6810" authorId="0" shapeId="0">
      <text>
        <r>
          <rPr>
            <b/>
            <sz val="9"/>
            <color indexed="81"/>
            <rFont val="Tahoma"/>
            <family val="2"/>
          </rPr>
          <t>LPA:</t>
        </r>
        <r>
          <rPr>
            <sz val="9"/>
            <color indexed="81"/>
            <rFont val="Tahoma"/>
            <family val="2"/>
          </rPr>
          <t xml:space="preserve">
проверити збир!
</t>
        </r>
      </text>
    </comment>
    <comment ref="I6811" authorId="0" shapeId="0">
      <text>
        <r>
          <rPr>
            <b/>
            <sz val="9"/>
            <color indexed="81"/>
            <rFont val="Tahoma"/>
            <family val="2"/>
          </rPr>
          <t>LPA:</t>
        </r>
        <r>
          <rPr>
            <sz val="9"/>
            <color indexed="81"/>
            <rFont val="Tahoma"/>
            <family val="2"/>
          </rPr>
          <t xml:space="preserve">
проверити збир!
</t>
        </r>
      </text>
    </comment>
    <comment ref="I6812" authorId="0" shapeId="0">
      <text>
        <r>
          <rPr>
            <b/>
            <sz val="9"/>
            <color indexed="81"/>
            <rFont val="Tahoma"/>
            <family val="2"/>
          </rPr>
          <t>LPA:</t>
        </r>
        <r>
          <rPr>
            <sz val="9"/>
            <color indexed="81"/>
            <rFont val="Tahoma"/>
            <family val="2"/>
          </rPr>
          <t xml:space="preserve">
проверити збир!
</t>
        </r>
      </text>
    </comment>
    <comment ref="H6816" authorId="0" shapeId="0">
      <text>
        <r>
          <rPr>
            <b/>
            <sz val="9"/>
            <color indexed="81"/>
            <rFont val="Tahoma"/>
            <family val="2"/>
          </rPr>
          <t>LPA:</t>
        </r>
        <r>
          <rPr>
            <sz val="9"/>
            <color indexed="81"/>
            <rFont val="Tahoma"/>
            <family val="2"/>
          </rPr>
          <t xml:space="preserve">
проверити збир!</t>
        </r>
      </text>
    </comment>
    <comment ref="I6816" authorId="0" shapeId="0">
      <text>
        <r>
          <rPr>
            <b/>
            <sz val="9"/>
            <color indexed="81"/>
            <rFont val="Tahoma"/>
            <family val="2"/>
          </rPr>
          <t>LPA:</t>
        </r>
        <r>
          <rPr>
            <sz val="9"/>
            <color indexed="81"/>
            <rFont val="Tahoma"/>
            <family val="2"/>
          </rPr>
          <t xml:space="preserve">
проверити збир!
</t>
        </r>
      </text>
    </comment>
    <comment ref="I6817" authorId="0" shapeId="0">
      <text>
        <r>
          <rPr>
            <b/>
            <sz val="9"/>
            <color indexed="81"/>
            <rFont val="Tahoma"/>
            <family val="2"/>
          </rPr>
          <t>LPA:</t>
        </r>
        <r>
          <rPr>
            <sz val="9"/>
            <color indexed="81"/>
            <rFont val="Tahoma"/>
            <family val="2"/>
          </rPr>
          <t xml:space="preserve">
проверити збир!
</t>
        </r>
      </text>
    </comment>
    <comment ref="I6818" authorId="0" shapeId="0">
      <text>
        <r>
          <rPr>
            <b/>
            <sz val="9"/>
            <color indexed="81"/>
            <rFont val="Tahoma"/>
            <family val="2"/>
          </rPr>
          <t>LPA:</t>
        </r>
        <r>
          <rPr>
            <sz val="9"/>
            <color indexed="81"/>
            <rFont val="Tahoma"/>
            <family val="2"/>
          </rPr>
          <t xml:space="preserve">
проверити збир!
</t>
        </r>
      </text>
    </comment>
    <comment ref="I6819" authorId="0" shapeId="0">
      <text>
        <r>
          <rPr>
            <b/>
            <sz val="9"/>
            <color indexed="81"/>
            <rFont val="Tahoma"/>
            <family val="2"/>
          </rPr>
          <t>LPA:</t>
        </r>
        <r>
          <rPr>
            <sz val="9"/>
            <color indexed="81"/>
            <rFont val="Tahoma"/>
            <family val="2"/>
          </rPr>
          <t xml:space="preserve">
проверити збир!
</t>
        </r>
      </text>
    </comment>
    <comment ref="I6820" authorId="0" shapeId="0">
      <text>
        <r>
          <rPr>
            <b/>
            <sz val="9"/>
            <color indexed="81"/>
            <rFont val="Tahoma"/>
            <family val="2"/>
          </rPr>
          <t>LPA:</t>
        </r>
        <r>
          <rPr>
            <sz val="9"/>
            <color indexed="81"/>
            <rFont val="Tahoma"/>
            <family val="2"/>
          </rPr>
          <t xml:space="preserve">
проверити збир!
</t>
        </r>
      </text>
    </comment>
    <comment ref="I6821" authorId="0" shapeId="0">
      <text>
        <r>
          <rPr>
            <b/>
            <sz val="9"/>
            <color indexed="81"/>
            <rFont val="Tahoma"/>
            <family val="2"/>
          </rPr>
          <t>LPA:</t>
        </r>
        <r>
          <rPr>
            <sz val="9"/>
            <color indexed="81"/>
            <rFont val="Tahoma"/>
            <family val="2"/>
          </rPr>
          <t xml:space="preserve">
проверити збир!
</t>
        </r>
      </text>
    </comment>
    <comment ref="I6822" authorId="0" shapeId="0">
      <text>
        <r>
          <rPr>
            <b/>
            <sz val="9"/>
            <color indexed="81"/>
            <rFont val="Tahoma"/>
            <family val="2"/>
          </rPr>
          <t>LPA:</t>
        </r>
        <r>
          <rPr>
            <sz val="9"/>
            <color indexed="81"/>
            <rFont val="Tahoma"/>
            <family val="2"/>
          </rPr>
          <t xml:space="preserve">
проверити збир!
</t>
        </r>
      </text>
    </comment>
    <comment ref="I6823" authorId="0" shapeId="0">
      <text>
        <r>
          <rPr>
            <b/>
            <sz val="9"/>
            <color indexed="81"/>
            <rFont val="Tahoma"/>
            <family val="2"/>
          </rPr>
          <t>LPA:</t>
        </r>
        <r>
          <rPr>
            <sz val="9"/>
            <color indexed="81"/>
            <rFont val="Tahoma"/>
            <family val="2"/>
          </rPr>
          <t xml:space="preserve">
проверити збир!
</t>
        </r>
      </text>
    </comment>
    <comment ref="I6824" authorId="0" shapeId="0">
      <text>
        <r>
          <rPr>
            <b/>
            <sz val="9"/>
            <color indexed="81"/>
            <rFont val="Tahoma"/>
            <family val="2"/>
          </rPr>
          <t>LPA:</t>
        </r>
        <r>
          <rPr>
            <sz val="9"/>
            <color indexed="81"/>
            <rFont val="Tahoma"/>
            <family val="2"/>
          </rPr>
          <t xml:space="preserve">
проверити збир!
</t>
        </r>
      </text>
    </comment>
    <comment ref="I6825" authorId="0" shapeId="0">
      <text>
        <r>
          <rPr>
            <b/>
            <sz val="9"/>
            <color indexed="81"/>
            <rFont val="Tahoma"/>
            <family val="2"/>
          </rPr>
          <t>LPA:</t>
        </r>
        <r>
          <rPr>
            <sz val="9"/>
            <color indexed="81"/>
            <rFont val="Tahoma"/>
            <family val="2"/>
          </rPr>
          <t xml:space="preserve">
проверити збир!
</t>
        </r>
      </text>
    </comment>
    <comment ref="I6826" authorId="0" shapeId="0">
      <text>
        <r>
          <rPr>
            <b/>
            <sz val="9"/>
            <color indexed="81"/>
            <rFont val="Tahoma"/>
            <family val="2"/>
          </rPr>
          <t>LPA:</t>
        </r>
        <r>
          <rPr>
            <sz val="9"/>
            <color indexed="81"/>
            <rFont val="Tahoma"/>
            <family val="2"/>
          </rPr>
          <t xml:space="preserve">
проверити збир!
</t>
        </r>
      </text>
    </comment>
    <comment ref="I6827" authorId="0" shapeId="0">
      <text>
        <r>
          <rPr>
            <b/>
            <sz val="9"/>
            <color indexed="81"/>
            <rFont val="Tahoma"/>
            <family val="2"/>
          </rPr>
          <t>LPA:</t>
        </r>
        <r>
          <rPr>
            <sz val="9"/>
            <color indexed="81"/>
            <rFont val="Tahoma"/>
            <family val="2"/>
          </rPr>
          <t xml:space="preserve">
проверити збир!
</t>
        </r>
      </text>
    </comment>
    <comment ref="I6828" authorId="0" shapeId="0">
      <text>
        <r>
          <rPr>
            <b/>
            <sz val="9"/>
            <color indexed="81"/>
            <rFont val="Tahoma"/>
            <family val="2"/>
          </rPr>
          <t>LPA:</t>
        </r>
        <r>
          <rPr>
            <sz val="9"/>
            <color indexed="81"/>
            <rFont val="Tahoma"/>
            <family val="2"/>
          </rPr>
          <t xml:space="preserve">
проверити збир!
</t>
        </r>
      </text>
    </comment>
    <comment ref="I6829" authorId="0" shapeId="0">
      <text>
        <r>
          <rPr>
            <b/>
            <sz val="9"/>
            <color indexed="81"/>
            <rFont val="Tahoma"/>
            <family val="2"/>
          </rPr>
          <t>LPA:</t>
        </r>
        <r>
          <rPr>
            <sz val="9"/>
            <color indexed="81"/>
            <rFont val="Tahoma"/>
            <family val="2"/>
          </rPr>
          <t xml:space="preserve">
проверити збир!
</t>
        </r>
      </text>
    </comment>
    <comment ref="I6830" authorId="0" shapeId="0">
      <text>
        <r>
          <rPr>
            <b/>
            <sz val="9"/>
            <color indexed="81"/>
            <rFont val="Tahoma"/>
            <family val="2"/>
          </rPr>
          <t>LPA:</t>
        </r>
        <r>
          <rPr>
            <sz val="9"/>
            <color indexed="81"/>
            <rFont val="Tahoma"/>
            <family val="2"/>
          </rPr>
          <t xml:space="preserve">
проверити збир!
</t>
        </r>
      </text>
    </comment>
    <comment ref="I6831" authorId="0" shapeId="0">
      <text>
        <r>
          <rPr>
            <b/>
            <sz val="9"/>
            <color indexed="81"/>
            <rFont val="Tahoma"/>
            <family val="2"/>
          </rPr>
          <t>LPA:</t>
        </r>
        <r>
          <rPr>
            <sz val="9"/>
            <color indexed="81"/>
            <rFont val="Tahoma"/>
            <family val="2"/>
          </rPr>
          <t xml:space="preserve">
проверити збир!
</t>
        </r>
      </text>
    </comment>
    <comment ref="I7142" authorId="0" shapeId="0">
      <text>
        <r>
          <rPr>
            <b/>
            <sz val="9"/>
            <color indexed="81"/>
            <rFont val="Tahoma"/>
            <family val="2"/>
          </rPr>
          <t>LPA:</t>
        </r>
        <r>
          <rPr>
            <sz val="9"/>
            <color indexed="81"/>
            <rFont val="Tahoma"/>
            <family val="2"/>
          </rPr>
          <t xml:space="preserve">
проверити збир!
</t>
        </r>
      </text>
    </comment>
    <comment ref="I7143" authorId="0" shapeId="0">
      <text>
        <r>
          <rPr>
            <b/>
            <sz val="9"/>
            <color indexed="81"/>
            <rFont val="Tahoma"/>
            <family val="2"/>
          </rPr>
          <t>LPA:</t>
        </r>
        <r>
          <rPr>
            <sz val="9"/>
            <color indexed="81"/>
            <rFont val="Tahoma"/>
            <family val="2"/>
          </rPr>
          <t xml:space="preserve">
проверити збир!
</t>
        </r>
      </text>
    </comment>
    <comment ref="I7144" authorId="0" shapeId="0">
      <text>
        <r>
          <rPr>
            <b/>
            <sz val="9"/>
            <color indexed="81"/>
            <rFont val="Tahoma"/>
            <family val="2"/>
          </rPr>
          <t>LPA:</t>
        </r>
        <r>
          <rPr>
            <sz val="9"/>
            <color indexed="81"/>
            <rFont val="Tahoma"/>
            <family val="2"/>
          </rPr>
          <t xml:space="preserve">
проверити збир!
</t>
        </r>
      </text>
    </comment>
    <comment ref="I7145" authorId="0" shapeId="0">
      <text>
        <r>
          <rPr>
            <b/>
            <sz val="9"/>
            <color indexed="81"/>
            <rFont val="Tahoma"/>
            <family val="2"/>
          </rPr>
          <t>LPA:</t>
        </r>
        <r>
          <rPr>
            <sz val="9"/>
            <color indexed="81"/>
            <rFont val="Tahoma"/>
            <family val="2"/>
          </rPr>
          <t xml:space="preserve">
проверити збир!
</t>
        </r>
      </text>
    </comment>
    <comment ref="I7146" authorId="0" shapeId="0">
      <text>
        <r>
          <rPr>
            <b/>
            <sz val="9"/>
            <color indexed="81"/>
            <rFont val="Tahoma"/>
            <family val="2"/>
          </rPr>
          <t>LPA:</t>
        </r>
        <r>
          <rPr>
            <sz val="9"/>
            <color indexed="81"/>
            <rFont val="Tahoma"/>
            <family val="2"/>
          </rPr>
          <t xml:space="preserve">
проверити збир!
</t>
        </r>
      </text>
    </comment>
    <comment ref="I7147" authorId="0" shapeId="0">
      <text>
        <r>
          <rPr>
            <b/>
            <sz val="9"/>
            <color indexed="81"/>
            <rFont val="Tahoma"/>
            <family val="2"/>
          </rPr>
          <t>LPA:</t>
        </r>
        <r>
          <rPr>
            <sz val="9"/>
            <color indexed="81"/>
            <rFont val="Tahoma"/>
            <family val="2"/>
          </rPr>
          <t xml:space="preserve">
проверити збир!
</t>
        </r>
      </text>
    </comment>
    <comment ref="I7148" authorId="0" shapeId="0">
      <text>
        <r>
          <rPr>
            <b/>
            <sz val="9"/>
            <color indexed="81"/>
            <rFont val="Tahoma"/>
            <family val="2"/>
          </rPr>
          <t>LPA:</t>
        </r>
        <r>
          <rPr>
            <sz val="9"/>
            <color indexed="81"/>
            <rFont val="Tahoma"/>
            <family val="2"/>
          </rPr>
          <t xml:space="preserve">
проверити збир!
</t>
        </r>
      </text>
    </comment>
    <comment ref="I7149" authorId="0" shapeId="0">
      <text>
        <r>
          <rPr>
            <b/>
            <sz val="9"/>
            <color indexed="81"/>
            <rFont val="Tahoma"/>
            <family val="2"/>
          </rPr>
          <t>LPA:</t>
        </r>
        <r>
          <rPr>
            <sz val="9"/>
            <color indexed="81"/>
            <rFont val="Tahoma"/>
            <family val="2"/>
          </rPr>
          <t xml:space="preserve">
проверити збир!
</t>
        </r>
      </text>
    </comment>
    <comment ref="I7150" authorId="0" shapeId="0">
      <text>
        <r>
          <rPr>
            <b/>
            <sz val="9"/>
            <color indexed="81"/>
            <rFont val="Tahoma"/>
            <family val="2"/>
          </rPr>
          <t>LPA:</t>
        </r>
        <r>
          <rPr>
            <sz val="9"/>
            <color indexed="81"/>
            <rFont val="Tahoma"/>
            <family val="2"/>
          </rPr>
          <t xml:space="preserve">
проверити збир!
</t>
        </r>
      </text>
    </comment>
    <comment ref="I7151" authorId="0" shapeId="0">
      <text>
        <r>
          <rPr>
            <b/>
            <sz val="9"/>
            <color indexed="81"/>
            <rFont val="Tahoma"/>
            <family val="2"/>
          </rPr>
          <t>LPA:</t>
        </r>
        <r>
          <rPr>
            <sz val="9"/>
            <color indexed="81"/>
            <rFont val="Tahoma"/>
            <family val="2"/>
          </rPr>
          <t xml:space="preserve">
проверити збир!
</t>
        </r>
      </text>
    </comment>
    <comment ref="I7152" authorId="0" shapeId="0">
      <text>
        <r>
          <rPr>
            <b/>
            <sz val="9"/>
            <color indexed="81"/>
            <rFont val="Tahoma"/>
            <family val="2"/>
          </rPr>
          <t>LPA:</t>
        </r>
        <r>
          <rPr>
            <sz val="9"/>
            <color indexed="81"/>
            <rFont val="Tahoma"/>
            <family val="2"/>
          </rPr>
          <t xml:space="preserve">
проверити збир!
</t>
        </r>
      </text>
    </comment>
    <comment ref="I7153" authorId="0" shapeId="0">
      <text>
        <r>
          <rPr>
            <b/>
            <sz val="9"/>
            <color indexed="81"/>
            <rFont val="Tahoma"/>
            <family val="2"/>
          </rPr>
          <t>LPA:</t>
        </r>
        <r>
          <rPr>
            <sz val="9"/>
            <color indexed="81"/>
            <rFont val="Tahoma"/>
            <family val="2"/>
          </rPr>
          <t xml:space="preserve">
проверити збир!
</t>
        </r>
      </text>
    </comment>
    <comment ref="I7154" authorId="0" shapeId="0">
      <text>
        <r>
          <rPr>
            <b/>
            <sz val="9"/>
            <color indexed="81"/>
            <rFont val="Tahoma"/>
            <family val="2"/>
          </rPr>
          <t>LPA:</t>
        </r>
        <r>
          <rPr>
            <sz val="9"/>
            <color indexed="81"/>
            <rFont val="Tahoma"/>
            <family val="2"/>
          </rPr>
          <t xml:space="preserve">
проверити збир!
</t>
        </r>
      </text>
    </comment>
    <comment ref="H7157" authorId="0" shapeId="0">
      <text>
        <r>
          <rPr>
            <b/>
            <sz val="9"/>
            <color indexed="81"/>
            <rFont val="Tahoma"/>
            <family val="2"/>
          </rPr>
          <t>LPA:</t>
        </r>
        <r>
          <rPr>
            <sz val="9"/>
            <color indexed="81"/>
            <rFont val="Tahoma"/>
            <family val="2"/>
          </rPr>
          <t xml:space="preserve">
проверити збир!</t>
        </r>
      </text>
    </comment>
    <comment ref="I7157" authorId="0" shapeId="0">
      <text>
        <r>
          <rPr>
            <b/>
            <sz val="9"/>
            <color indexed="81"/>
            <rFont val="Tahoma"/>
            <family val="2"/>
          </rPr>
          <t>LPA:</t>
        </r>
        <r>
          <rPr>
            <sz val="9"/>
            <color indexed="81"/>
            <rFont val="Tahoma"/>
            <family val="2"/>
          </rPr>
          <t xml:space="preserve">
проверити збир!</t>
        </r>
      </text>
    </comment>
    <comment ref="I7158" authorId="0" shapeId="0">
      <text>
        <r>
          <rPr>
            <b/>
            <sz val="9"/>
            <color indexed="81"/>
            <rFont val="Tahoma"/>
            <family val="2"/>
          </rPr>
          <t>LPA:</t>
        </r>
        <r>
          <rPr>
            <sz val="9"/>
            <color indexed="81"/>
            <rFont val="Tahoma"/>
            <family val="2"/>
          </rPr>
          <t xml:space="preserve">
проверити збир!
</t>
        </r>
      </text>
    </comment>
    <comment ref="I7159" authorId="0" shapeId="0">
      <text>
        <r>
          <rPr>
            <b/>
            <sz val="9"/>
            <color indexed="81"/>
            <rFont val="Tahoma"/>
            <family val="2"/>
          </rPr>
          <t>LPA:</t>
        </r>
        <r>
          <rPr>
            <sz val="9"/>
            <color indexed="81"/>
            <rFont val="Tahoma"/>
            <family val="2"/>
          </rPr>
          <t xml:space="preserve">
проверити збир!
</t>
        </r>
      </text>
    </comment>
    <comment ref="I7160" authorId="0" shapeId="0">
      <text>
        <r>
          <rPr>
            <b/>
            <sz val="9"/>
            <color indexed="81"/>
            <rFont val="Tahoma"/>
            <family val="2"/>
          </rPr>
          <t>LPA:</t>
        </r>
        <r>
          <rPr>
            <sz val="9"/>
            <color indexed="81"/>
            <rFont val="Tahoma"/>
            <family val="2"/>
          </rPr>
          <t xml:space="preserve">
проверити збир!
</t>
        </r>
      </text>
    </comment>
    <comment ref="I7161" authorId="0" shapeId="0">
      <text>
        <r>
          <rPr>
            <b/>
            <sz val="9"/>
            <color indexed="81"/>
            <rFont val="Tahoma"/>
            <family val="2"/>
          </rPr>
          <t>LPA:</t>
        </r>
        <r>
          <rPr>
            <sz val="9"/>
            <color indexed="81"/>
            <rFont val="Tahoma"/>
            <family val="2"/>
          </rPr>
          <t xml:space="preserve">
проверити збир!
</t>
        </r>
      </text>
    </comment>
    <comment ref="I7162" authorId="0" shapeId="0">
      <text>
        <r>
          <rPr>
            <b/>
            <sz val="9"/>
            <color indexed="81"/>
            <rFont val="Tahoma"/>
            <family val="2"/>
          </rPr>
          <t>LPA:</t>
        </r>
        <r>
          <rPr>
            <sz val="9"/>
            <color indexed="81"/>
            <rFont val="Tahoma"/>
            <family val="2"/>
          </rPr>
          <t xml:space="preserve">
проверити збир!
</t>
        </r>
      </text>
    </comment>
    <comment ref="I7163" authorId="0" shapeId="0">
      <text>
        <r>
          <rPr>
            <b/>
            <sz val="9"/>
            <color indexed="81"/>
            <rFont val="Tahoma"/>
            <family val="2"/>
          </rPr>
          <t>LPA:</t>
        </r>
        <r>
          <rPr>
            <sz val="9"/>
            <color indexed="81"/>
            <rFont val="Tahoma"/>
            <family val="2"/>
          </rPr>
          <t xml:space="preserve">
проверити збир!
</t>
        </r>
      </text>
    </comment>
    <comment ref="I7164" authorId="0" shapeId="0">
      <text>
        <r>
          <rPr>
            <b/>
            <sz val="9"/>
            <color indexed="81"/>
            <rFont val="Tahoma"/>
            <family val="2"/>
          </rPr>
          <t>LPA:</t>
        </r>
        <r>
          <rPr>
            <sz val="9"/>
            <color indexed="81"/>
            <rFont val="Tahoma"/>
            <family val="2"/>
          </rPr>
          <t xml:space="preserve">
проверити збир!
</t>
        </r>
      </text>
    </comment>
    <comment ref="I7165" authorId="0" shapeId="0">
      <text>
        <r>
          <rPr>
            <b/>
            <sz val="9"/>
            <color indexed="81"/>
            <rFont val="Tahoma"/>
            <family val="2"/>
          </rPr>
          <t>LPA:</t>
        </r>
        <r>
          <rPr>
            <sz val="9"/>
            <color indexed="81"/>
            <rFont val="Tahoma"/>
            <family val="2"/>
          </rPr>
          <t xml:space="preserve">
проверити збир!
</t>
        </r>
      </text>
    </comment>
    <comment ref="I7166" authorId="0" shapeId="0">
      <text>
        <r>
          <rPr>
            <b/>
            <sz val="9"/>
            <color indexed="81"/>
            <rFont val="Tahoma"/>
            <family val="2"/>
          </rPr>
          <t>LPA:</t>
        </r>
        <r>
          <rPr>
            <sz val="9"/>
            <color indexed="81"/>
            <rFont val="Tahoma"/>
            <family val="2"/>
          </rPr>
          <t xml:space="preserve">
проверити збир!
</t>
        </r>
      </text>
    </comment>
    <comment ref="I7167" authorId="0" shapeId="0">
      <text>
        <r>
          <rPr>
            <b/>
            <sz val="9"/>
            <color indexed="81"/>
            <rFont val="Tahoma"/>
            <family val="2"/>
          </rPr>
          <t>LPA:</t>
        </r>
        <r>
          <rPr>
            <sz val="9"/>
            <color indexed="81"/>
            <rFont val="Tahoma"/>
            <family val="2"/>
          </rPr>
          <t xml:space="preserve">
проверити збир!
</t>
        </r>
      </text>
    </comment>
    <comment ref="I7168" authorId="0" shapeId="0">
      <text>
        <r>
          <rPr>
            <b/>
            <sz val="9"/>
            <color indexed="81"/>
            <rFont val="Tahoma"/>
            <family val="2"/>
          </rPr>
          <t>LPA:</t>
        </r>
        <r>
          <rPr>
            <sz val="9"/>
            <color indexed="81"/>
            <rFont val="Tahoma"/>
            <family val="2"/>
          </rPr>
          <t xml:space="preserve">
проверити збир!
</t>
        </r>
      </text>
    </comment>
    <comment ref="I7169" authorId="0" shapeId="0">
      <text>
        <r>
          <rPr>
            <b/>
            <sz val="9"/>
            <color indexed="81"/>
            <rFont val="Tahoma"/>
            <family val="2"/>
          </rPr>
          <t>LPA:</t>
        </r>
        <r>
          <rPr>
            <sz val="9"/>
            <color indexed="81"/>
            <rFont val="Tahoma"/>
            <family val="2"/>
          </rPr>
          <t xml:space="preserve">
проверити збир!
</t>
        </r>
      </text>
    </comment>
    <comment ref="I7170" authorId="0" shapeId="0">
      <text>
        <r>
          <rPr>
            <b/>
            <sz val="9"/>
            <color indexed="81"/>
            <rFont val="Tahoma"/>
            <family val="2"/>
          </rPr>
          <t>LPA:</t>
        </r>
        <r>
          <rPr>
            <sz val="9"/>
            <color indexed="81"/>
            <rFont val="Tahoma"/>
            <family val="2"/>
          </rPr>
          <t xml:space="preserve">
проверити збир!
</t>
        </r>
      </text>
    </comment>
    <comment ref="I7171" authorId="0" shapeId="0">
      <text>
        <r>
          <rPr>
            <b/>
            <sz val="9"/>
            <color indexed="81"/>
            <rFont val="Tahoma"/>
            <family val="2"/>
          </rPr>
          <t>LPA:</t>
        </r>
        <r>
          <rPr>
            <sz val="9"/>
            <color indexed="81"/>
            <rFont val="Tahoma"/>
            <family val="2"/>
          </rPr>
          <t xml:space="preserve">
проверити збир!
</t>
        </r>
      </text>
    </comment>
    <comment ref="I7172" authorId="0" shapeId="0">
      <text>
        <r>
          <rPr>
            <b/>
            <sz val="9"/>
            <color indexed="81"/>
            <rFont val="Tahoma"/>
            <family val="2"/>
          </rPr>
          <t>LPA:</t>
        </r>
        <r>
          <rPr>
            <sz val="9"/>
            <color indexed="81"/>
            <rFont val="Tahoma"/>
            <family val="2"/>
          </rPr>
          <t xml:space="preserve">
проверити збир!
</t>
        </r>
      </text>
    </comment>
    <comment ref="I7241" authorId="0" shapeId="0">
      <text>
        <r>
          <rPr>
            <b/>
            <sz val="9"/>
            <color indexed="81"/>
            <rFont val="Tahoma"/>
            <family val="2"/>
          </rPr>
          <t>LPA:</t>
        </r>
        <r>
          <rPr>
            <sz val="9"/>
            <color indexed="81"/>
            <rFont val="Tahoma"/>
            <family val="2"/>
          </rPr>
          <t xml:space="preserve">
проверити збир!
</t>
        </r>
      </text>
    </comment>
    <comment ref="I7242" authorId="0" shapeId="0">
      <text>
        <r>
          <rPr>
            <b/>
            <sz val="9"/>
            <color indexed="81"/>
            <rFont val="Tahoma"/>
            <family val="2"/>
          </rPr>
          <t>LPA:</t>
        </r>
        <r>
          <rPr>
            <sz val="9"/>
            <color indexed="81"/>
            <rFont val="Tahoma"/>
            <family val="2"/>
          </rPr>
          <t xml:space="preserve">
проверити збир!
</t>
        </r>
      </text>
    </comment>
    <comment ref="I7243" authorId="0" shapeId="0">
      <text>
        <r>
          <rPr>
            <b/>
            <sz val="9"/>
            <color indexed="81"/>
            <rFont val="Tahoma"/>
            <family val="2"/>
          </rPr>
          <t>LPA:</t>
        </r>
        <r>
          <rPr>
            <sz val="9"/>
            <color indexed="81"/>
            <rFont val="Tahoma"/>
            <family val="2"/>
          </rPr>
          <t xml:space="preserve">
проверити збир!
</t>
        </r>
      </text>
    </comment>
    <comment ref="I7244" authorId="0" shapeId="0">
      <text>
        <r>
          <rPr>
            <b/>
            <sz val="9"/>
            <color indexed="81"/>
            <rFont val="Tahoma"/>
            <family val="2"/>
          </rPr>
          <t>LPA:</t>
        </r>
        <r>
          <rPr>
            <sz val="9"/>
            <color indexed="81"/>
            <rFont val="Tahoma"/>
            <family val="2"/>
          </rPr>
          <t xml:space="preserve">
проверити збир!
</t>
        </r>
      </text>
    </comment>
    <comment ref="I7245" authorId="0" shapeId="0">
      <text>
        <r>
          <rPr>
            <b/>
            <sz val="9"/>
            <color indexed="81"/>
            <rFont val="Tahoma"/>
            <family val="2"/>
          </rPr>
          <t>LPA:</t>
        </r>
        <r>
          <rPr>
            <sz val="9"/>
            <color indexed="81"/>
            <rFont val="Tahoma"/>
            <family val="2"/>
          </rPr>
          <t xml:space="preserve">
проверити збир!
</t>
        </r>
      </text>
    </comment>
    <comment ref="I7246" authorId="0" shapeId="0">
      <text>
        <r>
          <rPr>
            <b/>
            <sz val="9"/>
            <color indexed="81"/>
            <rFont val="Tahoma"/>
            <family val="2"/>
          </rPr>
          <t>LPA:</t>
        </r>
        <r>
          <rPr>
            <sz val="9"/>
            <color indexed="81"/>
            <rFont val="Tahoma"/>
            <family val="2"/>
          </rPr>
          <t xml:space="preserve">
проверити збир!
</t>
        </r>
      </text>
    </comment>
    <comment ref="I7247" authorId="0" shapeId="0">
      <text>
        <r>
          <rPr>
            <b/>
            <sz val="9"/>
            <color indexed="81"/>
            <rFont val="Tahoma"/>
            <family val="2"/>
          </rPr>
          <t>LPA:</t>
        </r>
        <r>
          <rPr>
            <sz val="9"/>
            <color indexed="81"/>
            <rFont val="Tahoma"/>
            <family val="2"/>
          </rPr>
          <t xml:space="preserve">
проверити збир!
</t>
        </r>
      </text>
    </comment>
    <comment ref="I7248" authorId="0" shapeId="0">
      <text>
        <r>
          <rPr>
            <b/>
            <sz val="9"/>
            <color indexed="81"/>
            <rFont val="Tahoma"/>
            <family val="2"/>
          </rPr>
          <t>LPA:</t>
        </r>
        <r>
          <rPr>
            <sz val="9"/>
            <color indexed="81"/>
            <rFont val="Tahoma"/>
            <family val="2"/>
          </rPr>
          <t xml:space="preserve">
проверити збир!
</t>
        </r>
      </text>
    </comment>
    <comment ref="I7249" authorId="0" shapeId="0">
      <text>
        <r>
          <rPr>
            <b/>
            <sz val="9"/>
            <color indexed="81"/>
            <rFont val="Tahoma"/>
            <family val="2"/>
          </rPr>
          <t>LPA:</t>
        </r>
        <r>
          <rPr>
            <sz val="9"/>
            <color indexed="81"/>
            <rFont val="Tahoma"/>
            <family val="2"/>
          </rPr>
          <t xml:space="preserve">
проверити збир!
</t>
        </r>
      </text>
    </comment>
    <comment ref="I7250" authorId="0" shapeId="0">
      <text>
        <r>
          <rPr>
            <b/>
            <sz val="9"/>
            <color indexed="81"/>
            <rFont val="Tahoma"/>
            <family val="2"/>
          </rPr>
          <t>LPA:</t>
        </r>
        <r>
          <rPr>
            <sz val="9"/>
            <color indexed="81"/>
            <rFont val="Tahoma"/>
            <family val="2"/>
          </rPr>
          <t xml:space="preserve">
проверити збир!
</t>
        </r>
      </text>
    </comment>
    <comment ref="I7251" authorId="0" shapeId="0">
      <text>
        <r>
          <rPr>
            <b/>
            <sz val="9"/>
            <color indexed="81"/>
            <rFont val="Tahoma"/>
            <family val="2"/>
          </rPr>
          <t>LPA:</t>
        </r>
        <r>
          <rPr>
            <sz val="9"/>
            <color indexed="81"/>
            <rFont val="Tahoma"/>
            <family val="2"/>
          </rPr>
          <t xml:space="preserve">
проверити збир!
</t>
        </r>
      </text>
    </comment>
    <comment ref="I7252" authorId="0" shapeId="0">
      <text>
        <r>
          <rPr>
            <b/>
            <sz val="9"/>
            <color indexed="81"/>
            <rFont val="Tahoma"/>
            <family val="2"/>
          </rPr>
          <t>LPA:</t>
        </r>
        <r>
          <rPr>
            <sz val="9"/>
            <color indexed="81"/>
            <rFont val="Tahoma"/>
            <family val="2"/>
          </rPr>
          <t xml:space="preserve">
проверити збир!
</t>
        </r>
      </text>
    </comment>
    <comment ref="I7253" authorId="0" shapeId="0">
      <text>
        <r>
          <rPr>
            <b/>
            <sz val="9"/>
            <color indexed="81"/>
            <rFont val="Tahoma"/>
            <family val="2"/>
          </rPr>
          <t>LPA:</t>
        </r>
        <r>
          <rPr>
            <sz val="9"/>
            <color indexed="81"/>
            <rFont val="Tahoma"/>
            <family val="2"/>
          </rPr>
          <t xml:space="preserve">
проверити збир!
</t>
        </r>
      </text>
    </comment>
    <comment ref="H7256" authorId="0" shapeId="0">
      <text>
        <r>
          <rPr>
            <b/>
            <sz val="9"/>
            <color indexed="81"/>
            <rFont val="Tahoma"/>
            <family val="2"/>
          </rPr>
          <t>LPA:</t>
        </r>
        <r>
          <rPr>
            <sz val="9"/>
            <color indexed="81"/>
            <rFont val="Tahoma"/>
            <family val="2"/>
          </rPr>
          <t xml:space="preserve">
проверити збир!</t>
        </r>
      </text>
    </comment>
    <comment ref="I7256" authorId="0" shapeId="0">
      <text>
        <r>
          <rPr>
            <b/>
            <sz val="9"/>
            <color indexed="81"/>
            <rFont val="Tahoma"/>
            <family val="2"/>
          </rPr>
          <t>LPA:</t>
        </r>
        <r>
          <rPr>
            <sz val="9"/>
            <color indexed="81"/>
            <rFont val="Tahoma"/>
            <family val="2"/>
          </rPr>
          <t xml:space="preserve">
проверити збир!</t>
        </r>
      </text>
    </comment>
    <comment ref="I7257" authorId="0" shapeId="0">
      <text>
        <r>
          <rPr>
            <b/>
            <sz val="9"/>
            <color indexed="81"/>
            <rFont val="Tahoma"/>
            <family val="2"/>
          </rPr>
          <t>LPA:</t>
        </r>
        <r>
          <rPr>
            <sz val="9"/>
            <color indexed="81"/>
            <rFont val="Tahoma"/>
            <family val="2"/>
          </rPr>
          <t xml:space="preserve">
проверити збир!
</t>
        </r>
      </text>
    </comment>
    <comment ref="I7258" authorId="0" shapeId="0">
      <text>
        <r>
          <rPr>
            <b/>
            <sz val="9"/>
            <color indexed="81"/>
            <rFont val="Tahoma"/>
            <family val="2"/>
          </rPr>
          <t>LPA:</t>
        </r>
        <r>
          <rPr>
            <sz val="9"/>
            <color indexed="81"/>
            <rFont val="Tahoma"/>
            <family val="2"/>
          </rPr>
          <t xml:space="preserve">
проверити збир!
</t>
        </r>
      </text>
    </comment>
    <comment ref="I7259" authorId="0" shapeId="0">
      <text>
        <r>
          <rPr>
            <b/>
            <sz val="9"/>
            <color indexed="81"/>
            <rFont val="Tahoma"/>
            <family val="2"/>
          </rPr>
          <t>LPA:</t>
        </r>
        <r>
          <rPr>
            <sz val="9"/>
            <color indexed="81"/>
            <rFont val="Tahoma"/>
            <family val="2"/>
          </rPr>
          <t xml:space="preserve">
проверити збир!
</t>
        </r>
      </text>
    </comment>
    <comment ref="I7260" authorId="0" shapeId="0">
      <text>
        <r>
          <rPr>
            <b/>
            <sz val="9"/>
            <color indexed="81"/>
            <rFont val="Tahoma"/>
            <family val="2"/>
          </rPr>
          <t>LPA:</t>
        </r>
        <r>
          <rPr>
            <sz val="9"/>
            <color indexed="81"/>
            <rFont val="Tahoma"/>
            <family val="2"/>
          </rPr>
          <t xml:space="preserve">
проверити збир!
</t>
        </r>
      </text>
    </comment>
    <comment ref="I7261" authorId="0" shapeId="0">
      <text>
        <r>
          <rPr>
            <b/>
            <sz val="9"/>
            <color indexed="81"/>
            <rFont val="Tahoma"/>
            <family val="2"/>
          </rPr>
          <t>LPA:</t>
        </r>
        <r>
          <rPr>
            <sz val="9"/>
            <color indexed="81"/>
            <rFont val="Tahoma"/>
            <family val="2"/>
          </rPr>
          <t xml:space="preserve">
проверити збир!
</t>
        </r>
      </text>
    </comment>
    <comment ref="I7262" authorId="0" shapeId="0">
      <text>
        <r>
          <rPr>
            <b/>
            <sz val="9"/>
            <color indexed="81"/>
            <rFont val="Tahoma"/>
            <family val="2"/>
          </rPr>
          <t>LPA:</t>
        </r>
        <r>
          <rPr>
            <sz val="9"/>
            <color indexed="81"/>
            <rFont val="Tahoma"/>
            <family val="2"/>
          </rPr>
          <t xml:space="preserve">
проверити збир!
</t>
        </r>
      </text>
    </comment>
    <comment ref="I7263" authorId="0" shapeId="0">
      <text>
        <r>
          <rPr>
            <b/>
            <sz val="9"/>
            <color indexed="81"/>
            <rFont val="Tahoma"/>
            <family val="2"/>
          </rPr>
          <t>LPA:</t>
        </r>
        <r>
          <rPr>
            <sz val="9"/>
            <color indexed="81"/>
            <rFont val="Tahoma"/>
            <family val="2"/>
          </rPr>
          <t xml:space="preserve">
проверити збир!
</t>
        </r>
      </text>
    </comment>
    <comment ref="I7264" authorId="0" shapeId="0">
      <text>
        <r>
          <rPr>
            <b/>
            <sz val="9"/>
            <color indexed="81"/>
            <rFont val="Tahoma"/>
            <family val="2"/>
          </rPr>
          <t>LPA:</t>
        </r>
        <r>
          <rPr>
            <sz val="9"/>
            <color indexed="81"/>
            <rFont val="Tahoma"/>
            <family val="2"/>
          </rPr>
          <t xml:space="preserve">
проверити збир!
</t>
        </r>
      </text>
    </comment>
    <comment ref="I7265" authorId="0" shapeId="0">
      <text>
        <r>
          <rPr>
            <b/>
            <sz val="9"/>
            <color indexed="81"/>
            <rFont val="Tahoma"/>
            <family val="2"/>
          </rPr>
          <t>LPA:</t>
        </r>
        <r>
          <rPr>
            <sz val="9"/>
            <color indexed="81"/>
            <rFont val="Tahoma"/>
            <family val="2"/>
          </rPr>
          <t xml:space="preserve">
проверити збир!
</t>
        </r>
      </text>
    </comment>
    <comment ref="I7266" authorId="0" shapeId="0">
      <text>
        <r>
          <rPr>
            <b/>
            <sz val="9"/>
            <color indexed="81"/>
            <rFont val="Tahoma"/>
            <family val="2"/>
          </rPr>
          <t>LPA:</t>
        </r>
        <r>
          <rPr>
            <sz val="9"/>
            <color indexed="81"/>
            <rFont val="Tahoma"/>
            <family val="2"/>
          </rPr>
          <t xml:space="preserve">
проверити збир!
</t>
        </r>
      </text>
    </comment>
    <comment ref="I7267" authorId="0" shapeId="0">
      <text>
        <r>
          <rPr>
            <b/>
            <sz val="9"/>
            <color indexed="81"/>
            <rFont val="Tahoma"/>
            <family val="2"/>
          </rPr>
          <t>LPA:</t>
        </r>
        <r>
          <rPr>
            <sz val="9"/>
            <color indexed="81"/>
            <rFont val="Tahoma"/>
            <family val="2"/>
          </rPr>
          <t xml:space="preserve">
проверити збир!
</t>
        </r>
      </text>
    </comment>
    <comment ref="I7268" authorId="0" shapeId="0">
      <text>
        <r>
          <rPr>
            <b/>
            <sz val="9"/>
            <color indexed="81"/>
            <rFont val="Tahoma"/>
            <family val="2"/>
          </rPr>
          <t>LPA:</t>
        </r>
        <r>
          <rPr>
            <sz val="9"/>
            <color indexed="81"/>
            <rFont val="Tahoma"/>
            <family val="2"/>
          </rPr>
          <t xml:space="preserve">
проверити збир!
</t>
        </r>
      </text>
    </comment>
    <comment ref="I7269" authorId="0" shapeId="0">
      <text>
        <r>
          <rPr>
            <b/>
            <sz val="9"/>
            <color indexed="81"/>
            <rFont val="Tahoma"/>
            <family val="2"/>
          </rPr>
          <t>LPA:</t>
        </r>
        <r>
          <rPr>
            <sz val="9"/>
            <color indexed="81"/>
            <rFont val="Tahoma"/>
            <family val="2"/>
          </rPr>
          <t xml:space="preserve">
проверити збир!
</t>
        </r>
      </text>
    </comment>
    <comment ref="I7270" authorId="0" shapeId="0">
      <text>
        <r>
          <rPr>
            <b/>
            <sz val="9"/>
            <color indexed="81"/>
            <rFont val="Tahoma"/>
            <family val="2"/>
          </rPr>
          <t>LPA:</t>
        </r>
        <r>
          <rPr>
            <sz val="9"/>
            <color indexed="81"/>
            <rFont val="Tahoma"/>
            <family val="2"/>
          </rPr>
          <t xml:space="preserve">
проверити збир!
</t>
        </r>
      </text>
    </comment>
    <comment ref="I7271" authorId="0" shapeId="0">
      <text>
        <r>
          <rPr>
            <b/>
            <sz val="9"/>
            <color indexed="81"/>
            <rFont val="Tahoma"/>
            <family val="2"/>
          </rPr>
          <t>LPA:</t>
        </r>
        <r>
          <rPr>
            <sz val="9"/>
            <color indexed="81"/>
            <rFont val="Tahoma"/>
            <family val="2"/>
          </rPr>
          <t xml:space="preserve">
проверити збир!
</t>
        </r>
      </text>
    </comment>
    <comment ref="I7340" authorId="0" shapeId="0">
      <text>
        <r>
          <rPr>
            <b/>
            <sz val="9"/>
            <color indexed="81"/>
            <rFont val="Tahoma"/>
            <family val="2"/>
          </rPr>
          <t>LPA:</t>
        </r>
        <r>
          <rPr>
            <sz val="9"/>
            <color indexed="81"/>
            <rFont val="Tahoma"/>
            <family val="2"/>
          </rPr>
          <t xml:space="preserve">
проверити збир!
</t>
        </r>
      </text>
    </comment>
    <comment ref="I7341" authorId="0" shapeId="0">
      <text>
        <r>
          <rPr>
            <b/>
            <sz val="9"/>
            <color indexed="81"/>
            <rFont val="Tahoma"/>
            <family val="2"/>
          </rPr>
          <t>LPA:</t>
        </r>
        <r>
          <rPr>
            <sz val="9"/>
            <color indexed="81"/>
            <rFont val="Tahoma"/>
            <family val="2"/>
          </rPr>
          <t xml:space="preserve">
проверити збир!
</t>
        </r>
      </text>
    </comment>
    <comment ref="I7342" authorId="0" shapeId="0">
      <text>
        <r>
          <rPr>
            <b/>
            <sz val="9"/>
            <color indexed="81"/>
            <rFont val="Tahoma"/>
            <family val="2"/>
          </rPr>
          <t>LPA:</t>
        </r>
        <r>
          <rPr>
            <sz val="9"/>
            <color indexed="81"/>
            <rFont val="Tahoma"/>
            <family val="2"/>
          </rPr>
          <t xml:space="preserve">
проверити збир!
</t>
        </r>
      </text>
    </comment>
    <comment ref="I7343" authorId="0" shapeId="0">
      <text>
        <r>
          <rPr>
            <b/>
            <sz val="9"/>
            <color indexed="81"/>
            <rFont val="Tahoma"/>
            <family val="2"/>
          </rPr>
          <t>LPA:</t>
        </r>
        <r>
          <rPr>
            <sz val="9"/>
            <color indexed="81"/>
            <rFont val="Tahoma"/>
            <family val="2"/>
          </rPr>
          <t xml:space="preserve">
проверити збир!
</t>
        </r>
      </text>
    </comment>
    <comment ref="I7344" authorId="0" shapeId="0">
      <text>
        <r>
          <rPr>
            <b/>
            <sz val="9"/>
            <color indexed="81"/>
            <rFont val="Tahoma"/>
            <family val="2"/>
          </rPr>
          <t>LPA:</t>
        </r>
        <r>
          <rPr>
            <sz val="9"/>
            <color indexed="81"/>
            <rFont val="Tahoma"/>
            <family val="2"/>
          </rPr>
          <t xml:space="preserve">
проверити збир!
</t>
        </r>
      </text>
    </comment>
    <comment ref="I7345" authorId="0" shapeId="0">
      <text>
        <r>
          <rPr>
            <b/>
            <sz val="9"/>
            <color indexed="81"/>
            <rFont val="Tahoma"/>
            <family val="2"/>
          </rPr>
          <t>LPA:</t>
        </r>
        <r>
          <rPr>
            <sz val="9"/>
            <color indexed="81"/>
            <rFont val="Tahoma"/>
            <family val="2"/>
          </rPr>
          <t xml:space="preserve">
проверити збир!
</t>
        </r>
      </text>
    </comment>
    <comment ref="I7346" authorId="0" shapeId="0">
      <text>
        <r>
          <rPr>
            <b/>
            <sz val="9"/>
            <color indexed="81"/>
            <rFont val="Tahoma"/>
            <family val="2"/>
          </rPr>
          <t>LPA:</t>
        </r>
        <r>
          <rPr>
            <sz val="9"/>
            <color indexed="81"/>
            <rFont val="Tahoma"/>
            <family val="2"/>
          </rPr>
          <t xml:space="preserve">
проверити збир!
</t>
        </r>
      </text>
    </comment>
    <comment ref="I7347" authorId="0" shapeId="0">
      <text>
        <r>
          <rPr>
            <b/>
            <sz val="9"/>
            <color indexed="81"/>
            <rFont val="Tahoma"/>
            <family val="2"/>
          </rPr>
          <t>LPA:</t>
        </r>
        <r>
          <rPr>
            <sz val="9"/>
            <color indexed="81"/>
            <rFont val="Tahoma"/>
            <family val="2"/>
          </rPr>
          <t xml:space="preserve">
проверити збир!
</t>
        </r>
      </text>
    </comment>
    <comment ref="I7348" authorId="0" shapeId="0">
      <text>
        <r>
          <rPr>
            <b/>
            <sz val="9"/>
            <color indexed="81"/>
            <rFont val="Tahoma"/>
            <family val="2"/>
          </rPr>
          <t>LPA:</t>
        </r>
        <r>
          <rPr>
            <sz val="9"/>
            <color indexed="81"/>
            <rFont val="Tahoma"/>
            <family val="2"/>
          </rPr>
          <t xml:space="preserve">
проверити збир!
</t>
        </r>
      </text>
    </comment>
    <comment ref="I7349" authorId="0" shapeId="0">
      <text>
        <r>
          <rPr>
            <b/>
            <sz val="9"/>
            <color indexed="81"/>
            <rFont val="Tahoma"/>
            <family val="2"/>
          </rPr>
          <t>LPA:</t>
        </r>
        <r>
          <rPr>
            <sz val="9"/>
            <color indexed="81"/>
            <rFont val="Tahoma"/>
            <family val="2"/>
          </rPr>
          <t xml:space="preserve">
проверити збир!
</t>
        </r>
      </text>
    </comment>
    <comment ref="I7350" authorId="0" shapeId="0">
      <text>
        <r>
          <rPr>
            <b/>
            <sz val="9"/>
            <color indexed="81"/>
            <rFont val="Tahoma"/>
            <family val="2"/>
          </rPr>
          <t>LPA:</t>
        </r>
        <r>
          <rPr>
            <sz val="9"/>
            <color indexed="81"/>
            <rFont val="Tahoma"/>
            <family val="2"/>
          </rPr>
          <t xml:space="preserve">
проверити збир!
</t>
        </r>
      </text>
    </comment>
    <comment ref="I7351" authorId="0" shapeId="0">
      <text>
        <r>
          <rPr>
            <b/>
            <sz val="9"/>
            <color indexed="81"/>
            <rFont val="Tahoma"/>
            <family val="2"/>
          </rPr>
          <t>LPA:</t>
        </r>
        <r>
          <rPr>
            <sz val="9"/>
            <color indexed="81"/>
            <rFont val="Tahoma"/>
            <family val="2"/>
          </rPr>
          <t xml:space="preserve">
проверити збир!
</t>
        </r>
      </text>
    </comment>
    <comment ref="I7352" authorId="0" shapeId="0">
      <text>
        <r>
          <rPr>
            <b/>
            <sz val="9"/>
            <color indexed="81"/>
            <rFont val="Tahoma"/>
            <family val="2"/>
          </rPr>
          <t>LPA:</t>
        </r>
        <r>
          <rPr>
            <sz val="9"/>
            <color indexed="81"/>
            <rFont val="Tahoma"/>
            <family val="2"/>
          </rPr>
          <t xml:space="preserve">
проверити збир!
</t>
        </r>
      </text>
    </comment>
    <comment ref="H7355" authorId="0" shapeId="0">
      <text>
        <r>
          <rPr>
            <b/>
            <sz val="9"/>
            <color indexed="81"/>
            <rFont val="Tahoma"/>
            <family val="2"/>
          </rPr>
          <t>LPA:</t>
        </r>
        <r>
          <rPr>
            <sz val="9"/>
            <color indexed="81"/>
            <rFont val="Tahoma"/>
            <family val="2"/>
          </rPr>
          <t xml:space="preserve">
проверити збир!</t>
        </r>
      </text>
    </comment>
    <comment ref="I7355" authorId="0" shapeId="0">
      <text>
        <r>
          <rPr>
            <b/>
            <sz val="9"/>
            <color indexed="81"/>
            <rFont val="Tahoma"/>
            <family val="2"/>
          </rPr>
          <t>LPA:</t>
        </r>
        <r>
          <rPr>
            <sz val="9"/>
            <color indexed="81"/>
            <rFont val="Tahoma"/>
            <family val="2"/>
          </rPr>
          <t xml:space="preserve">
проверити збир!</t>
        </r>
      </text>
    </comment>
    <comment ref="I7356" authorId="0" shapeId="0">
      <text>
        <r>
          <rPr>
            <b/>
            <sz val="9"/>
            <color indexed="81"/>
            <rFont val="Tahoma"/>
            <family val="2"/>
          </rPr>
          <t>LPA:</t>
        </r>
        <r>
          <rPr>
            <sz val="9"/>
            <color indexed="81"/>
            <rFont val="Tahoma"/>
            <family val="2"/>
          </rPr>
          <t xml:space="preserve">
проверити збир!
</t>
        </r>
      </text>
    </comment>
    <comment ref="I7357" authorId="0" shapeId="0">
      <text>
        <r>
          <rPr>
            <b/>
            <sz val="9"/>
            <color indexed="81"/>
            <rFont val="Tahoma"/>
            <family val="2"/>
          </rPr>
          <t>LPA:</t>
        </r>
        <r>
          <rPr>
            <sz val="9"/>
            <color indexed="81"/>
            <rFont val="Tahoma"/>
            <family val="2"/>
          </rPr>
          <t xml:space="preserve">
проверити збир!
</t>
        </r>
      </text>
    </comment>
    <comment ref="I7358" authorId="0" shapeId="0">
      <text>
        <r>
          <rPr>
            <b/>
            <sz val="9"/>
            <color indexed="81"/>
            <rFont val="Tahoma"/>
            <family val="2"/>
          </rPr>
          <t>LPA:</t>
        </r>
        <r>
          <rPr>
            <sz val="9"/>
            <color indexed="81"/>
            <rFont val="Tahoma"/>
            <family val="2"/>
          </rPr>
          <t xml:space="preserve">
проверити збир!
</t>
        </r>
      </text>
    </comment>
    <comment ref="I7359" authorId="0" shapeId="0">
      <text>
        <r>
          <rPr>
            <b/>
            <sz val="9"/>
            <color indexed="81"/>
            <rFont val="Tahoma"/>
            <family val="2"/>
          </rPr>
          <t>LPA:</t>
        </r>
        <r>
          <rPr>
            <sz val="9"/>
            <color indexed="81"/>
            <rFont val="Tahoma"/>
            <family val="2"/>
          </rPr>
          <t xml:space="preserve">
проверити збир!
</t>
        </r>
      </text>
    </comment>
    <comment ref="I7360" authorId="0" shapeId="0">
      <text>
        <r>
          <rPr>
            <b/>
            <sz val="9"/>
            <color indexed="81"/>
            <rFont val="Tahoma"/>
            <family val="2"/>
          </rPr>
          <t>LPA:</t>
        </r>
        <r>
          <rPr>
            <sz val="9"/>
            <color indexed="81"/>
            <rFont val="Tahoma"/>
            <family val="2"/>
          </rPr>
          <t xml:space="preserve">
проверити збир!
</t>
        </r>
      </text>
    </comment>
    <comment ref="I7361" authorId="0" shapeId="0">
      <text>
        <r>
          <rPr>
            <b/>
            <sz val="9"/>
            <color indexed="81"/>
            <rFont val="Tahoma"/>
            <family val="2"/>
          </rPr>
          <t>LPA:</t>
        </r>
        <r>
          <rPr>
            <sz val="9"/>
            <color indexed="81"/>
            <rFont val="Tahoma"/>
            <family val="2"/>
          </rPr>
          <t xml:space="preserve">
проверити збир!
</t>
        </r>
      </text>
    </comment>
    <comment ref="I7362" authorId="0" shapeId="0">
      <text>
        <r>
          <rPr>
            <b/>
            <sz val="9"/>
            <color indexed="81"/>
            <rFont val="Tahoma"/>
            <family val="2"/>
          </rPr>
          <t>LPA:</t>
        </r>
        <r>
          <rPr>
            <sz val="9"/>
            <color indexed="81"/>
            <rFont val="Tahoma"/>
            <family val="2"/>
          </rPr>
          <t xml:space="preserve">
проверити збир!
</t>
        </r>
      </text>
    </comment>
    <comment ref="I7363" authorId="0" shapeId="0">
      <text>
        <r>
          <rPr>
            <b/>
            <sz val="9"/>
            <color indexed="81"/>
            <rFont val="Tahoma"/>
            <family val="2"/>
          </rPr>
          <t>LPA:</t>
        </r>
        <r>
          <rPr>
            <sz val="9"/>
            <color indexed="81"/>
            <rFont val="Tahoma"/>
            <family val="2"/>
          </rPr>
          <t xml:space="preserve">
проверити збир!
</t>
        </r>
      </text>
    </comment>
    <comment ref="I7364" authorId="0" shapeId="0">
      <text>
        <r>
          <rPr>
            <b/>
            <sz val="9"/>
            <color indexed="81"/>
            <rFont val="Tahoma"/>
            <family val="2"/>
          </rPr>
          <t>LPA:</t>
        </r>
        <r>
          <rPr>
            <sz val="9"/>
            <color indexed="81"/>
            <rFont val="Tahoma"/>
            <family val="2"/>
          </rPr>
          <t xml:space="preserve">
проверити збир!
</t>
        </r>
      </text>
    </comment>
    <comment ref="I7365" authorId="0" shapeId="0">
      <text>
        <r>
          <rPr>
            <b/>
            <sz val="9"/>
            <color indexed="81"/>
            <rFont val="Tahoma"/>
            <family val="2"/>
          </rPr>
          <t>LPA:</t>
        </r>
        <r>
          <rPr>
            <sz val="9"/>
            <color indexed="81"/>
            <rFont val="Tahoma"/>
            <family val="2"/>
          </rPr>
          <t xml:space="preserve">
проверити збир!
</t>
        </r>
      </text>
    </comment>
    <comment ref="I7366" authorId="0" shapeId="0">
      <text>
        <r>
          <rPr>
            <b/>
            <sz val="9"/>
            <color indexed="81"/>
            <rFont val="Tahoma"/>
            <family val="2"/>
          </rPr>
          <t>LPA:</t>
        </r>
        <r>
          <rPr>
            <sz val="9"/>
            <color indexed="81"/>
            <rFont val="Tahoma"/>
            <family val="2"/>
          </rPr>
          <t xml:space="preserve">
проверити збир!
</t>
        </r>
      </text>
    </comment>
    <comment ref="I7367" authorId="0" shapeId="0">
      <text>
        <r>
          <rPr>
            <b/>
            <sz val="9"/>
            <color indexed="81"/>
            <rFont val="Tahoma"/>
            <family val="2"/>
          </rPr>
          <t>LPA:</t>
        </r>
        <r>
          <rPr>
            <sz val="9"/>
            <color indexed="81"/>
            <rFont val="Tahoma"/>
            <family val="2"/>
          </rPr>
          <t xml:space="preserve">
проверити збир!
</t>
        </r>
      </text>
    </comment>
    <comment ref="I7368" authorId="0" shapeId="0">
      <text>
        <r>
          <rPr>
            <b/>
            <sz val="9"/>
            <color indexed="81"/>
            <rFont val="Tahoma"/>
            <family val="2"/>
          </rPr>
          <t>LPA:</t>
        </r>
        <r>
          <rPr>
            <sz val="9"/>
            <color indexed="81"/>
            <rFont val="Tahoma"/>
            <family val="2"/>
          </rPr>
          <t xml:space="preserve">
проверити збир!
</t>
        </r>
      </text>
    </comment>
    <comment ref="I7369" authorId="0" shapeId="0">
      <text>
        <r>
          <rPr>
            <b/>
            <sz val="9"/>
            <color indexed="81"/>
            <rFont val="Tahoma"/>
            <family val="2"/>
          </rPr>
          <t>LPA:</t>
        </r>
        <r>
          <rPr>
            <sz val="9"/>
            <color indexed="81"/>
            <rFont val="Tahoma"/>
            <family val="2"/>
          </rPr>
          <t xml:space="preserve">
проверити збир!
</t>
        </r>
      </text>
    </comment>
    <comment ref="I7370" authorId="0" shapeId="0">
      <text>
        <r>
          <rPr>
            <b/>
            <sz val="9"/>
            <color indexed="81"/>
            <rFont val="Tahoma"/>
            <family val="2"/>
          </rPr>
          <t>LPA:</t>
        </r>
        <r>
          <rPr>
            <sz val="9"/>
            <color indexed="81"/>
            <rFont val="Tahoma"/>
            <family val="2"/>
          </rPr>
          <t xml:space="preserve">
проверити збир!
</t>
        </r>
      </text>
    </comment>
    <comment ref="H7374" authorId="0" shapeId="0">
      <text>
        <r>
          <rPr>
            <b/>
            <sz val="9"/>
            <color indexed="81"/>
            <rFont val="Tahoma"/>
            <family val="2"/>
          </rPr>
          <t>LPA:</t>
        </r>
        <r>
          <rPr>
            <sz val="9"/>
            <color indexed="81"/>
            <rFont val="Tahoma"/>
            <family val="2"/>
          </rPr>
          <t xml:space="preserve">
проверити збир!</t>
        </r>
      </text>
    </comment>
    <comment ref="I7374" authorId="0" shapeId="0">
      <text>
        <r>
          <rPr>
            <b/>
            <sz val="9"/>
            <color indexed="81"/>
            <rFont val="Tahoma"/>
            <family val="2"/>
          </rPr>
          <t>LPA:</t>
        </r>
        <r>
          <rPr>
            <sz val="9"/>
            <color indexed="81"/>
            <rFont val="Tahoma"/>
            <family val="2"/>
          </rPr>
          <t xml:space="preserve">
проверити збир!
</t>
        </r>
      </text>
    </comment>
    <comment ref="I7375" authorId="0" shapeId="0">
      <text>
        <r>
          <rPr>
            <b/>
            <sz val="9"/>
            <color indexed="81"/>
            <rFont val="Tahoma"/>
            <family val="2"/>
          </rPr>
          <t>LPA:</t>
        </r>
        <r>
          <rPr>
            <sz val="9"/>
            <color indexed="81"/>
            <rFont val="Tahoma"/>
            <family val="2"/>
          </rPr>
          <t xml:space="preserve">
проверити збир!
</t>
        </r>
      </text>
    </comment>
    <comment ref="I7376" authorId="0" shapeId="0">
      <text>
        <r>
          <rPr>
            <b/>
            <sz val="9"/>
            <color indexed="81"/>
            <rFont val="Tahoma"/>
            <family val="2"/>
          </rPr>
          <t>LPA:</t>
        </r>
        <r>
          <rPr>
            <sz val="9"/>
            <color indexed="81"/>
            <rFont val="Tahoma"/>
            <family val="2"/>
          </rPr>
          <t xml:space="preserve">
проверити збир!
</t>
        </r>
      </text>
    </comment>
    <comment ref="I7377" authorId="0" shapeId="0">
      <text>
        <r>
          <rPr>
            <b/>
            <sz val="9"/>
            <color indexed="81"/>
            <rFont val="Tahoma"/>
            <family val="2"/>
          </rPr>
          <t>LPA:</t>
        </r>
        <r>
          <rPr>
            <sz val="9"/>
            <color indexed="81"/>
            <rFont val="Tahoma"/>
            <family val="2"/>
          </rPr>
          <t xml:space="preserve">
проверити збир!
</t>
        </r>
      </text>
    </comment>
    <comment ref="I7378" authorId="0" shapeId="0">
      <text>
        <r>
          <rPr>
            <b/>
            <sz val="9"/>
            <color indexed="81"/>
            <rFont val="Tahoma"/>
            <family val="2"/>
          </rPr>
          <t>LPA:</t>
        </r>
        <r>
          <rPr>
            <sz val="9"/>
            <color indexed="81"/>
            <rFont val="Tahoma"/>
            <family val="2"/>
          </rPr>
          <t xml:space="preserve">
проверити збир!
</t>
        </r>
      </text>
    </comment>
    <comment ref="I7379" authorId="0" shapeId="0">
      <text>
        <r>
          <rPr>
            <b/>
            <sz val="9"/>
            <color indexed="81"/>
            <rFont val="Tahoma"/>
            <family val="2"/>
          </rPr>
          <t>LPA:</t>
        </r>
        <r>
          <rPr>
            <sz val="9"/>
            <color indexed="81"/>
            <rFont val="Tahoma"/>
            <family val="2"/>
          </rPr>
          <t xml:space="preserve">
проверити збир!
</t>
        </r>
      </text>
    </comment>
    <comment ref="I7380" authorId="0" shapeId="0">
      <text>
        <r>
          <rPr>
            <b/>
            <sz val="9"/>
            <color indexed="81"/>
            <rFont val="Tahoma"/>
            <family val="2"/>
          </rPr>
          <t>LPA:</t>
        </r>
        <r>
          <rPr>
            <sz val="9"/>
            <color indexed="81"/>
            <rFont val="Tahoma"/>
            <family val="2"/>
          </rPr>
          <t xml:space="preserve">
проверити збир!
</t>
        </r>
      </text>
    </comment>
    <comment ref="I7381" authorId="0" shapeId="0">
      <text>
        <r>
          <rPr>
            <b/>
            <sz val="9"/>
            <color indexed="81"/>
            <rFont val="Tahoma"/>
            <family val="2"/>
          </rPr>
          <t>LPA:</t>
        </r>
        <r>
          <rPr>
            <sz val="9"/>
            <color indexed="81"/>
            <rFont val="Tahoma"/>
            <family val="2"/>
          </rPr>
          <t xml:space="preserve">
проверити збир!
</t>
        </r>
      </text>
    </comment>
    <comment ref="I7382" authorId="0" shapeId="0">
      <text>
        <r>
          <rPr>
            <b/>
            <sz val="9"/>
            <color indexed="81"/>
            <rFont val="Tahoma"/>
            <family val="2"/>
          </rPr>
          <t>LPA:</t>
        </r>
        <r>
          <rPr>
            <sz val="9"/>
            <color indexed="81"/>
            <rFont val="Tahoma"/>
            <family val="2"/>
          </rPr>
          <t xml:space="preserve">
проверити збир!
</t>
        </r>
      </text>
    </comment>
    <comment ref="I7383" authorId="0" shapeId="0">
      <text>
        <r>
          <rPr>
            <b/>
            <sz val="9"/>
            <color indexed="81"/>
            <rFont val="Tahoma"/>
            <family val="2"/>
          </rPr>
          <t>LPA:</t>
        </r>
        <r>
          <rPr>
            <sz val="9"/>
            <color indexed="81"/>
            <rFont val="Tahoma"/>
            <family val="2"/>
          </rPr>
          <t xml:space="preserve">
проверити збир!
</t>
        </r>
      </text>
    </comment>
    <comment ref="I7384" authorId="0" shapeId="0">
      <text>
        <r>
          <rPr>
            <b/>
            <sz val="9"/>
            <color indexed="81"/>
            <rFont val="Tahoma"/>
            <family val="2"/>
          </rPr>
          <t>LPA:</t>
        </r>
        <r>
          <rPr>
            <sz val="9"/>
            <color indexed="81"/>
            <rFont val="Tahoma"/>
            <family val="2"/>
          </rPr>
          <t xml:space="preserve">
проверити збир!
</t>
        </r>
      </text>
    </comment>
    <comment ref="I7385" authorId="0" shapeId="0">
      <text>
        <r>
          <rPr>
            <b/>
            <sz val="9"/>
            <color indexed="81"/>
            <rFont val="Tahoma"/>
            <family val="2"/>
          </rPr>
          <t>LPA:</t>
        </r>
        <r>
          <rPr>
            <sz val="9"/>
            <color indexed="81"/>
            <rFont val="Tahoma"/>
            <family val="2"/>
          </rPr>
          <t xml:space="preserve">
проверити збир!
</t>
        </r>
      </text>
    </comment>
    <comment ref="I7386" authorId="0" shapeId="0">
      <text>
        <r>
          <rPr>
            <b/>
            <sz val="9"/>
            <color indexed="81"/>
            <rFont val="Tahoma"/>
            <family val="2"/>
          </rPr>
          <t>LPA:</t>
        </r>
        <r>
          <rPr>
            <sz val="9"/>
            <color indexed="81"/>
            <rFont val="Tahoma"/>
            <family val="2"/>
          </rPr>
          <t xml:space="preserve">
проверити збир!
</t>
        </r>
      </text>
    </comment>
    <comment ref="I7387" authorId="0" shapeId="0">
      <text>
        <r>
          <rPr>
            <b/>
            <sz val="9"/>
            <color indexed="81"/>
            <rFont val="Tahoma"/>
            <family val="2"/>
          </rPr>
          <t>LPA:</t>
        </r>
        <r>
          <rPr>
            <sz val="9"/>
            <color indexed="81"/>
            <rFont val="Tahoma"/>
            <family val="2"/>
          </rPr>
          <t xml:space="preserve">
проверити збир!
</t>
        </r>
      </text>
    </comment>
    <comment ref="I7388" authorId="0" shapeId="0">
      <text>
        <r>
          <rPr>
            <b/>
            <sz val="9"/>
            <color indexed="81"/>
            <rFont val="Tahoma"/>
            <family val="2"/>
          </rPr>
          <t>LPA:</t>
        </r>
        <r>
          <rPr>
            <sz val="9"/>
            <color indexed="81"/>
            <rFont val="Tahoma"/>
            <family val="2"/>
          </rPr>
          <t xml:space="preserve">
проверити збир!
</t>
        </r>
      </text>
    </comment>
    <comment ref="I7389" authorId="0" shapeId="0">
      <text>
        <r>
          <rPr>
            <b/>
            <sz val="9"/>
            <color indexed="81"/>
            <rFont val="Tahoma"/>
            <family val="2"/>
          </rPr>
          <t>LPA:</t>
        </r>
        <r>
          <rPr>
            <sz val="9"/>
            <color indexed="81"/>
            <rFont val="Tahoma"/>
            <family val="2"/>
          </rPr>
          <t xml:space="preserve">
проверити збир!
</t>
        </r>
      </text>
    </comment>
    <comment ref="H7393" authorId="0" shapeId="0">
      <text>
        <r>
          <rPr>
            <b/>
            <sz val="9"/>
            <color indexed="81"/>
            <rFont val="Tahoma"/>
            <family val="2"/>
          </rPr>
          <t>LPA:</t>
        </r>
        <r>
          <rPr>
            <sz val="9"/>
            <color indexed="81"/>
            <rFont val="Tahoma"/>
            <family val="2"/>
          </rPr>
          <t xml:space="preserve">
проверити збир!</t>
        </r>
      </text>
    </comment>
    <comment ref="I7393" authorId="0" shapeId="0">
      <text>
        <r>
          <rPr>
            <b/>
            <sz val="9"/>
            <color indexed="81"/>
            <rFont val="Tahoma"/>
            <family val="2"/>
          </rPr>
          <t>LPA:</t>
        </r>
        <r>
          <rPr>
            <sz val="9"/>
            <color indexed="81"/>
            <rFont val="Tahoma"/>
            <family val="2"/>
          </rPr>
          <t xml:space="preserve">
проверити збир!
</t>
        </r>
      </text>
    </comment>
    <comment ref="I7394" authorId="0" shapeId="0">
      <text>
        <r>
          <rPr>
            <b/>
            <sz val="9"/>
            <color indexed="81"/>
            <rFont val="Tahoma"/>
            <family val="2"/>
          </rPr>
          <t>LPA:</t>
        </r>
        <r>
          <rPr>
            <sz val="9"/>
            <color indexed="81"/>
            <rFont val="Tahoma"/>
            <family val="2"/>
          </rPr>
          <t xml:space="preserve">
проверити збир!
</t>
        </r>
      </text>
    </comment>
    <comment ref="I7395" authorId="0" shapeId="0">
      <text>
        <r>
          <rPr>
            <b/>
            <sz val="9"/>
            <color indexed="81"/>
            <rFont val="Tahoma"/>
            <family val="2"/>
          </rPr>
          <t>LPA:</t>
        </r>
        <r>
          <rPr>
            <sz val="9"/>
            <color indexed="81"/>
            <rFont val="Tahoma"/>
            <family val="2"/>
          </rPr>
          <t xml:space="preserve">
проверити збир!
</t>
        </r>
      </text>
    </comment>
    <comment ref="I7396" authorId="0" shapeId="0">
      <text>
        <r>
          <rPr>
            <b/>
            <sz val="9"/>
            <color indexed="81"/>
            <rFont val="Tahoma"/>
            <family val="2"/>
          </rPr>
          <t>LPA:</t>
        </r>
        <r>
          <rPr>
            <sz val="9"/>
            <color indexed="81"/>
            <rFont val="Tahoma"/>
            <family val="2"/>
          </rPr>
          <t xml:space="preserve">
проверити збир!
</t>
        </r>
      </text>
    </comment>
    <comment ref="I7397" authorId="0" shapeId="0">
      <text>
        <r>
          <rPr>
            <b/>
            <sz val="9"/>
            <color indexed="81"/>
            <rFont val="Tahoma"/>
            <family val="2"/>
          </rPr>
          <t>LPA:</t>
        </r>
        <r>
          <rPr>
            <sz val="9"/>
            <color indexed="81"/>
            <rFont val="Tahoma"/>
            <family val="2"/>
          </rPr>
          <t xml:space="preserve">
проверити збир!
</t>
        </r>
      </text>
    </comment>
    <comment ref="I7398" authorId="0" shapeId="0">
      <text>
        <r>
          <rPr>
            <b/>
            <sz val="9"/>
            <color indexed="81"/>
            <rFont val="Tahoma"/>
            <family val="2"/>
          </rPr>
          <t>LPA:</t>
        </r>
        <r>
          <rPr>
            <sz val="9"/>
            <color indexed="81"/>
            <rFont val="Tahoma"/>
            <family val="2"/>
          </rPr>
          <t xml:space="preserve">
проверити збир!
</t>
        </r>
      </text>
    </comment>
    <comment ref="I7399" authorId="0" shapeId="0">
      <text>
        <r>
          <rPr>
            <b/>
            <sz val="9"/>
            <color indexed="81"/>
            <rFont val="Tahoma"/>
            <family val="2"/>
          </rPr>
          <t>LPA:</t>
        </r>
        <r>
          <rPr>
            <sz val="9"/>
            <color indexed="81"/>
            <rFont val="Tahoma"/>
            <family val="2"/>
          </rPr>
          <t xml:space="preserve">
проверити збир!
</t>
        </r>
      </text>
    </comment>
    <comment ref="I7400" authorId="0" shapeId="0">
      <text>
        <r>
          <rPr>
            <b/>
            <sz val="9"/>
            <color indexed="81"/>
            <rFont val="Tahoma"/>
            <family val="2"/>
          </rPr>
          <t>LPA:</t>
        </r>
        <r>
          <rPr>
            <sz val="9"/>
            <color indexed="81"/>
            <rFont val="Tahoma"/>
            <family val="2"/>
          </rPr>
          <t xml:space="preserve">
проверити збир!
</t>
        </r>
      </text>
    </comment>
    <comment ref="I7401" authorId="0" shapeId="0">
      <text>
        <r>
          <rPr>
            <b/>
            <sz val="9"/>
            <color indexed="81"/>
            <rFont val="Tahoma"/>
            <family val="2"/>
          </rPr>
          <t>LPA:</t>
        </r>
        <r>
          <rPr>
            <sz val="9"/>
            <color indexed="81"/>
            <rFont val="Tahoma"/>
            <family val="2"/>
          </rPr>
          <t xml:space="preserve">
проверити збир!
</t>
        </r>
      </text>
    </comment>
    <comment ref="I7402" authorId="0" shapeId="0">
      <text>
        <r>
          <rPr>
            <b/>
            <sz val="9"/>
            <color indexed="81"/>
            <rFont val="Tahoma"/>
            <family val="2"/>
          </rPr>
          <t>LPA:</t>
        </r>
        <r>
          <rPr>
            <sz val="9"/>
            <color indexed="81"/>
            <rFont val="Tahoma"/>
            <family val="2"/>
          </rPr>
          <t xml:space="preserve">
проверити збир!
</t>
        </r>
      </text>
    </comment>
    <comment ref="I7403" authorId="0" shapeId="0">
      <text>
        <r>
          <rPr>
            <b/>
            <sz val="9"/>
            <color indexed="81"/>
            <rFont val="Tahoma"/>
            <family val="2"/>
          </rPr>
          <t>LPA:</t>
        </r>
        <r>
          <rPr>
            <sz val="9"/>
            <color indexed="81"/>
            <rFont val="Tahoma"/>
            <family val="2"/>
          </rPr>
          <t xml:space="preserve">
проверити збир!
</t>
        </r>
      </text>
    </comment>
    <comment ref="I7404" authorId="0" shapeId="0">
      <text>
        <r>
          <rPr>
            <b/>
            <sz val="9"/>
            <color indexed="81"/>
            <rFont val="Tahoma"/>
            <family val="2"/>
          </rPr>
          <t>LPA:</t>
        </r>
        <r>
          <rPr>
            <sz val="9"/>
            <color indexed="81"/>
            <rFont val="Tahoma"/>
            <family val="2"/>
          </rPr>
          <t xml:space="preserve">
проверити збир!
</t>
        </r>
      </text>
    </comment>
    <comment ref="I7405" authorId="0" shapeId="0">
      <text>
        <r>
          <rPr>
            <b/>
            <sz val="9"/>
            <color indexed="81"/>
            <rFont val="Tahoma"/>
            <family val="2"/>
          </rPr>
          <t>LPA:</t>
        </r>
        <r>
          <rPr>
            <sz val="9"/>
            <color indexed="81"/>
            <rFont val="Tahoma"/>
            <family val="2"/>
          </rPr>
          <t xml:space="preserve">
проверити збир!
</t>
        </r>
      </text>
    </comment>
    <comment ref="I7406" authorId="0" shapeId="0">
      <text>
        <r>
          <rPr>
            <b/>
            <sz val="9"/>
            <color indexed="81"/>
            <rFont val="Tahoma"/>
            <family val="2"/>
          </rPr>
          <t>LPA:</t>
        </r>
        <r>
          <rPr>
            <sz val="9"/>
            <color indexed="81"/>
            <rFont val="Tahoma"/>
            <family val="2"/>
          </rPr>
          <t xml:space="preserve">
проверити збир!
</t>
        </r>
      </text>
    </comment>
    <comment ref="I7407" authorId="0" shapeId="0">
      <text>
        <r>
          <rPr>
            <b/>
            <sz val="9"/>
            <color indexed="81"/>
            <rFont val="Tahoma"/>
            <family val="2"/>
          </rPr>
          <t>LPA:</t>
        </r>
        <r>
          <rPr>
            <sz val="9"/>
            <color indexed="81"/>
            <rFont val="Tahoma"/>
            <family val="2"/>
          </rPr>
          <t xml:space="preserve">
проверити збир!
</t>
        </r>
      </text>
    </comment>
    <comment ref="I7408" authorId="0" shapeId="0">
      <text>
        <r>
          <rPr>
            <b/>
            <sz val="9"/>
            <color indexed="81"/>
            <rFont val="Tahoma"/>
            <family val="2"/>
          </rPr>
          <t>LPA:</t>
        </r>
        <r>
          <rPr>
            <sz val="9"/>
            <color indexed="81"/>
            <rFont val="Tahoma"/>
            <family val="2"/>
          </rPr>
          <t xml:space="preserve">
проверити збир!
</t>
        </r>
      </text>
    </comment>
    <comment ref="I7429" authorId="0" shapeId="0">
      <text>
        <r>
          <rPr>
            <b/>
            <sz val="9"/>
            <color indexed="81"/>
            <rFont val="Tahoma"/>
            <family val="2"/>
          </rPr>
          <t>LPA:</t>
        </r>
        <r>
          <rPr>
            <sz val="9"/>
            <color indexed="81"/>
            <rFont val="Tahoma"/>
            <family val="2"/>
          </rPr>
          <t xml:space="preserve">
проверити збир!
</t>
        </r>
      </text>
    </comment>
    <comment ref="I7430" authorId="0" shapeId="0">
      <text>
        <r>
          <rPr>
            <b/>
            <sz val="9"/>
            <color indexed="81"/>
            <rFont val="Tahoma"/>
            <family val="2"/>
          </rPr>
          <t>LPA:</t>
        </r>
        <r>
          <rPr>
            <sz val="9"/>
            <color indexed="81"/>
            <rFont val="Tahoma"/>
            <family val="2"/>
          </rPr>
          <t xml:space="preserve">
проверити збир!
</t>
        </r>
      </text>
    </comment>
    <comment ref="I7431" authorId="0" shapeId="0">
      <text>
        <r>
          <rPr>
            <b/>
            <sz val="9"/>
            <color indexed="81"/>
            <rFont val="Tahoma"/>
            <family val="2"/>
          </rPr>
          <t>LPA:</t>
        </r>
        <r>
          <rPr>
            <sz val="9"/>
            <color indexed="81"/>
            <rFont val="Tahoma"/>
            <family val="2"/>
          </rPr>
          <t xml:space="preserve">
проверити збир!
</t>
        </r>
      </text>
    </comment>
    <comment ref="I7432" authorId="0" shapeId="0">
      <text>
        <r>
          <rPr>
            <b/>
            <sz val="9"/>
            <color indexed="81"/>
            <rFont val="Tahoma"/>
            <family val="2"/>
          </rPr>
          <t>LPA:</t>
        </r>
        <r>
          <rPr>
            <sz val="9"/>
            <color indexed="81"/>
            <rFont val="Tahoma"/>
            <family val="2"/>
          </rPr>
          <t xml:space="preserve">
проверити збир!
</t>
        </r>
      </text>
    </comment>
    <comment ref="I7433" authorId="0" shapeId="0">
      <text>
        <r>
          <rPr>
            <b/>
            <sz val="9"/>
            <color indexed="81"/>
            <rFont val="Tahoma"/>
            <family val="2"/>
          </rPr>
          <t>LPA:</t>
        </r>
        <r>
          <rPr>
            <sz val="9"/>
            <color indexed="81"/>
            <rFont val="Tahoma"/>
            <family val="2"/>
          </rPr>
          <t xml:space="preserve">
проверити збир!
</t>
        </r>
      </text>
    </comment>
    <comment ref="I7434" authorId="0" shapeId="0">
      <text>
        <r>
          <rPr>
            <b/>
            <sz val="9"/>
            <color indexed="81"/>
            <rFont val="Tahoma"/>
            <family val="2"/>
          </rPr>
          <t>LPA:</t>
        </r>
        <r>
          <rPr>
            <sz val="9"/>
            <color indexed="81"/>
            <rFont val="Tahoma"/>
            <family val="2"/>
          </rPr>
          <t xml:space="preserve">
проверити збир!
</t>
        </r>
      </text>
    </comment>
    <comment ref="I7435" authorId="0" shapeId="0">
      <text>
        <r>
          <rPr>
            <b/>
            <sz val="9"/>
            <color indexed="81"/>
            <rFont val="Tahoma"/>
            <family val="2"/>
          </rPr>
          <t>LPA:</t>
        </r>
        <r>
          <rPr>
            <sz val="9"/>
            <color indexed="81"/>
            <rFont val="Tahoma"/>
            <family val="2"/>
          </rPr>
          <t xml:space="preserve">
проверити збир!
</t>
        </r>
      </text>
    </comment>
    <comment ref="I7436" authorId="0" shapeId="0">
      <text>
        <r>
          <rPr>
            <b/>
            <sz val="9"/>
            <color indexed="81"/>
            <rFont val="Tahoma"/>
            <family val="2"/>
          </rPr>
          <t>LPA:</t>
        </r>
        <r>
          <rPr>
            <sz val="9"/>
            <color indexed="81"/>
            <rFont val="Tahoma"/>
            <family val="2"/>
          </rPr>
          <t xml:space="preserve">
проверити збир!
</t>
        </r>
      </text>
    </comment>
    <comment ref="I7437" authorId="0" shapeId="0">
      <text>
        <r>
          <rPr>
            <b/>
            <sz val="9"/>
            <color indexed="81"/>
            <rFont val="Tahoma"/>
            <family val="2"/>
          </rPr>
          <t>LPA:</t>
        </r>
        <r>
          <rPr>
            <sz val="9"/>
            <color indexed="81"/>
            <rFont val="Tahoma"/>
            <family val="2"/>
          </rPr>
          <t xml:space="preserve">
проверити збир!
</t>
        </r>
      </text>
    </comment>
    <comment ref="I7438" authorId="0" shapeId="0">
      <text>
        <r>
          <rPr>
            <b/>
            <sz val="9"/>
            <color indexed="81"/>
            <rFont val="Tahoma"/>
            <family val="2"/>
          </rPr>
          <t>LPA:</t>
        </r>
        <r>
          <rPr>
            <sz val="9"/>
            <color indexed="81"/>
            <rFont val="Tahoma"/>
            <family val="2"/>
          </rPr>
          <t xml:space="preserve">
проверити збир!
</t>
        </r>
      </text>
    </comment>
    <comment ref="I7439" authorId="0" shapeId="0">
      <text>
        <r>
          <rPr>
            <b/>
            <sz val="9"/>
            <color indexed="81"/>
            <rFont val="Tahoma"/>
            <family val="2"/>
          </rPr>
          <t>LPA:</t>
        </r>
        <r>
          <rPr>
            <sz val="9"/>
            <color indexed="81"/>
            <rFont val="Tahoma"/>
            <family val="2"/>
          </rPr>
          <t xml:space="preserve">
проверити збир!
</t>
        </r>
      </text>
    </comment>
    <comment ref="I7440" authorId="0" shapeId="0">
      <text>
        <r>
          <rPr>
            <b/>
            <sz val="9"/>
            <color indexed="81"/>
            <rFont val="Tahoma"/>
            <family val="2"/>
          </rPr>
          <t>LPA:</t>
        </r>
        <r>
          <rPr>
            <sz val="9"/>
            <color indexed="81"/>
            <rFont val="Tahoma"/>
            <family val="2"/>
          </rPr>
          <t xml:space="preserve">
проверити збир!
</t>
        </r>
      </text>
    </comment>
    <comment ref="I7441" authorId="0" shapeId="0">
      <text>
        <r>
          <rPr>
            <b/>
            <sz val="9"/>
            <color indexed="81"/>
            <rFont val="Tahoma"/>
            <family val="2"/>
          </rPr>
          <t>LPA:</t>
        </r>
        <r>
          <rPr>
            <sz val="9"/>
            <color indexed="81"/>
            <rFont val="Tahoma"/>
            <family val="2"/>
          </rPr>
          <t xml:space="preserve">
проверити збир!
</t>
        </r>
      </text>
    </comment>
    <comment ref="H7444" authorId="0" shapeId="0">
      <text>
        <r>
          <rPr>
            <b/>
            <sz val="9"/>
            <color indexed="81"/>
            <rFont val="Tahoma"/>
            <family val="2"/>
          </rPr>
          <t>LPA:</t>
        </r>
        <r>
          <rPr>
            <sz val="9"/>
            <color indexed="81"/>
            <rFont val="Tahoma"/>
            <family val="2"/>
          </rPr>
          <t xml:space="preserve">
проверити збир!</t>
        </r>
      </text>
    </comment>
    <comment ref="I7444" authorId="0" shapeId="0">
      <text>
        <r>
          <rPr>
            <b/>
            <sz val="9"/>
            <color indexed="81"/>
            <rFont val="Tahoma"/>
            <family val="2"/>
          </rPr>
          <t>LPA:</t>
        </r>
        <r>
          <rPr>
            <sz val="9"/>
            <color indexed="81"/>
            <rFont val="Tahoma"/>
            <family val="2"/>
          </rPr>
          <t xml:space="preserve">
проверити збир!</t>
        </r>
      </text>
    </comment>
    <comment ref="I7445" authorId="0" shapeId="0">
      <text>
        <r>
          <rPr>
            <b/>
            <sz val="9"/>
            <color indexed="81"/>
            <rFont val="Tahoma"/>
            <family val="2"/>
          </rPr>
          <t>LPA:</t>
        </r>
        <r>
          <rPr>
            <sz val="9"/>
            <color indexed="81"/>
            <rFont val="Tahoma"/>
            <family val="2"/>
          </rPr>
          <t xml:space="preserve">
проверити збир!
</t>
        </r>
      </text>
    </comment>
    <comment ref="I7446" authorId="0" shapeId="0">
      <text>
        <r>
          <rPr>
            <b/>
            <sz val="9"/>
            <color indexed="81"/>
            <rFont val="Tahoma"/>
            <family val="2"/>
          </rPr>
          <t>LPA:</t>
        </r>
        <r>
          <rPr>
            <sz val="9"/>
            <color indexed="81"/>
            <rFont val="Tahoma"/>
            <family val="2"/>
          </rPr>
          <t xml:space="preserve">
проверити збир!
</t>
        </r>
      </text>
    </comment>
    <comment ref="I7447" authorId="0" shapeId="0">
      <text>
        <r>
          <rPr>
            <b/>
            <sz val="9"/>
            <color indexed="81"/>
            <rFont val="Tahoma"/>
            <family val="2"/>
          </rPr>
          <t>LPA:</t>
        </r>
        <r>
          <rPr>
            <sz val="9"/>
            <color indexed="81"/>
            <rFont val="Tahoma"/>
            <family val="2"/>
          </rPr>
          <t xml:space="preserve">
проверити збир!
</t>
        </r>
      </text>
    </comment>
    <comment ref="I7448" authorId="0" shapeId="0">
      <text>
        <r>
          <rPr>
            <b/>
            <sz val="9"/>
            <color indexed="81"/>
            <rFont val="Tahoma"/>
            <family val="2"/>
          </rPr>
          <t>LPA:</t>
        </r>
        <r>
          <rPr>
            <sz val="9"/>
            <color indexed="81"/>
            <rFont val="Tahoma"/>
            <family val="2"/>
          </rPr>
          <t xml:space="preserve">
проверити збир!
</t>
        </r>
      </text>
    </comment>
    <comment ref="I7449" authorId="0" shapeId="0">
      <text>
        <r>
          <rPr>
            <b/>
            <sz val="9"/>
            <color indexed="81"/>
            <rFont val="Tahoma"/>
            <family val="2"/>
          </rPr>
          <t>LPA:</t>
        </r>
        <r>
          <rPr>
            <sz val="9"/>
            <color indexed="81"/>
            <rFont val="Tahoma"/>
            <family val="2"/>
          </rPr>
          <t xml:space="preserve">
проверити збир!
</t>
        </r>
      </text>
    </comment>
    <comment ref="I7450" authorId="0" shapeId="0">
      <text>
        <r>
          <rPr>
            <b/>
            <sz val="9"/>
            <color indexed="81"/>
            <rFont val="Tahoma"/>
            <family val="2"/>
          </rPr>
          <t>LPA:</t>
        </r>
        <r>
          <rPr>
            <sz val="9"/>
            <color indexed="81"/>
            <rFont val="Tahoma"/>
            <family val="2"/>
          </rPr>
          <t xml:space="preserve">
проверити збир!
</t>
        </r>
      </text>
    </comment>
    <comment ref="I7451" authorId="0" shapeId="0">
      <text>
        <r>
          <rPr>
            <b/>
            <sz val="9"/>
            <color indexed="81"/>
            <rFont val="Tahoma"/>
            <family val="2"/>
          </rPr>
          <t>LPA:</t>
        </r>
        <r>
          <rPr>
            <sz val="9"/>
            <color indexed="81"/>
            <rFont val="Tahoma"/>
            <family val="2"/>
          </rPr>
          <t xml:space="preserve">
проверити збир!
</t>
        </r>
      </text>
    </comment>
    <comment ref="I7452" authorId="0" shapeId="0">
      <text>
        <r>
          <rPr>
            <b/>
            <sz val="9"/>
            <color indexed="81"/>
            <rFont val="Tahoma"/>
            <family val="2"/>
          </rPr>
          <t>LPA:</t>
        </r>
        <r>
          <rPr>
            <sz val="9"/>
            <color indexed="81"/>
            <rFont val="Tahoma"/>
            <family val="2"/>
          </rPr>
          <t xml:space="preserve">
проверити збир!
</t>
        </r>
      </text>
    </comment>
    <comment ref="I7453" authorId="0" shapeId="0">
      <text>
        <r>
          <rPr>
            <b/>
            <sz val="9"/>
            <color indexed="81"/>
            <rFont val="Tahoma"/>
            <family val="2"/>
          </rPr>
          <t>LPA:</t>
        </r>
        <r>
          <rPr>
            <sz val="9"/>
            <color indexed="81"/>
            <rFont val="Tahoma"/>
            <family val="2"/>
          </rPr>
          <t xml:space="preserve">
проверити збир!
</t>
        </r>
      </text>
    </comment>
    <comment ref="I7454" authorId="0" shapeId="0">
      <text>
        <r>
          <rPr>
            <b/>
            <sz val="9"/>
            <color indexed="81"/>
            <rFont val="Tahoma"/>
            <family val="2"/>
          </rPr>
          <t>LPA:</t>
        </r>
        <r>
          <rPr>
            <sz val="9"/>
            <color indexed="81"/>
            <rFont val="Tahoma"/>
            <family val="2"/>
          </rPr>
          <t xml:space="preserve">
проверити збир!
</t>
        </r>
      </text>
    </comment>
    <comment ref="I7455" authorId="0" shapeId="0">
      <text>
        <r>
          <rPr>
            <b/>
            <sz val="9"/>
            <color indexed="81"/>
            <rFont val="Tahoma"/>
            <family val="2"/>
          </rPr>
          <t>LPA:</t>
        </r>
        <r>
          <rPr>
            <sz val="9"/>
            <color indexed="81"/>
            <rFont val="Tahoma"/>
            <family val="2"/>
          </rPr>
          <t xml:space="preserve">
проверити збир!
</t>
        </r>
      </text>
    </comment>
    <comment ref="I7456" authorId="0" shapeId="0">
      <text>
        <r>
          <rPr>
            <b/>
            <sz val="9"/>
            <color indexed="81"/>
            <rFont val="Tahoma"/>
            <family val="2"/>
          </rPr>
          <t>LPA:</t>
        </r>
        <r>
          <rPr>
            <sz val="9"/>
            <color indexed="81"/>
            <rFont val="Tahoma"/>
            <family val="2"/>
          </rPr>
          <t xml:space="preserve">
проверити збир!
</t>
        </r>
      </text>
    </comment>
    <comment ref="I7457" authorId="0" shapeId="0">
      <text>
        <r>
          <rPr>
            <b/>
            <sz val="9"/>
            <color indexed="81"/>
            <rFont val="Tahoma"/>
            <family val="2"/>
          </rPr>
          <t>LPA:</t>
        </r>
        <r>
          <rPr>
            <sz val="9"/>
            <color indexed="81"/>
            <rFont val="Tahoma"/>
            <family val="2"/>
          </rPr>
          <t xml:space="preserve">
проверити збир!
</t>
        </r>
      </text>
    </comment>
    <comment ref="I7458" authorId="0" shapeId="0">
      <text>
        <r>
          <rPr>
            <b/>
            <sz val="9"/>
            <color indexed="81"/>
            <rFont val="Tahoma"/>
            <family val="2"/>
          </rPr>
          <t>LPA:</t>
        </r>
        <r>
          <rPr>
            <sz val="9"/>
            <color indexed="81"/>
            <rFont val="Tahoma"/>
            <family val="2"/>
          </rPr>
          <t xml:space="preserve">
проверити збир!
</t>
        </r>
      </text>
    </comment>
    <comment ref="I7459" authorId="0" shapeId="0">
      <text>
        <r>
          <rPr>
            <b/>
            <sz val="9"/>
            <color indexed="81"/>
            <rFont val="Tahoma"/>
            <family val="2"/>
          </rPr>
          <t>LPA:</t>
        </r>
        <r>
          <rPr>
            <sz val="9"/>
            <color indexed="81"/>
            <rFont val="Tahoma"/>
            <family val="2"/>
          </rPr>
          <t xml:space="preserve">
проверити збир!
</t>
        </r>
      </text>
    </comment>
    <comment ref="I7478" authorId="0" shapeId="0">
      <text>
        <r>
          <rPr>
            <b/>
            <sz val="9"/>
            <color indexed="81"/>
            <rFont val="Tahoma"/>
            <family val="2"/>
          </rPr>
          <t>LPA:</t>
        </r>
        <r>
          <rPr>
            <sz val="9"/>
            <color indexed="81"/>
            <rFont val="Tahoma"/>
            <family val="2"/>
          </rPr>
          <t xml:space="preserve">
проверити збир!
</t>
        </r>
      </text>
    </comment>
    <comment ref="I7479" authorId="0" shapeId="0">
      <text>
        <r>
          <rPr>
            <b/>
            <sz val="9"/>
            <color indexed="81"/>
            <rFont val="Tahoma"/>
            <family val="2"/>
          </rPr>
          <t>LPA:</t>
        </r>
        <r>
          <rPr>
            <sz val="9"/>
            <color indexed="81"/>
            <rFont val="Tahoma"/>
            <family val="2"/>
          </rPr>
          <t xml:space="preserve">
проверити збир!
</t>
        </r>
      </text>
    </comment>
    <comment ref="I7480" authorId="0" shapeId="0">
      <text>
        <r>
          <rPr>
            <b/>
            <sz val="9"/>
            <color indexed="81"/>
            <rFont val="Tahoma"/>
            <family val="2"/>
          </rPr>
          <t>LPA:</t>
        </r>
        <r>
          <rPr>
            <sz val="9"/>
            <color indexed="81"/>
            <rFont val="Tahoma"/>
            <family val="2"/>
          </rPr>
          <t xml:space="preserve">
проверити збир!
</t>
        </r>
      </text>
    </comment>
    <comment ref="I7481" authorId="0" shapeId="0">
      <text>
        <r>
          <rPr>
            <b/>
            <sz val="9"/>
            <color indexed="81"/>
            <rFont val="Tahoma"/>
            <family val="2"/>
          </rPr>
          <t>LPA:</t>
        </r>
        <r>
          <rPr>
            <sz val="9"/>
            <color indexed="81"/>
            <rFont val="Tahoma"/>
            <family val="2"/>
          </rPr>
          <t xml:space="preserve">
проверити збир!
</t>
        </r>
      </text>
    </comment>
    <comment ref="I7482" authorId="0" shapeId="0">
      <text>
        <r>
          <rPr>
            <b/>
            <sz val="9"/>
            <color indexed="81"/>
            <rFont val="Tahoma"/>
            <family val="2"/>
          </rPr>
          <t>LPA:</t>
        </r>
        <r>
          <rPr>
            <sz val="9"/>
            <color indexed="81"/>
            <rFont val="Tahoma"/>
            <family val="2"/>
          </rPr>
          <t xml:space="preserve">
проверити збир!
</t>
        </r>
      </text>
    </comment>
    <comment ref="I7483" authorId="0" shapeId="0">
      <text>
        <r>
          <rPr>
            <b/>
            <sz val="9"/>
            <color indexed="81"/>
            <rFont val="Tahoma"/>
            <family val="2"/>
          </rPr>
          <t>LPA:</t>
        </r>
        <r>
          <rPr>
            <sz val="9"/>
            <color indexed="81"/>
            <rFont val="Tahoma"/>
            <family val="2"/>
          </rPr>
          <t xml:space="preserve">
проверити збир!
</t>
        </r>
      </text>
    </comment>
    <comment ref="I7484" authorId="0" shapeId="0">
      <text>
        <r>
          <rPr>
            <b/>
            <sz val="9"/>
            <color indexed="81"/>
            <rFont val="Tahoma"/>
            <family val="2"/>
          </rPr>
          <t>LPA:</t>
        </r>
        <r>
          <rPr>
            <sz val="9"/>
            <color indexed="81"/>
            <rFont val="Tahoma"/>
            <family val="2"/>
          </rPr>
          <t xml:space="preserve">
проверити збир!
</t>
        </r>
      </text>
    </comment>
    <comment ref="I7485" authorId="0" shapeId="0">
      <text>
        <r>
          <rPr>
            <b/>
            <sz val="9"/>
            <color indexed="81"/>
            <rFont val="Tahoma"/>
            <family val="2"/>
          </rPr>
          <t>LPA:</t>
        </r>
        <r>
          <rPr>
            <sz val="9"/>
            <color indexed="81"/>
            <rFont val="Tahoma"/>
            <family val="2"/>
          </rPr>
          <t xml:space="preserve">
проверити збир!
</t>
        </r>
      </text>
    </comment>
    <comment ref="I7486" authorId="0" shapeId="0">
      <text>
        <r>
          <rPr>
            <b/>
            <sz val="9"/>
            <color indexed="81"/>
            <rFont val="Tahoma"/>
            <family val="2"/>
          </rPr>
          <t>LPA:</t>
        </r>
        <r>
          <rPr>
            <sz val="9"/>
            <color indexed="81"/>
            <rFont val="Tahoma"/>
            <family val="2"/>
          </rPr>
          <t xml:space="preserve">
проверити збир!
</t>
        </r>
      </text>
    </comment>
    <comment ref="I7487" authorId="0" shapeId="0">
      <text>
        <r>
          <rPr>
            <b/>
            <sz val="9"/>
            <color indexed="81"/>
            <rFont val="Tahoma"/>
            <family val="2"/>
          </rPr>
          <t>LPA:</t>
        </r>
        <r>
          <rPr>
            <sz val="9"/>
            <color indexed="81"/>
            <rFont val="Tahoma"/>
            <family val="2"/>
          </rPr>
          <t xml:space="preserve">
проверити збир!
</t>
        </r>
      </text>
    </comment>
    <comment ref="I7488" authorId="0" shapeId="0">
      <text>
        <r>
          <rPr>
            <b/>
            <sz val="9"/>
            <color indexed="81"/>
            <rFont val="Tahoma"/>
            <family val="2"/>
          </rPr>
          <t>LPA:</t>
        </r>
        <r>
          <rPr>
            <sz val="9"/>
            <color indexed="81"/>
            <rFont val="Tahoma"/>
            <family val="2"/>
          </rPr>
          <t xml:space="preserve">
проверити збир!
</t>
        </r>
      </text>
    </comment>
    <comment ref="I7489" authorId="0" shapeId="0">
      <text>
        <r>
          <rPr>
            <b/>
            <sz val="9"/>
            <color indexed="81"/>
            <rFont val="Tahoma"/>
            <family val="2"/>
          </rPr>
          <t>LPA:</t>
        </r>
        <r>
          <rPr>
            <sz val="9"/>
            <color indexed="81"/>
            <rFont val="Tahoma"/>
            <family val="2"/>
          </rPr>
          <t xml:space="preserve">
проверити збир!
</t>
        </r>
      </text>
    </comment>
    <comment ref="I7490" authorId="0" shapeId="0">
      <text>
        <r>
          <rPr>
            <b/>
            <sz val="9"/>
            <color indexed="81"/>
            <rFont val="Tahoma"/>
            <family val="2"/>
          </rPr>
          <t>LPA:</t>
        </r>
        <r>
          <rPr>
            <sz val="9"/>
            <color indexed="81"/>
            <rFont val="Tahoma"/>
            <family val="2"/>
          </rPr>
          <t xml:space="preserve">
проверити збир!
</t>
        </r>
      </text>
    </comment>
    <comment ref="H7493" authorId="0" shapeId="0">
      <text>
        <r>
          <rPr>
            <b/>
            <sz val="9"/>
            <color indexed="81"/>
            <rFont val="Tahoma"/>
            <family val="2"/>
          </rPr>
          <t>LPA:</t>
        </r>
        <r>
          <rPr>
            <sz val="9"/>
            <color indexed="81"/>
            <rFont val="Tahoma"/>
            <family val="2"/>
          </rPr>
          <t xml:space="preserve">
проверити збир!</t>
        </r>
      </text>
    </comment>
    <comment ref="I7493" authorId="0" shapeId="0">
      <text>
        <r>
          <rPr>
            <b/>
            <sz val="9"/>
            <color indexed="81"/>
            <rFont val="Tahoma"/>
            <family val="2"/>
          </rPr>
          <t>LPA:</t>
        </r>
        <r>
          <rPr>
            <sz val="9"/>
            <color indexed="81"/>
            <rFont val="Tahoma"/>
            <family val="2"/>
          </rPr>
          <t xml:space="preserve">
проверити збир!</t>
        </r>
      </text>
    </comment>
    <comment ref="I7494" authorId="0" shapeId="0">
      <text>
        <r>
          <rPr>
            <b/>
            <sz val="9"/>
            <color indexed="81"/>
            <rFont val="Tahoma"/>
            <family val="2"/>
          </rPr>
          <t>LPA:</t>
        </r>
        <r>
          <rPr>
            <sz val="9"/>
            <color indexed="81"/>
            <rFont val="Tahoma"/>
            <family val="2"/>
          </rPr>
          <t xml:space="preserve">
проверити збир!
</t>
        </r>
      </text>
    </comment>
    <comment ref="I7495" authorId="0" shapeId="0">
      <text>
        <r>
          <rPr>
            <b/>
            <sz val="9"/>
            <color indexed="81"/>
            <rFont val="Tahoma"/>
            <family val="2"/>
          </rPr>
          <t>LPA:</t>
        </r>
        <r>
          <rPr>
            <sz val="9"/>
            <color indexed="81"/>
            <rFont val="Tahoma"/>
            <family val="2"/>
          </rPr>
          <t xml:space="preserve">
проверити збир!
</t>
        </r>
      </text>
    </comment>
    <comment ref="I7496" authorId="0" shapeId="0">
      <text>
        <r>
          <rPr>
            <b/>
            <sz val="9"/>
            <color indexed="81"/>
            <rFont val="Tahoma"/>
            <family val="2"/>
          </rPr>
          <t>LPA:</t>
        </r>
        <r>
          <rPr>
            <sz val="9"/>
            <color indexed="81"/>
            <rFont val="Tahoma"/>
            <family val="2"/>
          </rPr>
          <t xml:space="preserve">
проверити збир!
</t>
        </r>
      </text>
    </comment>
    <comment ref="I7497" authorId="0" shapeId="0">
      <text>
        <r>
          <rPr>
            <b/>
            <sz val="9"/>
            <color indexed="81"/>
            <rFont val="Tahoma"/>
            <family val="2"/>
          </rPr>
          <t>LPA:</t>
        </r>
        <r>
          <rPr>
            <sz val="9"/>
            <color indexed="81"/>
            <rFont val="Tahoma"/>
            <family val="2"/>
          </rPr>
          <t xml:space="preserve">
проверити збир!
</t>
        </r>
      </text>
    </comment>
    <comment ref="I7498" authorId="0" shapeId="0">
      <text>
        <r>
          <rPr>
            <b/>
            <sz val="9"/>
            <color indexed="81"/>
            <rFont val="Tahoma"/>
            <family val="2"/>
          </rPr>
          <t>LPA:</t>
        </r>
        <r>
          <rPr>
            <sz val="9"/>
            <color indexed="81"/>
            <rFont val="Tahoma"/>
            <family val="2"/>
          </rPr>
          <t xml:space="preserve">
проверити збир!
</t>
        </r>
      </text>
    </comment>
    <comment ref="I7499" authorId="0" shapeId="0">
      <text>
        <r>
          <rPr>
            <b/>
            <sz val="9"/>
            <color indexed="81"/>
            <rFont val="Tahoma"/>
            <family val="2"/>
          </rPr>
          <t>LPA:</t>
        </r>
        <r>
          <rPr>
            <sz val="9"/>
            <color indexed="81"/>
            <rFont val="Tahoma"/>
            <family val="2"/>
          </rPr>
          <t xml:space="preserve">
проверити збир!
</t>
        </r>
      </text>
    </comment>
    <comment ref="I7500" authorId="0" shapeId="0">
      <text>
        <r>
          <rPr>
            <b/>
            <sz val="9"/>
            <color indexed="81"/>
            <rFont val="Tahoma"/>
            <family val="2"/>
          </rPr>
          <t>LPA:</t>
        </r>
        <r>
          <rPr>
            <sz val="9"/>
            <color indexed="81"/>
            <rFont val="Tahoma"/>
            <family val="2"/>
          </rPr>
          <t xml:space="preserve">
проверити збир!
</t>
        </r>
      </text>
    </comment>
    <comment ref="I7501" authorId="0" shapeId="0">
      <text>
        <r>
          <rPr>
            <b/>
            <sz val="9"/>
            <color indexed="81"/>
            <rFont val="Tahoma"/>
            <family val="2"/>
          </rPr>
          <t>LPA:</t>
        </r>
        <r>
          <rPr>
            <sz val="9"/>
            <color indexed="81"/>
            <rFont val="Tahoma"/>
            <family val="2"/>
          </rPr>
          <t xml:space="preserve">
проверити збир!
</t>
        </r>
      </text>
    </comment>
    <comment ref="I7502" authorId="0" shapeId="0">
      <text>
        <r>
          <rPr>
            <b/>
            <sz val="9"/>
            <color indexed="81"/>
            <rFont val="Tahoma"/>
            <family val="2"/>
          </rPr>
          <t>LPA:</t>
        </r>
        <r>
          <rPr>
            <sz val="9"/>
            <color indexed="81"/>
            <rFont val="Tahoma"/>
            <family val="2"/>
          </rPr>
          <t xml:space="preserve">
проверити збир!
</t>
        </r>
      </text>
    </comment>
    <comment ref="I7503" authorId="0" shapeId="0">
      <text>
        <r>
          <rPr>
            <b/>
            <sz val="9"/>
            <color indexed="81"/>
            <rFont val="Tahoma"/>
            <family val="2"/>
          </rPr>
          <t>LPA:</t>
        </r>
        <r>
          <rPr>
            <sz val="9"/>
            <color indexed="81"/>
            <rFont val="Tahoma"/>
            <family val="2"/>
          </rPr>
          <t xml:space="preserve">
проверити збир!
</t>
        </r>
      </text>
    </comment>
    <comment ref="I7504" authorId="0" shapeId="0">
      <text>
        <r>
          <rPr>
            <b/>
            <sz val="9"/>
            <color indexed="81"/>
            <rFont val="Tahoma"/>
            <family val="2"/>
          </rPr>
          <t>LPA:</t>
        </r>
        <r>
          <rPr>
            <sz val="9"/>
            <color indexed="81"/>
            <rFont val="Tahoma"/>
            <family val="2"/>
          </rPr>
          <t xml:space="preserve">
проверити збир!
</t>
        </r>
      </text>
    </comment>
    <comment ref="I7505" authorId="0" shapeId="0">
      <text>
        <r>
          <rPr>
            <b/>
            <sz val="9"/>
            <color indexed="81"/>
            <rFont val="Tahoma"/>
            <family val="2"/>
          </rPr>
          <t>LPA:</t>
        </r>
        <r>
          <rPr>
            <sz val="9"/>
            <color indexed="81"/>
            <rFont val="Tahoma"/>
            <family val="2"/>
          </rPr>
          <t xml:space="preserve">
проверити збир!
</t>
        </r>
      </text>
    </comment>
    <comment ref="I7506" authorId="0" shapeId="0">
      <text>
        <r>
          <rPr>
            <b/>
            <sz val="9"/>
            <color indexed="81"/>
            <rFont val="Tahoma"/>
            <family val="2"/>
          </rPr>
          <t>LPA:</t>
        </r>
        <r>
          <rPr>
            <sz val="9"/>
            <color indexed="81"/>
            <rFont val="Tahoma"/>
            <family val="2"/>
          </rPr>
          <t xml:space="preserve">
проверити збир!
</t>
        </r>
      </text>
    </comment>
    <comment ref="I7507" authorId="0" shapeId="0">
      <text>
        <r>
          <rPr>
            <b/>
            <sz val="9"/>
            <color indexed="81"/>
            <rFont val="Tahoma"/>
            <family val="2"/>
          </rPr>
          <t>LPA:</t>
        </r>
        <r>
          <rPr>
            <sz val="9"/>
            <color indexed="81"/>
            <rFont val="Tahoma"/>
            <family val="2"/>
          </rPr>
          <t xml:space="preserve">
проверити збир!
</t>
        </r>
      </text>
    </comment>
    <comment ref="I7508" authorId="0" shapeId="0">
      <text>
        <r>
          <rPr>
            <b/>
            <sz val="9"/>
            <color indexed="81"/>
            <rFont val="Tahoma"/>
            <family val="2"/>
          </rPr>
          <t>LPA:</t>
        </r>
        <r>
          <rPr>
            <sz val="9"/>
            <color indexed="81"/>
            <rFont val="Tahoma"/>
            <family val="2"/>
          </rPr>
          <t xml:space="preserve">
проверити збир!
</t>
        </r>
      </text>
    </comment>
    <comment ref="H7512" authorId="0" shapeId="0">
      <text>
        <r>
          <rPr>
            <b/>
            <sz val="9"/>
            <color indexed="81"/>
            <rFont val="Tahoma"/>
            <family val="2"/>
          </rPr>
          <t>LPA:</t>
        </r>
        <r>
          <rPr>
            <sz val="9"/>
            <color indexed="81"/>
            <rFont val="Tahoma"/>
            <family val="2"/>
          </rPr>
          <t xml:space="preserve">
проверити збир!</t>
        </r>
      </text>
    </comment>
    <comment ref="I7512" authorId="0" shapeId="0">
      <text>
        <r>
          <rPr>
            <b/>
            <sz val="9"/>
            <color indexed="81"/>
            <rFont val="Tahoma"/>
            <family val="2"/>
          </rPr>
          <t>LPA:</t>
        </r>
        <r>
          <rPr>
            <sz val="9"/>
            <color indexed="81"/>
            <rFont val="Tahoma"/>
            <family val="2"/>
          </rPr>
          <t xml:space="preserve">
проверити збир!
</t>
        </r>
      </text>
    </comment>
    <comment ref="I7513" authorId="0" shapeId="0">
      <text>
        <r>
          <rPr>
            <b/>
            <sz val="9"/>
            <color indexed="81"/>
            <rFont val="Tahoma"/>
            <family val="2"/>
          </rPr>
          <t>LPA:</t>
        </r>
        <r>
          <rPr>
            <sz val="9"/>
            <color indexed="81"/>
            <rFont val="Tahoma"/>
            <family val="2"/>
          </rPr>
          <t xml:space="preserve">
проверити збир!
</t>
        </r>
      </text>
    </comment>
    <comment ref="I7514" authorId="0" shapeId="0">
      <text>
        <r>
          <rPr>
            <b/>
            <sz val="9"/>
            <color indexed="81"/>
            <rFont val="Tahoma"/>
            <family val="2"/>
          </rPr>
          <t>LPA:</t>
        </r>
        <r>
          <rPr>
            <sz val="9"/>
            <color indexed="81"/>
            <rFont val="Tahoma"/>
            <family val="2"/>
          </rPr>
          <t xml:space="preserve">
проверити збир!
</t>
        </r>
      </text>
    </comment>
    <comment ref="I7515" authorId="0" shapeId="0">
      <text>
        <r>
          <rPr>
            <b/>
            <sz val="9"/>
            <color indexed="81"/>
            <rFont val="Tahoma"/>
            <family val="2"/>
          </rPr>
          <t>LPA:</t>
        </r>
        <r>
          <rPr>
            <sz val="9"/>
            <color indexed="81"/>
            <rFont val="Tahoma"/>
            <family val="2"/>
          </rPr>
          <t xml:space="preserve">
проверити збир!
</t>
        </r>
      </text>
    </comment>
    <comment ref="I7516" authorId="0" shapeId="0">
      <text>
        <r>
          <rPr>
            <b/>
            <sz val="9"/>
            <color indexed="81"/>
            <rFont val="Tahoma"/>
            <family val="2"/>
          </rPr>
          <t>LPA:</t>
        </r>
        <r>
          <rPr>
            <sz val="9"/>
            <color indexed="81"/>
            <rFont val="Tahoma"/>
            <family val="2"/>
          </rPr>
          <t xml:space="preserve">
проверити збир!
</t>
        </r>
      </text>
    </comment>
    <comment ref="I7517" authorId="0" shapeId="0">
      <text>
        <r>
          <rPr>
            <b/>
            <sz val="9"/>
            <color indexed="81"/>
            <rFont val="Tahoma"/>
            <family val="2"/>
          </rPr>
          <t>LPA:</t>
        </r>
        <r>
          <rPr>
            <sz val="9"/>
            <color indexed="81"/>
            <rFont val="Tahoma"/>
            <family val="2"/>
          </rPr>
          <t xml:space="preserve">
проверити збир!
</t>
        </r>
      </text>
    </comment>
    <comment ref="I7518" authorId="0" shapeId="0">
      <text>
        <r>
          <rPr>
            <b/>
            <sz val="9"/>
            <color indexed="81"/>
            <rFont val="Tahoma"/>
            <family val="2"/>
          </rPr>
          <t>LPA:</t>
        </r>
        <r>
          <rPr>
            <sz val="9"/>
            <color indexed="81"/>
            <rFont val="Tahoma"/>
            <family val="2"/>
          </rPr>
          <t xml:space="preserve">
проверити збир!
</t>
        </r>
      </text>
    </comment>
    <comment ref="I7519" authorId="0" shapeId="0">
      <text>
        <r>
          <rPr>
            <b/>
            <sz val="9"/>
            <color indexed="81"/>
            <rFont val="Tahoma"/>
            <family val="2"/>
          </rPr>
          <t>LPA:</t>
        </r>
        <r>
          <rPr>
            <sz val="9"/>
            <color indexed="81"/>
            <rFont val="Tahoma"/>
            <family val="2"/>
          </rPr>
          <t xml:space="preserve">
проверити збир!
</t>
        </r>
      </text>
    </comment>
    <comment ref="I7520" authorId="0" shapeId="0">
      <text>
        <r>
          <rPr>
            <b/>
            <sz val="9"/>
            <color indexed="81"/>
            <rFont val="Tahoma"/>
            <family val="2"/>
          </rPr>
          <t>LPA:</t>
        </r>
        <r>
          <rPr>
            <sz val="9"/>
            <color indexed="81"/>
            <rFont val="Tahoma"/>
            <family val="2"/>
          </rPr>
          <t xml:space="preserve">
проверити збир!
</t>
        </r>
      </text>
    </comment>
    <comment ref="I7521" authorId="0" shapeId="0">
      <text>
        <r>
          <rPr>
            <b/>
            <sz val="9"/>
            <color indexed="81"/>
            <rFont val="Tahoma"/>
            <family val="2"/>
          </rPr>
          <t>LPA:</t>
        </r>
        <r>
          <rPr>
            <sz val="9"/>
            <color indexed="81"/>
            <rFont val="Tahoma"/>
            <family val="2"/>
          </rPr>
          <t xml:space="preserve">
проверити збир!
</t>
        </r>
      </text>
    </comment>
    <comment ref="I7522" authorId="0" shapeId="0">
      <text>
        <r>
          <rPr>
            <b/>
            <sz val="9"/>
            <color indexed="81"/>
            <rFont val="Tahoma"/>
            <family val="2"/>
          </rPr>
          <t>LPA:</t>
        </r>
        <r>
          <rPr>
            <sz val="9"/>
            <color indexed="81"/>
            <rFont val="Tahoma"/>
            <family val="2"/>
          </rPr>
          <t xml:space="preserve">
проверити збир!
</t>
        </r>
      </text>
    </comment>
    <comment ref="I7523" authorId="0" shapeId="0">
      <text>
        <r>
          <rPr>
            <b/>
            <sz val="9"/>
            <color indexed="81"/>
            <rFont val="Tahoma"/>
            <family val="2"/>
          </rPr>
          <t>LPA:</t>
        </r>
        <r>
          <rPr>
            <sz val="9"/>
            <color indexed="81"/>
            <rFont val="Tahoma"/>
            <family val="2"/>
          </rPr>
          <t xml:space="preserve">
проверити збир!
</t>
        </r>
      </text>
    </comment>
    <comment ref="I7524" authorId="0" shapeId="0">
      <text>
        <r>
          <rPr>
            <b/>
            <sz val="9"/>
            <color indexed="81"/>
            <rFont val="Tahoma"/>
            <family val="2"/>
          </rPr>
          <t>LPA:</t>
        </r>
        <r>
          <rPr>
            <sz val="9"/>
            <color indexed="81"/>
            <rFont val="Tahoma"/>
            <family val="2"/>
          </rPr>
          <t xml:space="preserve">
проверити збир!
</t>
        </r>
      </text>
    </comment>
    <comment ref="I7525" authorId="0" shapeId="0">
      <text>
        <r>
          <rPr>
            <b/>
            <sz val="9"/>
            <color indexed="81"/>
            <rFont val="Tahoma"/>
            <family val="2"/>
          </rPr>
          <t>LPA:</t>
        </r>
        <r>
          <rPr>
            <sz val="9"/>
            <color indexed="81"/>
            <rFont val="Tahoma"/>
            <family val="2"/>
          </rPr>
          <t xml:space="preserve">
проверити збир!
</t>
        </r>
      </text>
    </comment>
    <comment ref="I7526" authorId="0" shapeId="0">
      <text>
        <r>
          <rPr>
            <b/>
            <sz val="9"/>
            <color indexed="81"/>
            <rFont val="Tahoma"/>
            <family val="2"/>
          </rPr>
          <t>LPA:</t>
        </r>
        <r>
          <rPr>
            <sz val="9"/>
            <color indexed="81"/>
            <rFont val="Tahoma"/>
            <family val="2"/>
          </rPr>
          <t xml:space="preserve">
проверити збир!
</t>
        </r>
      </text>
    </comment>
    <comment ref="I7527" authorId="0" shapeId="0">
      <text>
        <r>
          <rPr>
            <b/>
            <sz val="9"/>
            <color indexed="81"/>
            <rFont val="Tahoma"/>
            <family val="2"/>
          </rPr>
          <t>LPA:</t>
        </r>
        <r>
          <rPr>
            <sz val="9"/>
            <color indexed="81"/>
            <rFont val="Tahoma"/>
            <family val="2"/>
          </rPr>
          <t xml:space="preserve">
проверити збир!
</t>
        </r>
      </text>
    </comment>
    <comment ref="I7598" authorId="0" shapeId="0">
      <text>
        <r>
          <rPr>
            <b/>
            <sz val="9"/>
            <color indexed="81"/>
            <rFont val="Tahoma"/>
            <family val="2"/>
          </rPr>
          <t>LPA:</t>
        </r>
        <r>
          <rPr>
            <sz val="9"/>
            <color indexed="81"/>
            <rFont val="Tahoma"/>
            <family val="2"/>
          </rPr>
          <t xml:space="preserve">
проверити збир!
</t>
        </r>
      </text>
    </comment>
    <comment ref="I7599" authorId="0" shapeId="0">
      <text>
        <r>
          <rPr>
            <b/>
            <sz val="9"/>
            <color indexed="81"/>
            <rFont val="Tahoma"/>
            <family val="2"/>
          </rPr>
          <t>LPA:</t>
        </r>
        <r>
          <rPr>
            <sz val="9"/>
            <color indexed="81"/>
            <rFont val="Tahoma"/>
            <family val="2"/>
          </rPr>
          <t xml:space="preserve">
проверити збир!
</t>
        </r>
      </text>
    </comment>
    <comment ref="I7600" authorId="0" shapeId="0">
      <text>
        <r>
          <rPr>
            <b/>
            <sz val="9"/>
            <color indexed="81"/>
            <rFont val="Tahoma"/>
            <family val="2"/>
          </rPr>
          <t>LPA:</t>
        </r>
        <r>
          <rPr>
            <sz val="9"/>
            <color indexed="81"/>
            <rFont val="Tahoma"/>
            <family val="2"/>
          </rPr>
          <t xml:space="preserve">
проверити збир!
</t>
        </r>
      </text>
    </comment>
    <comment ref="I7601" authorId="0" shapeId="0">
      <text>
        <r>
          <rPr>
            <b/>
            <sz val="9"/>
            <color indexed="81"/>
            <rFont val="Tahoma"/>
            <family val="2"/>
          </rPr>
          <t>LPA:</t>
        </r>
        <r>
          <rPr>
            <sz val="9"/>
            <color indexed="81"/>
            <rFont val="Tahoma"/>
            <family val="2"/>
          </rPr>
          <t xml:space="preserve">
проверити збир!
</t>
        </r>
      </text>
    </comment>
    <comment ref="I7602" authorId="0" shapeId="0">
      <text>
        <r>
          <rPr>
            <b/>
            <sz val="9"/>
            <color indexed="81"/>
            <rFont val="Tahoma"/>
            <family val="2"/>
          </rPr>
          <t>LPA:</t>
        </r>
        <r>
          <rPr>
            <sz val="9"/>
            <color indexed="81"/>
            <rFont val="Tahoma"/>
            <family val="2"/>
          </rPr>
          <t xml:space="preserve">
проверити збир!
</t>
        </r>
      </text>
    </comment>
    <comment ref="I7603" authorId="0" shapeId="0">
      <text>
        <r>
          <rPr>
            <b/>
            <sz val="9"/>
            <color indexed="81"/>
            <rFont val="Tahoma"/>
            <family val="2"/>
          </rPr>
          <t>LPA:</t>
        </r>
        <r>
          <rPr>
            <sz val="9"/>
            <color indexed="81"/>
            <rFont val="Tahoma"/>
            <family val="2"/>
          </rPr>
          <t xml:space="preserve">
проверити збир!
</t>
        </r>
      </text>
    </comment>
    <comment ref="I7604" authorId="0" shapeId="0">
      <text>
        <r>
          <rPr>
            <b/>
            <sz val="9"/>
            <color indexed="81"/>
            <rFont val="Tahoma"/>
            <family val="2"/>
          </rPr>
          <t>LPA:</t>
        </r>
        <r>
          <rPr>
            <sz val="9"/>
            <color indexed="81"/>
            <rFont val="Tahoma"/>
            <family val="2"/>
          </rPr>
          <t xml:space="preserve">
проверити збир!
</t>
        </r>
      </text>
    </comment>
    <comment ref="I7605" authorId="0" shapeId="0">
      <text>
        <r>
          <rPr>
            <b/>
            <sz val="9"/>
            <color indexed="81"/>
            <rFont val="Tahoma"/>
            <family val="2"/>
          </rPr>
          <t>LPA:</t>
        </r>
        <r>
          <rPr>
            <sz val="9"/>
            <color indexed="81"/>
            <rFont val="Tahoma"/>
            <family val="2"/>
          </rPr>
          <t xml:space="preserve">
проверити збир!
</t>
        </r>
      </text>
    </comment>
    <comment ref="I7606" authorId="0" shapeId="0">
      <text>
        <r>
          <rPr>
            <b/>
            <sz val="9"/>
            <color indexed="81"/>
            <rFont val="Tahoma"/>
            <family val="2"/>
          </rPr>
          <t>LPA:</t>
        </r>
        <r>
          <rPr>
            <sz val="9"/>
            <color indexed="81"/>
            <rFont val="Tahoma"/>
            <family val="2"/>
          </rPr>
          <t xml:space="preserve">
проверити збир!
</t>
        </r>
      </text>
    </comment>
    <comment ref="I7607" authorId="0" shapeId="0">
      <text>
        <r>
          <rPr>
            <b/>
            <sz val="9"/>
            <color indexed="81"/>
            <rFont val="Tahoma"/>
            <family val="2"/>
          </rPr>
          <t>LPA:</t>
        </r>
        <r>
          <rPr>
            <sz val="9"/>
            <color indexed="81"/>
            <rFont val="Tahoma"/>
            <family val="2"/>
          </rPr>
          <t xml:space="preserve">
проверити збир!
</t>
        </r>
      </text>
    </comment>
    <comment ref="I7608" authorId="0" shapeId="0">
      <text>
        <r>
          <rPr>
            <b/>
            <sz val="9"/>
            <color indexed="81"/>
            <rFont val="Tahoma"/>
            <family val="2"/>
          </rPr>
          <t>LPA:</t>
        </r>
        <r>
          <rPr>
            <sz val="9"/>
            <color indexed="81"/>
            <rFont val="Tahoma"/>
            <family val="2"/>
          </rPr>
          <t xml:space="preserve">
проверити збир!
</t>
        </r>
      </text>
    </comment>
    <comment ref="I7609" authorId="0" shapeId="0">
      <text>
        <r>
          <rPr>
            <b/>
            <sz val="9"/>
            <color indexed="81"/>
            <rFont val="Tahoma"/>
            <family val="2"/>
          </rPr>
          <t>LPA:</t>
        </r>
        <r>
          <rPr>
            <sz val="9"/>
            <color indexed="81"/>
            <rFont val="Tahoma"/>
            <family val="2"/>
          </rPr>
          <t xml:space="preserve">
проверити збир!
</t>
        </r>
      </text>
    </comment>
    <comment ref="I7610" authorId="0" shapeId="0">
      <text>
        <r>
          <rPr>
            <b/>
            <sz val="9"/>
            <color indexed="81"/>
            <rFont val="Tahoma"/>
            <family val="2"/>
          </rPr>
          <t>LPA:</t>
        </r>
        <r>
          <rPr>
            <sz val="9"/>
            <color indexed="81"/>
            <rFont val="Tahoma"/>
            <family val="2"/>
          </rPr>
          <t xml:space="preserve">
проверити збир!
</t>
        </r>
      </text>
    </comment>
    <comment ref="H7613" authorId="0" shapeId="0">
      <text>
        <r>
          <rPr>
            <b/>
            <sz val="9"/>
            <color indexed="81"/>
            <rFont val="Tahoma"/>
            <family val="2"/>
          </rPr>
          <t>LPA:</t>
        </r>
        <r>
          <rPr>
            <sz val="9"/>
            <color indexed="81"/>
            <rFont val="Tahoma"/>
            <family val="2"/>
          </rPr>
          <t xml:space="preserve">
проверити збир!</t>
        </r>
      </text>
    </comment>
    <comment ref="I7613" authorId="0" shapeId="0">
      <text>
        <r>
          <rPr>
            <b/>
            <sz val="9"/>
            <color indexed="81"/>
            <rFont val="Tahoma"/>
            <family val="2"/>
          </rPr>
          <t>LPA:</t>
        </r>
        <r>
          <rPr>
            <sz val="9"/>
            <color indexed="81"/>
            <rFont val="Tahoma"/>
            <family val="2"/>
          </rPr>
          <t xml:space="preserve">
проверити збир!</t>
        </r>
      </text>
    </comment>
    <comment ref="I7614" authorId="0" shapeId="0">
      <text>
        <r>
          <rPr>
            <b/>
            <sz val="9"/>
            <color indexed="81"/>
            <rFont val="Tahoma"/>
            <family val="2"/>
          </rPr>
          <t>LPA:</t>
        </r>
        <r>
          <rPr>
            <sz val="9"/>
            <color indexed="81"/>
            <rFont val="Tahoma"/>
            <family val="2"/>
          </rPr>
          <t xml:space="preserve">
проверити збир!
</t>
        </r>
      </text>
    </comment>
    <comment ref="I7615" authorId="0" shapeId="0">
      <text>
        <r>
          <rPr>
            <b/>
            <sz val="9"/>
            <color indexed="81"/>
            <rFont val="Tahoma"/>
            <family val="2"/>
          </rPr>
          <t>LPA:</t>
        </r>
        <r>
          <rPr>
            <sz val="9"/>
            <color indexed="81"/>
            <rFont val="Tahoma"/>
            <family val="2"/>
          </rPr>
          <t xml:space="preserve">
проверити збир!
</t>
        </r>
      </text>
    </comment>
    <comment ref="I7616" authorId="0" shapeId="0">
      <text>
        <r>
          <rPr>
            <b/>
            <sz val="9"/>
            <color indexed="81"/>
            <rFont val="Tahoma"/>
            <family val="2"/>
          </rPr>
          <t>LPA:</t>
        </r>
        <r>
          <rPr>
            <sz val="9"/>
            <color indexed="81"/>
            <rFont val="Tahoma"/>
            <family val="2"/>
          </rPr>
          <t xml:space="preserve">
проверити збир!
</t>
        </r>
      </text>
    </comment>
    <comment ref="I7617" authorId="0" shapeId="0">
      <text>
        <r>
          <rPr>
            <b/>
            <sz val="9"/>
            <color indexed="81"/>
            <rFont val="Tahoma"/>
            <family val="2"/>
          </rPr>
          <t>LPA:</t>
        </r>
        <r>
          <rPr>
            <sz val="9"/>
            <color indexed="81"/>
            <rFont val="Tahoma"/>
            <family val="2"/>
          </rPr>
          <t xml:space="preserve">
проверити збир!
</t>
        </r>
      </text>
    </comment>
    <comment ref="I7618" authorId="0" shapeId="0">
      <text>
        <r>
          <rPr>
            <b/>
            <sz val="9"/>
            <color indexed="81"/>
            <rFont val="Tahoma"/>
            <family val="2"/>
          </rPr>
          <t>LPA:</t>
        </r>
        <r>
          <rPr>
            <sz val="9"/>
            <color indexed="81"/>
            <rFont val="Tahoma"/>
            <family val="2"/>
          </rPr>
          <t xml:space="preserve">
проверити збир!
</t>
        </r>
      </text>
    </comment>
    <comment ref="I7619" authorId="0" shapeId="0">
      <text>
        <r>
          <rPr>
            <b/>
            <sz val="9"/>
            <color indexed="81"/>
            <rFont val="Tahoma"/>
            <family val="2"/>
          </rPr>
          <t>LPA:</t>
        </r>
        <r>
          <rPr>
            <sz val="9"/>
            <color indexed="81"/>
            <rFont val="Tahoma"/>
            <family val="2"/>
          </rPr>
          <t xml:space="preserve">
проверити збир!
</t>
        </r>
      </text>
    </comment>
    <comment ref="I7620" authorId="0" shapeId="0">
      <text>
        <r>
          <rPr>
            <b/>
            <sz val="9"/>
            <color indexed="81"/>
            <rFont val="Tahoma"/>
            <family val="2"/>
          </rPr>
          <t>LPA:</t>
        </r>
        <r>
          <rPr>
            <sz val="9"/>
            <color indexed="81"/>
            <rFont val="Tahoma"/>
            <family val="2"/>
          </rPr>
          <t xml:space="preserve">
проверити збир!
</t>
        </r>
      </text>
    </comment>
    <comment ref="I7621" authorId="0" shapeId="0">
      <text>
        <r>
          <rPr>
            <b/>
            <sz val="9"/>
            <color indexed="81"/>
            <rFont val="Tahoma"/>
            <family val="2"/>
          </rPr>
          <t>LPA:</t>
        </r>
        <r>
          <rPr>
            <sz val="9"/>
            <color indexed="81"/>
            <rFont val="Tahoma"/>
            <family val="2"/>
          </rPr>
          <t xml:space="preserve">
проверити збир!
</t>
        </r>
      </text>
    </comment>
    <comment ref="I7622" authorId="0" shapeId="0">
      <text>
        <r>
          <rPr>
            <b/>
            <sz val="9"/>
            <color indexed="81"/>
            <rFont val="Tahoma"/>
            <family val="2"/>
          </rPr>
          <t>LPA:</t>
        </r>
        <r>
          <rPr>
            <sz val="9"/>
            <color indexed="81"/>
            <rFont val="Tahoma"/>
            <family val="2"/>
          </rPr>
          <t xml:space="preserve">
проверити збир!
</t>
        </r>
      </text>
    </comment>
    <comment ref="I7623" authorId="0" shapeId="0">
      <text>
        <r>
          <rPr>
            <b/>
            <sz val="9"/>
            <color indexed="81"/>
            <rFont val="Tahoma"/>
            <family val="2"/>
          </rPr>
          <t>LPA:</t>
        </r>
        <r>
          <rPr>
            <sz val="9"/>
            <color indexed="81"/>
            <rFont val="Tahoma"/>
            <family val="2"/>
          </rPr>
          <t xml:space="preserve">
проверити збир!
</t>
        </r>
      </text>
    </comment>
    <comment ref="I7624" authorId="0" shapeId="0">
      <text>
        <r>
          <rPr>
            <b/>
            <sz val="9"/>
            <color indexed="81"/>
            <rFont val="Tahoma"/>
            <family val="2"/>
          </rPr>
          <t>LPA:</t>
        </r>
        <r>
          <rPr>
            <sz val="9"/>
            <color indexed="81"/>
            <rFont val="Tahoma"/>
            <family val="2"/>
          </rPr>
          <t xml:space="preserve">
проверити збир!
</t>
        </r>
      </text>
    </comment>
    <comment ref="I7625" authorId="0" shapeId="0">
      <text>
        <r>
          <rPr>
            <b/>
            <sz val="9"/>
            <color indexed="81"/>
            <rFont val="Tahoma"/>
            <family val="2"/>
          </rPr>
          <t>LPA:</t>
        </r>
        <r>
          <rPr>
            <sz val="9"/>
            <color indexed="81"/>
            <rFont val="Tahoma"/>
            <family val="2"/>
          </rPr>
          <t xml:space="preserve">
проверити збир!
</t>
        </r>
      </text>
    </comment>
    <comment ref="I7626" authorId="0" shapeId="0">
      <text>
        <r>
          <rPr>
            <b/>
            <sz val="9"/>
            <color indexed="81"/>
            <rFont val="Tahoma"/>
            <family val="2"/>
          </rPr>
          <t>LPA:</t>
        </r>
        <r>
          <rPr>
            <sz val="9"/>
            <color indexed="81"/>
            <rFont val="Tahoma"/>
            <family val="2"/>
          </rPr>
          <t xml:space="preserve">
проверити збир!
</t>
        </r>
      </text>
    </comment>
    <comment ref="I7627" authorId="0" shapeId="0">
      <text>
        <r>
          <rPr>
            <b/>
            <sz val="9"/>
            <color indexed="81"/>
            <rFont val="Tahoma"/>
            <family val="2"/>
          </rPr>
          <t>LPA:</t>
        </r>
        <r>
          <rPr>
            <sz val="9"/>
            <color indexed="81"/>
            <rFont val="Tahoma"/>
            <family val="2"/>
          </rPr>
          <t xml:space="preserve">
проверити збир!
</t>
        </r>
      </text>
    </comment>
    <comment ref="I7628" authorId="0" shapeId="0">
      <text>
        <r>
          <rPr>
            <b/>
            <sz val="9"/>
            <color indexed="81"/>
            <rFont val="Tahoma"/>
            <family val="2"/>
          </rPr>
          <t>LPA:</t>
        </r>
        <r>
          <rPr>
            <sz val="9"/>
            <color indexed="81"/>
            <rFont val="Tahoma"/>
            <family val="2"/>
          </rPr>
          <t xml:space="preserve">
проверити збир!
</t>
        </r>
      </text>
    </comment>
    <comment ref="H7632" authorId="0" shapeId="0">
      <text>
        <r>
          <rPr>
            <b/>
            <sz val="9"/>
            <color indexed="81"/>
            <rFont val="Tahoma"/>
            <family val="2"/>
          </rPr>
          <t>LPA:</t>
        </r>
        <r>
          <rPr>
            <sz val="9"/>
            <color indexed="81"/>
            <rFont val="Tahoma"/>
            <family val="2"/>
          </rPr>
          <t xml:space="preserve">
проверити збир!</t>
        </r>
      </text>
    </comment>
    <comment ref="I7632" authorId="0" shapeId="0">
      <text>
        <r>
          <rPr>
            <b/>
            <sz val="9"/>
            <color indexed="81"/>
            <rFont val="Tahoma"/>
            <family val="2"/>
          </rPr>
          <t>LPA:</t>
        </r>
        <r>
          <rPr>
            <sz val="9"/>
            <color indexed="81"/>
            <rFont val="Tahoma"/>
            <family val="2"/>
          </rPr>
          <t xml:space="preserve">
проверити збир!
</t>
        </r>
      </text>
    </comment>
    <comment ref="I7633" authorId="0" shapeId="0">
      <text>
        <r>
          <rPr>
            <b/>
            <sz val="9"/>
            <color indexed="81"/>
            <rFont val="Tahoma"/>
            <family val="2"/>
          </rPr>
          <t>LPA:</t>
        </r>
        <r>
          <rPr>
            <sz val="9"/>
            <color indexed="81"/>
            <rFont val="Tahoma"/>
            <family val="2"/>
          </rPr>
          <t xml:space="preserve">
проверити збир!
</t>
        </r>
      </text>
    </comment>
    <comment ref="I7634" authorId="0" shapeId="0">
      <text>
        <r>
          <rPr>
            <b/>
            <sz val="9"/>
            <color indexed="81"/>
            <rFont val="Tahoma"/>
            <family val="2"/>
          </rPr>
          <t>LPA:</t>
        </r>
        <r>
          <rPr>
            <sz val="9"/>
            <color indexed="81"/>
            <rFont val="Tahoma"/>
            <family val="2"/>
          </rPr>
          <t xml:space="preserve">
проверити збир!
</t>
        </r>
      </text>
    </comment>
    <comment ref="I7635" authorId="0" shapeId="0">
      <text>
        <r>
          <rPr>
            <b/>
            <sz val="9"/>
            <color indexed="81"/>
            <rFont val="Tahoma"/>
            <family val="2"/>
          </rPr>
          <t>LPA:</t>
        </r>
        <r>
          <rPr>
            <sz val="9"/>
            <color indexed="81"/>
            <rFont val="Tahoma"/>
            <family val="2"/>
          </rPr>
          <t xml:space="preserve">
проверити збир!
</t>
        </r>
      </text>
    </comment>
    <comment ref="I7636" authorId="0" shapeId="0">
      <text>
        <r>
          <rPr>
            <b/>
            <sz val="9"/>
            <color indexed="81"/>
            <rFont val="Tahoma"/>
            <family val="2"/>
          </rPr>
          <t>LPA:</t>
        </r>
        <r>
          <rPr>
            <sz val="9"/>
            <color indexed="81"/>
            <rFont val="Tahoma"/>
            <family val="2"/>
          </rPr>
          <t xml:space="preserve">
проверити збир!
</t>
        </r>
      </text>
    </comment>
    <comment ref="I7637" authorId="0" shapeId="0">
      <text>
        <r>
          <rPr>
            <b/>
            <sz val="9"/>
            <color indexed="81"/>
            <rFont val="Tahoma"/>
            <family val="2"/>
          </rPr>
          <t>LPA:</t>
        </r>
        <r>
          <rPr>
            <sz val="9"/>
            <color indexed="81"/>
            <rFont val="Tahoma"/>
            <family val="2"/>
          </rPr>
          <t xml:space="preserve">
проверити збир!
</t>
        </r>
      </text>
    </comment>
    <comment ref="I7638" authorId="0" shapeId="0">
      <text>
        <r>
          <rPr>
            <b/>
            <sz val="9"/>
            <color indexed="81"/>
            <rFont val="Tahoma"/>
            <family val="2"/>
          </rPr>
          <t>LPA:</t>
        </r>
        <r>
          <rPr>
            <sz val="9"/>
            <color indexed="81"/>
            <rFont val="Tahoma"/>
            <family val="2"/>
          </rPr>
          <t xml:space="preserve">
проверити збир!
</t>
        </r>
      </text>
    </comment>
    <comment ref="I7639" authorId="0" shapeId="0">
      <text>
        <r>
          <rPr>
            <b/>
            <sz val="9"/>
            <color indexed="81"/>
            <rFont val="Tahoma"/>
            <family val="2"/>
          </rPr>
          <t>LPA:</t>
        </r>
        <r>
          <rPr>
            <sz val="9"/>
            <color indexed="81"/>
            <rFont val="Tahoma"/>
            <family val="2"/>
          </rPr>
          <t xml:space="preserve">
проверити збир!
</t>
        </r>
      </text>
    </comment>
    <comment ref="I7640" authorId="0" shapeId="0">
      <text>
        <r>
          <rPr>
            <b/>
            <sz val="9"/>
            <color indexed="81"/>
            <rFont val="Tahoma"/>
            <family val="2"/>
          </rPr>
          <t>LPA:</t>
        </r>
        <r>
          <rPr>
            <sz val="9"/>
            <color indexed="81"/>
            <rFont val="Tahoma"/>
            <family val="2"/>
          </rPr>
          <t xml:space="preserve">
проверити збир!
</t>
        </r>
      </text>
    </comment>
    <comment ref="I7641" authorId="0" shapeId="0">
      <text>
        <r>
          <rPr>
            <b/>
            <sz val="9"/>
            <color indexed="81"/>
            <rFont val="Tahoma"/>
            <family val="2"/>
          </rPr>
          <t>LPA:</t>
        </r>
        <r>
          <rPr>
            <sz val="9"/>
            <color indexed="81"/>
            <rFont val="Tahoma"/>
            <family val="2"/>
          </rPr>
          <t xml:space="preserve">
проверити збир!
</t>
        </r>
      </text>
    </comment>
    <comment ref="I7642" authorId="0" shapeId="0">
      <text>
        <r>
          <rPr>
            <b/>
            <sz val="9"/>
            <color indexed="81"/>
            <rFont val="Tahoma"/>
            <family val="2"/>
          </rPr>
          <t>LPA:</t>
        </r>
        <r>
          <rPr>
            <sz val="9"/>
            <color indexed="81"/>
            <rFont val="Tahoma"/>
            <family val="2"/>
          </rPr>
          <t xml:space="preserve">
проверити збир!
</t>
        </r>
      </text>
    </comment>
    <comment ref="I7643" authorId="0" shapeId="0">
      <text>
        <r>
          <rPr>
            <b/>
            <sz val="9"/>
            <color indexed="81"/>
            <rFont val="Tahoma"/>
            <family val="2"/>
          </rPr>
          <t>LPA:</t>
        </r>
        <r>
          <rPr>
            <sz val="9"/>
            <color indexed="81"/>
            <rFont val="Tahoma"/>
            <family val="2"/>
          </rPr>
          <t xml:space="preserve">
проверити збир!
</t>
        </r>
      </text>
    </comment>
    <comment ref="I7644" authorId="0" shapeId="0">
      <text>
        <r>
          <rPr>
            <b/>
            <sz val="9"/>
            <color indexed="81"/>
            <rFont val="Tahoma"/>
            <family val="2"/>
          </rPr>
          <t>LPA:</t>
        </r>
        <r>
          <rPr>
            <sz val="9"/>
            <color indexed="81"/>
            <rFont val="Tahoma"/>
            <family val="2"/>
          </rPr>
          <t xml:space="preserve">
проверити збир!
</t>
        </r>
      </text>
    </comment>
    <comment ref="I7645" authorId="0" shapeId="0">
      <text>
        <r>
          <rPr>
            <b/>
            <sz val="9"/>
            <color indexed="81"/>
            <rFont val="Tahoma"/>
            <family val="2"/>
          </rPr>
          <t>LPA:</t>
        </r>
        <r>
          <rPr>
            <sz val="9"/>
            <color indexed="81"/>
            <rFont val="Tahoma"/>
            <family val="2"/>
          </rPr>
          <t xml:space="preserve">
проверити збир!
</t>
        </r>
      </text>
    </comment>
    <comment ref="I7646" authorId="0" shapeId="0">
      <text>
        <r>
          <rPr>
            <b/>
            <sz val="9"/>
            <color indexed="81"/>
            <rFont val="Tahoma"/>
            <family val="2"/>
          </rPr>
          <t>LPA:</t>
        </r>
        <r>
          <rPr>
            <sz val="9"/>
            <color indexed="81"/>
            <rFont val="Tahoma"/>
            <family val="2"/>
          </rPr>
          <t xml:space="preserve">
проверити збир!
</t>
        </r>
      </text>
    </comment>
    <comment ref="I7647" authorId="0" shapeId="0">
      <text>
        <r>
          <rPr>
            <b/>
            <sz val="9"/>
            <color indexed="81"/>
            <rFont val="Tahoma"/>
            <family val="2"/>
          </rPr>
          <t>LPA:</t>
        </r>
        <r>
          <rPr>
            <sz val="9"/>
            <color indexed="81"/>
            <rFont val="Tahoma"/>
            <family val="2"/>
          </rPr>
          <t xml:space="preserve">
проверити збир!
</t>
        </r>
      </text>
    </comment>
    <comment ref="H7651" authorId="0" shapeId="0">
      <text>
        <r>
          <rPr>
            <b/>
            <sz val="9"/>
            <color indexed="81"/>
            <rFont val="Tahoma"/>
            <family val="2"/>
          </rPr>
          <t>LPA:</t>
        </r>
        <r>
          <rPr>
            <sz val="9"/>
            <color indexed="81"/>
            <rFont val="Tahoma"/>
            <family val="2"/>
          </rPr>
          <t xml:space="preserve">
проверити збир!</t>
        </r>
      </text>
    </comment>
    <comment ref="I7651" authorId="0" shapeId="0">
      <text>
        <r>
          <rPr>
            <b/>
            <sz val="9"/>
            <color indexed="81"/>
            <rFont val="Tahoma"/>
            <family val="2"/>
          </rPr>
          <t>LPA:</t>
        </r>
        <r>
          <rPr>
            <sz val="9"/>
            <color indexed="81"/>
            <rFont val="Tahoma"/>
            <family val="2"/>
          </rPr>
          <t xml:space="preserve">
проверити збир!
</t>
        </r>
      </text>
    </comment>
    <comment ref="I7652" authorId="0" shapeId="0">
      <text>
        <r>
          <rPr>
            <b/>
            <sz val="9"/>
            <color indexed="81"/>
            <rFont val="Tahoma"/>
            <family val="2"/>
          </rPr>
          <t>LPA:</t>
        </r>
        <r>
          <rPr>
            <sz val="9"/>
            <color indexed="81"/>
            <rFont val="Tahoma"/>
            <family val="2"/>
          </rPr>
          <t xml:space="preserve">
проверити збир!
</t>
        </r>
      </text>
    </comment>
    <comment ref="I7653" authorId="0" shapeId="0">
      <text>
        <r>
          <rPr>
            <b/>
            <sz val="9"/>
            <color indexed="81"/>
            <rFont val="Tahoma"/>
            <family val="2"/>
          </rPr>
          <t>LPA:</t>
        </r>
        <r>
          <rPr>
            <sz val="9"/>
            <color indexed="81"/>
            <rFont val="Tahoma"/>
            <family val="2"/>
          </rPr>
          <t xml:space="preserve">
проверити збир!
</t>
        </r>
      </text>
    </comment>
    <comment ref="I7654" authorId="0" shapeId="0">
      <text>
        <r>
          <rPr>
            <b/>
            <sz val="9"/>
            <color indexed="81"/>
            <rFont val="Tahoma"/>
            <family val="2"/>
          </rPr>
          <t>LPA:</t>
        </r>
        <r>
          <rPr>
            <sz val="9"/>
            <color indexed="81"/>
            <rFont val="Tahoma"/>
            <family val="2"/>
          </rPr>
          <t xml:space="preserve">
проверити збир!
</t>
        </r>
      </text>
    </comment>
    <comment ref="I7655" authorId="0" shapeId="0">
      <text>
        <r>
          <rPr>
            <b/>
            <sz val="9"/>
            <color indexed="81"/>
            <rFont val="Tahoma"/>
            <family val="2"/>
          </rPr>
          <t>LPA:</t>
        </r>
        <r>
          <rPr>
            <sz val="9"/>
            <color indexed="81"/>
            <rFont val="Tahoma"/>
            <family val="2"/>
          </rPr>
          <t xml:space="preserve">
проверити збир!
</t>
        </r>
      </text>
    </comment>
    <comment ref="I7656" authorId="0" shapeId="0">
      <text>
        <r>
          <rPr>
            <b/>
            <sz val="9"/>
            <color indexed="81"/>
            <rFont val="Tahoma"/>
            <family val="2"/>
          </rPr>
          <t>LPA:</t>
        </r>
        <r>
          <rPr>
            <sz val="9"/>
            <color indexed="81"/>
            <rFont val="Tahoma"/>
            <family val="2"/>
          </rPr>
          <t xml:space="preserve">
проверити збир!
</t>
        </r>
      </text>
    </comment>
    <comment ref="I7657" authorId="0" shapeId="0">
      <text>
        <r>
          <rPr>
            <b/>
            <sz val="9"/>
            <color indexed="81"/>
            <rFont val="Tahoma"/>
            <family val="2"/>
          </rPr>
          <t>LPA:</t>
        </r>
        <r>
          <rPr>
            <sz val="9"/>
            <color indexed="81"/>
            <rFont val="Tahoma"/>
            <family val="2"/>
          </rPr>
          <t xml:space="preserve">
проверити збир!
</t>
        </r>
      </text>
    </comment>
    <comment ref="I7658" authorId="0" shapeId="0">
      <text>
        <r>
          <rPr>
            <b/>
            <sz val="9"/>
            <color indexed="81"/>
            <rFont val="Tahoma"/>
            <family val="2"/>
          </rPr>
          <t>LPA:</t>
        </r>
        <r>
          <rPr>
            <sz val="9"/>
            <color indexed="81"/>
            <rFont val="Tahoma"/>
            <family val="2"/>
          </rPr>
          <t xml:space="preserve">
проверити збир!
</t>
        </r>
      </text>
    </comment>
    <comment ref="I7659" authorId="0" shapeId="0">
      <text>
        <r>
          <rPr>
            <b/>
            <sz val="9"/>
            <color indexed="81"/>
            <rFont val="Tahoma"/>
            <family val="2"/>
          </rPr>
          <t>LPA:</t>
        </r>
        <r>
          <rPr>
            <sz val="9"/>
            <color indexed="81"/>
            <rFont val="Tahoma"/>
            <family val="2"/>
          </rPr>
          <t xml:space="preserve">
проверити збир!
</t>
        </r>
      </text>
    </comment>
    <comment ref="I7660" authorId="0" shapeId="0">
      <text>
        <r>
          <rPr>
            <b/>
            <sz val="9"/>
            <color indexed="81"/>
            <rFont val="Tahoma"/>
            <family val="2"/>
          </rPr>
          <t>LPA:</t>
        </r>
        <r>
          <rPr>
            <sz val="9"/>
            <color indexed="81"/>
            <rFont val="Tahoma"/>
            <family val="2"/>
          </rPr>
          <t xml:space="preserve">
проверити збир!
</t>
        </r>
      </text>
    </comment>
    <comment ref="I7661" authorId="0" shapeId="0">
      <text>
        <r>
          <rPr>
            <b/>
            <sz val="9"/>
            <color indexed="81"/>
            <rFont val="Tahoma"/>
            <family val="2"/>
          </rPr>
          <t>LPA:</t>
        </r>
        <r>
          <rPr>
            <sz val="9"/>
            <color indexed="81"/>
            <rFont val="Tahoma"/>
            <family val="2"/>
          </rPr>
          <t xml:space="preserve">
проверити збир!
</t>
        </r>
      </text>
    </comment>
    <comment ref="I7662" authorId="0" shapeId="0">
      <text>
        <r>
          <rPr>
            <b/>
            <sz val="9"/>
            <color indexed="81"/>
            <rFont val="Tahoma"/>
            <family val="2"/>
          </rPr>
          <t>LPA:</t>
        </r>
        <r>
          <rPr>
            <sz val="9"/>
            <color indexed="81"/>
            <rFont val="Tahoma"/>
            <family val="2"/>
          </rPr>
          <t xml:space="preserve">
проверити збир!
</t>
        </r>
      </text>
    </comment>
    <comment ref="I7663" authorId="0" shapeId="0">
      <text>
        <r>
          <rPr>
            <b/>
            <sz val="9"/>
            <color indexed="81"/>
            <rFont val="Tahoma"/>
            <family val="2"/>
          </rPr>
          <t>LPA:</t>
        </r>
        <r>
          <rPr>
            <sz val="9"/>
            <color indexed="81"/>
            <rFont val="Tahoma"/>
            <family val="2"/>
          </rPr>
          <t xml:space="preserve">
проверити збир!
</t>
        </r>
      </text>
    </comment>
    <comment ref="I7664" authorId="0" shapeId="0">
      <text>
        <r>
          <rPr>
            <b/>
            <sz val="9"/>
            <color indexed="81"/>
            <rFont val="Tahoma"/>
            <family val="2"/>
          </rPr>
          <t>LPA:</t>
        </r>
        <r>
          <rPr>
            <sz val="9"/>
            <color indexed="81"/>
            <rFont val="Tahoma"/>
            <family val="2"/>
          </rPr>
          <t xml:space="preserve">
проверити збир!
</t>
        </r>
      </text>
    </comment>
    <comment ref="I7665" authorId="0" shapeId="0">
      <text>
        <r>
          <rPr>
            <b/>
            <sz val="9"/>
            <color indexed="81"/>
            <rFont val="Tahoma"/>
            <family val="2"/>
          </rPr>
          <t>LPA:</t>
        </r>
        <r>
          <rPr>
            <sz val="9"/>
            <color indexed="81"/>
            <rFont val="Tahoma"/>
            <family val="2"/>
          </rPr>
          <t xml:space="preserve">
проверити збир!
</t>
        </r>
      </text>
    </comment>
    <comment ref="I7666" authorId="0" shapeId="0">
      <text>
        <r>
          <rPr>
            <b/>
            <sz val="9"/>
            <color indexed="81"/>
            <rFont val="Tahoma"/>
            <family val="2"/>
          </rPr>
          <t>LPA:</t>
        </r>
        <r>
          <rPr>
            <sz val="9"/>
            <color indexed="81"/>
            <rFont val="Tahoma"/>
            <family val="2"/>
          </rPr>
          <t xml:space="preserve">
проверити збир!
</t>
        </r>
      </text>
    </comment>
    <comment ref="I7738" authorId="0" shapeId="0">
      <text>
        <r>
          <rPr>
            <b/>
            <sz val="9"/>
            <color indexed="81"/>
            <rFont val="Tahoma"/>
            <family val="2"/>
          </rPr>
          <t>LPA:</t>
        </r>
        <r>
          <rPr>
            <sz val="9"/>
            <color indexed="81"/>
            <rFont val="Tahoma"/>
            <family val="2"/>
          </rPr>
          <t xml:space="preserve">
проверити збир!
</t>
        </r>
      </text>
    </comment>
    <comment ref="I7739" authorId="0" shapeId="0">
      <text>
        <r>
          <rPr>
            <b/>
            <sz val="9"/>
            <color indexed="81"/>
            <rFont val="Tahoma"/>
            <family val="2"/>
          </rPr>
          <t>LPA:</t>
        </r>
        <r>
          <rPr>
            <sz val="9"/>
            <color indexed="81"/>
            <rFont val="Tahoma"/>
            <family val="2"/>
          </rPr>
          <t xml:space="preserve">
проверити збир!
</t>
        </r>
      </text>
    </comment>
    <comment ref="I7740" authorId="0" shapeId="0">
      <text>
        <r>
          <rPr>
            <b/>
            <sz val="9"/>
            <color indexed="81"/>
            <rFont val="Tahoma"/>
            <family val="2"/>
          </rPr>
          <t>LPA:</t>
        </r>
        <r>
          <rPr>
            <sz val="9"/>
            <color indexed="81"/>
            <rFont val="Tahoma"/>
            <family val="2"/>
          </rPr>
          <t xml:space="preserve">
проверити збир!
</t>
        </r>
      </text>
    </comment>
    <comment ref="I7741" authorId="0" shapeId="0">
      <text>
        <r>
          <rPr>
            <b/>
            <sz val="9"/>
            <color indexed="81"/>
            <rFont val="Tahoma"/>
            <family val="2"/>
          </rPr>
          <t>LPA:</t>
        </r>
        <r>
          <rPr>
            <sz val="9"/>
            <color indexed="81"/>
            <rFont val="Tahoma"/>
            <family val="2"/>
          </rPr>
          <t xml:space="preserve">
проверити збир!
</t>
        </r>
      </text>
    </comment>
    <comment ref="I7742" authorId="0" shapeId="0">
      <text>
        <r>
          <rPr>
            <b/>
            <sz val="9"/>
            <color indexed="81"/>
            <rFont val="Tahoma"/>
            <family val="2"/>
          </rPr>
          <t>LPA:</t>
        </r>
        <r>
          <rPr>
            <sz val="9"/>
            <color indexed="81"/>
            <rFont val="Tahoma"/>
            <family val="2"/>
          </rPr>
          <t xml:space="preserve">
проверити збир!
</t>
        </r>
      </text>
    </comment>
    <comment ref="I7743" authorId="0" shapeId="0">
      <text>
        <r>
          <rPr>
            <b/>
            <sz val="9"/>
            <color indexed="81"/>
            <rFont val="Tahoma"/>
            <family val="2"/>
          </rPr>
          <t>LPA:</t>
        </r>
        <r>
          <rPr>
            <sz val="9"/>
            <color indexed="81"/>
            <rFont val="Tahoma"/>
            <family val="2"/>
          </rPr>
          <t xml:space="preserve">
проверити збир!
</t>
        </r>
      </text>
    </comment>
    <comment ref="I7744" authorId="0" shapeId="0">
      <text>
        <r>
          <rPr>
            <b/>
            <sz val="9"/>
            <color indexed="81"/>
            <rFont val="Tahoma"/>
            <family val="2"/>
          </rPr>
          <t>LPA:</t>
        </r>
        <r>
          <rPr>
            <sz val="9"/>
            <color indexed="81"/>
            <rFont val="Tahoma"/>
            <family val="2"/>
          </rPr>
          <t xml:space="preserve">
проверити збир!
</t>
        </r>
      </text>
    </comment>
    <comment ref="I7745" authorId="0" shapeId="0">
      <text>
        <r>
          <rPr>
            <b/>
            <sz val="9"/>
            <color indexed="81"/>
            <rFont val="Tahoma"/>
            <family val="2"/>
          </rPr>
          <t>LPA:</t>
        </r>
        <r>
          <rPr>
            <sz val="9"/>
            <color indexed="81"/>
            <rFont val="Tahoma"/>
            <family val="2"/>
          </rPr>
          <t xml:space="preserve">
проверити збир!
</t>
        </r>
      </text>
    </comment>
    <comment ref="I7746" authorId="0" shapeId="0">
      <text>
        <r>
          <rPr>
            <b/>
            <sz val="9"/>
            <color indexed="81"/>
            <rFont val="Tahoma"/>
            <family val="2"/>
          </rPr>
          <t>LPA:</t>
        </r>
        <r>
          <rPr>
            <sz val="9"/>
            <color indexed="81"/>
            <rFont val="Tahoma"/>
            <family val="2"/>
          </rPr>
          <t xml:space="preserve">
проверити збир!
</t>
        </r>
      </text>
    </comment>
    <comment ref="I7747" authorId="0" shapeId="0">
      <text>
        <r>
          <rPr>
            <b/>
            <sz val="9"/>
            <color indexed="81"/>
            <rFont val="Tahoma"/>
            <family val="2"/>
          </rPr>
          <t>LPA:</t>
        </r>
        <r>
          <rPr>
            <sz val="9"/>
            <color indexed="81"/>
            <rFont val="Tahoma"/>
            <family val="2"/>
          </rPr>
          <t xml:space="preserve">
проверити збир!
</t>
        </r>
      </text>
    </comment>
    <comment ref="I7748" authorId="0" shapeId="0">
      <text>
        <r>
          <rPr>
            <b/>
            <sz val="9"/>
            <color indexed="81"/>
            <rFont val="Tahoma"/>
            <family val="2"/>
          </rPr>
          <t>LPA:</t>
        </r>
        <r>
          <rPr>
            <sz val="9"/>
            <color indexed="81"/>
            <rFont val="Tahoma"/>
            <family val="2"/>
          </rPr>
          <t xml:space="preserve">
проверити збир!
</t>
        </r>
      </text>
    </comment>
    <comment ref="I7749" authorId="0" shapeId="0">
      <text>
        <r>
          <rPr>
            <b/>
            <sz val="9"/>
            <color indexed="81"/>
            <rFont val="Tahoma"/>
            <family val="2"/>
          </rPr>
          <t>LPA:</t>
        </r>
        <r>
          <rPr>
            <sz val="9"/>
            <color indexed="81"/>
            <rFont val="Tahoma"/>
            <family val="2"/>
          </rPr>
          <t xml:space="preserve">
проверити збир!
</t>
        </r>
      </text>
    </comment>
    <comment ref="I7750" authorId="0" shapeId="0">
      <text>
        <r>
          <rPr>
            <b/>
            <sz val="9"/>
            <color indexed="81"/>
            <rFont val="Tahoma"/>
            <family val="2"/>
          </rPr>
          <t>LPA:</t>
        </r>
        <r>
          <rPr>
            <sz val="9"/>
            <color indexed="81"/>
            <rFont val="Tahoma"/>
            <family val="2"/>
          </rPr>
          <t xml:space="preserve">
проверити збир!
</t>
        </r>
      </text>
    </comment>
    <comment ref="H7753" authorId="0" shapeId="0">
      <text>
        <r>
          <rPr>
            <b/>
            <sz val="9"/>
            <color indexed="81"/>
            <rFont val="Tahoma"/>
            <family val="2"/>
          </rPr>
          <t>LPA:</t>
        </r>
        <r>
          <rPr>
            <sz val="9"/>
            <color indexed="81"/>
            <rFont val="Tahoma"/>
            <family val="2"/>
          </rPr>
          <t xml:space="preserve">
проверити збир!</t>
        </r>
      </text>
    </comment>
    <comment ref="I7753" authorId="0" shapeId="0">
      <text>
        <r>
          <rPr>
            <b/>
            <sz val="9"/>
            <color indexed="81"/>
            <rFont val="Tahoma"/>
            <family val="2"/>
          </rPr>
          <t>LPA:</t>
        </r>
        <r>
          <rPr>
            <sz val="9"/>
            <color indexed="81"/>
            <rFont val="Tahoma"/>
            <family val="2"/>
          </rPr>
          <t xml:space="preserve">
проверити збир!</t>
        </r>
      </text>
    </comment>
    <comment ref="I7754" authorId="0" shapeId="0">
      <text>
        <r>
          <rPr>
            <b/>
            <sz val="9"/>
            <color indexed="81"/>
            <rFont val="Tahoma"/>
            <family val="2"/>
          </rPr>
          <t>LPA:</t>
        </r>
        <r>
          <rPr>
            <sz val="9"/>
            <color indexed="81"/>
            <rFont val="Tahoma"/>
            <family val="2"/>
          </rPr>
          <t xml:space="preserve">
проверити збир!
</t>
        </r>
      </text>
    </comment>
    <comment ref="I7755" authorId="0" shapeId="0">
      <text>
        <r>
          <rPr>
            <b/>
            <sz val="9"/>
            <color indexed="81"/>
            <rFont val="Tahoma"/>
            <family val="2"/>
          </rPr>
          <t>LPA:</t>
        </r>
        <r>
          <rPr>
            <sz val="9"/>
            <color indexed="81"/>
            <rFont val="Tahoma"/>
            <family val="2"/>
          </rPr>
          <t xml:space="preserve">
проверити збир!
</t>
        </r>
      </text>
    </comment>
    <comment ref="I7756" authorId="0" shapeId="0">
      <text>
        <r>
          <rPr>
            <b/>
            <sz val="9"/>
            <color indexed="81"/>
            <rFont val="Tahoma"/>
            <family val="2"/>
          </rPr>
          <t>LPA:</t>
        </r>
        <r>
          <rPr>
            <sz val="9"/>
            <color indexed="81"/>
            <rFont val="Tahoma"/>
            <family val="2"/>
          </rPr>
          <t xml:space="preserve">
проверити збир!
</t>
        </r>
      </text>
    </comment>
    <comment ref="I7757" authorId="0" shapeId="0">
      <text>
        <r>
          <rPr>
            <b/>
            <sz val="9"/>
            <color indexed="81"/>
            <rFont val="Tahoma"/>
            <family val="2"/>
          </rPr>
          <t>LPA:</t>
        </r>
        <r>
          <rPr>
            <sz val="9"/>
            <color indexed="81"/>
            <rFont val="Tahoma"/>
            <family val="2"/>
          </rPr>
          <t xml:space="preserve">
проверити збир!
</t>
        </r>
      </text>
    </comment>
    <comment ref="I7758" authorId="0" shapeId="0">
      <text>
        <r>
          <rPr>
            <b/>
            <sz val="9"/>
            <color indexed="81"/>
            <rFont val="Tahoma"/>
            <family val="2"/>
          </rPr>
          <t>LPA:</t>
        </r>
        <r>
          <rPr>
            <sz val="9"/>
            <color indexed="81"/>
            <rFont val="Tahoma"/>
            <family val="2"/>
          </rPr>
          <t xml:space="preserve">
проверити збир!
</t>
        </r>
      </text>
    </comment>
    <comment ref="I7759" authorId="0" shapeId="0">
      <text>
        <r>
          <rPr>
            <b/>
            <sz val="9"/>
            <color indexed="81"/>
            <rFont val="Tahoma"/>
            <family val="2"/>
          </rPr>
          <t>LPA:</t>
        </r>
        <r>
          <rPr>
            <sz val="9"/>
            <color indexed="81"/>
            <rFont val="Tahoma"/>
            <family val="2"/>
          </rPr>
          <t xml:space="preserve">
проверити збир!
</t>
        </r>
      </text>
    </comment>
    <comment ref="I7760" authorId="0" shapeId="0">
      <text>
        <r>
          <rPr>
            <b/>
            <sz val="9"/>
            <color indexed="81"/>
            <rFont val="Tahoma"/>
            <family val="2"/>
          </rPr>
          <t>LPA:</t>
        </r>
        <r>
          <rPr>
            <sz val="9"/>
            <color indexed="81"/>
            <rFont val="Tahoma"/>
            <family val="2"/>
          </rPr>
          <t xml:space="preserve">
проверити збир!
</t>
        </r>
      </text>
    </comment>
    <comment ref="I7761" authorId="0" shapeId="0">
      <text>
        <r>
          <rPr>
            <b/>
            <sz val="9"/>
            <color indexed="81"/>
            <rFont val="Tahoma"/>
            <family val="2"/>
          </rPr>
          <t>LPA:</t>
        </r>
        <r>
          <rPr>
            <sz val="9"/>
            <color indexed="81"/>
            <rFont val="Tahoma"/>
            <family val="2"/>
          </rPr>
          <t xml:space="preserve">
проверити збир!
</t>
        </r>
      </text>
    </comment>
    <comment ref="I7762" authorId="0" shapeId="0">
      <text>
        <r>
          <rPr>
            <b/>
            <sz val="9"/>
            <color indexed="81"/>
            <rFont val="Tahoma"/>
            <family val="2"/>
          </rPr>
          <t>LPA:</t>
        </r>
        <r>
          <rPr>
            <sz val="9"/>
            <color indexed="81"/>
            <rFont val="Tahoma"/>
            <family val="2"/>
          </rPr>
          <t xml:space="preserve">
проверити збир!
</t>
        </r>
      </text>
    </comment>
    <comment ref="I7763" authorId="0" shapeId="0">
      <text>
        <r>
          <rPr>
            <b/>
            <sz val="9"/>
            <color indexed="81"/>
            <rFont val="Tahoma"/>
            <family val="2"/>
          </rPr>
          <t>LPA:</t>
        </r>
        <r>
          <rPr>
            <sz val="9"/>
            <color indexed="81"/>
            <rFont val="Tahoma"/>
            <family val="2"/>
          </rPr>
          <t xml:space="preserve">
проверити збир!
</t>
        </r>
      </text>
    </comment>
    <comment ref="I7764" authorId="0" shapeId="0">
      <text>
        <r>
          <rPr>
            <b/>
            <sz val="9"/>
            <color indexed="81"/>
            <rFont val="Tahoma"/>
            <family val="2"/>
          </rPr>
          <t>LPA:</t>
        </r>
        <r>
          <rPr>
            <sz val="9"/>
            <color indexed="81"/>
            <rFont val="Tahoma"/>
            <family val="2"/>
          </rPr>
          <t xml:space="preserve">
проверити збир!
</t>
        </r>
      </text>
    </comment>
    <comment ref="I7765" authorId="0" shapeId="0">
      <text>
        <r>
          <rPr>
            <b/>
            <sz val="9"/>
            <color indexed="81"/>
            <rFont val="Tahoma"/>
            <family val="2"/>
          </rPr>
          <t>LPA:</t>
        </r>
        <r>
          <rPr>
            <sz val="9"/>
            <color indexed="81"/>
            <rFont val="Tahoma"/>
            <family val="2"/>
          </rPr>
          <t xml:space="preserve">
проверити збир!
</t>
        </r>
      </text>
    </comment>
    <comment ref="I7766" authorId="0" shapeId="0">
      <text>
        <r>
          <rPr>
            <b/>
            <sz val="9"/>
            <color indexed="81"/>
            <rFont val="Tahoma"/>
            <family val="2"/>
          </rPr>
          <t>LPA:</t>
        </r>
        <r>
          <rPr>
            <sz val="9"/>
            <color indexed="81"/>
            <rFont val="Tahoma"/>
            <family val="2"/>
          </rPr>
          <t xml:space="preserve">
проверити збир!
</t>
        </r>
      </text>
    </comment>
    <comment ref="I7767" authorId="0" shapeId="0">
      <text>
        <r>
          <rPr>
            <b/>
            <sz val="9"/>
            <color indexed="81"/>
            <rFont val="Tahoma"/>
            <family val="2"/>
          </rPr>
          <t>LPA:</t>
        </r>
        <r>
          <rPr>
            <sz val="9"/>
            <color indexed="81"/>
            <rFont val="Tahoma"/>
            <family val="2"/>
          </rPr>
          <t xml:space="preserve">
проверити збир!
</t>
        </r>
      </text>
    </comment>
    <comment ref="I7768" authorId="0" shapeId="0">
      <text>
        <r>
          <rPr>
            <b/>
            <sz val="9"/>
            <color indexed="81"/>
            <rFont val="Tahoma"/>
            <family val="2"/>
          </rPr>
          <t>LPA:</t>
        </r>
        <r>
          <rPr>
            <sz val="9"/>
            <color indexed="81"/>
            <rFont val="Tahoma"/>
            <family val="2"/>
          </rPr>
          <t xml:space="preserve">
проверити збир!
</t>
        </r>
      </text>
    </comment>
    <comment ref="I7837" authorId="0" shapeId="0">
      <text>
        <r>
          <rPr>
            <b/>
            <sz val="9"/>
            <color indexed="81"/>
            <rFont val="Tahoma"/>
            <family val="2"/>
          </rPr>
          <t>LPA:</t>
        </r>
        <r>
          <rPr>
            <sz val="9"/>
            <color indexed="81"/>
            <rFont val="Tahoma"/>
            <family val="2"/>
          </rPr>
          <t xml:space="preserve">
проверити збир!
</t>
        </r>
      </text>
    </comment>
    <comment ref="I7838" authorId="0" shapeId="0">
      <text>
        <r>
          <rPr>
            <b/>
            <sz val="9"/>
            <color indexed="81"/>
            <rFont val="Tahoma"/>
            <family val="2"/>
          </rPr>
          <t>LPA:</t>
        </r>
        <r>
          <rPr>
            <sz val="9"/>
            <color indexed="81"/>
            <rFont val="Tahoma"/>
            <family val="2"/>
          </rPr>
          <t xml:space="preserve">
проверити збир!
</t>
        </r>
      </text>
    </comment>
    <comment ref="I7839" authorId="0" shapeId="0">
      <text>
        <r>
          <rPr>
            <b/>
            <sz val="9"/>
            <color indexed="81"/>
            <rFont val="Tahoma"/>
            <family val="2"/>
          </rPr>
          <t>LPA:</t>
        </r>
        <r>
          <rPr>
            <sz val="9"/>
            <color indexed="81"/>
            <rFont val="Tahoma"/>
            <family val="2"/>
          </rPr>
          <t xml:space="preserve">
проверити збир!
</t>
        </r>
      </text>
    </comment>
    <comment ref="I7840" authorId="0" shapeId="0">
      <text>
        <r>
          <rPr>
            <b/>
            <sz val="9"/>
            <color indexed="81"/>
            <rFont val="Tahoma"/>
            <family val="2"/>
          </rPr>
          <t>LPA:</t>
        </r>
        <r>
          <rPr>
            <sz val="9"/>
            <color indexed="81"/>
            <rFont val="Tahoma"/>
            <family val="2"/>
          </rPr>
          <t xml:space="preserve">
проверити збир!
</t>
        </r>
      </text>
    </comment>
    <comment ref="I7841" authorId="0" shapeId="0">
      <text>
        <r>
          <rPr>
            <b/>
            <sz val="9"/>
            <color indexed="81"/>
            <rFont val="Tahoma"/>
            <family val="2"/>
          </rPr>
          <t>LPA:</t>
        </r>
        <r>
          <rPr>
            <sz val="9"/>
            <color indexed="81"/>
            <rFont val="Tahoma"/>
            <family val="2"/>
          </rPr>
          <t xml:space="preserve">
проверити збир!
</t>
        </r>
      </text>
    </comment>
    <comment ref="I7842" authorId="0" shapeId="0">
      <text>
        <r>
          <rPr>
            <b/>
            <sz val="9"/>
            <color indexed="81"/>
            <rFont val="Tahoma"/>
            <family val="2"/>
          </rPr>
          <t>LPA:</t>
        </r>
        <r>
          <rPr>
            <sz val="9"/>
            <color indexed="81"/>
            <rFont val="Tahoma"/>
            <family val="2"/>
          </rPr>
          <t xml:space="preserve">
проверити збир!
</t>
        </r>
      </text>
    </comment>
    <comment ref="I7843" authorId="0" shapeId="0">
      <text>
        <r>
          <rPr>
            <b/>
            <sz val="9"/>
            <color indexed="81"/>
            <rFont val="Tahoma"/>
            <family val="2"/>
          </rPr>
          <t>LPA:</t>
        </r>
        <r>
          <rPr>
            <sz val="9"/>
            <color indexed="81"/>
            <rFont val="Tahoma"/>
            <family val="2"/>
          </rPr>
          <t xml:space="preserve">
проверити збир!
</t>
        </r>
      </text>
    </comment>
    <comment ref="I7844" authorId="0" shapeId="0">
      <text>
        <r>
          <rPr>
            <b/>
            <sz val="9"/>
            <color indexed="81"/>
            <rFont val="Tahoma"/>
            <family val="2"/>
          </rPr>
          <t>LPA:</t>
        </r>
        <r>
          <rPr>
            <sz val="9"/>
            <color indexed="81"/>
            <rFont val="Tahoma"/>
            <family val="2"/>
          </rPr>
          <t xml:space="preserve">
проверити збир!
</t>
        </r>
      </text>
    </comment>
    <comment ref="I7845" authorId="0" shapeId="0">
      <text>
        <r>
          <rPr>
            <b/>
            <sz val="9"/>
            <color indexed="81"/>
            <rFont val="Tahoma"/>
            <family val="2"/>
          </rPr>
          <t>LPA:</t>
        </r>
        <r>
          <rPr>
            <sz val="9"/>
            <color indexed="81"/>
            <rFont val="Tahoma"/>
            <family val="2"/>
          </rPr>
          <t xml:space="preserve">
проверити збир!
</t>
        </r>
      </text>
    </comment>
    <comment ref="I7846" authorId="0" shapeId="0">
      <text>
        <r>
          <rPr>
            <b/>
            <sz val="9"/>
            <color indexed="81"/>
            <rFont val="Tahoma"/>
            <family val="2"/>
          </rPr>
          <t>LPA:</t>
        </r>
        <r>
          <rPr>
            <sz val="9"/>
            <color indexed="81"/>
            <rFont val="Tahoma"/>
            <family val="2"/>
          </rPr>
          <t xml:space="preserve">
проверити збир!
</t>
        </r>
      </text>
    </comment>
    <comment ref="I7847" authorId="0" shapeId="0">
      <text>
        <r>
          <rPr>
            <b/>
            <sz val="9"/>
            <color indexed="81"/>
            <rFont val="Tahoma"/>
            <family val="2"/>
          </rPr>
          <t>LPA:</t>
        </r>
        <r>
          <rPr>
            <sz val="9"/>
            <color indexed="81"/>
            <rFont val="Tahoma"/>
            <family val="2"/>
          </rPr>
          <t xml:space="preserve">
проверити збир!
</t>
        </r>
      </text>
    </comment>
    <comment ref="I7848" authorId="0" shapeId="0">
      <text>
        <r>
          <rPr>
            <b/>
            <sz val="9"/>
            <color indexed="81"/>
            <rFont val="Tahoma"/>
            <family val="2"/>
          </rPr>
          <t>LPA:</t>
        </r>
        <r>
          <rPr>
            <sz val="9"/>
            <color indexed="81"/>
            <rFont val="Tahoma"/>
            <family val="2"/>
          </rPr>
          <t xml:space="preserve">
проверити збир!
</t>
        </r>
      </text>
    </comment>
    <comment ref="I7849" authorId="0" shapeId="0">
      <text>
        <r>
          <rPr>
            <b/>
            <sz val="9"/>
            <color indexed="81"/>
            <rFont val="Tahoma"/>
            <family val="2"/>
          </rPr>
          <t>LPA:</t>
        </r>
        <r>
          <rPr>
            <sz val="9"/>
            <color indexed="81"/>
            <rFont val="Tahoma"/>
            <family val="2"/>
          </rPr>
          <t xml:space="preserve">
проверити збир!
</t>
        </r>
      </text>
    </comment>
    <comment ref="H7852" authorId="0" shapeId="0">
      <text>
        <r>
          <rPr>
            <b/>
            <sz val="9"/>
            <color indexed="81"/>
            <rFont val="Tahoma"/>
            <family val="2"/>
          </rPr>
          <t>LPA:</t>
        </r>
        <r>
          <rPr>
            <sz val="9"/>
            <color indexed="81"/>
            <rFont val="Tahoma"/>
            <family val="2"/>
          </rPr>
          <t xml:space="preserve">
проверити збир!</t>
        </r>
      </text>
    </comment>
    <comment ref="I7852" authorId="0" shapeId="0">
      <text>
        <r>
          <rPr>
            <b/>
            <sz val="9"/>
            <color indexed="81"/>
            <rFont val="Tahoma"/>
            <family val="2"/>
          </rPr>
          <t>LPA:</t>
        </r>
        <r>
          <rPr>
            <sz val="9"/>
            <color indexed="81"/>
            <rFont val="Tahoma"/>
            <family val="2"/>
          </rPr>
          <t xml:space="preserve">
проверити збир!</t>
        </r>
      </text>
    </comment>
    <comment ref="I7853" authorId="0" shapeId="0">
      <text>
        <r>
          <rPr>
            <b/>
            <sz val="9"/>
            <color indexed="81"/>
            <rFont val="Tahoma"/>
            <family val="2"/>
          </rPr>
          <t>LPA:</t>
        </r>
        <r>
          <rPr>
            <sz val="9"/>
            <color indexed="81"/>
            <rFont val="Tahoma"/>
            <family val="2"/>
          </rPr>
          <t xml:space="preserve">
проверити збир!
</t>
        </r>
      </text>
    </comment>
    <comment ref="I7854" authorId="0" shapeId="0">
      <text>
        <r>
          <rPr>
            <b/>
            <sz val="9"/>
            <color indexed="81"/>
            <rFont val="Tahoma"/>
            <family val="2"/>
          </rPr>
          <t>LPA:</t>
        </r>
        <r>
          <rPr>
            <sz val="9"/>
            <color indexed="81"/>
            <rFont val="Tahoma"/>
            <family val="2"/>
          </rPr>
          <t xml:space="preserve">
проверити збир!
</t>
        </r>
      </text>
    </comment>
    <comment ref="I7855" authorId="0" shapeId="0">
      <text>
        <r>
          <rPr>
            <b/>
            <sz val="9"/>
            <color indexed="81"/>
            <rFont val="Tahoma"/>
            <family val="2"/>
          </rPr>
          <t>LPA:</t>
        </r>
        <r>
          <rPr>
            <sz val="9"/>
            <color indexed="81"/>
            <rFont val="Tahoma"/>
            <family val="2"/>
          </rPr>
          <t xml:space="preserve">
проверити збир!
</t>
        </r>
      </text>
    </comment>
    <comment ref="I7856" authorId="0" shapeId="0">
      <text>
        <r>
          <rPr>
            <b/>
            <sz val="9"/>
            <color indexed="81"/>
            <rFont val="Tahoma"/>
            <family val="2"/>
          </rPr>
          <t>LPA:</t>
        </r>
        <r>
          <rPr>
            <sz val="9"/>
            <color indexed="81"/>
            <rFont val="Tahoma"/>
            <family val="2"/>
          </rPr>
          <t xml:space="preserve">
проверити збир!
</t>
        </r>
      </text>
    </comment>
    <comment ref="I7857" authorId="0" shapeId="0">
      <text>
        <r>
          <rPr>
            <b/>
            <sz val="9"/>
            <color indexed="81"/>
            <rFont val="Tahoma"/>
            <family val="2"/>
          </rPr>
          <t>LPA:</t>
        </r>
        <r>
          <rPr>
            <sz val="9"/>
            <color indexed="81"/>
            <rFont val="Tahoma"/>
            <family val="2"/>
          </rPr>
          <t xml:space="preserve">
проверити збир!
</t>
        </r>
      </text>
    </comment>
    <comment ref="I7858" authorId="0" shapeId="0">
      <text>
        <r>
          <rPr>
            <b/>
            <sz val="9"/>
            <color indexed="81"/>
            <rFont val="Tahoma"/>
            <family val="2"/>
          </rPr>
          <t>LPA:</t>
        </r>
        <r>
          <rPr>
            <sz val="9"/>
            <color indexed="81"/>
            <rFont val="Tahoma"/>
            <family val="2"/>
          </rPr>
          <t xml:space="preserve">
проверити збир!
</t>
        </r>
      </text>
    </comment>
    <comment ref="I7859" authorId="0" shapeId="0">
      <text>
        <r>
          <rPr>
            <b/>
            <sz val="9"/>
            <color indexed="81"/>
            <rFont val="Tahoma"/>
            <family val="2"/>
          </rPr>
          <t>LPA:</t>
        </r>
        <r>
          <rPr>
            <sz val="9"/>
            <color indexed="81"/>
            <rFont val="Tahoma"/>
            <family val="2"/>
          </rPr>
          <t xml:space="preserve">
проверити збир!
</t>
        </r>
      </text>
    </comment>
    <comment ref="I7860" authorId="0" shapeId="0">
      <text>
        <r>
          <rPr>
            <b/>
            <sz val="9"/>
            <color indexed="81"/>
            <rFont val="Tahoma"/>
            <family val="2"/>
          </rPr>
          <t>LPA:</t>
        </r>
        <r>
          <rPr>
            <sz val="9"/>
            <color indexed="81"/>
            <rFont val="Tahoma"/>
            <family val="2"/>
          </rPr>
          <t xml:space="preserve">
проверити збир!
</t>
        </r>
      </text>
    </comment>
    <comment ref="I7861" authorId="0" shapeId="0">
      <text>
        <r>
          <rPr>
            <b/>
            <sz val="9"/>
            <color indexed="81"/>
            <rFont val="Tahoma"/>
            <family val="2"/>
          </rPr>
          <t>LPA:</t>
        </r>
        <r>
          <rPr>
            <sz val="9"/>
            <color indexed="81"/>
            <rFont val="Tahoma"/>
            <family val="2"/>
          </rPr>
          <t xml:space="preserve">
проверити збир!
</t>
        </r>
      </text>
    </comment>
    <comment ref="I7862" authorId="0" shapeId="0">
      <text>
        <r>
          <rPr>
            <b/>
            <sz val="9"/>
            <color indexed="81"/>
            <rFont val="Tahoma"/>
            <family val="2"/>
          </rPr>
          <t>LPA:</t>
        </r>
        <r>
          <rPr>
            <sz val="9"/>
            <color indexed="81"/>
            <rFont val="Tahoma"/>
            <family val="2"/>
          </rPr>
          <t xml:space="preserve">
проверити збир!
</t>
        </r>
      </text>
    </comment>
    <comment ref="I7863" authorId="0" shapeId="0">
      <text>
        <r>
          <rPr>
            <b/>
            <sz val="9"/>
            <color indexed="81"/>
            <rFont val="Tahoma"/>
            <family val="2"/>
          </rPr>
          <t>LPA:</t>
        </r>
        <r>
          <rPr>
            <sz val="9"/>
            <color indexed="81"/>
            <rFont val="Tahoma"/>
            <family val="2"/>
          </rPr>
          <t xml:space="preserve">
проверити збир!
</t>
        </r>
      </text>
    </comment>
    <comment ref="I7864" authorId="0" shapeId="0">
      <text>
        <r>
          <rPr>
            <b/>
            <sz val="9"/>
            <color indexed="81"/>
            <rFont val="Tahoma"/>
            <family val="2"/>
          </rPr>
          <t>LPA:</t>
        </r>
        <r>
          <rPr>
            <sz val="9"/>
            <color indexed="81"/>
            <rFont val="Tahoma"/>
            <family val="2"/>
          </rPr>
          <t xml:space="preserve">
проверити збир!
</t>
        </r>
      </text>
    </comment>
    <comment ref="I7865" authorId="0" shapeId="0">
      <text>
        <r>
          <rPr>
            <b/>
            <sz val="9"/>
            <color indexed="81"/>
            <rFont val="Tahoma"/>
            <family val="2"/>
          </rPr>
          <t>LPA:</t>
        </r>
        <r>
          <rPr>
            <sz val="9"/>
            <color indexed="81"/>
            <rFont val="Tahoma"/>
            <family val="2"/>
          </rPr>
          <t xml:space="preserve">
проверити збир!
</t>
        </r>
      </text>
    </comment>
    <comment ref="I7866" authorId="0" shapeId="0">
      <text>
        <r>
          <rPr>
            <b/>
            <sz val="9"/>
            <color indexed="81"/>
            <rFont val="Tahoma"/>
            <family val="2"/>
          </rPr>
          <t>LPA:</t>
        </r>
        <r>
          <rPr>
            <sz val="9"/>
            <color indexed="81"/>
            <rFont val="Tahoma"/>
            <family val="2"/>
          </rPr>
          <t xml:space="preserve">
проверити збир!
</t>
        </r>
      </text>
    </comment>
    <comment ref="I7867" authorId="0" shapeId="0">
      <text>
        <r>
          <rPr>
            <b/>
            <sz val="9"/>
            <color indexed="81"/>
            <rFont val="Tahoma"/>
            <family val="2"/>
          </rPr>
          <t>LPA:</t>
        </r>
        <r>
          <rPr>
            <sz val="9"/>
            <color indexed="81"/>
            <rFont val="Tahoma"/>
            <family val="2"/>
          </rPr>
          <t xml:space="preserve">
проверити збир!
</t>
        </r>
      </text>
    </comment>
    <comment ref="I7936" authorId="0" shapeId="0">
      <text>
        <r>
          <rPr>
            <b/>
            <sz val="9"/>
            <color indexed="81"/>
            <rFont val="Tahoma"/>
            <family val="2"/>
          </rPr>
          <t>LPA:</t>
        </r>
        <r>
          <rPr>
            <sz val="9"/>
            <color indexed="81"/>
            <rFont val="Tahoma"/>
            <family val="2"/>
          </rPr>
          <t xml:space="preserve">
проверити збир!
</t>
        </r>
      </text>
    </comment>
    <comment ref="I7937" authorId="0" shapeId="0">
      <text>
        <r>
          <rPr>
            <b/>
            <sz val="9"/>
            <color indexed="81"/>
            <rFont val="Tahoma"/>
            <family val="2"/>
          </rPr>
          <t>LPA:</t>
        </r>
        <r>
          <rPr>
            <sz val="9"/>
            <color indexed="81"/>
            <rFont val="Tahoma"/>
            <family val="2"/>
          </rPr>
          <t xml:space="preserve">
проверити збир!
</t>
        </r>
      </text>
    </comment>
    <comment ref="I7938" authorId="0" shapeId="0">
      <text>
        <r>
          <rPr>
            <b/>
            <sz val="9"/>
            <color indexed="81"/>
            <rFont val="Tahoma"/>
            <family val="2"/>
          </rPr>
          <t>LPA:</t>
        </r>
        <r>
          <rPr>
            <sz val="9"/>
            <color indexed="81"/>
            <rFont val="Tahoma"/>
            <family val="2"/>
          </rPr>
          <t xml:space="preserve">
проверити збир!
</t>
        </r>
      </text>
    </comment>
    <comment ref="I7939" authorId="0" shapeId="0">
      <text>
        <r>
          <rPr>
            <b/>
            <sz val="9"/>
            <color indexed="81"/>
            <rFont val="Tahoma"/>
            <family val="2"/>
          </rPr>
          <t>LPA:</t>
        </r>
        <r>
          <rPr>
            <sz val="9"/>
            <color indexed="81"/>
            <rFont val="Tahoma"/>
            <family val="2"/>
          </rPr>
          <t xml:space="preserve">
проверити збир!
</t>
        </r>
      </text>
    </comment>
    <comment ref="I7940" authorId="0" shapeId="0">
      <text>
        <r>
          <rPr>
            <b/>
            <sz val="9"/>
            <color indexed="81"/>
            <rFont val="Tahoma"/>
            <family val="2"/>
          </rPr>
          <t>LPA:</t>
        </r>
        <r>
          <rPr>
            <sz val="9"/>
            <color indexed="81"/>
            <rFont val="Tahoma"/>
            <family val="2"/>
          </rPr>
          <t xml:space="preserve">
проверити збир!
</t>
        </r>
      </text>
    </comment>
    <comment ref="I7941" authorId="0" shapeId="0">
      <text>
        <r>
          <rPr>
            <b/>
            <sz val="9"/>
            <color indexed="81"/>
            <rFont val="Tahoma"/>
            <family val="2"/>
          </rPr>
          <t>LPA:</t>
        </r>
        <r>
          <rPr>
            <sz val="9"/>
            <color indexed="81"/>
            <rFont val="Tahoma"/>
            <family val="2"/>
          </rPr>
          <t xml:space="preserve">
проверити збир!
</t>
        </r>
      </text>
    </comment>
    <comment ref="I7942" authorId="0" shapeId="0">
      <text>
        <r>
          <rPr>
            <b/>
            <sz val="9"/>
            <color indexed="81"/>
            <rFont val="Tahoma"/>
            <family val="2"/>
          </rPr>
          <t>LPA:</t>
        </r>
        <r>
          <rPr>
            <sz val="9"/>
            <color indexed="81"/>
            <rFont val="Tahoma"/>
            <family val="2"/>
          </rPr>
          <t xml:space="preserve">
проверити збир!
</t>
        </r>
      </text>
    </comment>
    <comment ref="I7943" authorId="0" shapeId="0">
      <text>
        <r>
          <rPr>
            <b/>
            <sz val="9"/>
            <color indexed="81"/>
            <rFont val="Tahoma"/>
            <family val="2"/>
          </rPr>
          <t>LPA:</t>
        </r>
        <r>
          <rPr>
            <sz val="9"/>
            <color indexed="81"/>
            <rFont val="Tahoma"/>
            <family val="2"/>
          </rPr>
          <t xml:space="preserve">
проверити збир!
</t>
        </r>
      </text>
    </comment>
    <comment ref="I7944" authorId="0" shapeId="0">
      <text>
        <r>
          <rPr>
            <b/>
            <sz val="9"/>
            <color indexed="81"/>
            <rFont val="Tahoma"/>
            <family val="2"/>
          </rPr>
          <t>LPA:</t>
        </r>
        <r>
          <rPr>
            <sz val="9"/>
            <color indexed="81"/>
            <rFont val="Tahoma"/>
            <family val="2"/>
          </rPr>
          <t xml:space="preserve">
проверити збир!
</t>
        </r>
      </text>
    </comment>
    <comment ref="I7945" authorId="0" shapeId="0">
      <text>
        <r>
          <rPr>
            <b/>
            <sz val="9"/>
            <color indexed="81"/>
            <rFont val="Tahoma"/>
            <family val="2"/>
          </rPr>
          <t>LPA:</t>
        </r>
        <r>
          <rPr>
            <sz val="9"/>
            <color indexed="81"/>
            <rFont val="Tahoma"/>
            <family val="2"/>
          </rPr>
          <t xml:space="preserve">
проверити збир!
</t>
        </r>
      </text>
    </comment>
    <comment ref="I7946" authorId="0" shapeId="0">
      <text>
        <r>
          <rPr>
            <b/>
            <sz val="9"/>
            <color indexed="81"/>
            <rFont val="Tahoma"/>
            <family val="2"/>
          </rPr>
          <t>LPA:</t>
        </r>
        <r>
          <rPr>
            <sz val="9"/>
            <color indexed="81"/>
            <rFont val="Tahoma"/>
            <family val="2"/>
          </rPr>
          <t xml:space="preserve">
проверити збир!
</t>
        </r>
      </text>
    </comment>
    <comment ref="I7947" authorId="0" shapeId="0">
      <text>
        <r>
          <rPr>
            <b/>
            <sz val="9"/>
            <color indexed="81"/>
            <rFont val="Tahoma"/>
            <family val="2"/>
          </rPr>
          <t>LPA:</t>
        </r>
        <r>
          <rPr>
            <sz val="9"/>
            <color indexed="81"/>
            <rFont val="Tahoma"/>
            <family val="2"/>
          </rPr>
          <t xml:space="preserve">
проверити збир!
</t>
        </r>
      </text>
    </comment>
    <comment ref="I7948" authorId="0" shapeId="0">
      <text>
        <r>
          <rPr>
            <b/>
            <sz val="9"/>
            <color indexed="81"/>
            <rFont val="Tahoma"/>
            <family val="2"/>
          </rPr>
          <t>LPA:</t>
        </r>
        <r>
          <rPr>
            <sz val="9"/>
            <color indexed="81"/>
            <rFont val="Tahoma"/>
            <family val="2"/>
          </rPr>
          <t xml:space="preserve">
проверити збир!
</t>
        </r>
      </text>
    </comment>
    <comment ref="H7951" authorId="0" shapeId="0">
      <text>
        <r>
          <rPr>
            <b/>
            <sz val="9"/>
            <color indexed="81"/>
            <rFont val="Tahoma"/>
            <family val="2"/>
          </rPr>
          <t>LPA:</t>
        </r>
        <r>
          <rPr>
            <sz val="9"/>
            <color indexed="81"/>
            <rFont val="Tahoma"/>
            <family val="2"/>
          </rPr>
          <t xml:space="preserve">
проверити збир!</t>
        </r>
      </text>
    </comment>
    <comment ref="I7951" authorId="0" shapeId="0">
      <text>
        <r>
          <rPr>
            <b/>
            <sz val="9"/>
            <color indexed="81"/>
            <rFont val="Tahoma"/>
            <family val="2"/>
          </rPr>
          <t>LPA:</t>
        </r>
        <r>
          <rPr>
            <sz val="9"/>
            <color indexed="81"/>
            <rFont val="Tahoma"/>
            <family val="2"/>
          </rPr>
          <t xml:space="preserve">
проверити збир!</t>
        </r>
      </text>
    </comment>
    <comment ref="I7952" authorId="0" shapeId="0">
      <text>
        <r>
          <rPr>
            <b/>
            <sz val="9"/>
            <color indexed="81"/>
            <rFont val="Tahoma"/>
            <family val="2"/>
          </rPr>
          <t>LPA:</t>
        </r>
        <r>
          <rPr>
            <sz val="9"/>
            <color indexed="81"/>
            <rFont val="Tahoma"/>
            <family val="2"/>
          </rPr>
          <t xml:space="preserve">
проверити збир!
</t>
        </r>
      </text>
    </comment>
    <comment ref="I7953" authorId="0" shapeId="0">
      <text>
        <r>
          <rPr>
            <b/>
            <sz val="9"/>
            <color indexed="81"/>
            <rFont val="Tahoma"/>
            <family val="2"/>
          </rPr>
          <t>LPA:</t>
        </r>
        <r>
          <rPr>
            <sz val="9"/>
            <color indexed="81"/>
            <rFont val="Tahoma"/>
            <family val="2"/>
          </rPr>
          <t xml:space="preserve">
проверити збир!
</t>
        </r>
      </text>
    </comment>
    <comment ref="I7954" authorId="0" shapeId="0">
      <text>
        <r>
          <rPr>
            <b/>
            <sz val="9"/>
            <color indexed="81"/>
            <rFont val="Tahoma"/>
            <family val="2"/>
          </rPr>
          <t>LPA:</t>
        </r>
        <r>
          <rPr>
            <sz val="9"/>
            <color indexed="81"/>
            <rFont val="Tahoma"/>
            <family val="2"/>
          </rPr>
          <t xml:space="preserve">
проверити збир!
</t>
        </r>
      </text>
    </comment>
    <comment ref="I7955" authorId="0" shapeId="0">
      <text>
        <r>
          <rPr>
            <b/>
            <sz val="9"/>
            <color indexed="81"/>
            <rFont val="Tahoma"/>
            <family val="2"/>
          </rPr>
          <t>LPA:</t>
        </r>
        <r>
          <rPr>
            <sz val="9"/>
            <color indexed="81"/>
            <rFont val="Tahoma"/>
            <family val="2"/>
          </rPr>
          <t xml:space="preserve">
проверити збир!
</t>
        </r>
      </text>
    </comment>
    <comment ref="I7956" authorId="0" shapeId="0">
      <text>
        <r>
          <rPr>
            <b/>
            <sz val="9"/>
            <color indexed="81"/>
            <rFont val="Tahoma"/>
            <family val="2"/>
          </rPr>
          <t>LPA:</t>
        </r>
        <r>
          <rPr>
            <sz val="9"/>
            <color indexed="81"/>
            <rFont val="Tahoma"/>
            <family val="2"/>
          </rPr>
          <t xml:space="preserve">
проверити збир!
</t>
        </r>
      </text>
    </comment>
    <comment ref="I7957" authorId="0" shapeId="0">
      <text>
        <r>
          <rPr>
            <b/>
            <sz val="9"/>
            <color indexed="81"/>
            <rFont val="Tahoma"/>
            <family val="2"/>
          </rPr>
          <t>LPA:</t>
        </r>
        <r>
          <rPr>
            <sz val="9"/>
            <color indexed="81"/>
            <rFont val="Tahoma"/>
            <family val="2"/>
          </rPr>
          <t xml:space="preserve">
проверити збир!
</t>
        </r>
      </text>
    </comment>
    <comment ref="I7958" authorId="0" shapeId="0">
      <text>
        <r>
          <rPr>
            <b/>
            <sz val="9"/>
            <color indexed="81"/>
            <rFont val="Tahoma"/>
            <family val="2"/>
          </rPr>
          <t>LPA:</t>
        </r>
        <r>
          <rPr>
            <sz val="9"/>
            <color indexed="81"/>
            <rFont val="Tahoma"/>
            <family val="2"/>
          </rPr>
          <t xml:space="preserve">
проверити збир!
</t>
        </r>
      </text>
    </comment>
    <comment ref="I7959" authorId="0" shapeId="0">
      <text>
        <r>
          <rPr>
            <b/>
            <sz val="9"/>
            <color indexed="81"/>
            <rFont val="Tahoma"/>
            <family val="2"/>
          </rPr>
          <t>LPA:</t>
        </r>
        <r>
          <rPr>
            <sz val="9"/>
            <color indexed="81"/>
            <rFont val="Tahoma"/>
            <family val="2"/>
          </rPr>
          <t xml:space="preserve">
проверити збир!
</t>
        </r>
      </text>
    </comment>
    <comment ref="I7960" authorId="0" shapeId="0">
      <text>
        <r>
          <rPr>
            <b/>
            <sz val="9"/>
            <color indexed="81"/>
            <rFont val="Tahoma"/>
            <family val="2"/>
          </rPr>
          <t>LPA:</t>
        </r>
        <r>
          <rPr>
            <sz val="9"/>
            <color indexed="81"/>
            <rFont val="Tahoma"/>
            <family val="2"/>
          </rPr>
          <t xml:space="preserve">
проверити збир!
</t>
        </r>
      </text>
    </comment>
    <comment ref="I7961" authorId="0" shapeId="0">
      <text>
        <r>
          <rPr>
            <b/>
            <sz val="9"/>
            <color indexed="81"/>
            <rFont val="Tahoma"/>
            <family val="2"/>
          </rPr>
          <t>LPA:</t>
        </r>
        <r>
          <rPr>
            <sz val="9"/>
            <color indexed="81"/>
            <rFont val="Tahoma"/>
            <family val="2"/>
          </rPr>
          <t xml:space="preserve">
проверити збир!
</t>
        </r>
      </text>
    </comment>
    <comment ref="I7962" authorId="0" shapeId="0">
      <text>
        <r>
          <rPr>
            <b/>
            <sz val="9"/>
            <color indexed="81"/>
            <rFont val="Tahoma"/>
            <family val="2"/>
          </rPr>
          <t>LPA:</t>
        </r>
        <r>
          <rPr>
            <sz val="9"/>
            <color indexed="81"/>
            <rFont val="Tahoma"/>
            <family val="2"/>
          </rPr>
          <t xml:space="preserve">
проверити збир!
</t>
        </r>
      </text>
    </comment>
    <comment ref="I7963" authorId="0" shapeId="0">
      <text>
        <r>
          <rPr>
            <b/>
            <sz val="9"/>
            <color indexed="81"/>
            <rFont val="Tahoma"/>
            <family val="2"/>
          </rPr>
          <t>LPA:</t>
        </r>
        <r>
          <rPr>
            <sz val="9"/>
            <color indexed="81"/>
            <rFont val="Tahoma"/>
            <family val="2"/>
          </rPr>
          <t xml:space="preserve">
проверити збир!
</t>
        </r>
      </text>
    </comment>
    <comment ref="I7964" authorId="0" shapeId="0">
      <text>
        <r>
          <rPr>
            <b/>
            <sz val="9"/>
            <color indexed="81"/>
            <rFont val="Tahoma"/>
            <family val="2"/>
          </rPr>
          <t>LPA:</t>
        </r>
        <r>
          <rPr>
            <sz val="9"/>
            <color indexed="81"/>
            <rFont val="Tahoma"/>
            <family val="2"/>
          </rPr>
          <t xml:space="preserve">
проверити збир!
</t>
        </r>
      </text>
    </comment>
    <comment ref="I7965" authorId="0" shapeId="0">
      <text>
        <r>
          <rPr>
            <b/>
            <sz val="9"/>
            <color indexed="81"/>
            <rFont val="Tahoma"/>
            <family val="2"/>
          </rPr>
          <t>LPA:</t>
        </r>
        <r>
          <rPr>
            <sz val="9"/>
            <color indexed="81"/>
            <rFont val="Tahoma"/>
            <family val="2"/>
          </rPr>
          <t xml:space="preserve">
проверити збир!
</t>
        </r>
      </text>
    </comment>
    <comment ref="I7966" authorId="0" shapeId="0">
      <text>
        <r>
          <rPr>
            <b/>
            <sz val="9"/>
            <color indexed="81"/>
            <rFont val="Tahoma"/>
            <family val="2"/>
          </rPr>
          <t>LPA:</t>
        </r>
        <r>
          <rPr>
            <sz val="9"/>
            <color indexed="81"/>
            <rFont val="Tahoma"/>
            <family val="2"/>
          </rPr>
          <t xml:space="preserve">
проверити збир!
</t>
        </r>
      </text>
    </comment>
    <comment ref="I8035" authorId="0" shapeId="0">
      <text>
        <r>
          <rPr>
            <b/>
            <sz val="9"/>
            <color indexed="81"/>
            <rFont val="Tahoma"/>
            <family val="2"/>
          </rPr>
          <t>LPA:</t>
        </r>
        <r>
          <rPr>
            <sz val="9"/>
            <color indexed="81"/>
            <rFont val="Tahoma"/>
            <family val="2"/>
          </rPr>
          <t xml:space="preserve">
проверити збир!
</t>
        </r>
      </text>
    </comment>
    <comment ref="I8036" authorId="0" shapeId="0">
      <text>
        <r>
          <rPr>
            <b/>
            <sz val="9"/>
            <color indexed="81"/>
            <rFont val="Tahoma"/>
            <family val="2"/>
          </rPr>
          <t>LPA:</t>
        </r>
        <r>
          <rPr>
            <sz val="9"/>
            <color indexed="81"/>
            <rFont val="Tahoma"/>
            <family val="2"/>
          </rPr>
          <t xml:space="preserve">
проверити збир!
</t>
        </r>
      </text>
    </comment>
    <comment ref="I8037" authorId="0" shapeId="0">
      <text>
        <r>
          <rPr>
            <b/>
            <sz val="9"/>
            <color indexed="81"/>
            <rFont val="Tahoma"/>
            <family val="2"/>
          </rPr>
          <t>LPA:</t>
        </r>
        <r>
          <rPr>
            <sz val="9"/>
            <color indexed="81"/>
            <rFont val="Tahoma"/>
            <family val="2"/>
          </rPr>
          <t xml:space="preserve">
проверити збир!
</t>
        </r>
      </text>
    </comment>
    <comment ref="I8038" authorId="0" shapeId="0">
      <text>
        <r>
          <rPr>
            <b/>
            <sz val="9"/>
            <color indexed="81"/>
            <rFont val="Tahoma"/>
            <family val="2"/>
          </rPr>
          <t>LPA:</t>
        </r>
        <r>
          <rPr>
            <sz val="9"/>
            <color indexed="81"/>
            <rFont val="Tahoma"/>
            <family val="2"/>
          </rPr>
          <t xml:space="preserve">
проверити збир!
</t>
        </r>
      </text>
    </comment>
    <comment ref="I8039" authorId="0" shapeId="0">
      <text>
        <r>
          <rPr>
            <b/>
            <sz val="9"/>
            <color indexed="81"/>
            <rFont val="Tahoma"/>
            <family val="2"/>
          </rPr>
          <t>LPA:</t>
        </r>
        <r>
          <rPr>
            <sz val="9"/>
            <color indexed="81"/>
            <rFont val="Tahoma"/>
            <family val="2"/>
          </rPr>
          <t xml:space="preserve">
проверити збир!
</t>
        </r>
      </text>
    </comment>
    <comment ref="I8040" authorId="0" shapeId="0">
      <text>
        <r>
          <rPr>
            <b/>
            <sz val="9"/>
            <color indexed="81"/>
            <rFont val="Tahoma"/>
            <family val="2"/>
          </rPr>
          <t>LPA:</t>
        </r>
        <r>
          <rPr>
            <sz val="9"/>
            <color indexed="81"/>
            <rFont val="Tahoma"/>
            <family val="2"/>
          </rPr>
          <t xml:space="preserve">
проверити збир!
</t>
        </r>
      </text>
    </comment>
    <comment ref="I8041" authorId="0" shapeId="0">
      <text>
        <r>
          <rPr>
            <b/>
            <sz val="9"/>
            <color indexed="81"/>
            <rFont val="Tahoma"/>
            <family val="2"/>
          </rPr>
          <t>LPA:</t>
        </r>
        <r>
          <rPr>
            <sz val="9"/>
            <color indexed="81"/>
            <rFont val="Tahoma"/>
            <family val="2"/>
          </rPr>
          <t xml:space="preserve">
проверити збир!
</t>
        </r>
      </text>
    </comment>
    <comment ref="I8042" authorId="0" shapeId="0">
      <text>
        <r>
          <rPr>
            <b/>
            <sz val="9"/>
            <color indexed="81"/>
            <rFont val="Tahoma"/>
            <family val="2"/>
          </rPr>
          <t>LPA:</t>
        </r>
        <r>
          <rPr>
            <sz val="9"/>
            <color indexed="81"/>
            <rFont val="Tahoma"/>
            <family val="2"/>
          </rPr>
          <t xml:space="preserve">
проверити збир!
</t>
        </r>
      </text>
    </comment>
    <comment ref="I8043" authorId="0" shapeId="0">
      <text>
        <r>
          <rPr>
            <b/>
            <sz val="9"/>
            <color indexed="81"/>
            <rFont val="Tahoma"/>
            <family val="2"/>
          </rPr>
          <t>LPA:</t>
        </r>
        <r>
          <rPr>
            <sz val="9"/>
            <color indexed="81"/>
            <rFont val="Tahoma"/>
            <family val="2"/>
          </rPr>
          <t xml:space="preserve">
проверити збир!
</t>
        </r>
      </text>
    </comment>
    <comment ref="I8044" authorId="0" shapeId="0">
      <text>
        <r>
          <rPr>
            <b/>
            <sz val="9"/>
            <color indexed="81"/>
            <rFont val="Tahoma"/>
            <family val="2"/>
          </rPr>
          <t>LPA:</t>
        </r>
        <r>
          <rPr>
            <sz val="9"/>
            <color indexed="81"/>
            <rFont val="Tahoma"/>
            <family val="2"/>
          </rPr>
          <t xml:space="preserve">
проверити збир!
</t>
        </r>
      </text>
    </comment>
    <comment ref="I8045" authorId="0" shapeId="0">
      <text>
        <r>
          <rPr>
            <b/>
            <sz val="9"/>
            <color indexed="81"/>
            <rFont val="Tahoma"/>
            <family val="2"/>
          </rPr>
          <t>LPA:</t>
        </r>
        <r>
          <rPr>
            <sz val="9"/>
            <color indexed="81"/>
            <rFont val="Tahoma"/>
            <family val="2"/>
          </rPr>
          <t xml:space="preserve">
проверити збир!
</t>
        </r>
      </text>
    </comment>
    <comment ref="I8046" authorId="0" shapeId="0">
      <text>
        <r>
          <rPr>
            <b/>
            <sz val="9"/>
            <color indexed="81"/>
            <rFont val="Tahoma"/>
            <family val="2"/>
          </rPr>
          <t>LPA:</t>
        </r>
        <r>
          <rPr>
            <sz val="9"/>
            <color indexed="81"/>
            <rFont val="Tahoma"/>
            <family val="2"/>
          </rPr>
          <t xml:space="preserve">
проверити збир!
</t>
        </r>
      </text>
    </comment>
    <comment ref="I8047" authorId="0" shapeId="0">
      <text>
        <r>
          <rPr>
            <b/>
            <sz val="9"/>
            <color indexed="81"/>
            <rFont val="Tahoma"/>
            <family val="2"/>
          </rPr>
          <t>LPA:</t>
        </r>
        <r>
          <rPr>
            <sz val="9"/>
            <color indexed="81"/>
            <rFont val="Tahoma"/>
            <family val="2"/>
          </rPr>
          <t xml:space="preserve">
проверити збир!
</t>
        </r>
      </text>
    </comment>
    <comment ref="H8050" authorId="0" shapeId="0">
      <text>
        <r>
          <rPr>
            <b/>
            <sz val="9"/>
            <color indexed="81"/>
            <rFont val="Tahoma"/>
            <family val="2"/>
          </rPr>
          <t>LPA:</t>
        </r>
        <r>
          <rPr>
            <sz val="9"/>
            <color indexed="81"/>
            <rFont val="Tahoma"/>
            <family val="2"/>
          </rPr>
          <t xml:space="preserve">
проверити збир!</t>
        </r>
      </text>
    </comment>
    <comment ref="I8050" authorId="0" shapeId="0">
      <text>
        <r>
          <rPr>
            <b/>
            <sz val="9"/>
            <color indexed="81"/>
            <rFont val="Tahoma"/>
            <family val="2"/>
          </rPr>
          <t>LPA:</t>
        </r>
        <r>
          <rPr>
            <sz val="9"/>
            <color indexed="81"/>
            <rFont val="Tahoma"/>
            <family val="2"/>
          </rPr>
          <t xml:space="preserve">
проверити збир!</t>
        </r>
      </text>
    </comment>
    <comment ref="I8051" authorId="0" shapeId="0">
      <text>
        <r>
          <rPr>
            <b/>
            <sz val="9"/>
            <color indexed="81"/>
            <rFont val="Tahoma"/>
            <family val="2"/>
          </rPr>
          <t>LPA:</t>
        </r>
        <r>
          <rPr>
            <sz val="9"/>
            <color indexed="81"/>
            <rFont val="Tahoma"/>
            <family val="2"/>
          </rPr>
          <t xml:space="preserve">
проверити збир!
</t>
        </r>
      </text>
    </comment>
    <comment ref="I8052" authorId="0" shapeId="0">
      <text>
        <r>
          <rPr>
            <b/>
            <sz val="9"/>
            <color indexed="81"/>
            <rFont val="Tahoma"/>
            <family val="2"/>
          </rPr>
          <t>LPA:</t>
        </r>
        <r>
          <rPr>
            <sz val="9"/>
            <color indexed="81"/>
            <rFont val="Tahoma"/>
            <family val="2"/>
          </rPr>
          <t xml:space="preserve">
проверити збир!
</t>
        </r>
      </text>
    </comment>
    <comment ref="I8053" authorId="0" shapeId="0">
      <text>
        <r>
          <rPr>
            <b/>
            <sz val="9"/>
            <color indexed="81"/>
            <rFont val="Tahoma"/>
            <family val="2"/>
          </rPr>
          <t>LPA:</t>
        </r>
        <r>
          <rPr>
            <sz val="9"/>
            <color indexed="81"/>
            <rFont val="Tahoma"/>
            <family val="2"/>
          </rPr>
          <t xml:space="preserve">
проверити збир!
</t>
        </r>
      </text>
    </comment>
    <comment ref="I8054" authorId="0" shapeId="0">
      <text>
        <r>
          <rPr>
            <b/>
            <sz val="9"/>
            <color indexed="81"/>
            <rFont val="Tahoma"/>
            <family val="2"/>
          </rPr>
          <t>LPA:</t>
        </r>
        <r>
          <rPr>
            <sz val="9"/>
            <color indexed="81"/>
            <rFont val="Tahoma"/>
            <family val="2"/>
          </rPr>
          <t xml:space="preserve">
проверити збир!
</t>
        </r>
      </text>
    </comment>
    <comment ref="I8055" authorId="0" shapeId="0">
      <text>
        <r>
          <rPr>
            <b/>
            <sz val="9"/>
            <color indexed="81"/>
            <rFont val="Tahoma"/>
            <family val="2"/>
          </rPr>
          <t>LPA:</t>
        </r>
        <r>
          <rPr>
            <sz val="9"/>
            <color indexed="81"/>
            <rFont val="Tahoma"/>
            <family val="2"/>
          </rPr>
          <t xml:space="preserve">
проверити збир!
</t>
        </r>
      </text>
    </comment>
    <comment ref="I8056" authorId="0" shapeId="0">
      <text>
        <r>
          <rPr>
            <b/>
            <sz val="9"/>
            <color indexed="81"/>
            <rFont val="Tahoma"/>
            <family val="2"/>
          </rPr>
          <t>LPA:</t>
        </r>
        <r>
          <rPr>
            <sz val="9"/>
            <color indexed="81"/>
            <rFont val="Tahoma"/>
            <family val="2"/>
          </rPr>
          <t xml:space="preserve">
проверити збир!
</t>
        </r>
      </text>
    </comment>
    <comment ref="I8057" authorId="0" shapeId="0">
      <text>
        <r>
          <rPr>
            <b/>
            <sz val="9"/>
            <color indexed="81"/>
            <rFont val="Tahoma"/>
            <family val="2"/>
          </rPr>
          <t>LPA:</t>
        </r>
        <r>
          <rPr>
            <sz val="9"/>
            <color indexed="81"/>
            <rFont val="Tahoma"/>
            <family val="2"/>
          </rPr>
          <t xml:space="preserve">
проверити збир!
</t>
        </r>
      </text>
    </comment>
    <comment ref="I8058" authorId="0" shapeId="0">
      <text>
        <r>
          <rPr>
            <b/>
            <sz val="9"/>
            <color indexed="81"/>
            <rFont val="Tahoma"/>
            <family val="2"/>
          </rPr>
          <t>LPA:</t>
        </r>
        <r>
          <rPr>
            <sz val="9"/>
            <color indexed="81"/>
            <rFont val="Tahoma"/>
            <family val="2"/>
          </rPr>
          <t xml:space="preserve">
проверити збир!
</t>
        </r>
      </text>
    </comment>
    <comment ref="I8059" authorId="0" shapeId="0">
      <text>
        <r>
          <rPr>
            <b/>
            <sz val="9"/>
            <color indexed="81"/>
            <rFont val="Tahoma"/>
            <family val="2"/>
          </rPr>
          <t>LPA:</t>
        </r>
        <r>
          <rPr>
            <sz val="9"/>
            <color indexed="81"/>
            <rFont val="Tahoma"/>
            <family val="2"/>
          </rPr>
          <t xml:space="preserve">
проверити збир!
</t>
        </r>
      </text>
    </comment>
    <comment ref="I8060" authorId="0" shapeId="0">
      <text>
        <r>
          <rPr>
            <b/>
            <sz val="9"/>
            <color indexed="81"/>
            <rFont val="Tahoma"/>
            <family val="2"/>
          </rPr>
          <t>LPA:</t>
        </r>
        <r>
          <rPr>
            <sz val="9"/>
            <color indexed="81"/>
            <rFont val="Tahoma"/>
            <family val="2"/>
          </rPr>
          <t xml:space="preserve">
проверити збир!
</t>
        </r>
      </text>
    </comment>
    <comment ref="I8061" authorId="0" shapeId="0">
      <text>
        <r>
          <rPr>
            <b/>
            <sz val="9"/>
            <color indexed="81"/>
            <rFont val="Tahoma"/>
            <family val="2"/>
          </rPr>
          <t>LPA:</t>
        </r>
        <r>
          <rPr>
            <sz val="9"/>
            <color indexed="81"/>
            <rFont val="Tahoma"/>
            <family val="2"/>
          </rPr>
          <t xml:space="preserve">
проверити збир!
</t>
        </r>
      </text>
    </comment>
    <comment ref="I8062" authorId="0" shapeId="0">
      <text>
        <r>
          <rPr>
            <b/>
            <sz val="9"/>
            <color indexed="81"/>
            <rFont val="Tahoma"/>
            <family val="2"/>
          </rPr>
          <t>LPA:</t>
        </r>
        <r>
          <rPr>
            <sz val="9"/>
            <color indexed="81"/>
            <rFont val="Tahoma"/>
            <family val="2"/>
          </rPr>
          <t xml:space="preserve">
проверити збир!
</t>
        </r>
      </text>
    </comment>
    <comment ref="I8063" authorId="0" shapeId="0">
      <text>
        <r>
          <rPr>
            <b/>
            <sz val="9"/>
            <color indexed="81"/>
            <rFont val="Tahoma"/>
            <family val="2"/>
          </rPr>
          <t>LPA:</t>
        </r>
        <r>
          <rPr>
            <sz val="9"/>
            <color indexed="81"/>
            <rFont val="Tahoma"/>
            <family val="2"/>
          </rPr>
          <t xml:space="preserve">
проверити збир!
</t>
        </r>
      </text>
    </comment>
    <comment ref="I8064" authorId="0" shapeId="0">
      <text>
        <r>
          <rPr>
            <b/>
            <sz val="9"/>
            <color indexed="81"/>
            <rFont val="Tahoma"/>
            <family val="2"/>
          </rPr>
          <t>LPA:</t>
        </r>
        <r>
          <rPr>
            <sz val="9"/>
            <color indexed="81"/>
            <rFont val="Tahoma"/>
            <family val="2"/>
          </rPr>
          <t xml:space="preserve">
проверити збир!
</t>
        </r>
      </text>
    </comment>
    <comment ref="I8065" authorId="0" shapeId="0">
      <text>
        <r>
          <rPr>
            <b/>
            <sz val="9"/>
            <color indexed="81"/>
            <rFont val="Tahoma"/>
            <family val="2"/>
          </rPr>
          <t>LPA:</t>
        </r>
        <r>
          <rPr>
            <sz val="9"/>
            <color indexed="81"/>
            <rFont val="Tahoma"/>
            <family val="2"/>
          </rPr>
          <t xml:space="preserve">
проверити збир!
</t>
        </r>
      </text>
    </comment>
    <comment ref="H8069" authorId="0" shapeId="0">
      <text>
        <r>
          <rPr>
            <b/>
            <sz val="9"/>
            <color indexed="81"/>
            <rFont val="Tahoma"/>
            <family val="2"/>
          </rPr>
          <t>LPA:</t>
        </r>
        <r>
          <rPr>
            <sz val="9"/>
            <color indexed="81"/>
            <rFont val="Tahoma"/>
            <family val="2"/>
          </rPr>
          <t xml:space="preserve">
проверити збир!</t>
        </r>
      </text>
    </comment>
    <comment ref="I8069" authorId="0" shapeId="0">
      <text>
        <r>
          <rPr>
            <b/>
            <sz val="9"/>
            <color indexed="81"/>
            <rFont val="Tahoma"/>
            <family val="2"/>
          </rPr>
          <t>LPA:</t>
        </r>
        <r>
          <rPr>
            <sz val="9"/>
            <color indexed="81"/>
            <rFont val="Tahoma"/>
            <family val="2"/>
          </rPr>
          <t xml:space="preserve">
проверити збир!
</t>
        </r>
      </text>
    </comment>
    <comment ref="I8070" authorId="0" shapeId="0">
      <text>
        <r>
          <rPr>
            <b/>
            <sz val="9"/>
            <color indexed="81"/>
            <rFont val="Tahoma"/>
            <family val="2"/>
          </rPr>
          <t>LPA:</t>
        </r>
        <r>
          <rPr>
            <sz val="9"/>
            <color indexed="81"/>
            <rFont val="Tahoma"/>
            <family val="2"/>
          </rPr>
          <t xml:space="preserve">
проверити збир!
</t>
        </r>
      </text>
    </comment>
    <comment ref="I8071" authorId="0" shapeId="0">
      <text>
        <r>
          <rPr>
            <b/>
            <sz val="9"/>
            <color indexed="81"/>
            <rFont val="Tahoma"/>
            <family val="2"/>
          </rPr>
          <t>LPA:</t>
        </r>
        <r>
          <rPr>
            <sz val="9"/>
            <color indexed="81"/>
            <rFont val="Tahoma"/>
            <family val="2"/>
          </rPr>
          <t xml:space="preserve">
проверити збир!
</t>
        </r>
      </text>
    </comment>
    <comment ref="I8072" authorId="0" shapeId="0">
      <text>
        <r>
          <rPr>
            <b/>
            <sz val="9"/>
            <color indexed="81"/>
            <rFont val="Tahoma"/>
            <family val="2"/>
          </rPr>
          <t>LPA:</t>
        </r>
        <r>
          <rPr>
            <sz val="9"/>
            <color indexed="81"/>
            <rFont val="Tahoma"/>
            <family val="2"/>
          </rPr>
          <t xml:space="preserve">
проверити збир!
</t>
        </r>
      </text>
    </comment>
    <comment ref="I8073" authorId="0" shapeId="0">
      <text>
        <r>
          <rPr>
            <b/>
            <sz val="9"/>
            <color indexed="81"/>
            <rFont val="Tahoma"/>
            <family val="2"/>
          </rPr>
          <t>LPA:</t>
        </r>
        <r>
          <rPr>
            <sz val="9"/>
            <color indexed="81"/>
            <rFont val="Tahoma"/>
            <family val="2"/>
          </rPr>
          <t xml:space="preserve">
проверити збир!
</t>
        </r>
      </text>
    </comment>
    <comment ref="I8074" authorId="0" shapeId="0">
      <text>
        <r>
          <rPr>
            <b/>
            <sz val="9"/>
            <color indexed="81"/>
            <rFont val="Tahoma"/>
            <family val="2"/>
          </rPr>
          <t>LPA:</t>
        </r>
        <r>
          <rPr>
            <sz val="9"/>
            <color indexed="81"/>
            <rFont val="Tahoma"/>
            <family val="2"/>
          </rPr>
          <t xml:space="preserve">
проверити збир!
</t>
        </r>
      </text>
    </comment>
    <comment ref="I8075" authorId="0" shapeId="0">
      <text>
        <r>
          <rPr>
            <b/>
            <sz val="9"/>
            <color indexed="81"/>
            <rFont val="Tahoma"/>
            <family val="2"/>
          </rPr>
          <t>LPA:</t>
        </r>
        <r>
          <rPr>
            <sz val="9"/>
            <color indexed="81"/>
            <rFont val="Tahoma"/>
            <family val="2"/>
          </rPr>
          <t xml:space="preserve">
проверити збир!
</t>
        </r>
      </text>
    </comment>
    <comment ref="I8076" authorId="0" shapeId="0">
      <text>
        <r>
          <rPr>
            <b/>
            <sz val="9"/>
            <color indexed="81"/>
            <rFont val="Tahoma"/>
            <family val="2"/>
          </rPr>
          <t>LPA:</t>
        </r>
        <r>
          <rPr>
            <sz val="9"/>
            <color indexed="81"/>
            <rFont val="Tahoma"/>
            <family val="2"/>
          </rPr>
          <t xml:space="preserve">
проверити збир!
</t>
        </r>
      </text>
    </comment>
    <comment ref="I8077" authorId="0" shapeId="0">
      <text>
        <r>
          <rPr>
            <b/>
            <sz val="9"/>
            <color indexed="81"/>
            <rFont val="Tahoma"/>
            <family val="2"/>
          </rPr>
          <t>LPA:</t>
        </r>
        <r>
          <rPr>
            <sz val="9"/>
            <color indexed="81"/>
            <rFont val="Tahoma"/>
            <family val="2"/>
          </rPr>
          <t xml:space="preserve">
проверити збир!
</t>
        </r>
      </text>
    </comment>
    <comment ref="I8078" authorId="0" shapeId="0">
      <text>
        <r>
          <rPr>
            <b/>
            <sz val="9"/>
            <color indexed="81"/>
            <rFont val="Tahoma"/>
            <family val="2"/>
          </rPr>
          <t>LPA:</t>
        </r>
        <r>
          <rPr>
            <sz val="9"/>
            <color indexed="81"/>
            <rFont val="Tahoma"/>
            <family val="2"/>
          </rPr>
          <t xml:space="preserve">
проверити збир!
</t>
        </r>
      </text>
    </comment>
    <comment ref="I8079" authorId="0" shapeId="0">
      <text>
        <r>
          <rPr>
            <b/>
            <sz val="9"/>
            <color indexed="81"/>
            <rFont val="Tahoma"/>
            <family val="2"/>
          </rPr>
          <t>LPA:</t>
        </r>
        <r>
          <rPr>
            <sz val="9"/>
            <color indexed="81"/>
            <rFont val="Tahoma"/>
            <family val="2"/>
          </rPr>
          <t xml:space="preserve">
проверити збир!
</t>
        </r>
      </text>
    </comment>
    <comment ref="I8080" authorId="0" shapeId="0">
      <text>
        <r>
          <rPr>
            <b/>
            <sz val="9"/>
            <color indexed="81"/>
            <rFont val="Tahoma"/>
            <family val="2"/>
          </rPr>
          <t>LPA:</t>
        </r>
        <r>
          <rPr>
            <sz val="9"/>
            <color indexed="81"/>
            <rFont val="Tahoma"/>
            <family val="2"/>
          </rPr>
          <t xml:space="preserve">
проверити збир!
</t>
        </r>
      </text>
    </comment>
    <comment ref="I8081" authorId="0" shapeId="0">
      <text>
        <r>
          <rPr>
            <b/>
            <sz val="9"/>
            <color indexed="81"/>
            <rFont val="Tahoma"/>
            <family val="2"/>
          </rPr>
          <t>LPA:</t>
        </r>
        <r>
          <rPr>
            <sz val="9"/>
            <color indexed="81"/>
            <rFont val="Tahoma"/>
            <family val="2"/>
          </rPr>
          <t xml:space="preserve">
проверити збир!
</t>
        </r>
      </text>
    </comment>
    <comment ref="I8082" authorId="0" shapeId="0">
      <text>
        <r>
          <rPr>
            <b/>
            <sz val="9"/>
            <color indexed="81"/>
            <rFont val="Tahoma"/>
            <family val="2"/>
          </rPr>
          <t>LPA:</t>
        </r>
        <r>
          <rPr>
            <sz val="9"/>
            <color indexed="81"/>
            <rFont val="Tahoma"/>
            <family val="2"/>
          </rPr>
          <t xml:space="preserve">
проверити збир!
</t>
        </r>
      </text>
    </comment>
    <comment ref="I8083" authorId="0" shapeId="0">
      <text>
        <r>
          <rPr>
            <b/>
            <sz val="9"/>
            <color indexed="81"/>
            <rFont val="Tahoma"/>
            <family val="2"/>
          </rPr>
          <t>LPA:</t>
        </r>
        <r>
          <rPr>
            <sz val="9"/>
            <color indexed="81"/>
            <rFont val="Tahoma"/>
            <family val="2"/>
          </rPr>
          <t xml:space="preserve">
проверити збир!
</t>
        </r>
      </text>
    </comment>
    <comment ref="I8084" authorId="0" shapeId="0">
      <text>
        <r>
          <rPr>
            <b/>
            <sz val="9"/>
            <color indexed="81"/>
            <rFont val="Tahoma"/>
            <family val="2"/>
          </rPr>
          <t>LPA:</t>
        </r>
        <r>
          <rPr>
            <sz val="9"/>
            <color indexed="81"/>
            <rFont val="Tahoma"/>
            <family val="2"/>
          </rPr>
          <t xml:space="preserve">
проверити збир!
</t>
        </r>
      </text>
    </comment>
    <comment ref="H8088" authorId="0" shapeId="0">
      <text>
        <r>
          <rPr>
            <b/>
            <sz val="9"/>
            <color indexed="81"/>
            <rFont val="Tahoma"/>
            <family val="2"/>
          </rPr>
          <t>LPA:</t>
        </r>
        <r>
          <rPr>
            <sz val="9"/>
            <color indexed="81"/>
            <rFont val="Tahoma"/>
            <family val="2"/>
          </rPr>
          <t xml:space="preserve">
проверити збир!</t>
        </r>
      </text>
    </comment>
    <comment ref="I8088" authorId="0" shapeId="0">
      <text>
        <r>
          <rPr>
            <b/>
            <sz val="9"/>
            <color indexed="81"/>
            <rFont val="Tahoma"/>
            <family val="2"/>
          </rPr>
          <t>LPA:</t>
        </r>
        <r>
          <rPr>
            <sz val="9"/>
            <color indexed="81"/>
            <rFont val="Tahoma"/>
            <family val="2"/>
          </rPr>
          <t xml:space="preserve">
проверити збир!
</t>
        </r>
      </text>
    </comment>
    <comment ref="I8089" authorId="0" shapeId="0">
      <text>
        <r>
          <rPr>
            <b/>
            <sz val="9"/>
            <color indexed="81"/>
            <rFont val="Tahoma"/>
            <family val="2"/>
          </rPr>
          <t>LPA:</t>
        </r>
        <r>
          <rPr>
            <sz val="9"/>
            <color indexed="81"/>
            <rFont val="Tahoma"/>
            <family val="2"/>
          </rPr>
          <t xml:space="preserve">
проверити збир!
</t>
        </r>
      </text>
    </comment>
    <comment ref="I8090" authorId="0" shapeId="0">
      <text>
        <r>
          <rPr>
            <b/>
            <sz val="9"/>
            <color indexed="81"/>
            <rFont val="Tahoma"/>
            <family val="2"/>
          </rPr>
          <t>LPA:</t>
        </r>
        <r>
          <rPr>
            <sz val="9"/>
            <color indexed="81"/>
            <rFont val="Tahoma"/>
            <family val="2"/>
          </rPr>
          <t xml:space="preserve">
проверити збир!
</t>
        </r>
      </text>
    </comment>
    <comment ref="I8091" authorId="0" shapeId="0">
      <text>
        <r>
          <rPr>
            <b/>
            <sz val="9"/>
            <color indexed="81"/>
            <rFont val="Tahoma"/>
            <family val="2"/>
          </rPr>
          <t>LPA:</t>
        </r>
        <r>
          <rPr>
            <sz val="9"/>
            <color indexed="81"/>
            <rFont val="Tahoma"/>
            <family val="2"/>
          </rPr>
          <t xml:space="preserve">
проверити збир!
</t>
        </r>
      </text>
    </comment>
    <comment ref="I8092" authorId="0" shapeId="0">
      <text>
        <r>
          <rPr>
            <b/>
            <sz val="9"/>
            <color indexed="81"/>
            <rFont val="Tahoma"/>
            <family val="2"/>
          </rPr>
          <t>LPA:</t>
        </r>
        <r>
          <rPr>
            <sz val="9"/>
            <color indexed="81"/>
            <rFont val="Tahoma"/>
            <family val="2"/>
          </rPr>
          <t xml:space="preserve">
проверити збир!
</t>
        </r>
      </text>
    </comment>
    <comment ref="I8093" authorId="0" shapeId="0">
      <text>
        <r>
          <rPr>
            <b/>
            <sz val="9"/>
            <color indexed="81"/>
            <rFont val="Tahoma"/>
            <family val="2"/>
          </rPr>
          <t>LPA:</t>
        </r>
        <r>
          <rPr>
            <sz val="9"/>
            <color indexed="81"/>
            <rFont val="Tahoma"/>
            <family val="2"/>
          </rPr>
          <t xml:space="preserve">
проверити збир!
</t>
        </r>
      </text>
    </comment>
    <comment ref="I8094" authorId="0" shapeId="0">
      <text>
        <r>
          <rPr>
            <b/>
            <sz val="9"/>
            <color indexed="81"/>
            <rFont val="Tahoma"/>
            <family val="2"/>
          </rPr>
          <t>LPA:</t>
        </r>
        <r>
          <rPr>
            <sz val="9"/>
            <color indexed="81"/>
            <rFont val="Tahoma"/>
            <family val="2"/>
          </rPr>
          <t xml:space="preserve">
проверити збир!
</t>
        </r>
      </text>
    </comment>
    <comment ref="I8095" authorId="0" shapeId="0">
      <text>
        <r>
          <rPr>
            <b/>
            <sz val="9"/>
            <color indexed="81"/>
            <rFont val="Tahoma"/>
            <family val="2"/>
          </rPr>
          <t>LPA:</t>
        </r>
        <r>
          <rPr>
            <sz val="9"/>
            <color indexed="81"/>
            <rFont val="Tahoma"/>
            <family val="2"/>
          </rPr>
          <t xml:space="preserve">
проверити збир!
</t>
        </r>
      </text>
    </comment>
    <comment ref="I8096" authorId="0" shapeId="0">
      <text>
        <r>
          <rPr>
            <b/>
            <sz val="9"/>
            <color indexed="81"/>
            <rFont val="Tahoma"/>
            <family val="2"/>
          </rPr>
          <t>LPA:</t>
        </r>
        <r>
          <rPr>
            <sz val="9"/>
            <color indexed="81"/>
            <rFont val="Tahoma"/>
            <family val="2"/>
          </rPr>
          <t xml:space="preserve">
проверити збир!
</t>
        </r>
      </text>
    </comment>
    <comment ref="I8097" authorId="0" shapeId="0">
      <text>
        <r>
          <rPr>
            <b/>
            <sz val="9"/>
            <color indexed="81"/>
            <rFont val="Tahoma"/>
            <family val="2"/>
          </rPr>
          <t>LPA:</t>
        </r>
        <r>
          <rPr>
            <sz val="9"/>
            <color indexed="81"/>
            <rFont val="Tahoma"/>
            <family val="2"/>
          </rPr>
          <t xml:space="preserve">
проверити збир!
</t>
        </r>
      </text>
    </comment>
    <comment ref="I8098" authorId="0" shapeId="0">
      <text>
        <r>
          <rPr>
            <b/>
            <sz val="9"/>
            <color indexed="81"/>
            <rFont val="Tahoma"/>
            <family val="2"/>
          </rPr>
          <t>LPA:</t>
        </r>
        <r>
          <rPr>
            <sz val="9"/>
            <color indexed="81"/>
            <rFont val="Tahoma"/>
            <family val="2"/>
          </rPr>
          <t xml:space="preserve">
проверити збир!
</t>
        </r>
      </text>
    </comment>
    <comment ref="I8099" authorId="0" shapeId="0">
      <text>
        <r>
          <rPr>
            <b/>
            <sz val="9"/>
            <color indexed="81"/>
            <rFont val="Tahoma"/>
            <family val="2"/>
          </rPr>
          <t>LPA:</t>
        </r>
        <r>
          <rPr>
            <sz val="9"/>
            <color indexed="81"/>
            <rFont val="Tahoma"/>
            <family val="2"/>
          </rPr>
          <t xml:space="preserve">
проверити збир!
</t>
        </r>
      </text>
    </comment>
    <comment ref="I8100" authorId="0" shapeId="0">
      <text>
        <r>
          <rPr>
            <b/>
            <sz val="9"/>
            <color indexed="81"/>
            <rFont val="Tahoma"/>
            <family val="2"/>
          </rPr>
          <t>LPA:</t>
        </r>
        <r>
          <rPr>
            <sz val="9"/>
            <color indexed="81"/>
            <rFont val="Tahoma"/>
            <family val="2"/>
          </rPr>
          <t xml:space="preserve">
проверити збир!
</t>
        </r>
      </text>
    </comment>
    <comment ref="I8101" authorId="0" shapeId="0">
      <text>
        <r>
          <rPr>
            <b/>
            <sz val="9"/>
            <color indexed="81"/>
            <rFont val="Tahoma"/>
            <family val="2"/>
          </rPr>
          <t>LPA:</t>
        </r>
        <r>
          <rPr>
            <sz val="9"/>
            <color indexed="81"/>
            <rFont val="Tahoma"/>
            <family val="2"/>
          </rPr>
          <t xml:space="preserve">
проверити збир!
</t>
        </r>
      </text>
    </comment>
    <comment ref="I8102" authorId="0" shapeId="0">
      <text>
        <r>
          <rPr>
            <b/>
            <sz val="9"/>
            <color indexed="81"/>
            <rFont val="Tahoma"/>
            <family val="2"/>
          </rPr>
          <t>LPA:</t>
        </r>
        <r>
          <rPr>
            <sz val="9"/>
            <color indexed="81"/>
            <rFont val="Tahoma"/>
            <family val="2"/>
          </rPr>
          <t xml:space="preserve">
проверити збир!
</t>
        </r>
      </text>
    </comment>
    <comment ref="I8103" authorId="0" shapeId="0">
      <text>
        <r>
          <rPr>
            <b/>
            <sz val="9"/>
            <color indexed="81"/>
            <rFont val="Tahoma"/>
            <family val="2"/>
          </rPr>
          <t>LPA:</t>
        </r>
        <r>
          <rPr>
            <sz val="9"/>
            <color indexed="81"/>
            <rFont val="Tahoma"/>
            <family val="2"/>
          </rPr>
          <t xml:space="preserve">
проверити збир!
</t>
        </r>
      </text>
    </comment>
    <comment ref="I8175" authorId="0" shapeId="0">
      <text>
        <r>
          <rPr>
            <b/>
            <sz val="9"/>
            <color indexed="81"/>
            <rFont val="Tahoma"/>
            <family val="2"/>
          </rPr>
          <t>LPA:</t>
        </r>
        <r>
          <rPr>
            <sz val="9"/>
            <color indexed="81"/>
            <rFont val="Tahoma"/>
            <family val="2"/>
          </rPr>
          <t xml:space="preserve">
проверити збир!
</t>
        </r>
      </text>
    </comment>
    <comment ref="I8176" authorId="0" shapeId="0">
      <text>
        <r>
          <rPr>
            <b/>
            <sz val="9"/>
            <color indexed="81"/>
            <rFont val="Tahoma"/>
            <family val="2"/>
          </rPr>
          <t>LPA:</t>
        </r>
        <r>
          <rPr>
            <sz val="9"/>
            <color indexed="81"/>
            <rFont val="Tahoma"/>
            <family val="2"/>
          </rPr>
          <t xml:space="preserve">
проверити збир!
</t>
        </r>
      </text>
    </comment>
    <comment ref="I8177" authorId="0" shapeId="0">
      <text>
        <r>
          <rPr>
            <b/>
            <sz val="9"/>
            <color indexed="81"/>
            <rFont val="Tahoma"/>
            <family val="2"/>
          </rPr>
          <t>LPA:</t>
        </r>
        <r>
          <rPr>
            <sz val="9"/>
            <color indexed="81"/>
            <rFont val="Tahoma"/>
            <family val="2"/>
          </rPr>
          <t xml:space="preserve">
проверити збир!
</t>
        </r>
      </text>
    </comment>
    <comment ref="I8178" authorId="0" shapeId="0">
      <text>
        <r>
          <rPr>
            <b/>
            <sz val="9"/>
            <color indexed="81"/>
            <rFont val="Tahoma"/>
            <family val="2"/>
          </rPr>
          <t>LPA:</t>
        </r>
        <r>
          <rPr>
            <sz val="9"/>
            <color indexed="81"/>
            <rFont val="Tahoma"/>
            <family val="2"/>
          </rPr>
          <t xml:space="preserve">
проверити збир!
</t>
        </r>
      </text>
    </comment>
    <comment ref="I8179" authorId="0" shapeId="0">
      <text>
        <r>
          <rPr>
            <b/>
            <sz val="9"/>
            <color indexed="81"/>
            <rFont val="Tahoma"/>
            <family val="2"/>
          </rPr>
          <t>LPA:</t>
        </r>
        <r>
          <rPr>
            <sz val="9"/>
            <color indexed="81"/>
            <rFont val="Tahoma"/>
            <family val="2"/>
          </rPr>
          <t xml:space="preserve">
проверити збир!
</t>
        </r>
      </text>
    </comment>
    <comment ref="I8180" authorId="0" shapeId="0">
      <text>
        <r>
          <rPr>
            <b/>
            <sz val="9"/>
            <color indexed="81"/>
            <rFont val="Tahoma"/>
            <family val="2"/>
          </rPr>
          <t>LPA:</t>
        </r>
        <r>
          <rPr>
            <sz val="9"/>
            <color indexed="81"/>
            <rFont val="Tahoma"/>
            <family val="2"/>
          </rPr>
          <t xml:space="preserve">
проверити збир!
</t>
        </r>
      </text>
    </comment>
    <comment ref="I8181" authorId="0" shapeId="0">
      <text>
        <r>
          <rPr>
            <b/>
            <sz val="9"/>
            <color indexed="81"/>
            <rFont val="Tahoma"/>
            <family val="2"/>
          </rPr>
          <t>LPA:</t>
        </r>
        <r>
          <rPr>
            <sz val="9"/>
            <color indexed="81"/>
            <rFont val="Tahoma"/>
            <family val="2"/>
          </rPr>
          <t xml:space="preserve">
проверити збир!
</t>
        </r>
      </text>
    </comment>
    <comment ref="I8182" authorId="0" shapeId="0">
      <text>
        <r>
          <rPr>
            <b/>
            <sz val="9"/>
            <color indexed="81"/>
            <rFont val="Tahoma"/>
            <family val="2"/>
          </rPr>
          <t>LPA:</t>
        </r>
        <r>
          <rPr>
            <sz val="9"/>
            <color indexed="81"/>
            <rFont val="Tahoma"/>
            <family val="2"/>
          </rPr>
          <t xml:space="preserve">
проверити збир!
</t>
        </r>
      </text>
    </comment>
    <comment ref="I8183" authorId="0" shapeId="0">
      <text>
        <r>
          <rPr>
            <b/>
            <sz val="9"/>
            <color indexed="81"/>
            <rFont val="Tahoma"/>
            <family val="2"/>
          </rPr>
          <t>LPA:</t>
        </r>
        <r>
          <rPr>
            <sz val="9"/>
            <color indexed="81"/>
            <rFont val="Tahoma"/>
            <family val="2"/>
          </rPr>
          <t xml:space="preserve">
проверити збир!
</t>
        </r>
      </text>
    </comment>
    <comment ref="I8184" authorId="0" shapeId="0">
      <text>
        <r>
          <rPr>
            <b/>
            <sz val="9"/>
            <color indexed="81"/>
            <rFont val="Tahoma"/>
            <family val="2"/>
          </rPr>
          <t>LPA:</t>
        </r>
        <r>
          <rPr>
            <sz val="9"/>
            <color indexed="81"/>
            <rFont val="Tahoma"/>
            <family val="2"/>
          </rPr>
          <t xml:space="preserve">
проверити збир!
</t>
        </r>
      </text>
    </comment>
    <comment ref="I8185" authorId="0" shapeId="0">
      <text>
        <r>
          <rPr>
            <b/>
            <sz val="9"/>
            <color indexed="81"/>
            <rFont val="Tahoma"/>
            <family val="2"/>
          </rPr>
          <t>LPA:</t>
        </r>
        <r>
          <rPr>
            <sz val="9"/>
            <color indexed="81"/>
            <rFont val="Tahoma"/>
            <family val="2"/>
          </rPr>
          <t xml:space="preserve">
проверити збир!
</t>
        </r>
      </text>
    </comment>
    <comment ref="I8186" authorId="0" shapeId="0">
      <text>
        <r>
          <rPr>
            <b/>
            <sz val="9"/>
            <color indexed="81"/>
            <rFont val="Tahoma"/>
            <family val="2"/>
          </rPr>
          <t>LPA:</t>
        </r>
        <r>
          <rPr>
            <sz val="9"/>
            <color indexed="81"/>
            <rFont val="Tahoma"/>
            <family val="2"/>
          </rPr>
          <t xml:space="preserve">
проверити збир!
</t>
        </r>
      </text>
    </comment>
    <comment ref="I8187" authorId="0" shapeId="0">
      <text>
        <r>
          <rPr>
            <b/>
            <sz val="9"/>
            <color indexed="81"/>
            <rFont val="Tahoma"/>
            <family val="2"/>
          </rPr>
          <t>LPA:</t>
        </r>
        <r>
          <rPr>
            <sz val="9"/>
            <color indexed="81"/>
            <rFont val="Tahoma"/>
            <family val="2"/>
          </rPr>
          <t xml:space="preserve">
проверити збир!
</t>
        </r>
      </text>
    </comment>
    <comment ref="H8190" authorId="0" shapeId="0">
      <text>
        <r>
          <rPr>
            <b/>
            <sz val="9"/>
            <color indexed="81"/>
            <rFont val="Tahoma"/>
            <family val="2"/>
          </rPr>
          <t>LPA:</t>
        </r>
        <r>
          <rPr>
            <sz val="9"/>
            <color indexed="81"/>
            <rFont val="Tahoma"/>
            <family val="2"/>
          </rPr>
          <t xml:space="preserve">
проверити збир!</t>
        </r>
      </text>
    </comment>
    <comment ref="I8190" authorId="0" shapeId="0">
      <text>
        <r>
          <rPr>
            <b/>
            <sz val="9"/>
            <color indexed="81"/>
            <rFont val="Tahoma"/>
            <family val="2"/>
          </rPr>
          <t>LPA:</t>
        </r>
        <r>
          <rPr>
            <sz val="9"/>
            <color indexed="81"/>
            <rFont val="Tahoma"/>
            <family val="2"/>
          </rPr>
          <t xml:space="preserve">
проверити збир!</t>
        </r>
      </text>
    </comment>
    <comment ref="I8191" authorId="0" shapeId="0">
      <text>
        <r>
          <rPr>
            <b/>
            <sz val="9"/>
            <color indexed="81"/>
            <rFont val="Tahoma"/>
            <family val="2"/>
          </rPr>
          <t>LPA:</t>
        </r>
        <r>
          <rPr>
            <sz val="9"/>
            <color indexed="81"/>
            <rFont val="Tahoma"/>
            <family val="2"/>
          </rPr>
          <t xml:space="preserve">
проверити збир!
</t>
        </r>
      </text>
    </comment>
    <comment ref="I8192" authorId="0" shapeId="0">
      <text>
        <r>
          <rPr>
            <b/>
            <sz val="9"/>
            <color indexed="81"/>
            <rFont val="Tahoma"/>
            <family val="2"/>
          </rPr>
          <t>LPA:</t>
        </r>
        <r>
          <rPr>
            <sz val="9"/>
            <color indexed="81"/>
            <rFont val="Tahoma"/>
            <family val="2"/>
          </rPr>
          <t xml:space="preserve">
проверити збир!
</t>
        </r>
      </text>
    </comment>
    <comment ref="I8193" authorId="0" shapeId="0">
      <text>
        <r>
          <rPr>
            <b/>
            <sz val="9"/>
            <color indexed="81"/>
            <rFont val="Tahoma"/>
            <family val="2"/>
          </rPr>
          <t>LPA:</t>
        </r>
        <r>
          <rPr>
            <sz val="9"/>
            <color indexed="81"/>
            <rFont val="Tahoma"/>
            <family val="2"/>
          </rPr>
          <t xml:space="preserve">
проверити збир!
</t>
        </r>
      </text>
    </comment>
    <comment ref="I8194" authorId="0" shapeId="0">
      <text>
        <r>
          <rPr>
            <b/>
            <sz val="9"/>
            <color indexed="81"/>
            <rFont val="Tahoma"/>
            <family val="2"/>
          </rPr>
          <t>LPA:</t>
        </r>
        <r>
          <rPr>
            <sz val="9"/>
            <color indexed="81"/>
            <rFont val="Tahoma"/>
            <family val="2"/>
          </rPr>
          <t xml:space="preserve">
проверити збир!
</t>
        </r>
      </text>
    </comment>
    <comment ref="I8195" authorId="0" shapeId="0">
      <text>
        <r>
          <rPr>
            <b/>
            <sz val="9"/>
            <color indexed="81"/>
            <rFont val="Tahoma"/>
            <family val="2"/>
          </rPr>
          <t>LPA:</t>
        </r>
        <r>
          <rPr>
            <sz val="9"/>
            <color indexed="81"/>
            <rFont val="Tahoma"/>
            <family val="2"/>
          </rPr>
          <t xml:space="preserve">
проверити збир!
</t>
        </r>
      </text>
    </comment>
    <comment ref="I8196" authorId="0" shapeId="0">
      <text>
        <r>
          <rPr>
            <b/>
            <sz val="9"/>
            <color indexed="81"/>
            <rFont val="Tahoma"/>
            <family val="2"/>
          </rPr>
          <t>LPA:</t>
        </r>
        <r>
          <rPr>
            <sz val="9"/>
            <color indexed="81"/>
            <rFont val="Tahoma"/>
            <family val="2"/>
          </rPr>
          <t xml:space="preserve">
проверити збир!
</t>
        </r>
      </text>
    </comment>
    <comment ref="I8197" authorId="0" shapeId="0">
      <text>
        <r>
          <rPr>
            <b/>
            <sz val="9"/>
            <color indexed="81"/>
            <rFont val="Tahoma"/>
            <family val="2"/>
          </rPr>
          <t>LPA:</t>
        </r>
        <r>
          <rPr>
            <sz val="9"/>
            <color indexed="81"/>
            <rFont val="Tahoma"/>
            <family val="2"/>
          </rPr>
          <t xml:space="preserve">
проверити збир!
</t>
        </r>
      </text>
    </comment>
    <comment ref="I8198" authorId="0" shapeId="0">
      <text>
        <r>
          <rPr>
            <b/>
            <sz val="9"/>
            <color indexed="81"/>
            <rFont val="Tahoma"/>
            <family val="2"/>
          </rPr>
          <t>LPA:</t>
        </r>
        <r>
          <rPr>
            <sz val="9"/>
            <color indexed="81"/>
            <rFont val="Tahoma"/>
            <family val="2"/>
          </rPr>
          <t xml:space="preserve">
проверити збир!
</t>
        </r>
      </text>
    </comment>
    <comment ref="I8199" authorId="0" shapeId="0">
      <text>
        <r>
          <rPr>
            <b/>
            <sz val="9"/>
            <color indexed="81"/>
            <rFont val="Tahoma"/>
            <family val="2"/>
          </rPr>
          <t>LPA:</t>
        </r>
        <r>
          <rPr>
            <sz val="9"/>
            <color indexed="81"/>
            <rFont val="Tahoma"/>
            <family val="2"/>
          </rPr>
          <t xml:space="preserve">
проверити збир!
</t>
        </r>
      </text>
    </comment>
    <comment ref="I8200" authorId="0" shapeId="0">
      <text>
        <r>
          <rPr>
            <b/>
            <sz val="9"/>
            <color indexed="81"/>
            <rFont val="Tahoma"/>
            <family val="2"/>
          </rPr>
          <t>LPA:</t>
        </r>
        <r>
          <rPr>
            <sz val="9"/>
            <color indexed="81"/>
            <rFont val="Tahoma"/>
            <family val="2"/>
          </rPr>
          <t xml:space="preserve">
проверити збир!
</t>
        </r>
      </text>
    </comment>
    <comment ref="I8201" authorId="0" shapeId="0">
      <text>
        <r>
          <rPr>
            <b/>
            <sz val="9"/>
            <color indexed="81"/>
            <rFont val="Tahoma"/>
            <family val="2"/>
          </rPr>
          <t>LPA:</t>
        </r>
        <r>
          <rPr>
            <sz val="9"/>
            <color indexed="81"/>
            <rFont val="Tahoma"/>
            <family val="2"/>
          </rPr>
          <t xml:space="preserve">
проверити збир!
</t>
        </r>
      </text>
    </comment>
    <comment ref="I8202" authorId="0" shapeId="0">
      <text>
        <r>
          <rPr>
            <b/>
            <sz val="9"/>
            <color indexed="81"/>
            <rFont val="Tahoma"/>
            <family val="2"/>
          </rPr>
          <t>LPA:</t>
        </r>
        <r>
          <rPr>
            <sz val="9"/>
            <color indexed="81"/>
            <rFont val="Tahoma"/>
            <family val="2"/>
          </rPr>
          <t xml:space="preserve">
проверити збир!
</t>
        </r>
      </text>
    </comment>
    <comment ref="I8203" authorId="0" shapeId="0">
      <text>
        <r>
          <rPr>
            <b/>
            <sz val="9"/>
            <color indexed="81"/>
            <rFont val="Tahoma"/>
            <family val="2"/>
          </rPr>
          <t>LPA:</t>
        </r>
        <r>
          <rPr>
            <sz val="9"/>
            <color indexed="81"/>
            <rFont val="Tahoma"/>
            <family val="2"/>
          </rPr>
          <t xml:space="preserve">
проверити збир!
</t>
        </r>
      </text>
    </comment>
    <comment ref="I8204" authorId="0" shapeId="0">
      <text>
        <r>
          <rPr>
            <b/>
            <sz val="9"/>
            <color indexed="81"/>
            <rFont val="Tahoma"/>
            <family val="2"/>
          </rPr>
          <t>LPA:</t>
        </r>
        <r>
          <rPr>
            <sz val="9"/>
            <color indexed="81"/>
            <rFont val="Tahoma"/>
            <family val="2"/>
          </rPr>
          <t xml:space="preserve">
проверити збир!
</t>
        </r>
      </text>
    </comment>
    <comment ref="I8205" authorId="0" shapeId="0">
      <text>
        <r>
          <rPr>
            <b/>
            <sz val="9"/>
            <color indexed="81"/>
            <rFont val="Tahoma"/>
            <family val="2"/>
          </rPr>
          <t>LPA:</t>
        </r>
        <r>
          <rPr>
            <sz val="9"/>
            <color indexed="81"/>
            <rFont val="Tahoma"/>
            <family val="2"/>
          </rPr>
          <t xml:space="preserve">
проверити збир!
</t>
        </r>
      </text>
    </comment>
    <comment ref="H8220" authorId="0" shapeId="0">
      <text>
        <r>
          <rPr>
            <b/>
            <sz val="9"/>
            <color indexed="81"/>
            <rFont val="Tahoma"/>
            <family val="2"/>
          </rPr>
          <t>LPA:</t>
        </r>
        <r>
          <rPr>
            <sz val="9"/>
            <color indexed="81"/>
            <rFont val="Tahoma"/>
            <family val="2"/>
          </rPr>
          <t xml:space="preserve">
200.000 štampanje flajera, 200.000 učešće na sajmovima</t>
        </r>
      </text>
    </comment>
    <comment ref="I8274" authorId="0" shapeId="0">
      <text>
        <r>
          <rPr>
            <b/>
            <sz val="9"/>
            <color indexed="81"/>
            <rFont val="Tahoma"/>
            <family val="2"/>
          </rPr>
          <t>LPA:</t>
        </r>
        <r>
          <rPr>
            <sz val="9"/>
            <color indexed="81"/>
            <rFont val="Tahoma"/>
            <family val="2"/>
          </rPr>
          <t xml:space="preserve">
проверити збир!
</t>
        </r>
      </text>
    </comment>
    <comment ref="I8275" authorId="0" shapeId="0">
      <text>
        <r>
          <rPr>
            <b/>
            <sz val="9"/>
            <color indexed="81"/>
            <rFont val="Tahoma"/>
            <family val="2"/>
          </rPr>
          <t>LPA:</t>
        </r>
        <r>
          <rPr>
            <sz val="9"/>
            <color indexed="81"/>
            <rFont val="Tahoma"/>
            <family val="2"/>
          </rPr>
          <t xml:space="preserve">
проверити збир!
</t>
        </r>
      </text>
    </comment>
    <comment ref="I8276" authorId="0" shapeId="0">
      <text>
        <r>
          <rPr>
            <b/>
            <sz val="9"/>
            <color indexed="81"/>
            <rFont val="Tahoma"/>
            <family val="2"/>
          </rPr>
          <t>LPA:</t>
        </r>
        <r>
          <rPr>
            <sz val="9"/>
            <color indexed="81"/>
            <rFont val="Tahoma"/>
            <family val="2"/>
          </rPr>
          <t xml:space="preserve">
проверити збир!
</t>
        </r>
      </text>
    </comment>
    <comment ref="I8277" authorId="0" shapeId="0">
      <text>
        <r>
          <rPr>
            <b/>
            <sz val="9"/>
            <color indexed="81"/>
            <rFont val="Tahoma"/>
            <family val="2"/>
          </rPr>
          <t>LPA:</t>
        </r>
        <r>
          <rPr>
            <sz val="9"/>
            <color indexed="81"/>
            <rFont val="Tahoma"/>
            <family val="2"/>
          </rPr>
          <t xml:space="preserve">
проверити збир!
</t>
        </r>
      </text>
    </comment>
    <comment ref="I8278" authorId="0" shapeId="0">
      <text>
        <r>
          <rPr>
            <b/>
            <sz val="9"/>
            <color indexed="81"/>
            <rFont val="Tahoma"/>
            <family val="2"/>
          </rPr>
          <t>LPA:</t>
        </r>
        <r>
          <rPr>
            <sz val="9"/>
            <color indexed="81"/>
            <rFont val="Tahoma"/>
            <family val="2"/>
          </rPr>
          <t xml:space="preserve">
проверити збир!
</t>
        </r>
      </text>
    </comment>
    <comment ref="I8279" authorId="0" shapeId="0">
      <text>
        <r>
          <rPr>
            <b/>
            <sz val="9"/>
            <color indexed="81"/>
            <rFont val="Tahoma"/>
            <family val="2"/>
          </rPr>
          <t>LPA:</t>
        </r>
        <r>
          <rPr>
            <sz val="9"/>
            <color indexed="81"/>
            <rFont val="Tahoma"/>
            <family val="2"/>
          </rPr>
          <t xml:space="preserve">
проверити збир!
</t>
        </r>
      </text>
    </comment>
    <comment ref="I8280" authorId="0" shapeId="0">
      <text>
        <r>
          <rPr>
            <b/>
            <sz val="9"/>
            <color indexed="81"/>
            <rFont val="Tahoma"/>
            <family val="2"/>
          </rPr>
          <t>LPA:</t>
        </r>
        <r>
          <rPr>
            <sz val="9"/>
            <color indexed="81"/>
            <rFont val="Tahoma"/>
            <family val="2"/>
          </rPr>
          <t xml:space="preserve">
проверити збир!
</t>
        </r>
      </text>
    </comment>
    <comment ref="I8281" authorId="0" shapeId="0">
      <text>
        <r>
          <rPr>
            <b/>
            <sz val="9"/>
            <color indexed="81"/>
            <rFont val="Tahoma"/>
            <family val="2"/>
          </rPr>
          <t>LPA:</t>
        </r>
        <r>
          <rPr>
            <sz val="9"/>
            <color indexed="81"/>
            <rFont val="Tahoma"/>
            <family val="2"/>
          </rPr>
          <t xml:space="preserve">
проверити збир!
</t>
        </r>
      </text>
    </comment>
    <comment ref="I8282" authorId="0" shapeId="0">
      <text>
        <r>
          <rPr>
            <b/>
            <sz val="9"/>
            <color indexed="81"/>
            <rFont val="Tahoma"/>
            <family val="2"/>
          </rPr>
          <t>LPA:</t>
        </r>
        <r>
          <rPr>
            <sz val="9"/>
            <color indexed="81"/>
            <rFont val="Tahoma"/>
            <family val="2"/>
          </rPr>
          <t xml:space="preserve">
проверити збир!
</t>
        </r>
      </text>
    </comment>
    <comment ref="I8283" authorId="0" shapeId="0">
      <text>
        <r>
          <rPr>
            <b/>
            <sz val="9"/>
            <color indexed="81"/>
            <rFont val="Tahoma"/>
            <family val="2"/>
          </rPr>
          <t>LPA:</t>
        </r>
        <r>
          <rPr>
            <sz val="9"/>
            <color indexed="81"/>
            <rFont val="Tahoma"/>
            <family val="2"/>
          </rPr>
          <t xml:space="preserve">
проверити збир!
</t>
        </r>
      </text>
    </comment>
    <comment ref="I8284" authorId="0" shapeId="0">
      <text>
        <r>
          <rPr>
            <b/>
            <sz val="9"/>
            <color indexed="81"/>
            <rFont val="Tahoma"/>
            <family val="2"/>
          </rPr>
          <t>LPA:</t>
        </r>
        <r>
          <rPr>
            <sz val="9"/>
            <color indexed="81"/>
            <rFont val="Tahoma"/>
            <family val="2"/>
          </rPr>
          <t xml:space="preserve">
проверити збир!
</t>
        </r>
      </text>
    </comment>
    <comment ref="I8285" authorId="0" shapeId="0">
      <text>
        <r>
          <rPr>
            <b/>
            <sz val="9"/>
            <color indexed="81"/>
            <rFont val="Tahoma"/>
            <family val="2"/>
          </rPr>
          <t>LPA:</t>
        </r>
        <r>
          <rPr>
            <sz val="9"/>
            <color indexed="81"/>
            <rFont val="Tahoma"/>
            <family val="2"/>
          </rPr>
          <t xml:space="preserve">
проверити збир!
</t>
        </r>
      </text>
    </comment>
    <comment ref="I8286" authorId="0" shapeId="0">
      <text>
        <r>
          <rPr>
            <b/>
            <sz val="9"/>
            <color indexed="81"/>
            <rFont val="Tahoma"/>
            <family val="2"/>
          </rPr>
          <t>LPA:</t>
        </r>
        <r>
          <rPr>
            <sz val="9"/>
            <color indexed="81"/>
            <rFont val="Tahoma"/>
            <family val="2"/>
          </rPr>
          <t xml:space="preserve">
проверити збир!
</t>
        </r>
      </text>
    </comment>
    <comment ref="H8289" authorId="0" shapeId="0">
      <text>
        <r>
          <rPr>
            <b/>
            <sz val="9"/>
            <color indexed="81"/>
            <rFont val="Tahoma"/>
            <family val="2"/>
          </rPr>
          <t>LPA:</t>
        </r>
        <r>
          <rPr>
            <sz val="9"/>
            <color indexed="81"/>
            <rFont val="Tahoma"/>
            <family val="2"/>
          </rPr>
          <t xml:space="preserve">
проверити збир!</t>
        </r>
      </text>
    </comment>
    <comment ref="I8289" authorId="0" shapeId="0">
      <text>
        <r>
          <rPr>
            <b/>
            <sz val="9"/>
            <color indexed="81"/>
            <rFont val="Tahoma"/>
            <family val="2"/>
          </rPr>
          <t>LPA:</t>
        </r>
        <r>
          <rPr>
            <sz val="9"/>
            <color indexed="81"/>
            <rFont val="Tahoma"/>
            <family val="2"/>
          </rPr>
          <t xml:space="preserve">
проверити збир!</t>
        </r>
      </text>
    </comment>
    <comment ref="I8290" authorId="0" shapeId="0">
      <text>
        <r>
          <rPr>
            <b/>
            <sz val="9"/>
            <color indexed="81"/>
            <rFont val="Tahoma"/>
            <family val="2"/>
          </rPr>
          <t>LPA:</t>
        </r>
        <r>
          <rPr>
            <sz val="9"/>
            <color indexed="81"/>
            <rFont val="Tahoma"/>
            <family val="2"/>
          </rPr>
          <t xml:space="preserve">
проверити збир!
</t>
        </r>
      </text>
    </comment>
    <comment ref="I8291" authorId="0" shapeId="0">
      <text>
        <r>
          <rPr>
            <b/>
            <sz val="9"/>
            <color indexed="81"/>
            <rFont val="Tahoma"/>
            <family val="2"/>
          </rPr>
          <t>LPA:</t>
        </r>
        <r>
          <rPr>
            <sz val="9"/>
            <color indexed="81"/>
            <rFont val="Tahoma"/>
            <family val="2"/>
          </rPr>
          <t xml:space="preserve">
проверити збир!
</t>
        </r>
      </text>
    </comment>
    <comment ref="I8292" authorId="0" shapeId="0">
      <text>
        <r>
          <rPr>
            <b/>
            <sz val="9"/>
            <color indexed="81"/>
            <rFont val="Tahoma"/>
            <family val="2"/>
          </rPr>
          <t>LPA:</t>
        </r>
        <r>
          <rPr>
            <sz val="9"/>
            <color indexed="81"/>
            <rFont val="Tahoma"/>
            <family val="2"/>
          </rPr>
          <t xml:space="preserve">
проверити збир!
</t>
        </r>
      </text>
    </comment>
    <comment ref="I8293" authorId="0" shapeId="0">
      <text>
        <r>
          <rPr>
            <b/>
            <sz val="9"/>
            <color indexed="81"/>
            <rFont val="Tahoma"/>
            <family val="2"/>
          </rPr>
          <t>LPA:</t>
        </r>
        <r>
          <rPr>
            <sz val="9"/>
            <color indexed="81"/>
            <rFont val="Tahoma"/>
            <family val="2"/>
          </rPr>
          <t xml:space="preserve">
проверити збир!
</t>
        </r>
      </text>
    </comment>
    <comment ref="I8294" authorId="0" shapeId="0">
      <text>
        <r>
          <rPr>
            <b/>
            <sz val="9"/>
            <color indexed="81"/>
            <rFont val="Tahoma"/>
            <family val="2"/>
          </rPr>
          <t>LPA:</t>
        </r>
        <r>
          <rPr>
            <sz val="9"/>
            <color indexed="81"/>
            <rFont val="Tahoma"/>
            <family val="2"/>
          </rPr>
          <t xml:space="preserve">
проверити збир!
</t>
        </r>
      </text>
    </comment>
    <comment ref="I8295" authorId="0" shapeId="0">
      <text>
        <r>
          <rPr>
            <b/>
            <sz val="9"/>
            <color indexed="81"/>
            <rFont val="Tahoma"/>
            <family val="2"/>
          </rPr>
          <t>LPA:</t>
        </r>
        <r>
          <rPr>
            <sz val="9"/>
            <color indexed="81"/>
            <rFont val="Tahoma"/>
            <family val="2"/>
          </rPr>
          <t xml:space="preserve">
проверити збир!
</t>
        </r>
      </text>
    </comment>
    <comment ref="I8296" authorId="0" shapeId="0">
      <text>
        <r>
          <rPr>
            <b/>
            <sz val="9"/>
            <color indexed="81"/>
            <rFont val="Tahoma"/>
            <family val="2"/>
          </rPr>
          <t>LPA:</t>
        </r>
        <r>
          <rPr>
            <sz val="9"/>
            <color indexed="81"/>
            <rFont val="Tahoma"/>
            <family val="2"/>
          </rPr>
          <t xml:space="preserve">
проверити збир!
</t>
        </r>
      </text>
    </comment>
    <comment ref="I8297" authorId="0" shapeId="0">
      <text>
        <r>
          <rPr>
            <b/>
            <sz val="9"/>
            <color indexed="81"/>
            <rFont val="Tahoma"/>
            <family val="2"/>
          </rPr>
          <t>LPA:</t>
        </r>
        <r>
          <rPr>
            <sz val="9"/>
            <color indexed="81"/>
            <rFont val="Tahoma"/>
            <family val="2"/>
          </rPr>
          <t xml:space="preserve">
проверити збир!
</t>
        </r>
      </text>
    </comment>
    <comment ref="I8298" authorId="0" shapeId="0">
      <text>
        <r>
          <rPr>
            <b/>
            <sz val="9"/>
            <color indexed="81"/>
            <rFont val="Tahoma"/>
            <family val="2"/>
          </rPr>
          <t>LPA:</t>
        </r>
        <r>
          <rPr>
            <sz val="9"/>
            <color indexed="81"/>
            <rFont val="Tahoma"/>
            <family val="2"/>
          </rPr>
          <t xml:space="preserve">
проверити збир!
</t>
        </r>
      </text>
    </comment>
    <comment ref="I8299" authorId="0" shapeId="0">
      <text>
        <r>
          <rPr>
            <b/>
            <sz val="9"/>
            <color indexed="81"/>
            <rFont val="Tahoma"/>
            <family val="2"/>
          </rPr>
          <t>LPA:</t>
        </r>
        <r>
          <rPr>
            <sz val="9"/>
            <color indexed="81"/>
            <rFont val="Tahoma"/>
            <family val="2"/>
          </rPr>
          <t xml:space="preserve">
проверити збир!
</t>
        </r>
      </text>
    </comment>
    <comment ref="I8300" authorId="0" shapeId="0">
      <text>
        <r>
          <rPr>
            <b/>
            <sz val="9"/>
            <color indexed="81"/>
            <rFont val="Tahoma"/>
            <family val="2"/>
          </rPr>
          <t>LPA:</t>
        </r>
        <r>
          <rPr>
            <sz val="9"/>
            <color indexed="81"/>
            <rFont val="Tahoma"/>
            <family val="2"/>
          </rPr>
          <t xml:space="preserve">
проверити збир!
</t>
        </r>
      </text>
    </comment>
    <comment ref="I8301" authorId="0" shapeId="0">
      <text>
        <r>
          <rPr>
            <b/>
            <sz val="9"/>
            <color indexed="81"/>
            <rFont val="Tahoma"/>
            <family val="2"/>
          </rPr>
          <t>LPA:</t>
        </r>
        <r>
          <rPr>
            <sz val="9"/>
            <color indexed="81"/>
            <rFont val="Tahoma"/>
            <family val="2"/>
          </rPr>
          <t xml:space="preserve">
проверити збир!
</t>
        </r>
      </text>
    </comment>
    <comment ref="I8302" authorId="0" shapeId="0">
      <text>
        <r>
          <rPr>
            <b/>
            <sz val="9"/>
            <color indexed="81"/>
            <rFont val="Tahoma"/>
            <family val="2"/>
          </rPr>
          <t>LPA:</t>
        </r>
        <r>
          <rPr>
            <sz val="9"/>
            <color indexed="81"/>
            <rFont val="Tahoma"/>
            <family val="2"/>
          </rPr>
          <t xml:space="preserve">
проверити збир!
</t>
        </r>
      </text>
    </comment>
    <comment ref="I8303" authorId="0" shapeId="0">
      <text>
        <r>
          <rPr>
            <b/>
            <sz val="9"/>
            <color indexed="81"/>
            <rFont val="Tahoma"/>
            <family val="2"/>
          </rPr>
          <t>LPA:</t>
        </r>
        <r>
          <rPr>
            <sz val="9"/>
            <color indexed="81"/>
            <rFont val="Tahoma"/>
            <family val="2"/>
          </rPr>
          <t xml:space="preserve">
проверити збир!
</t>
        </r>
      </text>
    </comment>
    <comment ref="I8304" authorId="0" shapeId="0">
      <text>
        <r>
          <rPr>
            <b/>
            <sz val="9"/>
            <color indexed="81"/>
            <rFont val="Tahoma"/>
            <family val="2"/>
          </rPr>
          <t>LPA:</t>
        </r>
        <r>
          <rPr>
            <sz val="9"/>
            <color indexed="81"/>
            <rFont val="Tahoma"/>
            <family val="2"/>
          </rPr>
          <t xml:space="preserve">
проверити збир!
</t>
        </r>
      </text>
    </comment>
    <comment ref="I8373" authorId="0" shapeId="0">
      <text>
        <r>
          <rPr>
            <b/>
            <sz val="9"/>
            <color indexed="81"/>
            <rFont val="Tahoma"/>
            <family val="2"/>
          </rPr>
          <t>LPA:</t>
        </r>
        <r>
          <rPr>
            <sz val="9"/>
            <color indexed="81"/>
            <rFont val="Tahoma"/>
            <family val="2"/>
          </rPr>
          <t xml:space="preserve">
проверити збир!
</t>
        </r>
      </text>
    </comment>
    <comment ref="I8374" authorId="0" shapeId="0">
      <text>
        <r>
          <rPr>
            <b/>
            <sz val="9"/>
            <color indexed="81"/>
            <rFont val="Tahoma"/>
            <family val="2"/>
          </rPr>
          <t>LPA:</t>
        </r>
        <r>
          <rPr>
            <sz val="9"/>
            <color indexed="81"/>
            <rFont val="Tahoma"/>
            <family val="2"/>
          </rPr>
          <t xml:space="preserve">
проверити збир!
</t>
        </r>
      </text>
    </comment>
    <comment ref="I8375" authorId="0" shapeId="0">
      <text>
        <r>
          <rPr>
            <b/>
            <sz val="9"/>
            <color indexed="81"/>
            <rFont val="Tahoma"/>
            <family val="2"/>
          </rPr>
          <t>LPA:</t>
        </r>
        <r>
          <rPr>
            <sz val="9"/>
            <color indexed="81"/>
            <rFont val="Tahoma"/>
            <family val="2"/>
          </rPr>
          <t xml:space="preserve">
проверити збир!
</t>
        </r>
      </text>
    </comment>
    <comment ref="I8376" authorId="0" shapeId="0">
      <text>
        <r>
          <rPr>
            <b/>
            <sz val="9"/>
            <color indexed="81"/>
            <rFont val="Tahoma"/>
            <family val="2"/>
          </rPr>
          <t>LPA:</t>
        </r>
        <r>
          <rPr>
            <sz val="9"/>
            <color indexed="81"/>
            <rFont val="Tahoma"/>
            <family val="2"/>
          </rPr>
          <t xml:space="preserve">
проверити збир!
</t>
        </r>
      </text>
    </comment>
    <comment ref="I8377" authorId="0" shapeId="0">
      <text>
        <r>
          <rPr>
            <b/>
            <sz val="9"/>
            <color indexed="81"/>
            <rFont val="Tahoma"/>
            <family val="2"/>
          </rPr>
          <t>LPA:</t>
        </r>
        <r>
          <rPr>
            <sz val="9"/>
            <color indexed="81"/>
            <rFont val="Tahoma"/>
            <family val="2"/>
          </rPr>
          <t xml:space="preserve">
проверити збир!
</t>
        </r>
      </text>
    </comment>
    <comment ref="I8378" authorId="0" shapeId="0">
      <text>
        <r>
          <rPr>
            <b/>
            <sz val="9"/>
            <color indexed="81"/>
            <rFont val="Tahoma"/>
            <family val="2"/>
          </rPr>
          <t>LPA:</t>
        </r>
        <r>
          <rPr>
            <sz val="9"/>
            <color indexed="81"/>
            <rFont val="Tahoma"/>
            <family val="2"/>
          </rPr>
          <t xml:space="preserve">
проверити збир!
</t>
        </r>
      </text>
    </comment>
    <comment ref="I8379" authorId="0" shapeId="0">
      <text>
        <r>
          <rPr>
            <b/>
            <sz val="9"/>
            <color indexed="81"/>
            <rFont val="Tahoma"/>
            <family val="2"/>
          </rPr>
          <t>LPA:</t>
        </r>
        <r>
          <rPr>
            <sz val="9"/>
            <color indexed="81"/>
            <rFont val="Tahoma"/>
            <family val="2"/>
          </rPr>
          <t xml:space="preserve">
проверити збир!
</t>
        </r>
      </text>
    </comment>
    <comment ref="I8380" authorId="0" shapeId="0">
      <text>
        <r>
          <rPr>
            <b/>
            <sz val="9"/>
            <color indexed="81"/>
            <rFont val="Tahoma"/>
            <family val="2"/>
          </rPr>
          <t>LPA:</t>
        </r>
        <r>
          <rPr>
            <sz val="9"/>
            <color indexed="81"/>
            <rFont val="Tahoma"/>
            <family val="2"/>
          </rPr>
          <t xml:space="preserve">
проверити збир!
</t>
        </r>
      </text>
    </comment>
    <comment ref="I8381" authorId="0" shapeId="0">
      <text>
        <r>
          <rPr>
            <b/>
            <sz val="9"/>
            <color indexed="81"/>
            <rFont val="Tahoma"/>
            <family val="2"/>
          </rPr>
          <t>LPA:</t>
        </r>
        <r>
          <rPr>
            <sz val="9"/>
            <color indexed="81"/>
            <rFont val="Tahoma"/>
            <family val="2"/>
          </rPr>
          <t xml:space="preserve">
проверити збир!
</t>
        </r>
      </text>
    </comment>
    <comment ref="I8382" authorId="0" shapeId="0">
      <text>
        <r>
          <rPr>
            <b/>
            <sz val="9"/>
            <color indexed="81"/>
            <rFont val="Tahoma"/>
            <family val="2"/>
          </rPr>
          <t>LPA:</t>
        </r>
        <r>
          <rPr>
            <sz val="9"/>
            <color indexed="81"/>
            <rFont val="Tahoma"/>
            <family val="2"/>
          </rPr>
          <t xml:space="preserve">
проверити збир!
</t>
        </r>
      </text>
    </comment>
    <comment ref="I8383" authorId="0" shapeId="0">
      <text>
        <r>
          <rPr>
            <b/>
            <sz val="9"/>
            <color indexed="81"/>
            <rFont val="Tahoma"/>
            <family val="2"/>
          </rPr>
          <t>LPA:</t>
        </r>
        <r>
          <rPr>
            <sz val="9"/>
            <color indexed="81"/>
            <rFont val="Tahoma"/>
            <family val="2"/>
          </rPr>
          <t xml:space="preserve">
проверити збир!
</t>
        </r>
      </text>
    </comment>
    <comment ref="I8384" authorId="0" shapeId="0">
      <text>
        <r>
          <rPr>
            <b/>
            <sz val="9"/>
            <color indexed="81"/>
            <rFont val="Tahoma"/>
            <family val="2"/>
          </rPr>
          <t>LPA:</t>
        </r>
        <r>
          <rPr>
            <sz val="9"/>
            <color indexed="81"/>
            <rFont val="Tahoma"/>
            <family val="2"/>
          </rPr>
          <t xml:space="preserve">
проверити збир!
</t>
        </r>
      </text>
    </comment>
    <comment ref="I8385" authorId="0" shapeId="0">
      <text>
        <r>
          <rPr>
            <b/>
            <sz val="9"/>
            <color indexed="81"/>
            <rFont val="Tahoma"/>
            <family val="2"/>
          </rPr>
          <t>LPA:</t>
        </r>
        <r>
          <rPr>
            <sz val="9"/>
            <color indexed="81"/>
            <rFont val="Tahoma"/>
            <family val="2"/>
          </rPr>
          <t xml:space="preserve">
проверити збир!
</t>
        </r>
      </text>
    </comment>
    <comment ref="I8391" authorId="0" shapeId="0">
      <text>
        <r>
          <rPr>
            <b/>
            <sz val="9"/>
            <color indexed="81"/>
            <rFont val="Tahoma"/>
            <family val="2"/>
          </rPr>
          <t>LPA:</t>
        </r>
        <r>
          <rPr>
            <sz val="9"/>
            <color indexed="81"/>
            <rFont val="Tahoma"/>
            <family val="2"/>
          </rPr>
          <t xml:space="preserve">
проверити збир!
</t>
        </r>
      </text>
    </comment>
    <comment ref="I8392" authorId="0" shapeId="0">
      <text>
        <r>
          <rPr>
            <b/>
            <sz val="9"/>
            <color indexed="81"/>
            <rFont val="Tahoma"/>
            <family val="2"/>
          </rPr>
          <t>LPA:</t>
        </r>
        <r>
          <rPr>
            <sz val="9"/>
            <color indexed="81"/>
            <rFont val="Tahoma"/>
            <family val="2"/>
          </rPr>
          <t xml:space="preserve">
проверити збир!
</t>
        </r>
      </text>
    </comment>
    <comment ref="I8393" authorId="0" shapeId="0">
      <text>
        <r>
          <rPr>
            <b/>
            <sz val="9"/>
            <color indexed="81"/>
            <rFont val="Tahoma"/>
            <family val="2"/>
          </rPr>
          <t>LPA:</t>
        </r>
        <r>
          <rPr>
            <sz val="9"/>
            <color indexed="81"/>
            <rFont val="Tahoma"/>
            <family val="2"/>
          </rPr>
          <t xml:space="preserve">
проверити збир!
</t>
        </r>
      </text>
    </comment>
    <comment ref="I8394" authorId="0" shapeId="0">
      <text>
        <r>
          <rPr>
            <b/>
            <sz val="9"/>
            <color indexed="81"/>
            <rFont val="Tahoma"/>
            <family val="2"/>
          </rPr>
          <t>LPA:</t>
        </r>
        <r>
          <rPr>
            <sz val="9"/>
            <color indexed="81"/>
            <rFont val="Tahoma"/>
            <family val="2"/>
          </rPr>
          <t xml:space="preserve">
проверити збир!
</t>
        </r>
      </text>
    </comment>
    <comment ref="I8395" authorId="0" shapeId="0">
      <text>
        <r>
          <rPr>
            <b/>
            <sz val="9"/>
            <color indexed="81"/>
            <rFont val="Tahoma"/>
            <family val="2"/>
          </rPr>
          <t>LPA:</t>
        </r>
        <r>
          <rPr>
            <sz val="9"/>
            <color indexed="81"/>
            <rFont val="Tahoma"/>
            <family val="2"/>
          </rPr>
          <t xml:space="preserve">
проверити збир!
</t>
        </r>
      </text>
    </comment>
    <comment ref="I8396" authorId="0" shapeId="0">
      <text>
        <r>
          <rPr>
            <b/>
            <sz val="9"/>
            <color indexed="81"/>
            <rFont val="Tahoma"/>
            <family val="2"/>
          </rPr>
          <t>LPA:</t>
        </r>
        <r>
          <rPr>
            <sz val="9"/>
            <color indexed="81"/>
            <rFont val="Tahoma"/>
            <family val="2"/>
          </rPr>
          <t xml:space="preserve">
проверити збир!
</t>
        </r>
      </text>
    </comment>
    <comment ref="I8397" authorId="0" shapeId="0">
      <text>
        <r>
          <rPr>
            <b/>
            <sz val="9"/>
            <color indexed="81"/>
            <rFont val="Tahoma"/>
            <family val="2"/>
          </rPr>
          <t>LPA:</t>
        </r>
        <r>
          <rPr>
            <sz val="9"/>
            <color indexed="81"/>
            <rFont val="Tahoma"/>
            <family val="2"/>
          </rPr>
          <t xml:space="preserve">
проверити збир!
</t>
        </r>
      </text>
    </comment>
    <comment ref="I8398" authorId="0" shapeId="0">
      <text>
        <r>
          <rPr>
            <b/>
            <sz val="9"/>
            <color indexed="81"/>
            <rFont val="Tahoma"/>
            <family val="2"/>
          </rPr>
          <t>LPA:</t>
        </r>
        <r>
          <rPr>
            <sz val="9"/>
            <color indexed="81"/>
            <rFont val="Tahoma"/>
            <family val="2"/>
          </rPr>
          <t xml:space="preserve">
проверити збир!
</t>
        </r>
      </text>
    </comment>
    <comment ref="I8399" authorId="0" shapeId="0">
      <text>
        <r>
          <rPr>
            <b/>
            <sz val="9"/>
            <color indexed="81"/>
            <rFont val="Tahoma"/>
            <family val="2"/>
          </rPr>
          <t>LPA:</t>
        </r>
        <r>
          <rPr>
            <sz val="9"/>
            <color indexed="81"/>
            <rFont val="Tahoma"/>
            <family val="2"/>
          </rPr>
          <t xml:space="preserve">
проверити збир!
</t>
        </r>
      </text>
    </comment>
    <comment ref="I8400" authorId="0" shapeId="0">
      <text>
        <r>
          <rPr>
            <b/>
            <sz val="9"/>
            <color indexed="81"/>
            <rFont val="Tahoma"/>
            <family val="2"/>
          </rPr>
          <t>LPA:</t>
        </r>
        <r>
          <rPr>
            <sz val="9"/>
            <color indexed="81"/>
            <rFont val="Tahoma"/>
            <family val="2"/>
          </rPr>
          <t xml:space="preserve">
проверити збир!
</t>
        </r>
      </text>
    </comment>
    <comment ref="I8401" authorId="0" shapeId="0">
      <text>
        <r>
          <rPr>
            <b/>
            <sz val="9"/>
            <color indexed="81"/>
            <rFont val="Tahoma"/>
            <family val="2"/>
          </rPr>
          <t>LPA:</t>
        </r>
        <r>
          <rPr>
            <sz val="9"/>
            <color indexed="81"/>
            <rFont val="Tahoma"/>
            <family val="2"/>
          </rPr>
          <t xml:space="preserve">
проверити збир!
</t>
        </r>
      </text>
    </comment>
    <comment ref="I8402" authorId="0" shapeId="0">
      <text>
        <r>
          <rPr>
            <b/>
            <sz val="9"/>
            <color indexed="81"/>
            <rFont val="Tahoma"/>
            <family val="2"/>
          </rPr>
          <t>LPA:</t>
        </r>
        <r>
          <rPr>
            <sz val="9"/>
            <color indexed="81"/>
            <rFont val="Tahoma"/>
            <family val="2"/>
          </rPr>
          <t xml:space="preserve">
проверити збир!
</t>
        </r>
      </text>
    </comment>
    <comment ref="I8403" authorId="0" shapeId="0">
      <text>
        <r>
          <rPr>
            <b/>
            <sz val="9"/>
            <color indexed="81"/>
            <rFont val="Tahoma"/>
            <family val="2"/>
          </rPr>
          <t>LPA:</t>
        </r>
        <r>
          <rPr>
            <sz val="9"/>
            <color indexed="81"/>
            <rFont val="Tahoma"/>
            <family val="2"/>
          </rPr>
          <t xml:space="preserve">
проверити збир!
</t>
        </r>
      </text>
    </comment>
    <comment ref="I8472" authorId="0" shapeId="0">
      <text>
        <r>
          <rPr>
            <b/>
            <sz val="9"/>
            <color indexed="81"/>
            <rFont val="Tahoma"/>
            <family val="2"/>
          </rPr>
          <t>LPA:</t>
        </r>
        <r>
          <rPr>
            <sz val="9"/>
            <color indexed="81"/>
            <rFont val="Tahoma"/>
            <family val="2"/>
          </rPr>
          <t xml:space="preserve">
проверити збир!
</t>
        </r>
      </text>
    </comment>
    <comment ref="I8473" authorId="0" shapeId="0">
      <text>
        <r>
          <rPr>
            <b/>
            <sz val="9"/>
            <color indexed="81"/>
            <rFont val="Tahoma"/>
            <family val="2"/>
          </rPr>
          <t>LPA:</t>
        </r>
        <r>
          <rPr>
            <sz val="9"/>
            <color indexed="81"/>
            <rFont val="Tahoma"/>
            <family val="2"/>
          </rPr>
          <t xml:space="preserve">
проверити збир!
</t>
        </r>
      </text>
    </comment>
    <comment ref="I8474" authorId="0" shapeId="0">
      <text>
        <r>
          <rPr>
            <b/>
            <sz val="9"/>
            <color indexed="81"/>
            <rFont val="Tahoma"/>
            <family val="2"/>
          </rPr>
          <t>LPA:</t>
        </r>
        <r>
          <rPr>
            <sz val="9"/>
            <color indexed="81"/>
            <rFont val="Tahoma"/>
            <family val="2"/>
          </rPr>
          <t xml:space="preserve">
проверити збир!
</t>
        </r>
      </text>
    </comment>
    <comment ref="I8475" authorId="0" shapeId="0">
      <text>
        <r>
          <rPr>
            <b/>
            <sz val="9"/>
            <color indexed="81"/>
            <rFont val="Tahoma"/>
            <family val="2"/>
          </rPr>
          <t>LPA:</t>
        </r>
        <r>
          <rPr>
            <sz val="9"/>
            <color indexed="81"/>
            <rFont val="Tahoma"/>
            <family val="2"/>
          </rPr>
          <t xml:space="preserve">
проверити збир!
</t>
        </r>
      </text>
    </comment>
    <comment ref="I8476" authorId="0" shapeId="0">
      <text>
        <r>
          <rPr>
            <b/>
            <sz val="9"/>
            <color indexed="81"/>
            <rFont val="Tahoma"/>
            <family val="2"/>
          </rPr>
          <t>LPA:</t>
        </r>
        <r>
          <rPr>
            <sz val="9"/>
            <color indexed="81"/>
            <rFont val="Tahoma"/>
            <family val="2"/>
          </rPr>
          <t xml:space="preserve">
проверити збир!
</t>
        </r>
      </text>
    </comment>
    <comment ref="I8477" authorId="0" shapeId="0">
      <text>
        <r>
          <rPr>
            <b/>
            <sz val="9"/>
            <color indexed="81"/>
            <rFont val="Tahoma"/>
            <family val="2"/>
          </rPr>
          <t>LPA:</t>
        </r>
        <r>
          <rPr>
            <sz val="9"/>
            <color indexed="81"/>
            <rFont val="Tahoma"/>
            <family val="2"/>
          </rPr>
          <t xml:space="preserve">
проверити збир!
</t>
        </r>
      </text>
    </comment>
    <comment ref="I8478" authorId="0" shapeId="0">
      <text>
        <r>
          <rPr>
            <b/>
            <sz val="9"/>
            <color indexed="81"/>
            <rFont val="Tahoma"/>
            <family val="2"/>
          </rPr>
          <t>LPA:</t>
        </r>
        <r>
          <rPr>
            <sz val="9"/>
            <color indexed="81"/>
            <rFont val="Tahoma"/>
            <family val="2"/>
          </rPr>
          <t xml:space="preserve">
проверити збир!
</t>
        </r>
      </text>
    </comment>
    <comment ref="I8479" authorId="0" shapeId="0">
      <text>
        <r>
          <rPr>
            <b/>
            <sz val="9"/>
            <color indexed="81"/>
            <rFont val="Tahoma"/>
            <family val="2"/>
          </rPr>
          <t>LPA:</t>
        </r>
        <r>
          <rPr>
            <sz val="9"/>
            <color indexed="81"/>
            <rFont val="Tahoma"/>
            <family val="2"/>
          </rPr>
          <t xml:space="preserve">
проверити збир!
</t>
        </r>
      </text>
    </comment>
    <comment ref="I8480" authorId="0" shapeId="0">
      <text>
        <r>
          <rPr>
            <b/>
            <sz val="9"/>
            <color indexed="81"/>
            <rFont val="Tahoma"/>
            <family val="2"/>
          </rPr>
          <t>LPA:</t>
        </r>
        <r>
          <rPr>
            <sz val="9"/>
            <color indexed="81"/>
            <rFont val="Tahoma"/>
            <family val="2"/>
          </rPr>
          <t xml:space="preserve">
проверити збир!
</t>
        </r>
      </text>
    </comment>
    <comment ref="I8481" authorId="0" shapeId="0">
      <text>
        <r>
          <rPr>
            <b/>
            <sz val="9"/>
            <color indexed="81"/>
            <rFont val="Tahoma"/>
            <family val="2"/>
          </rPr>
          <t>LPA:</t>
        </r>
        <r>
          <rPr>
            <sz val="9"/>
            <color indexed="81"/>
            <rFont val="Tahoma"/>
            <family val="2"/>
          </rPr>
          <t xml:space="preserve">
проверити збир!
</t>
        </r>
      </text>
    </comment>
    <comment ref="I8482" authorId="0" shapeId="0">
      <text>
        <r>
          <rPr>
            <b/>
            <sz val="9"/>
            <color indexed="81"/>
            <rFont val="Tahoma"/>
            <family val="2"/>
          </rPr>
          <t>LPA:</t>
        </r>
        <r>
          <rPr>
            <sz val="9"/>
            <color indexed="81"/>
            <rFont val="Tahoma"/>
            <family val="2"/>
          </rPr>
          <t xml:space="preserve">
проверити збир!
</t>
        </r>
      </text>
    </comment>
    <comment ref="I8483" authorId="0" shapeId="0">
      <text>
        <r>
          <rPr>
            <b/>
            <sz val="9"/>
            <color indexed="81"/>
            <rFont val="Tahoma"/>
            <family val="2"/>
          </rPr>
          <t>LPA:</t>
        </r>
        <r>
          <rPr>
            <sz val="9"/>
            <color indexed="81"/>
            <rFont val="Tahoma"/>
            <family val="2"/>
          </rPr>
          <t xml:space="preserve">
проверити збир!
</t>
        </r>
      </text>
    </comment>
    <comment ref="I8484" authorId="0" shapeId="0">
      <text>
        <r>
          <rPr>
            <b/>
            <sz val="9"/>
            <color indexed="81"/>
            <rFont val="Tahoma"/>
            <family val="2"/>
          </rPr>
          <t>LPA:</t>
        </r>
        <r>
          <rPr>
            <sz val="9"/>
            <color indexed="81"/>
            <rFont val="Tahoma"/>
            <family val="2"/>
          </rPr>
          <t xml:space="preserve">
проверити збир!
</t>
        </r>
      </text>
    </comment>
    <comment ref="I8490" authorId="0" shapeId="0">
      <text>
        <r>
          <rPr>
            <b/>
            <sz val="9"/>
            <color indexed="81"/>
            <rFont val="Tahoma"/>
            <family val="2"/>
          </rPr>
          <t>LPA:</t>
        </r>
        <r>
          <rPr>
            <sz val="9"/>
            <color indexed="81"/>
            <rFont val="Tahoma"/>
            <family val="2"/>
          </rPr>
          <t xml:space="preserve">
проверити збир!
</t>
        </r>
      </text>
    </comment>
    <comment ref="I8491" authorId="0" shapeId="0">
      <text>
        <r>
          <rPr>
            <b/>
            <sz val="9"/>
            <color indexed="81"/>
            <rFont val="Tahoma"/>
            <family val="2"/>
          </rPr>
          <t>LPA:</t>
        </r>
        <r>
          <rPr>
            <sz val="9"/>
            <color indexed="81"/>
            <rFont val="Tahoma"/>
            <family val="2"/>
          </rPr>
          <t xml:space="preserve">
проверити збир!
</t>
        </r>
      </text>
    </comment>
    <comment ref="I8492" authorId="0" shapeId="0">
      <text>
        <r>
          <rPr>
            <b/>
            <sz val="9"/>
            <color indexed="81"/>
            <rFont val="Tahoma"/>
            <family val="2"/>
          </rPr>
          <t>LPA:</t>
        </r>
        <r>
          <rPr>
            <sz val="9"/>
            <color indexed="81"/>
            <rFont val="Tahoma"/>
            <family val="2"/>
          </rPr>
          <t xml:space="preserve">
проверити збир!
</t>
        </r>
      </text>
    </comment>
    <comment ref="I8493" authorId="0" shapeId="0">
      <text>
        <r>
          <rPr>
            <b/>
            <sz val="9"/>
            <color indexed="81"/>
            <rFont val="Tahoma"/>
            <family val="2"/>
          </rPr>
          <t>LPA:</t>
        </r>
        <r>
          <rPr>
            <sz val="9"/>
            <color indexed="81"/>
            <rFont val="Tahoma"/>
            <family val="2"/>
          </rPr>
          <t xml:space="preserve">
проверити збир!
</t>
        </r>
      </text>
    </comment>
    <comment ref="I8494" authorId="0" shapeId="0">
      <text>
        <r>
          <rPr>
            <b/>
            <sz val="9"/>
            <color indexed="81"/>
            <rFont val="Tahoma"/>
            <family val="2"/>
          </rPr>
          <t>LPA:</t>
        </r>
        <r>
          <rPr>
            <sz val="9"/>
            <color indexed="81"/>
            <rFont val="Tahoma"/>
            <family val="2"/>
          </rPr>
          <t xml:space="preserve">
проверити збир!
</t>
        </r>
      </text>
    </comment>
    <comment ref="I8495" authorId="0" shapeId="0">
      <text>
        <r>
          <rPr>
            <b/>
            <sz val="9"/>
            <color indexed="81"/>
            <rFont val="Tahoma"/>
            <family val="2"/>
          </rPr>
          <t>LPA:</t>
        </r>
        <r>
          <rPr>
            <sz val="9"/>
            <color indexed="81"/>
            <rFont val="Tahoma"/>
            <family val="2"/>
          </rPr>
          <t xml:space="preserve">
проверити збир!
</t>
        </r>
      </text>
    </comment>
    <comment ref="I8496" authorId="0" shapeId="0">
      <text>
        <r>
          <rPr>
            <b/>
            <sz val="9"/>
            <color indexed="81"/>
            <rFont val="Tahoma"/>
            <family val="2"/>
          </rPr>
          <t>LPA:</t>
        </r>
        <r>
          <rPr>
            <sz val="9"/>
            <color indexed="81"/>
            <rFont val="Tahoma"/>
            <family val="2"/>
          </rPr>
          <t xml:space="preserve">
проверити збир!
</t>
        </r>
      </text>
    </comment>
    <comment ref="I8497" authorId="0" shapeId="0">
      <text>
        <r>
          <rPr>
            <b/>
            <sz val="9"/>
            <color indexed="81"/>
            <rFont val="Tahoma"/>
            <family val="2"/>
          </rPr>
          <t>LPA:</t>
        </r>
        <r>
          <rPr>
            <sz val="9"/>
            <color indexed="81"/>
            <rFont val="Tahoma"/>
            <family val="2"/>
          </rPr>
          <t xml:space="preserve">
проверити збир!
</t>
        </r>
      </text>
    </comment>
    <comment ref="I8498" authorId="0" shapeId="0">
      <text>
        <r>
          <rPr>
            <b/>
            <sz val="9"/>
            <color indexed="81"/>
            <rFont val="Tahoma"/>
            <family val="2"/>
          </rPr>
          <t>LPA:</t>
        </r>
        <r>
          <rPr>
            <sz val="9"/>
            <color indexed="81"/>
            <rFont val="Tahoma"/>
            <family val="2"/>
          </rPr>
          <t xml:space="preserve">
проверити збир!
</t>
        </r>
      </text>
    </comment>
    <comment ref="I8499" authorId="0" shapeId="0">
      <text>
        <r>
          <rPr>
            <b/>
            <sz val="9"/>
            <color indexed="81"/>
            <rFont val="Tahoma"/>
            <family val="2"/>
          </rPr>
          <t>LPA:</t>
        </r>
        <r>
          <rPr>
            <sz val="9"/>
            <color indexed="81"/>
            <rFont val="Tahoma"/>
            <family val="2"/>
          </rPr>
          <t xml:space="preserve">
проверити збир!
</t>
        </r>
      </text>
    </comment>
    <comment ref="I8500" authorId="0" shapeId="0">
      <text>
        <r>
          <rPr>
            <b/>
            <sz val="9"/>
            <color indexed="81"/>
            <rFont val="Tahoma"/>
            <family val="2"/>
          </rPr>
          <t>LPA:</t>
        </r>
        <r>
          <rPr>
            <sz val="9"/>
            <color indexed="81"/>
            <rFont val="Tahoma"/>
            <family val="2"/>
          </rPr>
          <t xml:space="preserve">
проверити збир!
</t>
        </r>
      </text>
    </comment>
    <comment ref="I8501" authorId="0" shapeId="0">
      <text>
        <r>
          <rPr>
            <b/>
            <sz val="9"/>
            <color indexed="81"/>
            <rFont val="Tahoma"/>
            <family val="2"/>
          </rPr>
          <t>LPA:</t>
        </r>
        <r>
          <rPr>
            <sz val="9"/>
            <color indexed="81"/>
            <rFont val="Tahoma"/>
            <family val="2"/>
          </rPr>
          <t xml:space="preserve">
проверити збир!
</t>
        </r>
      </text>
    </comment>
    <comment ref="I8502" authorId="0" shapeId="0">
      <text>
        <r>
          <rPr>
            <b/>
            <sz val="9"/>
            <color indexed="81"/>
            <rFont val="Tahoma"/>
            <family val="2"/>
          </rPr>
          <t>LPA:</t>
        </r>
        <r>
          <rPr>
            <sz val="9"/>
            <color indexed="81"/>
            <rFont val="Tahoma"/>
            <family val="2"/>
          </rPr>
          <t xml:space="preserve">
проверити збир!
</t>
        </r>
      </text>
    </comment>
    <comment ref="I8571" authorId="0" shapeId="0">
      <text>
        <r>
          <rPr>
            <b/>
            <sz val="9"/>
            <color indexed="81"/>
            <rFont val="Tahoma"/>
            <family val="2"/>
          </rPr>
          <t>LPA:</t>
        </r>
        <r>
          <rPr>
            <sz val="9"/>
            <color indexed="81"/>
            <rFont val="Tahoma"/>
            <family val="2"/>
          </rPr>
          <t xml:space="preserve">
проверити збир!
</t>
        </r>
      </text>
    </comment>
    <comment ref="I8572" authorId="0" shapeId="0">
      <text>
        <r>
          <rPr>
            <b/>
            <sz val="9"/>
            <color indexed="81"/>
            <rFont val="Tahoma"/>
            <family val="2"/>
          </rPr>
          <t>LPA:</t>
        </r>
        <r>
          <rPr>
            <sz val="9"/>
            <color indexed="81"/>
            <rFont val="Tahoma"/>
            <family val="2"/>
          </rPr>
          <t xml:space="preserve">
проверити збир!
</t>
        </r>
      </text>
    </comment>
    <comment ref="I8573" authorId="0" shapeId="0">
      <text>
        <r>
          <rPr>
            <b/>
            <sz val="9"/>
            <color indexed="81"/>
            <rFont val="Tahoma"/>
            <family val="2"/>
          </rPr>
          <t>LPA:</t>
        </r>
        <r>
          <rPr>
            <sz val="9"/>
            <color indexed="81"/>
            <rFont val="Tahoma"/>
            <family val="2"/>
          </rPr>
          <t xml:space="preserve">
проверити збир!
</t>
        </r>
      </text>
    </comment>
    <comment ref="I8574" authorId="0" shapeId="0">
      <text>
        <r>
          <rPr>
            <b/>
            <sz val="9"/>
            <color indexed="81"/>
            <rFont val="Tahoma"/>
            <family val="2"/>
          </rPr>
          <t>LPA:</t>
        </r>
        <r>
          <rPr>
            <sz val="9"/>
            <color indexed="81"/>
            <rFont val="Tahoma"/>
            <family val="2"/>
          </rPr>
          <t xml:space="preserve">
проверити збир!
</t>
        </r>
      </text>
    </comment>
    <comment ref="I8575" authorId="0" shapeId="0">
      <text>
        <r>
          <rPr>
            <b/>
            <sz val="9"/>
            <color indexed="81"/>
            <rFont val="Tahoma"/>
            <family val="2"/>
          </rPr>
          <t>LPA:</t>
        </r>
        <r>
          <rPr>
            <sz val="9"/>
            <color indexed="81"/>
            <rFont val="Tahoma"/>
            <family val="2"/>
          </rPr>
          <t xml:space="preserve">
проверити збир!
</t>
        </r>
      </text>
    </comment>
    <comment ref="I8576" authorId="0" shapeId="0">
      <text>
        <r>
          <rPr>
            <b/>
            <sz val="9"/>
            <color indexed="81"/>
            <rFont val="Tahoma"/>
            <family val="2"/>
          </rPr>
          <t>LPA:</t>
        </r>
        <r>
          <rPr>
            <sz val="9"/>
            <color indexed="81"/>
            <rFont val="Tahoma"/>
            <family val="2"/>
          </rPr>
          <t xml:space="preserve">
проверити збир!
</t>
        </r>
      </text>
    </comment>
    <comment ref="I8577" authorId="0" shapeId="0">
      <text>
        <r>
          <rPr>
            <b/>
            <sz val="9"/>
            <color indexed="81"/>
            <rFont val="Tahoma"/>
            <family val="2"/>
          </rPr>
          <t>LPA:</t>
        </r>
        <r>
          <rPr>
            <sz val="9"/>
            <color indexed="81"/>
            <rFont val="Tahoma"/>
            <family val="2"/>
          </rPr>
          <t xml:space="preserve">
проверити збир!
</t>
        </r>
      </text>
    </comment>
    <comment ref="I8578" authorId="0" shapeId="0">
      <text>
        <r>
          <rPr>
            <b/>
            <sz val="9"/>
            <color indexed="81"/>
            <rFont val="Tahoma"/>
            <family val="2"/>
          </rPr>
          <t>LPA:</t>
        </r>
        <r>
          <rPr>
            <sz val="9"/>
            <color indexed="81"/>
            <rFont val="Tahoma"/>
            <family val="2"/>
          </rPr>
          <t xml:space="preserve">
проверити збир!
</t>
        </r>
      </text>
    </comment>
    <comment ref="I8579" authorId="0" shapeId="0">
      <text>
        <r>
          <rPr>
            <b/>
            <sz val="9"/>
            <color indexed="81"/>
            <rFont val="Tahoma"/>
            <family val="2"/>
          </rPr>
          <t>LPA:</t>
        </r>
        <r>
          <rPr>
            <sz val="9"/>
            <color indexed="81"/>
            <rFont val="Tahoma"/>
            <family val="2"/>
          </rPr>
          <t xml:space="preserve">
проверити збир!
</t>
        </r>
      </text>
    </comment>
    <comment ref="I8580" authorId="0" shapeId="0">
      <text>
        <r>
          <rPr>
            <b/>
            <sz val="9"/>
            <color indexed="81"/>
            <rFont val="Tahoma"/>
            <family val="2"/>
          </rPr>
          <t>LPA:</t>
        </r>
        <r>
          <rPr>
            <sz val="9"/>
            <color indexed="81"/>
            <rFont val="Tahoma"/>
            <family val="2"/>
          </rPr>
          <t xml:space="preserve">
проверити збир!
</t>
        </r>
      </text>
    </comment>
    <comment ref="I8581" authorId="0" shapeId="0">
      <text>
        <r>
          <rPr>
            <b/>
            <sz val="9"/>
            <color indexed="81"/>
            <rFont val="Tahoma"/>
            <family val="2"/>
          </rPr>
          <t>LPA:</t>
        </r>
        <r>
          <rPr>
            <sz val="9"/>
            <color indexed="81"/>
            <rFont val="Tahoma"/>
            <family val="2"/>
          </rPr>
          <t xml:space="preserve">
проверити збир!
</t>
        </r>
      </text>
    </comment>
    <comment ref="I8582" authorId="0" shapeId="0">
      <text>
        <r>
          <rPr>
            <b/>
            <sz val="9"/>
            <color indexed="81"/>
            <rFont val="Tahoma"/>
            <family val="2"/>
          </rPr>
          <t>LPA:</t>
        </r>
        <r>
          <rPr>
            <sz val="9"/>
            <color indexed="81"/>
            <rFont val="Tahoma"/>
            <family val="2"/>
          </rPr>
          <t xml:space="preserve">
проверити збир!
</t>
        </r>
      </text>
    </comment>
    <comment ref="I8583" authorId="0" shapeId="0">
      <text>
        <r>
          <rPr>
            <b/>
            <sz val="9"/>
            <color indexed="81"/>
            <rFont val="Tahoma"/>
            <family val="2"/>
          </rPr>
          <t>LPA:</t>
        </r>
        <r>
          <rPr>
            <sz val="9"/>
            <color indexed="81"/>
            <rFont val="Tahoma"/>
            <family val="2"/>
          </rPr>
          <t xml:space="preserve">
проверити збир!
</t>
        </r>
      </text>
    </comment>
    <comment ref="I8589" authorId="0" shapeId="0">
      <text>
        <r>
          <rPr>
            <b/>
            <sz val="9"/>
            <color indexed="81"/>
            <rFont val="Tahoma"/>
            <family val="2"/>
          </rPr>
          <t>LPA:</t>
        </r>
        <r>
          <rPr>
            <sz val="9"/>
            <color indexed="81"/>
            <rFont val="Tahoma"/>
            <family val="2"/>
          </rPr>
          <t xml:space="preserve">
проверити збир!
</t>
        </r>
      </text>
    </comment>
    <comment ref="I8590" authorId="0" shapeId="0">
      <text>
        <r>
          <rPr>
            <b/>
            <sz val="9"/>
            <color indexed="81"/>
            <rFont val="Tahoma"/>
            <family val="2"/>
          </rPr>
          <t>LPA:</t>
        </r>
        <r>
          <rPr>
            <sz val="9"/>
            <color indexed="81"/>
            <rFont val="Tahoma"/>
            <family val="2"/>
          </rPr>
          <t xml:space="preserve">
проверити збир!
</t>
        </r>
      </text>
    </comment>
    <comment ref="I8591" authorId="0" shapeId="0">
      <text>
        <r>
          <rPr>
            <b/>
            <sz val="9"/>
            <color indexed="81"/>
            <rFont val="Tahoma"/>
            <family val="2"/>
          </rPr>
          <t>LPA:</t>
        </r>
        <r>
          <rPr>
            <sz val="9"/>
            <color indexed="81"/>
            <rFont val="Tahoma"/>
            <family val="2"/>
          </rPr>
          <t xml:space="preserve">
проверити збир!
</t>
        </r>
      </text>
    </comment>
    <comment ref="I8592" authorId="0" shapeId="0">
      <text>
        <r>
          <rPr>
            <b/>
            <sz val="9"/>
            <color indexed="81"/>
            <rFont val="Tahoma"/>
            <family val="2"/>
          </rPr>
          <t>LPA:</t>
        </r>
        <r>
          <rPr>
            <sz val="9"/>
            <color indexed="81"/>
            <rFont val="Tahoma"/>
            <family val="2"/>
          </rPr>
          <t xml:space="preserve">
проверити збир!
</t>
        </r>
      </text>
    </comment>
    <comment ref="I8593" authorId="0" shapeId="0">
      <text>
        <r>
          <rPr>
            <b/>
            <sz val="9"/>
            <color indexed="81"/>
            <rFont val="Tahoma"/>
            <family val="2"/>
          </rPr>
          <t>LPA:</t>
        </r>
        <r>
          <rPr>
            <sz val="9"/>
            <color indexed="81"/>
            <rFont val="Tahoma"/>
            <family val="2"/>
          </rPr>
          <t xml:space="preserve">
проверити збир!
</t>
        </r>
      </text>
    </comment>
    <comment ref="I8594" authorId="0" shapeId="0">
      <text>
        <r>
          <rPr>
            <b/>
            <sz val="9"/>
            <color indexed="81"/>
            <rFont val="Tahoma"/>
            <family val="2"/>
          </rPr>
          <t>LPA:</t>
        </r>
        <r>
          <rPr>
            <sz val="9"/>
            <color indexed="81"/>
            <rFont val="Tahoma"/>
            <family val="2"/>
          </rPr>
          <t xml:space="preserve">
проверити збир!
</t>
        </r>
      </text>
    </comment>
    <comment ref="I8595" authorId="0" shapeId="0">
      <text>
        <r>
          <rPr>
            <b/>
            <sz val="9"/>
            <color indexed="81"/>
            <rFont val="Tahoma"/>
            <family val="2"/>
          </rPr>
          <t>LPA:</t>
        </r>
        <r>
          <rPr>
            <sz val="9"/>
            <color indexed="81"/>
            <rFont val="Tahoma"/>
            <family val="2"/>
          </rPr>
          <t xml:space="preserve">
проверити збир!
</t>
        </r>
      </text>
    </comment>
    <comment ref="I8596" authorId="0" shapeId="0">
      <text>
        <r>
          <rPr>
            <b/>
            <sz val="9"/>
            <color indexed="81"/>
            <rFont val="Tahoma"/>
            <family val="2"/>
          </rPr>
          <t>LPA:</t>
        </r>
        <r>
          <rPr>
            <sz val="9"/>
            <color indexed="81"/>
            <rFont val="Tahoma"/>
            <family val="2"/>
          </rPr>
          <t xml:space="preserve">
проверити збир!
</t>
        </r>
      </text>
    </comment>
    <comment ref="I8597" authorId="0" shapeId="0">
      <text>
        <r>
          <rPr>
            <b/>
            <sz val="9"/>
            <color indexed="81"/>
            <rFont val="Tahoma"/>
            <family val="2"/>
          </rPr>
          <t>LPA:</t>
        </r>
        <r>
          <rPr>
            <sz val="9"/>
            <color indexed="81"/>
            <rFont val="Tahoma"/>
            <family val="2"/>
          </rPr>
          <t xml:space="preserve">
проверити збир!
</t>
        </r>
      </text>
    </comment>
    <comment ref="I8598" authorId="0" shapeId="0">
      <text>
        <r>
          <rPr>
            <b/>
            <sz val="9"/>
            <color indexed="81"/>
            <rFont val="Tahoma"/>
            <family val="2"/>
          </rPr>
          <t>LPA:</t>
        </r>
        <r>
          <rPr>
            <sz val="9"/>
            <color indexed="81"/>
            <rFont val="Tahoma"/>
            <family val="2"/>
          </rPr>
          <t xml:space="preserve">
проверити збир!
</t>
        </r>
      </text>
    </comment>
    <comment ref="I8599" authorId="0" shapeId="0">
      <text>
        <r>
          <rPr>
            <b/>
            <sz val="9"/>
            <color indexed="81"/>
            <rFont val="Tahoma"/>
            <family val="2"/>
          </rPr>
          <t>LPA:</t>
        </r>
        <r>
          <rPr>
            <sz val="9"/>
            <color indexed="81"/>
            <rFont val="Tahoma"/>
            <family val="2"/>
          </rPr>
          <t xml:space="preserve">
проверити збир!
</t>
        </r>
      </text>
    </comment>
    <comment ref="I8600" authorId="0" shapeId="0">
      <text>
        <r>
          <rPr>
            <b/>
            <sz val="9"/>
            <color indexed="81"/>
            <rFont val="Tahoma"/>
            <family val="2"/>
          </rPr>
          <t>LPA:</t>
        </r>
        <r>
          <rPr>
            <sz val="9"/>
            <color indexed="81"/>
            <rFont val="Tahoma"/>
            <family val="2"/>
          </rPr>
          <t xml:space="preserve">
проверити збир!
</t>
        </r>
      </text>
    </comment>
    <comment ref="I8601" authorId="0" shapeId="0">
      <text>
        <r>
          <rPr>
            <b/>
            <sz val="9"/>
            <color indexed="81"/>
            <rFont val="Tahoma"/>
            <family val="2"/>
          </rPr>
          <t>LPA:</t>
        </r>
        <r>
          <rPr>
            <sz val="9"/>
            <color indexed="81"/>
            <rFont val="Tahoma"/>
            <family val="2"/>
          </rPr>
          <t xml:space="preserve">
проверити збир!
</t>
        </r>
      </text>
    </comment>
    <comment ref="I8670" authorId="0" shapeId="0">
      <text>
        <r>
          <rPr>
            <b/>
            <sz val="9"/>
            <color indexed="81"/>
            <rFont val="Tahoma"/>
            <family val="2"/>
          </rPr>
          <t>LPA:</t>
        </r>
        <r>
          <rPr>
            <sz val="9"/>
            <color indexed="81"/>
            <rFont val="Tahoma"/>
            <family val="2"/>
          </rPr>
          <t xml:space="preserve">
проверити збир!
</t>
        </r>
      </text>
    </comment>
    <comment ref="I8671" authorId="0" shapeId="0">
      <text>
        <r>
          <rPr>
            <b/>
            <sz val="9"/>
            <color indexed="81"/>
            <rFont val="Tahoma"/>
            <family val="2"/>
          </rPr>
          <t>LPA:</t>
        </r>
        <r>
          <rPr>
            <sz val="9"/>
            <color indexed="81"/>
            <rFont val="Tahoma"/>
            <family val="2"/>
          </rPr>
          <t xml:space="preserve">
проверити збир!
</t>
        </r>
      </text>
    </comment>
    <comment ref="I8672" authorId="0" shapeId="0">
      <text>
        <r>
          <rPr>
            <b/>
            <sz val="9"/>
            <color indexed="81"/>
            <rFont val="Tahoma"/>
            <family val="2"/>
          </rPr>
          <t>LPA:</t>
        </r>
        <r>
          <rPr>
            <sz val="9"/>
            <color indexed="81"/>
            <rFont val="Tahoma"/>
            <family val="2"/>
          </rPr>
          <t xml:space="preserve">
проверити збир!
</t>
        </r>
      </text>
    </comment>
    <comment ref="I8673" authorId="0" shapeId="0">
      <text>
        <r>
          <rPr>
            <b/>
            <sz val="9"/>
            <color indexed="81"/>
            <rFont val="Tahoma"/>
            <family val="2"/>
          </rPr>
          <t>LPA:</t>
        </r>
        <r>
          <rPr>
            <sz val="9"/>
            <color indexed="81"/>
            <rFont val="Tahoma"/>
            <family val="2"/>
          </rPr>
          <t xml:space="preserve">
проверити збир!
</t>
        </r>
      </text>
    </comment>
    <comment ref="I8674" authorId="0" shapeId="0">
      <text>
        <r>
          <rPr>
            <b/>
            <sz val="9"/>
            <color indexed="81"/>
            <rFont val="Tahoma"/>
            <family val="2"/>
          </rPr>
          <t>LPA:</t>
        </r>
        <r>
          <rPr>
            <sz val="9"/>
            <color indexed="81"/>
            <rFont val="Tahoma"/>
            <family val="2"/>
          </rPr>
          <t xml:space="preserve">
проверити збир!
</t>
        </r>
      </text>
    </comment>
    <comment ref="I8675" authorId="0" shapeId="0">
      <text>
        <r>
          <rPr>
            <b/>
            <sz val="9"/>
            <color indexed="81"/>
            <rFont val="Tahoma"/>
            <family val="2"/>
          </rPr>
          <t>LPA:</t>
        </r>
        <r>
          <rPr>
            <sz val="9"/>
            <color indexed="81"/>
            <rFont val="Tahoma"/>
            <family val="2"/>
          </rPr>
          <t xml:space="preserve">
проверити збир!
</t>
        </r>
      </text>
    </comment>
    <comment ref="I8676" authorId="0" shapeId="0">
      <text>
        <r>
          <rPr>
            <b/>
            <sz val="9"/>
            <color indexed="81"/>
            <rFont val="Tahoma"/>
            <family val="2"/>
          </rPr>
          <t>LPA:</t>
        </r>
        <r>
          <rPr>
            <sz val="9"/>
            <color indexed="81"/>
            <rFont val="Tahoma"/>
            <family val="2"/>
          </rPr>
          <t xml:space="preserve">
проверити збир!
</t>
        </r>
      </text>
    </comment>
    <comment ref="I8677" authorId="0" shapeId="0">
      <text>
        <r>
          <rPr>
            <b/>
            <sz val="9"/>
            <color indexed="81"/>
            <rFont val="Tahoma"/>
            <family val="2"/>
          </rPr>
          <t>LPA:</t>
        </r>
        <r>
          <rPr>
            <sz val="9"/>
            <color indexed="81"/>
            <rFont val="Tahoma"/>
            <family val="2"/>
          </rPr>
          <t xml:space="preserve">
проверити збир!
</t>
        </r>
      </text>
    </comment>
    <comment ref="I8678" authorId="0" shapeId="0">
      <text>
        <r>
          <rPr>
            <b/>
            <sz val="9"/>
            <color indexed="81"/>
            <rFont val="Tahoma"/>
            <family val="2"/>
          </rPr>
          <t>LPA:</t>
        </r>
        <r>
          <rPr>
            <sz val="9"/>
            <color indexed="81"/>
            <rFont val="Tahoma"/>
            <family val="2"/>
          </rPr>
          <t xml:space="preserve">
проверити збир!
</t>
        </r>
      </text>
    </comment>
    <comment ref="I8679" authorId="0" shapeId="0">
      <text>
        <r>
          <rPr>
            <b/>
            <sz val="9"/>
            <color indexed="81"/>
            <rFont val="Tahoma"/>
            <family val="2"/>
          </rPr>
          <t>LPA:</t>
        </r>
        <r>
          <rPr>
            <sz val="9"/>
            <color indexed="81"/>
            <rFont val="Tahoma"/>
            <family val="2"/>
          </rPr>
          <t xml:space="preserve">
проверити збир!
</t>
        </r>
      </text>
    </comment>
    <comment ref="I8680" authorId="0" shapeId="0">
      <text>
        <r>
          <rPr>
            <b/>
            <sz val="9"/>
            <color indexed="81"/>
            <rFont val="Tahoma"/>
            <family val="2"/>
          </rPr>
          <t>LPA:</t>
        </r>
        <r>
          <rPr>
            <sz val="9"/>
            <color indexed="81"/>
            <rFont val="Tahoma"/>
            <family val="2"/>
          </rPr>
          <t xml:space="preserve">
проверити збир!
</t>
        </r>
      </text>
    </comment>
    <comment ref="I8681" authorId="0" shapeId="0">
      <text>
        <r>
          <rPr>
            <b/>
            <sz val="9"/>
            <color indexed="81"/>
            <rFont val="Tahoma"/>
            <family val="2"/>
          </rPr>
          <t>LPA:</t>
        </r>
        <r>
          <rPr>
            <sz val="9"/>
            <color indexed="81"/>
            <rFont val="Tahoma"/>
            <family val="2"/>
          </rPr>
          <t xml:space="preserve">
проверити збир!
</t>
        </r>
      </text>
    </comment>
    <comment ref="I8682" authorId="0" shapeId="0">
      <text>
        <r>
          <rPr>
            <b/>
            <sz val="9"/>
            <color indexed="81"/>
            <rFont val="Tahoma"/>
            <family val="2"/>
          </rPr>
          <t>LPA:</t>
        </r>
        <r>
          <rPr>
            <sz val="9"/>
            <color indexed="81"/>
            <rFont val="Tahoma"/>
            <family val="2"/>
          </rPr>
          <t xml:space="preserve">
проверити збир!
</t>
        </r>
      </text>
    </comment>
    <comment ref="I8688" authorId="0" shapeId="0">
      <text>
        <r>
          <rPr>
            <b/>
            <sz val="9"/>
            <color indexed="81"/>
            <rFont val="Tahoma"/>
            <family val="2"/>
          </rPr>
          <t>LPA:</t>
        </r>
        <r>
          <rPr>
            <sz val="9"/>
            <color indexed="81"/>
            <rFont val="Tahoma"/>
            <family val="2"/>
          </rPr>
          <t xml:space="preserve">
проверити збир!
</t>
        </r>
      </text>
    </comment>
    <comment ref="I8689" authorId="0" shapeId="0">
      <text>
        <r>
          <rPr>
            <b/>
            <sz val="9"/>
            <color indexed="81"/>
            <rFont val="Tahoma"/>
            <family val="2"/>
          </rPr>
          <t>LPA:</t>
        </r>
        <r>
          <rPr>
            <sz val="9"/>
            <color indexed="81"/>
            <rFont val="Tahoma"/>
            <family val="2"/>
          </rPr>
          <t xml:space="preserve">
проверити збир!
</t>
        </r>
      </text>
    </comment>
    <comment ref="I8690" authorId="0" shapeId="0">
      <text>
        <r>
          <rPr>
            <b/>
            <sz val="9"/>
            <color indexed="81"/>
            <rFont val="Tahoma"/>
            <family val="2"/>
          </rPr>
          <t>LPA:</t>
        </r>
        <r>
          <rPr>
            <sz val="9"/>
            <color indexed="81"/>
            <rFont val="Tahoma"/>
            <family val="2"/>
          </rPr>
          <t xml:space="preserve">
проверити збир!
</t>
        </r>
      </text>
    </comment>
    <comment ref="I8691" authorId="0" shapeId="0">
      <text>
        <r>
          <rPr>
            <b/>
            <sz val="9"/>
            <color indexed="81"/>
            <rFont val="Tahoma"/>
            <family val="2"/>
          </rPr>
          <t>LPA:</t>
        </r>
        <r>
          <rPr>
            <sz val="9"/>
            <color indexed="81"/>
            <rFont val="Tahoma"/>
            <family val="2"/>
          </rPr>
          <t xml:space="preserve">
проверити збир!
</t>
        </r>
      </text>
    </comment>
    <comment ref="I8692" authorId="0" shapeId="0">
      <text>
        <r>
          <rPr>
            <b/>
            <sz val="9"/>
            <color indexed="81"/>
            <rFont val="Tahoma"/>
            <family val="2"/>
          </rPr>
          <t>LPA:</t>
        </r>
        <r>
          <rPr>
            <sz val="9"/>
            <color indexed="81"/>
            <rFont val="Tahoma"/>
            <family val="2"/>
          </rPr>
          <t xml:space="preserve">
проверити збир!
</t>
        </r>
      </text>
    </comment>
    <comment ref="I8693" authorId="0" shapeId="0">
      <text>
        <r>
          <rPr>
            <b/>
            <sz val="9"/>
            <color indexed="81"/>
            <rFont val="Tahoma"/>
            <family val="2"/>
          </rPr>
          <t>LPA:</t>
        </r>
        <r>
          <rPr>
            <sz val="9"/>
            <color indexed="81"/>
            <rFont val="Tahoma"/>
            <family val="2"/>
          </rPr>
          <t xml:space="preserve">
проверити збир!
</t>
        </r>
      </text>
    </comment>
    <comment ref="I8694" authorId="0" shapeId="0">
      <text>
        <r>
          <rPr>
            <b/>
            <sz val="9"/>
            <color indexed="81"/>
            <rFont val="Tahoma"/>
            <family val="2"/>
          </rPr>
          <t>LPA:</t>
        </r>
        <r>
          <rPr>
            <sz val="9"/>
            <color indexed="81"/>
            <rFont val="Tahoma"/>
            <family val="2"/>
          </rPr>
          <t xml:space="preserve">
проверити збир!
</t>
        </r>
      </text>
    </comment>
    <comment ref="I8695" authorId="0" shapeId="0">
      <text>
        <r>
          <rPr>
            <b/>
            <sz val="9"/>
            <color indexed="81"/>
            <rFont val="Tahoma"/>
            <family val="2"/>
          </rPr>
          <t>LPA:</t>
        </r>
        <r>
          <rPr>
            <sz val="9"/>
            <color indexed="81"/>
            <rFont val="Tahoma"/>
            <family val="2"/>
          </rPr>
          <t xml:space="preserve">
проверити збир!
</t>
        </r>
      </text>
    </comment>
    <comment ref="I8696" authorId="0" shapeId="0">
      <text>
        <r>
          <rPr>
            <b/>
            <sz val="9"/>
            <color indexed="81"/>
            <rFont val="Tahoma"/>
            <family val="2"/>
          </rPr>
          <t>LPA:</t>
        </r>
        <r>
          <rPr>
            <sz val="9"/>
            <color indexed="81"/>
            <rFont val="Tahoma"/>
            <family val="2"/>
          </rPr>
          <t xml:space="preserve">
проверити збир!
</t>
        </r>
      </text>
    </comment>
    <comment ref="I8697" authorId="0" shapeId="0">
      <text>
        <r>
          <rPr>
            <b/>
            <sz val="9"/>
            <color indexed="81"/>
            <rFont val="Tahoma"/>
            <family val="2"/>
          </rPr>
          <t>LPA:</t>
        </r>
        <r>
          <rPr>
            <sz val="9"/>
            <color indexed="81"/>
            <rFont val="Tahoma"/>
            <family val="2"/>
          </rPr>
          <t xml:space="preserve">
проверити збир!
</t>
        </r>
      </text>
    </comment>
    <comment ref="I8698" authorId="0" shapeId="0">
      <text>
        <r>
          <rPr>
            <b/>
            <sz val="9"/>
            <color indexed="81"/>
            <rFont val="Tahoma"/>
            <family val="2"/>
          </rPr>
          <t>LPA:</t>
        </r>
        <r>
          <rPr>
            <sz val="9"/>
            <color indexed="81"/>
            <rFont val="Tahoma"/>
            <family val="2"/>
          </rPr>
          <t xml:space="preserve">
проверити збир!
</t>
        </r>
      </text>
    </comment>
    <comment ref="I8699" authorId="0" shapeId="0">
      <text>
        <r>
          <rPr>
            <b/>
            <sz val="9"/>
            <color indexed="81"/>
            <rFont val="Tahoma"/>
            <family val="2"/>
          </rPr>
          <t>LPA:</t>
        </r>
        <r>
          <rPr>
            <sz val="9"/>
            <color indexed="81"/>
            <rFont val="Tahoma"/>
            <family val="2"/>
          </rPr>
          <t xml:space="preserve">
проверити збир!
</t>
        </r>
      </text>
    </comment>
    <comment ref="I8700" authorId="0" shapeId="0">
      <text>
        <r>
          <rPr>
            <b/>
            <sz val="9"/>
            <color indexed="81"/>
            <rFont val="Tahoma"/>
            <family val="2"/>
          </rPr>
          <t>LPA:</t>
        </r>
        <r>
          <rPr>
            <sz val="9"/>
            <color indexed="81"/>
            <rFont val="Tahoma"/>
            <family val="2"/>
          </rPr>
          <t xml:space="preserve">
проверити збир!
</t>
        </r>
      </text>
    </comment>
    <comment ref="I8769" authorId="0" shapeId="0">
      <text>
        <r>
          <rPr>
            <b/>
            <sz val="9"/>
            <color indexed="81"/>
            <rFont val="Tahoma"/>
            <family val="2"/>
          </rPr>
          <t>LPA:</t>
        </r>
        <r>
          <rPr>
            <sz val="9"/>
            <color indexed="81"/>
            <rFont val="Tahoma"/>
            <family val="2"/>
          </rPr>
          <t xml:space="preserve">
проверити збир!
</t>
        </r>
      </text>
    </comment>
    <comment ref="I8770" authorId="0" shapeId="0">
      <text>
        <r>
          <rPr>
            <b/>
            <sz val="9"/>
            <color indexed="81"/>
            <rFont val="Tahoma"/>
            <family val="2"/>
          </rPr>
          <t>LPA:</t>
        </r>
        <r>
          <rPr>
            <sz val="9"/>
            <color indexed="81"/>
            <rFont val="Tahoma"/>
            <family val="2"/>
          </rPr>
          <t xml:space="preserve">
проверити збир!
</t>
        </r>
      </text>
    </comment>
    <comment ref="I8771" authorId="0" shapeId="0">
      <text>
        <r>
          <rPr>
            <b/>
            <sz val="9"/>
            <color indexed="81"/>
            <rFont val="Tahoma"/>
            <family val="2"/>
          </rPr>
          <t>LPA:</t>
        </r>
        <r>
          <rPr>
            <sz val="9"/>
            <color indexed="81"/>
            <rFont val="Tahoma"/>
            <family val="2"/>
          </rPr>
          <t xml:space="preserve">
проверити збир!
</t>
        </r>
      </text>
    </comment>
    <comment ref="I8772" authorId="0" shapeId="0">
      <text>
        <r>
          <rPr>
            <b/>
            <sz val="9"/>
            <color indexed="81"/>
            <rFont val="Tahoma"/>
            <family val="2"/>
          </rPr>
          <t>LPA:</t>
        </r>
        <r>
          <rPr>
            <sz val="9"/>
            <color indexed="81"/>
            <rFont val="Tahoma"/>
            <family val="2"/>
          </rPr>
          <t xml:space="preserve">
проверити збир!
</t>
        </r>
      </text>
    </comment>
    <comment ref="I8773" authorId="0" shapeId="0">
      <text>
        <r>
          <rPr>
            <b/>
            <sz val="9"/>
            <color indexed="81"/>
            <rFont val="Tahoma"/>
            <family val="2"/>
          </rPr>
          <t>LPA:</t>
        </r>
        <r>
          <rPr>
            <sz val="9"/>
            <color indexed="81"/>
            <rFont val="Tahoma"/>
            <family val="2"/>
          </rPr>
          <t xml:space="preserve">
проверити збир!
</t>
        </r>
      </text>
    </comment>
    <comment ref="I8774" authorId="0" shapeId="0">
      <text>
        <r>
          <rPr>
            <b/>
            <sz val="9"/>
            <color indexed="81"/>
            <rFont val="Tahoma"/>
            <family val="2"/>
          </rPr>
          <t>LPA:</t>
        </r>
        <r>
          <rPr>
            <sz val="9"/>
            <color indexed="81"/>
            <rFont val="Tahoma"/>
            <family val="2"/>
          </rPr>
          <t xml:space="preserve">
проверити збир!
</t>
        </r>
      </text>
    </comment>
    <comment ref="I8775" authorId="0" shapeId="0">
      <text>
        <r>
          <rPr>
            <b/>
            <sz val="9"/>
            <color indexed="81"/>
            <rFont val="Tahoma"/>
            <family val="2"/>
          </rPr>
          <t>LPA:</t>
        </r>
        <r>
          <rPr>
            <sz val="9"/>
            <color indexed="81"/>
            <rFont val="Tahoma"/>
            <family val="2"/>
          </rPr>
          <t xml:space="preserve">
проверити збир!
</t>
        </r>
      </text>
    </comment>
    <comment ref="I8776" authorId="0" shapeId="0">
      <text>
        <r>
          <rPr>
            <b/>
            <sz val="9"/>
            <color indexed="81"/>
            <rFont val="Tahoma"/>
            <family val="2"/>
          </rPr>
          <t>LPA:</t>
        </r>
        <r>
          <rPr>
            <sz val="9"/>
            <color indexed="81"/>
            <rFont val="Tahoma"/>
            <family val="2"/>
          </rPr>
          <t xml:space="preserve">
проверити збир!
</t>
        </r>
      </text>
    </comment>
    <comment ref="I8777" authorId="0" shapeId="0">
      <text>
        <r>
          <rPr>
            <b/>
            <sz val="9"/>
            <color indexed="81"/>
            <rFont val="Tahoma"/>
            <family val="2"/>
          </rPr>
          <t>LPA:</t>
        </r>
        <r>
          <rPr>
            <sz val="9"/>
            <color indexed="81"/>
            <rFont val="Tahoma"/>
            <family val="2"/>
          </rPr>
          <t xml:space="preserve">
проверити збир!
</t>
        </r>
      </text>
    </comment>
    <comment ref="I8778" authorId="0" shapeId="0">
      <text>
        <r>
          <rPr>
            <b/>
            <sz val="9"/>
            <color indexed="81"/>
            <rFont val="Tahoma"/>
            <family val="2"/>
          </rPr>
          <t>LPA:</t>
        </r>
        <r>
          <rPr>
            <sz val="9"/>
            <color indexed="81"/>
            <rFont val="Tahoma"/>
            <family val="2"/>
          </rPr>
          <t xml:space="preserve">
проверити збир!
</t>
        </r>
      </text>
    </comment>
    <comment ref="I8779" authorId="0" shapeId="0">
      <text>
        <r>
          <rPr>
            <b/>
            <sz val="9"/>
            <color indexed="81"/>
            <rFont val="Tahoma"/>
            <family val="2"/>
          </rPr>
          <t>LPA:</t>
        </r>
        <r>
          <rPr>
            <sz val="9"/>
            <color indexed="81"/>
            <rFont val="Tahoma"/>
            <family val="2"/>
          </rPr>
          <t xml:space="preserve">
проверити збир!
</t>
        </r>
      </text>
    </comment>
    <comment ref="I8780" authorId="0" shapeId="0">
      <text>
        <r>
          <rPr>
            <b/>
            <sz val="9"/>
            <color indexed="81"/>
            <rFont val="Tahoma"/>
            <family val="2"/>
          </rPr>
          <t>LPA:</t>
        </r>
        <r>
          <rPr>
            <sz val="9"/>
            <color indexed="81"/>
            <rFont val="Tahoma"/>
            <family val="2"/>
          </rPr>
          <t xml:space="preserve">
проверити збир!
</t>
        </r>
      </text>
    </comment>
    <comment ref="I8781" authorId="0" shapeId="0">
      <text>
        <r>
          <rPr>
            <b/>
            <sz val="9"/>
            <color indexed="81"/>
            <rFont val="Tahoma"/>
            <family val="2"/>
          </rPr>
          <t>LPA:</t>
        </r>
        <r>
          <rPr>
            <sz val="9"/>
            <color indexed="81"/>
            <rFont val="Tahoma"/>
            <family val="2"/>
          </rPr>
          <t xml:space="preserve">
проверити збир!
</t>
        </r>
      </text>
    </comment>
    <comment ref="I8787" authorId="0" shapeId="0">
      <text>
        <r>
          <rPr>
            <b/>
            <sz val="9"/>
            <color indexed="81"/>
            <rFont val="Tahoma"/>
            <family val="2"/>
          </rPr>
          <t>LPA:</t>
        </r>
        <r>
          <rPr>
            <sz val="9"/>
            <color indexed="81"/>
            <rFont val="Tahoma"/>
            <family val="2"/>
          </rPr>
          <t xml:space="preserve">
проверити збир!
</t>
        </r>
      </text>
    </comment>
    <comment ref="I8788" authorId="0" shapeId="0">
      <text>
        <r>
          <rPr>
            <b/>
            <sz val="9"/>
            <color indexed="81"/>
            <rFont val="Tahoma"/>
            <family val="2"/>
          </rPr>
          <t>LPA:</t>
        </r>
        <r>
          <rPr>
            <sz val="9"/>
            <color indexed="81"/>
            <rFont val="Tahoma"/>
            <family val="2"/>
          </rPr>
          <t xml:space="preserve">
проверити збир!
</t>
        </r>
      </text>
    </comment>
    <comment ref="I8789" authorId="0" shapeId="0">
      <text>
        <r>
          <rPr>
            <b/>
            <sz val="9"/>
            <color indexed="81"/>
            <rFont val="Tahoma"/>
            <family val="2"/>
          </rPr>
          <t>LPA:</t>
        </r>
        <r>
          <rPr>
            <sz val="9"/>
            <color indexed="81"/>
            <rFont val="Tahoma"/>
            <family val="2"/>
          </rPr>
          <t xml:space="preserve">
проверити збир!
</t>
        </r>
      </text>
    </comment>
    <comment ref="I8790" authorId="0" shapeId="0">
      <text>
        <r>
          <rPr>
            <b/>
            <sz val="9"/>
            <color indexed="81"/>
            <rFont val="Tahoma"/>
            <family val="2"/>
          </rPr>
          <t>LPA:</t>
        </r>
        <r>
          <rPr>
            <sz val="9"/>
            <color indexed="81"/>
            <rFont val="Tahoma"/>
            <family val="2"/>
          </rPr>
          <t xml:space="preserve">
проверити збир!
</t>
        </r>
      </text>
    </comment>
    <comment ref="I8791" authorId="0" shapeId="0">
      <text>
        <r>
          <rPr>
            <b/>
            <sz val="9"/>
            <color indexed="81"/>
            <rFont val="Tahoma"/>
            <family val="2"/>
          </rPr>
          <t>LPA:</t>
        </r>
        <r>
          <rPr>
            <sz val="9"/>
            <color indexed="81"/>
            <rFont val="Tahoma"/>
            <family val="2"/>
          </rPr>
          <t xml:space="preserve">
проверити збир!
</t>
        </r>
      </text>
    </comment>
    <comment ref="I8792" authorId="0" shapeId="0">
      <text>
        <r>
          <rPr>
            <b/>
            <sz val="9"/>
            <color indexed="81"/>
            <rFont val="Tahoma"/>
            <family val="2"/>
          </rPr>
          <t>LPA:</t>
        </r>
        <r>
          <rPr>
            <sz val="9"/>
            <color indexed="81"/>
            <rFont val="Tahoma"/>
            <family val="2"/>
          </rPr>
          <t xml:space="preserve">
проверити збир!
</t>
        </r>
      </text>
    </comment>
    <comment ref="I8793" authorId="0" shapeId="0">
      <text>
        <r>
          <rPr>
            <b/>
            <sz val="9"/>
            <color indexed="81"/>
            <rFont val="Tahoma"/>
            <family val="2"/>
          </rPr>
          <t>LPA:</t>
        </r>
        <r>
          <rPr>
            <sz val="9"/>
            <color indexed="81"/>
            <rFont val="Tahoma"/>
            <family val="2"/>
          </rPr>
          <t xml:space="preserve">
проверити збир!
</t>
        </r>
      </text>
    </comment>
    <comment ref="I8794" authorId="0" shapeId="0">
      <text>
        <r>
          <rPr>
            <b/>
            <sz val="9"/>
            <color indexed="81"/>
            <rFont val="Tahoma"/>
            <family val="2"/>
          </rPr>
          <t>LPA:</t>
        </r>
        <r>
          <rPr>
            <sz val="9"/>
            <color indexed="81"/>
            <rFont val="Tahoma"/>
            <family val="2"/>
          </rPr>
          <t xml:space="preserve">
проверити збир!
</t>
        </r>
      </text>
    </comment>
    <comment ref="I8795" authorId="0" shapeId="0">
      <text>
        <r>
          <rPr>
            <b/>
            <sz val="9"/>
            <color indexed="81"/>
            <rFont val="Tahoma"/>
            <family val="2"/>
          </rPr>
          <t>LPA:</t>
        </r>
        <r>
          <rPr>
            <sz val="9"/>
            <color indexed="81"/>
            <rFont val="Tahoma"/>
            <family val="2"/>
          </rPr>
          <t xml:space="preserve">
проверити збир!
</t>
        </r>
      </text>
    </comment>
    <comment ref="I8796" authorId="0" shapeId="0">
      <text>
        <r>
          <rPr>
            <b/>
            <sz val="9"/>
            <color indexed="81"/>
            <rFont val="Tahoma"/>
            <family val="2"/>
          </rPr>
          <t>LPA:</t>
        </r>
        <r>
          <rPr>
            <sz val="9"/>
            <color indexed="81"/>
            <rFont val="Tahoma"/>
            <family val="2"/>
          </rPr>
          <t xml:space="preserve">
проверити збир!
</t>
        </r>
      </text>
    </comment>
    <comment ref="I8797" authorId="0" shapeId="0">
      <text>
        <r>
          <rPr>
            <b/>
            <sz val="9"/>
            <color indexed="81"/>
            <rFont val="Tahoma"/>
            <family val="2"/>
          </rPr>
          <t>LPA:</t>
        </r>
        <r>
          <rPr>
            <sz val="9"/>
            <color indexed="81"/>
            <rFont val="Tahoma"/>
            <family val="2"/>
          </rPr>
          <t xml:space="preserve">
проверити збир!
</t>
        </r>
      </text>
    </comment>
    <comment ref="I8798" authorId="0" shapeId="0">
      <text>
        <r>
          <rPr>
            <b/>
            <sz val="9"/>
            <color indexed="81"/>
            <rFont val="Tahoma"/>
            <family val="2"/>
          </rPr>
          <t>LPA:</t>
        </r>
        <r>
          <rPr>
            <sz val="9"/>
            <color indexed="81"/>
            <rFont val="Tahoma"/>
            <family val="2"/>
          </rPr>
          <t xml:space="preserve">
проверити збир!
</t>
        </r>
      </text>
    </comment>
    <comment ref="I8799" authorId="0" shapeId="0">
      <text>
        <r>
          <rPr>
            <b/>
            <sz val="9"/>
            <color indexed="81"/>
            <rFont val="Tahoma"/>
            <family val="2"/>
          </rPr>
          <t>LPA:</t>
        </r>
        <r>
          <rPr>
            <sz val="9"/>
            <color indexed="81"/>
            <rFont val="Tahoma"/>
            <family val="2"/>
          </rPr>
          <t xml:space="preserve">
проверити збир!
</t>
        </r>
      </text>
    </comment>
    <comment ref="H8803" authorId="0" shapeId="0">
      <text>
        <r>
          <rPr>
            <b/>
            <sz val="9"/>
            <color indexed="81"/>
            <rFont val="Tahoma"/>
            <family val="2"/>
          </rPr>
          <t>LPA:</t>
        </r>
        <r>
          <rPr>
            <sz val="9"/>
            <color indexed="81"/>
            <rFont val="Tahoma"/>
            <family val="2"/>
          </rPr>
          <t xml:space="preserve">
проверити збир!</t>
        </r>
      </text>
    </comment>
    <comment ref="I8803" authorId="0" shapeId="0">
      <text>
        <r>
          <rPr>
            <b/>
            <sz val="9"/>
            <color indexed="81"/>
            <rFont val="Tahoma"/>
            <family val="2"/>
          </rPr>
          <t>LPA:</t>
        </r>
        <r>
          <rPr>
            <sz val="9"/>
            <color indexed="81"/>
            <rFont val="Tahoma"/>
            <family val="2"/>
          </rPr>
          <t xml:space="preserve">
проверити збир!
</t>
        </r>
      </text>
    </comment>
    <comment ref="I8804" authorId="0" shapeId="0">
      <text>
        <r>
          <rPr>
            <b/>
            <sz val="9"/>
            <color indexed="81"/>
            <rFont val="Tahoma"/>
            <family val="2"/>
          </rPr>
          <t>LPA:</t>
        </r>
        <r>
          <rPr>
            <sz val="9"/>
            <color indexed="81"/>
            <rFont val="Tahoma"/>
            <family val="2"/>
          </rPr>
          <t xml:space="preserve">
проверити збир!
</t>
        </r>
      </text>
    </comment>
    <comment ref="I8805" authorId="0" shapeId="0">
      <text>
        <r>
          <rPr>
            <b/>
            <sz val="9"/>
            <color indexed="81"/>
            <rFont val="Tahoma"/>
            <family val="2"/>
          </rPr>
          <t>LPA:</t>
        </r>
        <r>
          <rPr>
            <sz val="9"/>
            <color indexed="81"/>
            <rFont val="Tahoma"/>
            <family val="2"/>
          </rPr>
          <t xml:space="preserve">
проверити збир!
</t>
        </r>
      </text>
    </comment>
    <comment ref="I8806" authorId="0" shapeId="0">
      <text>
        <r>
          <rPr>
            <b/>
            <sz val="9"/>
            <color indexed="81"/>
            <rFont val="Tahoma"/>
            <family val="2"/>
          </rPr>
          <t>LPA:</t>
        </r>
        <r>
          <rPr>
            <sz val="9"/>
            <color indexed="81"/>
            <rFont val="Tahoma"/>
            <family val="2"/>
          </rPr>
          <t xml:space="preserve">
проверити збир!
</t>
        </r>
      </text>
    </comment>
    <comment ref="I8807" authorId="0" shapeId="0">
      <text>
        <r>
          <rPr>
            <b/>
            <sz val="9"/>
            <color indexed="81"/>
            <rFont val="Tahoma"/>
            <family val="2"/>
          </rPr>
          <t>LPA:</t>
        </r>
        <r>
          <rPr>
            <sz val="9"/>
            <color indexed="81"/>
            <rFont val="Tahoma"/>
            <family val="2"/>
          </rPr>
          <t xml:space="preserve">
проверити збир!
</t>
        </r>
      </text>
    </comment>
    <comment ref="I8808" authorId="0" shapeId="0">
      <text>
        <r>
          <rPr>
            <b/>
            <sz val="9"/>
            <color indexed="81"/>
            <rFont val="Tahoma"/>
            <family val="2"/>
          </rPr>
          <t>LPA:</t>
        </r>
        <r>
          <rPr>
            <sz val="9"/>
            <color indexed="81"/>
            <rFont val="Tahoma"/>
            <family val="2"/>
          </rPr>
          <t xml:space="preserve">
проверити збир!
</t>
        </r>
      </text>
    </comment>
    <comment ref="I8809" authorId="0" shapeId="0">
      <text>
        <r>
          <rPr>
            <b/>
            <sz val="9"/>
            <color indexed="81"/>
            <rFont val="Tahoma"/>
            <family val="2"/>
          </rPr>
          <t>LPA:</t>
        </r>
        <r>
          <rPr>
            <sz val="9"/>
            <color indexed="81"/>
            <rFont val="Tahoma"/>
            <family val="2"/>
          </rPr>
          <t xml:space="preserve">
проверити збир!
</t>
        </r>
      </text>
    </comment>
    <comment ref="I8810" authorId="0" shapeId="0">
      <text>
        <r>
          <rPr>
            <b/>
            <sz val="9"/>
            <color indexed="81"/>
            <rFont val="Tahoma"/>
            <family val="2"/>
          </rPr>
          <t>LPA:</t>
        </r>
        <r>
          <rPr>
            <sz val="9"/>
            <color indexed="81"/>
            <rFont val="Tahoma"/>
            <family val="2"/>
          </rPr>
          <t xml:space="preserve">
проверити збир!
</t>
        </r>
      </text>
    </comment>
    <comment ref="I8811" authorId="0" shapeId="0">
      <text>
        <r>
          <rPr>
            <b/>
            <sz val="9"/>
            <color indexed="81"/>
            <rFont val="Tahoma"/>
            <family val="2"/>
          </rPr>
          <t>LPA:</t>
        </r>
        <r>
          <rPr>
            <sz val="9"/>
            <color indexed="81"/>
            <rFont val="Tahoma"/>
            <family val="2"/>
          </rPr>
          <t xml:space="preserve">
проверити збир!
</t>
        </r>
      </text>
    </comment>
    <comment ref="I8812" authorId="0" shapeId="0">
      <text>
        <r>
          <rPr>
            <b/>
            <sz val="9"/>
            <color indexed="81"/>
            <rFont val="Tahoma"/>
            <family val="2"/>
          </rPr>
          <t>LPA:</t>
        </r>
        <r>
          <rPr>
            <sz val="9"/>
            <color indexed="81"/>
            <rFont val="Tahoma"/>
            <family val="2"/>
          </rPr>
          <t xml:space="preserve">
проверити збир!
</t>
        </r>
      </text>
    </comment>
    <comment ref="I8813" authorId="0" shapeId="0">
      <text>
        <r>
          <rPr>
            <b/>
            <sz val="9"/>
            <color indexed="81"/>
            <rFont val="Tahoma"/>
            <family val="2"/>
          </rPr>
          <t>LPA:</t>
        </r>
        <r>
          <rPr>
            <sz val="9"/>
            <color indexed="81"/>
            <rFont val="Tahoma"/>
            <family val="2"/>
          </rPr>
          <t xml:space="preserve">
проверити збир!
</t>
        </r>
      </text>
    </comment>
    <comment ref="I8814" authorId="0" shapeId="0">
      <text>
        <r>
          <rPr>
            <b/>
            <sz val="9"/>
            <color indexed="81"/>
            <rFont val="Tahoma"/>
            <family val="2"/>
          </rPr>
          <t>LPA:</t>
        </r>
        <r>
          <rPr>
            <sz val="9"/>
            <color indexed="81"/>
            <rFont val="Tahoma"/>
            <family val="2"/>
          </rPr>
          <t xml:space="preserve">
проверити збир!
</t>
        </r>
      </text>
    </comment>
    <comment ref="I8815" authorId="0" shapeId="0">
      <text>
        <r>
          <rPr>
            <b/>
            <sz val="9"/>
            <color indexed="81"/>
            <rFont val="Tahoma"/>
            <family val="2"/>
          </rPr>
          <t>LPA:</t>
        </r>
        <r>
          <rPr>
            <sz val="9"/>
            <color indexed="81"/>
            <rFont val="Tahoma"/>
            <family val="2"/>
          </rPr>
          <t xml:space="preserve">
проверити збир!
</t>
        </r>
      </text>
    </comment>
    <comment ref="I8816" authorId="0" shapeId="0">
      <text>
        <r>
          <rPr>
            <b/>
            <sz val="9"/>
            <color indexed="81"/>
            <rFont val="Tahoma"/>
            <family val="2"/>
          </rPr>
          <t>LPA:</t>
        </r>
        <r>
          <rPr>
            <sz val="9"/>
            <color indexed="81"/>
            <rFont val="Tahoma"/>
            <family val="2"/>
          </rPr>
          <t xml:space="preserve">
проверити збир!
</t>
        </r>
      </text>
    </comment>
    <comment ref="I8817" authorId="0" shapeId="0">
      <text>
        <r>
          <rPr>
            <b/>
            <sz val="9"/>
            <color indexed="81"/>
            <rFont val="Tahoma"/>
            <family val="2"/>
          </rPr>
          <t>LPA:</t>
        </r>
        <r>
          <rPr>
            <sz val="9"/>
            <color indexed="81"/>
            <rFont val="Tahoma"/>
            <family val="2"/>
          </rPr>
          <t xml:space="preserve">
проверити збир!
</t>
        </r>
      </text>
    </comment>
    <comment ref="I8818" authorId="0" shapeId="0">
      <text>
        <r>
          <rPr>
            <b/>
            <sz val="9"/>
            <color indexed="81"/>
            <rFont val="Tahoma"/>
            <family val="2"/>
          </rPr>
          <t>LPA:</t>
        </r>
        <r>
          <rPr>
            <sz val="9"/>
            <color indexed="81"/>
            <rFont val="Tahoma"/>
            <family val="2"/>
          </rPr>
          <t xml:space="preserve">
проверити збир!
</t>
        </r>
      </text>
    </comment>
    <comment ref="H8822" authorId="0" shapeId="0">
      <text>
        <r>
          <rPr>
            <b/>
            <sz val="9"/>
            <color indexed="81"/>
            <rFont val="Tahoma"/>
            <family val="2"/>
          </rPr>
          <t>LPA:</t>
        </r>
        <r>
          <rPr>
            <sz val="9"/>
            <color indexed="81"/>
            <rFont val="Tahoma"/>
            <family val="2"/>
          </rPr>
          <t xml:space="preserve">
проверити збир!</t>
        </r>
      </text>
    </comment>
    <comment ref="I8822" authorId="0" shapeId="0">
      <text>
        <r>
          <rPr>
            <b/>
            <sz val="9"/>
            <color indexed="81"/>
            <rFont val="Tahoma"/>
            <family val="2"/>
          </rPr>
          <t>LPA:</t>
        </r>
        <r>
          <rPr>
            <sz val="9"/>
            <color indexed="81"/>
            <rFont val="Tahoma"/>
            <family val="2"/>
          </rPr>
          <t xml:space="preserve">
проверити збир!
</t>
        </r>
      </text>
    </comment>
    <comment ref="I8823" authorId="0" shapeId="0">
      <text>
        <r>
          <rPr>
            <b/>
            <sz val="9"/>
            <color indexed="81"/>
            <rFont val="Tahoma"/>
            <family val="2"/>
          </rPr>
          <t>LPA:</t>
        </r>
        <r>
          <rPr>
            <sz val="9"/>
            <color indexed="81"/>
            <rFont val="Tahoma"/>
            <family val="2"/>
          </rPr>
          <t xml:space="preserve">
проверити збир!
</t>
        </r>
      </text>
    </comment>
    <comment ref="I8824" authorId="0" shapeId="0">
      <text>
        <r>
          <rPr>
            <b/>
            <sz val="9"/>
            <color indexed="81"/>
            <rFont val="Tahoma"/>
            <family val="2"/>
          </rPr>
          <t>LPA:</t>
        </r>
        <r>
          <rPr>
            <sz val="9"/>
            <color indexed="81"/>
            <rFont val="Tahoma"/>
            <family val="2"/>
          </rPr>
          <t xml:space="preserve">
проверити збир!
</t>
        </r>
      </text>
    </comment>
    <comment ref="I8825" authorId="0" shapeId="0">
      <text>
        <r>
          <rPr>
            <b/>
            <sz val="9"/>
            <color indexed="81"/>
            <rFont val="Tahoma"/>
            <family val="2"/>
          </rPr>
          <t>LPA:</t>
        </r>
        <r>
          <rPr>
            <sz val="9"/>
            <color indexed="81"/>
            <rFont val="Tahoma"/>
            <family val="2"/>
          </rPr>
          <t xml:space="preserve">
проверити збир!
</t>
        </r>
      </text>
    </comment>
    <comment ref="I8826" authorId="0" shapeId="0">
      <text>
        <r>
          <rPr>
            <b/>
            <sz val="9"/>
            <color indexed="81"/>
            <rFont val="Tahoma"/>
            <family val="2"/>
          </rPr>
          <t>LPA:</t>
        </r>
        <r>
          <rPr>
            <sz val="9"/>
            <color indexed="81"/>
            <rFont val="Tahoma"/>
            <family val="2"/>
          </rPr>
          <t xml:space="preserve">
проверити збир!
</t>
        </r>
      </text>
    </comment>
    <comment ref="I8827" authorId="0" shapeId="0">
      <text>
        <r>
          <rPr>
            <b/>
            <sz val="9"/>
            <color indexed="81"/>
            <rFont val="Tahoma"/>
            <family val="2"/>
          </rPr>
          <t>LPA:</t>
        </r>
        <r>
          <rPr>
            <sz val="9"/>
            <color indexed="81"/>
            <rFont val="Tahoma"/>
            <family val="2"/>
          </rPr>
          <t xml:space="preserve">
проверити збир!
</t>
        </r>
      </text>
    </comment>
    <comment ref="I8828" authorId="0" shapeId="0">
      <text>
        <r>
          <rPr>
            <b/>
            <sz val="9"/>
            <color indexed="81"/>
            <rFont val="Tahoma"/>
            <family val="2"/>
          </rPr>
          <t>LPA:</t>
        </r>
        <r>
          <rPr>
            <sz val="9"/>
            <color indexed="81"/>
            <rFont val="Tahoma"/>
            <family val="2"/>
          </rPr>
          <t xml:space="preserve">
проверити збир!
</t>
        </r>
      </text>
    </comment>
    <comment ref="I8829" authorId="0" shapeId="0">
      <text>
        <r>
          <rPr>
            <b/>
            <sz val="9"/>
            <color indexed="81"/>
            <rFont val="Tahoma"/>
            <family val="2"/>
          </rPr>
          <t>LPA:</t>
        </r>
        <r>
          <rPr>
            <sz val="9"/>
            <color indexed="81"/>
            <rFont val="Tahoma"/>
            <family val="2"/>
          </rPr>
          <t xml:space="preserve">
проверити збир!
</t>
        </r>
      </text>
    </comment>
    <comment ref="I8830" authorId="0" shapeId="0">
      <text>
        <r>
          <rPr>
            <b/>
            <sz val="9"/>
            <color indexed="81"/>
            <rFont val="Tahoma"/>
            <family val="2"/>
          </rPr>
          <t>LPA:</t>
        </r>
        <r>
          <rPr>
            <sz val="9"/>
            <color indexed="81"/>
            <rFont val="Tahoma"/>
            <family val="2"/>
          </rPr>
          <t xml:space="preserve">
проверити збир!
</t>
        </r>
      </text>
    </comment>
    <comment ref="I8831" authorId="0" shapeId="0">
      <text>
        <r>
          <rPr>
            <b/>
            <sz val="9"/>
            <color indexed="81"/>
            <rFont val="Tahoma"/>
            <family val="2"/>
          </rPr>
          <t>LPA:</t>
        </r>
        <r>
          <rPr>
            <sz val="9"/>
            <color indexed="81"/>
            <rFont val="Tahoma"/>
            <family val="2"/>
          </rPr>
          <t xml:space="preserve">
проверити збир!
</t>
        </r>
      </text>
    </comment>
    <comment ref="I8832" authorId="0" shapeId="0">
      <text>
        <r>
          <rPr>
            <b/>
            <sz val="9"/>
            <color indexed="81"/>
            <rFont val="Tahoma"/>
            <family val="2"/>
          </rPr>
          <t>LPA:</t>
        </r>
        <r>
          <rPr>
            <sz val="9"/>
            <color indexed="81"/>
            <rFont val="Tahoma"/>
            <family val="2"/>
          </rPr>
          <t xml:space="preserve">
проверити збир!
</t>
        </r>
      </text>
    </comment>
    <comment ref="I8833" authorId="0" shapeId="0">
      <text>
        <r>
          <rPr>
            <b/>
            <sz val="9"/>
            <color indexed="81"/>
            <rFont val="Tahoma"/>
            <family val="2"/>
          </rPr>
          <t>LPA:</t>
        </r>
        <r>
          <rPr>
            <sz val="9"/>
            <color indexed="81"/>
            <rFont val="Tahoma"/>
            <family val="2"/>
          </rPr>
          <t xml:space="preserve">
проверити збир!
</t>
        </r>
      </text>
    </comment>
    <comment ref="I8834" authorId="0" shapeId="0">
      <text>
        <r>
          <rPr>
            <b/>
            <sz val="9"/>
            <color indexed="81"/>
            <rFont val="Tahoma"/>
            <family val="2"/>
          </rPr>
          <t>LPA:</t>
        </r>
        <r>
          <rPr>
            <sz val="9"/>
            <color indexed="81"/>
            <rFont val="Tahoma"/>
            <family val="2"/>
          </rPr>
          <t xml:space="preserve">
проверити збир!
</t>
        </r>
      </text>
    </comment>
    <comment ref="I8835" authorId="0" shapeId="0">
      <text>
        <r>
          <rPr>
            <b/>
            <sz val="9"/>
            <color indexed="81"/>
            <rFont val="Tahoma"/>
            <family val="2"/>
          </rPr>
          <t>LPA:</t>
        </r>
        <r>
          <rPr>
            <sz val="9"/>
            <color indexed="81"/>
            <rFont val="Tahoma"/>
            <family val="2"/>
          </rPr>
          <t xml:space="preserve">
проверити збир!
</t>
        </r>
      </text>
    </comment>
    <comment ref="I8836" authorId="0" shapeId="0">
      <text>
        <r>
          <rPr>
            <b/>
            <sz val="9"/>
            <color indexed="81"/>
            <rFont val="Tahoma"/>
            <family val="2"/>
          </rPr>
          <t>LPA:</t>
        </r>
        <r>
          <rPr>
            <sz val="9"/>
            <color indexed="81"/>
            <rFont val="Tahoma"/>
            <family val="2"/>
          </rPr>
          <t xml:space="preserve">
проверити збир!
</t>
        </r>
      </text>
    </comment>
    <comment ref="I8837" authorId="0" shapeId="0">
      <text>
        <r>
          <rPr>
            <b/>
            <sz val="9"/>
            <color indexed="81"/>
            <rFont val="Tahoma"/>
            <family val="2"/>
          </rPr>
          <t>LPA:</t>
        </r>
        <r>
          <rPr>
            <sz val="9"/>
            <color indexed="81"/>
            <rFont val="Tahoma"/>
            <family val="2"/>
          </rPr>
          <t xml:space="preserve">
проверити збир!
</t>
        </r>
      </text>
    </comment>
    <comment ref="I8909" authorId="0" shapeId="0">
      <text>
        <r>
          <rPr>
            <b/>
            <sz val="9"/>
            <color indexed="81"/>
            <rFont val="Tahoma"/>
            <family val="2"/>
          </rPr>
          <t>LPA:</t>
        </r>
        <r>
          <rPr>
            <sz val="9"/>
            <color indexed="81"/>
            <rFont val="Tahoma"/>
            <family val="2"/>
          </rPr>
          <t xml:space="preserve">
проверити збир!
</t>
        </r>
      </text>
    </comment>
    <comment ref="I8910" authorId="0" shapeId="0">
      <text>
        <r>
          <rPr>
            <b/>
            <sz val="9"/>
            <color indexed="81"/>
            <rFont val="Tahoma"/>
            <family val="2"/>
          </rPr>
          <t>LPA:</t>
        </r>
        <r>
          <rPr>
            <sz val="9"/>
            <color indexed="81"/>
            <rFont val="Tahoma"/>
            <family val="2"/>
          </rPr>
          <t xml:space="preserve">
проверити збир!
</t>
        </r>
      </text>
    </comment>
    <comment ref="I8911" authorId="0" shapeId="0">
      <text>
        <r>
          <rPr>
            <b/>
            <sz val="9"/>
            <color indexed="81"/>
            <rFont val="Tahoma"/>
            <family val="2"/>
          </rPr>
          <t>LPA:</t>
        </r>
        <r>
          <rPr>
            <sz val="9"/>
            <color indexed="81"/>
            <rFont val="Tahoma"/>
            <family val="2"/>
          </rPr>
          <t xml:space="preserve">
проверити збир!
</t>
        </r>
      </text>
    </comment>
    <comment ref="I8912" authorId="0" shapeId="0">
      <text>
        <r>
          <rPr>
            <b/>
            <sz val="9"/>
            <color indexed="81"/>
            <rFont val="Tahoma"/>
            <family val="2"/>
          </rPr>
          <t>LPA:</t>
        </r>
        <r>
          <rPr>
            <sz val="9"/>
            <color indexed="81"/>
            <rFont val="Tahoma"/>
            <family val="2"/>
          </rPr>
          <t xml:space="preserve">
проверити збир!
</t>
        </r>
      </text>
    </comment>
    <comment ref="I8913" authorId="0" shapeId="0">
      <text>
        <r>
          <rPr>
            <b/>
            <sz val="9"/>
            <color indexed="81"/>
            <rFont val="Tahoma"/>
            <family val="2"/>
          </rPr>
          <t>LPA:</t>
        </r>
        <r>
          <rPr>
            <sz val="9"/>
            <color indexed="81"/>
            <rFont val="Tahoma"/>
            <family val="2"/>
          </rPr>
          <t xml:space="preserve">
проверити збир!
</t>
        </r>
      </text>
    </comment>
    <comment ref="I8914" authorId="0" shapeId="0">
      <text>
        <r>
          <rPr>
            <b/>
            <sz val="9"/>
            <color indexed="81"/>
            <rFont val="Tahoma"/>
            <family val="2"/>
          </rPr>
          <t>LPA:</t>
        </r>
        <r>
          <rPr>
            <sz val="9"/>
            <color indexed="81"/>
            <rFont val="Tahoma"/>
            <family val="2"/>
          </rPr>
          <t xml:space="preserve">
проверити збир!
</t>
        </r>
      </text>
    </comment>
    <comment ref="I8915" authorId="0" shapeId="0">
      <text>
        <r>
          <rPr>
            <b/>
            <sz val="9"/>
            <color indexed="81"/>
            <rFont val="Tahoma"/>
            <family val="2"/>
          </rPr>
          <t>LPA:</t>
        </r>
        <r>
          <rPr>
            <sz val="9"/>
            <color indexed="81"/>
            <rFont val="Tahoma"/>
            <family val="2"/>
          </rPr>
          <t xml:space="preserve">
проверити збир!
</t>
        </r>
      </text>
    </comment>
    <comment ref="I8916" authorId="0" shapeId="0">
      <text>
        <r>
          <rPr>
            <b/>
            <sz val="9"/>
            <color indexed="81"/>
            <rFont val="Tahoma"/>
            <family val="2"/>
          </rPr>
          <t>LPA:</t>
        </r>
        <r>
          <rPr>
            <sz val="9"/>
            <color indexed="81"/>
            <rFont val="Tahoma"/>
            <family val="2"/>
          </rPr>
          <t xml:space="preserve">
проверити збир!
</t>
        </r>
      </text>
    </comment>
    <comment ref="I8917" authorId="0" shapeId="0">
      <text>
        <r>
          <rPr>
            <b/>
            <sz val="9"/>
            <color indexed="81"/>
            <rFont val="Tahoma"/>
            <family val="2"/>
          </rPr>
          <t>LPA:</t>
        </r>
        <r>
          <rPr>
            <sz val="9"/>
            <color indexed="81"/>
            <rFont val="Tahoma"/>
            <family val="2"/>
          </rPr>
          <t xml:space="preserve">
проверити збир!
</t>
        </r>
      </text>
    </comment>
    <comment ref="I8918" authorId="0" shapeId="0">
      <text>
        <r>
          <rPr>
            <b/>
            <sz val="9"/>
            <color indexed="81"/>
            <rFont val="Tahoma"/>
            <family val="2"/>
          </rPr>
          <t>LPA:</t>
        </r>
        <r>
          <rPr>
            <sz val="9"/>
            <color indexed="81"/>
            <rFont val="Tahoma"/>
            <family val="2"/>
          </rPr>
          <t xml:space="preserve">
проверити збир!
</t>
        </r>
      </text>
    </comment>
    <comment ref="I8919" authorId="0" shapeId="0">
      <text>
        <r>
          <rPr>
            <b/>
            <sz val="9"/>
            <color indexed="81"/>
            <rFont val="Tahoma"/>
            <family val="2"/>
          </rPr>
          <t>LPA:</t>
        </r>
        <r>
          <rPr>
            <sz val="9"/>
            <color indexed="81"/>
            <rFont val="Tahoma"/>
            <family val="2"/>
          </rPr>
          <t xml:space="preserve">
проверити збир!
</t>
        </r>
      </text>
    </comment>
    <comment ref="I8920" authorId="0" shapeId="0">
      <text>
        <r>
          <rPr>
            <b/>
            <sz val="9"/>
            <color indexed="81"/>
            <rFont val="Tahoma"/>
            <family val="2"/>
          </rPr>
          <t>LPA:</t>
        </r>
        <r>
          <rPr>
            <sz val="9"/>
            <color indexed="81"/>
            <rFont val="Tahoma"/>
            <family val="2"/>
          </rPr>
          <t xml:space="preserve">
проверити збир!
</t>
        </r>
      </text>
    </comment>
    <comment ref="I8921" authorId="0" shapeId="0">
      <text>
        <r>
          <rPr>
            <b/>
            <sz val="9"/>
            <color indexed="81"/>
            <rFont val="Tahoma"/>
            <family val="2"/>
          </rPr>
          <t>LPA:</t>
        </r>
        <r>
          <rPr>
            <sz val="9"/>
            <color indexed="81"/>
            <rFont val="Tahoma"/>
            <family val="2"/>
          </rPr>
          <t xml:space="preserve">
проверити збир!
</t>
        </r>
      </text>
    </comment>
    <comment ref="H8924" authorId="0" shapeId="0">
      <text>
        <r>
          <rPr>
            <b/>
            <sz val="9"/>
            <color indexed="81"/>
            <rFont val="Tahoma"/>
            <family val="2"/>
          </rPr>
          <t>LPA:</t>
        </r>
        <r>
          <rPr>
            <sz val="9"/>
            <color indexed="81"/>
            <rFont val="Tahoma"/>
            <family val="2"/>
          </rPr>
          <t xml:space="preserve">
проверити збир!</t>
        </r>
      </text>
    </comment>
    <comment ref="I8924" authorId="0" shapeId="0">
      <text>
        <r>
          <rPr>
            <b/>
            <sz val="9"/>
            <color indexed="81"/>
            <rFont val="Tahoma"/>
            <family val="2"/>
          </rPr>
          <t>LPA:</t>
        </r>
        <r>
          <rPr>
            <sz val="9"/>
            <color indexed="81"/>
            <rFont val="Tahoma"/>
            <family val="2"/>
          </rPr>
          <t xml:space="preserve">
проверити збир!</t>
        </r>
      </text>
    </comment>
    <comment ref="I8925" authorId="0" shapeId="0">
      <text>
        <r>
          <rPr>
            <b/>
            <sz val="9"/>
            <color indexed="81"/>
            <rFont val="Tahoma"/>
            <family val="2"/>
          </rPr>
          <t>LPA:</t>
        </r>
        <r>
          <rPr>
            <sz val="9"/>
            <color indexed="81"/>
            <rFont val="Tahoma"/>
            <family val="2"/>
          </rPr>
          <t xml:space="preserve">
проверити збир!
</t>
        </r>
      </text>
    </comment>
    <comment ref="I8926" authorId="0" shapeId="0">
      <text>
        <r>
          <rPr>
            <b/>
            <sz val="9"/>
            <color indexed="81"/>
            <rFont val="Tahoma"/>
            <family val="2"/>
          </rPr>
          <t>LPA:</t>
        </r>
        <r>
          <rPr>
            <sz val="9"/>
            <color indexed="81"/>
            <rFont val="Tahoma"/>
            <family val="2"/>
          </rPr>
          <t xml:space="preserve">
проверити збир!
</t>
        </r>
      </text>
    </comment>
    <comment ref="I8927" authorId="0" shapeId="0">
      <text>
        <r>
          <rPr>
            <b/>
            <sz val="9"/>
            <color indexed="81"/>
            <rFont val="Tahoma"/>
            <family val="2"/>
          </rPr>
          <t>LPA:</t>
        </r>
        <r>
          <rPr>
            <sz val="9"/>
            <color indexed="81"/>
            <rFont val="Tahoma"/>
            <family val="2"/>
          </rPr>
          <t xml:space="preserve">
проверити збир!
</t>
        </r>
      </text>
    </comment>
    <comment ref="I8928" authorId="0" shapeId="0">
      <text>
        <r>
          <rPr>
            <b/>
            <sz val="9"/>
            <color indexed="81"/>
            <rFont val="Tahoma"/>
            <family val="2"/>
          </rPr>
          <t>LPA:</t>
        </r>
        <r>
          <rPr>
            <sz val="9"/>
            <color indexed="81"/>
            <rFont val="Tahoma"/>
            <family val="2"/>
          </rPr>
          <t xml:space="preserve">
проверити збир!
</t>
        </r>
      </text>
    </comment>
    <comment ref="I8929" authorId="0" shapeId="0">
      <text>
        <r>
          <rPr>
            <b/>
            <sz val="9"/>
            <color indexed="81"/>
            <rFont val="Tahoma"/>
            <family val="2"/>
          </rPr>
          <t>LPA:</t>
        </r>
        <r>
          <rPr>
            <sz val="9"/>
            <color indexed="81"/>
            <rFont val="Tahoma"/>
            <family val="2"/>
          </rPr>
          <t xml:space="preserve">
проверити збир!
</t>
        </r>
      </text>
    </comment>
    <comment ref="I8930" authorId="0" shapeId="0">
      <text>
        <r>
          <rPr>
            <b/>
            <sz val="9"/>
            <color indexed="81"/>
            <rFont val="Tahoma"/>
            <family val="2"/>
          </rPr>
          <t>LPA:</t>
        </r>
        <r>
          <rPr>
            <sz val="9"/>
            <color indexed="81"/>
            <rFont val="Tahoma"/>
            <family val="2"/>
          </rPr>
          <t xml:space="preserve">
проверити збир!
</t>
        </r>
      </text>
    </comment>
    <comment ref="I8931" authorId="0" shapeId="0">
      <text>
        <r>
          <rPr>
            <b/>
            <sz val="9"/>
            <color indexed="81"/>
            <rFont val="Tahoma"/>
            <family val="2"/>
          </rPr>
          <t>LPA:</t>
        </r>
        <r>
          <rPr>
            <sz val="9"/>
            <color indexed="81"/>
            <rFont val="Tahoma"/>
            <family val="2"/>
          </rPr>
          <t xml:space="preserve">
проверити збир!
</t>
        </r>
      </text>
    </comment>
    <comment ref="I8932" authorId="0" shapeId="0">
      <text>
        <r>
          <rPr>
            <b/>
            <sz val="9"/>
            <color indexed="81"/>
            <rFont val="Tahoma"/>
            <family val="2"/>
          </rPr>
          <t>LPA:</t>
        </r>
        <r>
          <rPr>
            <sz val="9"/>
            <color indexed="81"/>
            <rFont val="Tahoma"/>
            <family val="2"/>
          </rPr>
          <t xml:space="preserve">
проверити збир!
</t>
        </r>
      </text>
    </comment>
    <comment ref="I8933" authorId="0" shapeId="0">
      <text>
        <r>
          <rPr>
            <b/>
            <sz val="9"/>
            <color indexed="81"/>
            <rFont val="Tahoma"/>
            <family val="2"/>
          </rPr>
          <t>LPA:</t>
        </r>
        <r>
          <rPr>
            <sz val="9"/>
            <color indexed="81"/>
            <rFont val="Tahoma"/>
            <family val="2"/>
          </rPr>
          <t xml:space="preserve">
проверити збир!
</t>
        </r>
      </text>
    </comment>
    <comment ref="I8934" authorId="0" shapeId="0">
      <text>
        <r>
          <rPr>
            <b/>
            <sz val="9"/>
            <color indexed="81"/>
            <rFont val="Tahoma"/>
            <family val="2"/>
          </rPr>
          <t>LPA:</t>
        </r>
        <r>
          <rPr>
            <sz val="9"/>
            <color indexed="81"/>
            <rFont val="Tahoma"/>
            <family val="2"/>
          </rPr>
          <t xml:space="preserve">
проверити збир!
</t>
        </r>
      </text>
    </comment>
    <comment ref="I8935" authorId="0" shapeId="0">
      <text>
        <r>
          <rPr>
            <b/>
            <sz val="9"/>
            <color indexed="81"/>
            <rFont val="Tahoma"/>
            <family val="2"/>
          </rPr>
          <t>LPA:</t>
        </r>
        <r>
          <rPr>
            <sz val="9"/>
            <color indexed="81"/>
            <rFont val="Tahoma"/>
            <family val="2"/>
          </rPr>
          <t xml:space="preserve">
проверити збир!
</t>
        </r>
      </text>
    </comment>
    <comment ref="I8936" authorId="0" shapeId="0">
      <text>
        <r>
          <rPr>
            <b/>
            <sz val="9"/>
            <color indexed="81"/>
            <rFont val="Tahoma"/>
            <family val="2"/>
          </rPr>
          <t>LPA:</t>
        </r>
        <r>
          <rPr>
            <sz val="9"/>
            <color indexed="81"/>
            <rFont val="Tahoma"/>
            <family val="2"/>
          </rPr>
          <t xml:space="preserve">
проверити збир!
</t>
        </r>
      </text>
    </comment>
    <comment ref="I8937" authorId="0" shapeId="0">
      <text>
        <r>
          <rPr>
            <b/>
            <sz val="9"/>
            <color indexed="81"/>
            <rFont val="Tahoma"/>
            <family val="2"/>
          </rPr>
          <t>LPA:</t>
        </r>
        <r>
          <rPr>
            <sz val="9"/>
            <color indexed="81"/>
            <rFont val="Tahoma"/>
            <family val="2"/>
          </rPr>
          <t xml:space="preserve">
проверити збир!
</t>
        </r>
      </text>
    </comment>
    <comment ref="I8938" authorId="0" shapeId="0">
      <text>
        <r>
          <rPr>
            <b/>
            <sz val="9"/>
            <color indexed="81"/>
            <rFont val="Tahoma"/>
            <family val="2"/>
          </rPr>
          <t>LPA:</t>
        </r>
        <r>
          <rPr>
            <sz val="9"/>
            <color indexed="81"/>
            <rFont val="Tahoma"/>
            <family val="2"/>
          </rPr>
          <t xml:space="preserve">
проверити збир!
</t>
        </r>
      </text>
    </comment>
    <comment ref="I8939" authorId="0" shapeId="0">
      <text>
        <r>
          <rPr>
            <b/>
            <sz val="9"/>
            <color indexed="81"/>
            <rFont val="Tahoma"/>
            <family val="2"/>
          </rPr>
          <t>LPA:</t>
        </r>
        <r>
          <rPr>
            <sz val="9"/>
            <color indexed="81"/>
            <rFont val="Tahoma"/>
            <family val="2"/>
          </rPr>
          <t xml:space="preserve">
проверити збир!
</t>
        </r>
      </text>
    </comment>
    <comment ref="I9008" authorId="0" shapeId="0">
      <text>
        <r>
          <rPr>
            <b/>
            <sz val="9"/>
            <color indexed="81"/>
            <rFont val="Tahoma"/>
            <family val="2"/>
          </rPr>
          <t>LPA:</t>
        </r>
        <r>
          <rPr>
            <sz val="9"/>
            <color indexed="81"/>
            <rFont val="Tahoma"/>
            <family val="2"/>
          </rPr>
          <t xml:space="preserve">
проверити збир!
</t>
        </r>
      </text>
    </comment>
    <comment ref="I9009" authorId="0" shapeId="0">
      <text>
        <r>
          <rPr>
            <b/>
            <sz val="9"/>
            <color indexed="81"/>
            <rFont val="Tahoma"/>
            <family val="2"/>
          </rPr>
          <t>LPA:</t>
        </r>
        <r>
          <rPr>
            <sz val="9"/>
            <color indexed="81"/>
            <rFont val="Tahoma"/>
            <family val="2"/>
          </rPr>
          <t xml:space="preserve">
проверити збир!
</t>
        </r>
      </text>
    </comment>
    <comment ref="I9010" authorId="0" shapeId="0">
      <text>
        <r>
          <rPr>
            <b/>
            <sz val="9"/>
            <color indexed="81"/>
            <rFont val="Tahoma"/>
            <family val="2"/>
          </rPr>
          <t>LPA:</t>
        </r>
        <r>
          <rPr>
            <sz val="9"/>
            <color indexed="81"/>
            <rFont val="Tahoma"/>
            <family val="2"/>
          </rPr>
          <t xml:space="preserve">
проверити збир!
</t>
        </r>
      </text>
    </comment>
    <comment ref="I9011" authorId="0" shapeId="0">
      <text>
        <r>
          <rPr>
            <b/>
            <sz val="9"/>
            <color indexed="81"/>
            <rFont val="Tahoma"/>
            <family val="2"/>
          </rPr>
          <t>LPA:</t>
        </r>
        <r>
          <rPr>
            <sz val="9"/>
            <color indexed="81"/>
            <rFont val="Tahoma"/>
            <family val="2"/>
          </rPr>
          <t xml:space="preserve">
проверити збир!
</t>
        </r>
      </text>
    </comment>
    <comment ref="I9012" authorId="0" shapeId="0">
      <text>
        <r>
          <rPr>
            <b/>
            <sz val="9"/>
            <color indexed="81"/>
            <rFont val="Tahoma"/>
            <family val="2"/>
          </rPr>
          <t>LPA:</t>
        </r>
        <r>
          <rPr>
            <sz val="9"/>
            <color indexed="81"/>
            <rFont val="Tahoma"/>
            <family val="2"/>
          </rPr>
          <t xml:space="preserve">
проверити збир!
</t>
        </r>
      </text>
    </comment>
    <comment ref="I9013" authorId="0" shapeId="0">
      <text>
        <r>
          <rPr>
            <b/>
            <sz val="9"/>
            <color indexed="81"/>
            <rFont val="Tahoma"/>
            <family val="2"/>
          </rPr>
          <t>LPA:</t>
        </r>
        <r>
          <rPr>
            <sz val="9"/>
            <color indexed="81"/>
            <rFont val="Tahoma"/>
            <family val="2"/>
          </rPr>
          <t xml:space="preserve">
проверити збир!
</t>
        </r>
      </text>
    </comment>
    <comment ref="I9014" authorId="0" shapeId="0">
      <text>
        <r>
          <rPr>
            <b/>
            <sz val="9"/>
            <color indexed="81"/>
            <rFont val="Tahoma"/>
            <family val="2"/>
          </rPr>
          <t>LPA:</t>
        </r>
        <r>
          <rPr>
            <sz val="9"/>
            <color indexed="81"/>
            <rFont val="Tahoma"/>
            <family val="2"/>
          </rPr>
          <t xml:space="preserve">
проверити збир!
</t>
        </r>
      </text>
    </comment>
    <comment ref="I9015" authorId="0" shapeId="0">
      <text>
        <r>
          <rPr>
            <b/>
            <sz val="9"/>
            <color indexed="81"/>
            <rFont val="Tahoma"/>
            <family val="2"/>
          </rPr>
          <t>LPA:</t>
        </r>
        <r>
          <rPr>
            <sz val="9"/>
            <color indexed="81"/>
            <rFont val="Tahoma"/>
            <family val="2"/>
          </rPr>
          <t xml:space="preserve">
проверити збир!
</t>
        </r>
      </text>
    </comment>
    <comment ref="I9016" authorId="0" shapeId="0">
      <text>
        <r>
          <rPr>
            <b/>
            <sz val="9"/>
            <color indexed="81"/>
            <rFont val="Tahoma"/>
            <family val="2"/>
          </rPr>
          <t>LPA:</t>
        </r>
        <r>
          <rPr>
            <sz val="9"/>
            <color indexed="81"/>
            <rFont val="Tahoma"/>
            <family val="2"/>
          </rPr>
          <t xml:space="preserve">
проверити збир!
</t>
        </r>
      </text>
    </comment>
    <comment ref="I9017" authorId="0" shapeId="0">
      <text>
        <r>
          <rPr>
            <b/>
            <sz val="9"/>
            <color indexed="81"/>
            <rFont val="Tahoma"/>
            <family val="2"/>
          </rPr>
          <t>LPA:</t>
        </r>
        <r>
          <rPr>
            <sz val="9"/>
            <color indexed="81"/>
            <rFont val="Tahoma"/>
            <family val="2"/>
          </rPr>
          <t xml:space="preserve">
проверити збир!
</t>
        </r>
      </text>
    </comment>
    <comment ref="I9018" authorId="0" shapeId="0">
      <text>
        <r>
          <rPr>
            <b/>
            <sz val="9"/>
            <color indexed="81"/>
            <rFont val="Tahoma"/>
            <family val="2"/>
          </rPr>
          <t>LPA:</t>
        </r>
        <r>
          <rPr>
            <sz val="9"/>
            <color indexed="81"/>
            <rFont val="Tahoma"/>
            <family val="2"/>
          </rPr>
          <t xml:space="preserve">
проверити збир!
</t>
        </r>
      </text>
    </comment>
    <comment ref="I9019" authorId="0" shapeId="0">
      <text>
        <r>
          <rPr>
            <b/>
            <sz val="9"/>
            <color indexed="81"/>
            <rFont val="Tahoma"/>
            <family val="2"/>
          </rPr>
          <t>LPA:</t>
        </r>
        <r>
          <rPr>
            <sz val="9"/>
            <color indexed="81"/>
            <rFont val="Tahoma"/>
            <family val="2"/>
          </rPr>
          <t xml:space="preserve">
проверити збир!
</t>
        </r>
      </text>
    </comment>
    <comment ref="I9020" authorId="0" shapeId="0">
      <text>
        <r>
          <rPr>
            <b/>
            <sz val="9"/>
            <color indexed="81"/>
            <rFont val="Tahoma"/>
            <family val="2"/>
          </rPr>
          <t>LPA:</t>
        </r>
        <r>
          <rPr>
            <sz val="9"/>
            <color indexed="81"/>
            <rFont val="Tahoma"/>
            <family val="2"/>
          </rPr>
          <t xml:space="preserve">
проверити збир!
</t>
        </r>
      </text>
    </comment>
    <comment ref="H9023" authorId="0" shapeId="0">
      <text>
        <r>
          <rPr>
            <b/>
            <sz val="9"/>
            <color indexed="81"/>
            <rFont val="Tahoma"/>
            <family val="2"/>
          </rPr>
          <t>LPA:</t>
        </r>
        <r>
          <rPr>
            <sz val="9"/>
            <color indexed="81"/>
            <rFont val="Tahoma"/>
            <family val="2"/>
          </rPr>
          <t xml:space="preserve">
проверити збир!</t>
        </r>
      </text>
    </comment>
    <comment ref="I9023" authorId="0" shapeId="0">
      <text>
        <r>
          <rPr>
            <b/>
            <sz val="9"/>
            <color indexed="81"/>
            <rFont val="Tahoma"/>
            <family val="2"/>
          </rPr>
          <t>LPA:</t>
        </r>
        <r>
          <rPr>
            <sz val="9"/>
            <color indexed="81"/>
            <rFont val="Tahoma"/>
            <family val="2"/>
          </rPr>
          <t xml:space="preserve">
проверити збир!</t>
        </r>
      </text>
    </comment>
    <comment ref="I9024" authorId="0" shapeId="0">
      <text>
        <r>
          <rPr>
            <b/>
            <sz val="9"/>
            <color indexed="81"/>
            <rFont val="Tahoma"/>
            <family val="2"/>
          </rPr>
          <t>LPA:</t>
        </r>
        <r>
          <rPr>
            <sz val="9"/>
            <color indexed="81"/>
            <rFont val="Tahoma"/>
            <family val="2"/>
          </rPr>
          <t xml:space="preserve">
проверити збир!
</t>
        </r>
      </text>
    </comment>
    <comment ref="I9025" authorId="0" shapeId="0">
      <text>
        <r>
          <rPr>
            <b/>
            <sz val="9"/>
            <color indexed="81"/>
            <rFont val="Tahoma"/>
            <family val="2"/>
          </rPr>
          <t>LPA:</t>
        </r>
        <r>
          <rPr>
            <sz val="9"/>
            <color indexed="81"/>
            <rFont val="Tahoma"/>
            <family val="2"/>
          </rPr>
          <t xml:space="preserve">
проверити збир!
</t>
        </r>
      </text>
    </comment>
    <comment ref="I9026" authorId="0" shapeId="0">
      <text>
        <r>
          <rPr>
            <b/>
            <sz val="9"/>
            <color indexed="81"/>
            <rFont val="Tahoma"/>
            <family val="2"/>
          </rPr>
          <t>LPA:</t>
        </r>
        <r>
          <rPr>
            <sz val="9"/>
            <color indexed="81"/>
            <rFont val="Tahoma"/>
            <family val="2"/>
          </rPr>
          <t xml:space="preserve">
проверити збир!
</t>
        </r>
      </text>
    </comment>
    <comment ref="I9027" authorId="0" shapeId="0">
      <text>
        <r>
          <rPr>
            <b/>
            <sz val="9"/>
            <color indexed="81"/>
            <rFont val="Tahoma"/>
            <family val="2"/>
          </rPr>
          <t>LPA:</t>
        </r>
        <r>
          <rPr>
            <sz val="9"/>
            <color indexed="81"/>
            <rFont val="Tahoma"/>
            <family val="2"/>
          </rPr>
          <t xml:space="preserve">
проверити збир!
</t>
        </r>
      </text>
    </comment>
    <comment ref="I9028" authorId="0" shapeId="0">
      <text>
        <r>
          <rPr>
            <b/>
            <sz val="9"/>
            <color indexed="81"/>
            <rFont val="Tahoma"/>
            <family val="2"/>
          </rPr>
          <t>LPA:</t>
        </r>
        <r>
          <rPr>
            <sz val="9"/>
            <color indexed="81"/>
            <rFont val="Tahoma"/>
            <family val="2"/>
          </rPr>
          <t xml:space="preserve">
проверити збир!
</t>
        </r>
      </text>
    </comment>
    <comment ref="I9029" authorId="0" shapeId="0">
      <text>
        <r>
          <rPr>
            <b/>
            <sz val="9"/>
            <color indexed="81"/>
            <rFont val="Tahoma"/>
            <family val="2"/>
          </rPr>
          <t>LPA:</t>
        </r>
        <r>
          <rPr>
            <sz val="9"/>
            <color indexed="81"/>
            <rFont val="Tahoma"/>
            <family val="2"/>
          </rPr>
          <t xml:space="preserve">
проверити збир!
</t>
        </r>
      </text>
    </comment>
    <comment ref="I9030" authorId="0" shapeId="0">
      <text>
        <r>
          <rPr>
            <b/>
            <sz val="9"/>
            <color indexed="81"/>
            <rFont val="Tahoma"/>
            <family val="2"/>
          </rPr>
          <t>LPA:</t>
        </r>
        <r>
          <rPr>
            <sz val="9"/>
            <color indexed="81"/>
            <rFont val="Tahoma"/>
            <family val="2"/>
          </rPr>
          <t xml:space="preserve">
проверити збир!
</t>
        </r>
      </text>
    </comment>
    <comment ref="I9031" authorId="0" shapeId="0">
      <text>
        <r>
          <rPr>
            <b/>
            <sz val="9"/>
            <color indexed="81"/>
            <rFont val="Tahoma"/>
            <family val="2"/>
          </rPr>
          <t>LPA:</t>
        </r>
        <r>
          <rPr>
            <sz val="9"/>
            <color indexed="81"/>
            <rFont val="Tahoma"/>
            <family val="2"/>
          </rPr>
          <t xml:space="preserve">
проверити збир!
</t>
        </r>
      </text>
    </comment>
    <comment ref="I9032" authorId="0" shapeId="0">
      <text>
        <r>
          <rPr>
            <b/>
            <sz val="9"/>
            <color indexed="81"/>
            <rFont val="Tahoma"/>
            <family val="2"/>
          </rPr>
          <t>LPA:</t>
        </r>
        <r>
          <rPr>
            <sz val="9"/>
            <color indexed="81"/>
            <rFont val="Tahoma"/>
            <family val="2"/>
          </rPr>
          <t xml:space="preserve">
проверити збир!
</t>
        </r>
      </text>
    </comment>
    <comment ref="I9033" authorId="0" shapeId="0">
      <text>
        <r>
          <rPr>
            <b/>
            <sz val="9"/>
            <color indexed="81"/>
            <rFont val="Tahoma"/>
            <family val="2"/>
          </rPr>
          <t>LPA:</t>
        </r>
        <r>
          <rPr>
            <sz val="9"/>
            <color indexed="81"/>
            <rFont val="Tahoma"/>
            <family val="2"/>
          </rPr>
          <t xml:space="preserve">
проверити збир!
</t>
        </r>
      </text>
    </comment>
    <comment ref="I9034" authorId="0" shapeId="0">
      <text>
        <r>
          <rPr>
            <b/>
            <sz val="9"/>
            <color indexed="81"/>
            <rFont val="Tahoma"/>
            <family val="2"/>
          </rPr>
          <t>LPA:</t>
        </r>
        <r>
          <rPr>
            <sz val="9"/>
            <color indexed="81"/>
            <rFont val="Tahoma"/>
            <family val="2"/>
          </rPr>
          <t xml:space="preserve">
проверити збир!
</t>
        </r>
      </text>
    </comment>
    <comment ref="I9035" authorId="0" shapeId="0">
      <text>
        <r>
          <rPr>
            <b/>
            <sz val="9"/>
            <color indexed="81"/>
            <rFont val="Tahoma"/>
            <family val="2"/>
          </rPr>
          <t>LPA:</t>
        </r>
        <r>
          <rPr>
            <sz val="9"/>
            <color indexed="81"/>
            <rFont val="Tahoma"/>
            <family val="2"/>
          </rPr>
          <t xml:space="preserve">
проверити збир!
</t>
        </r>
      </text>
    </comment>
    <comment ref="I9036" authorId="0" shapeId="0">
      <text>
        <r>
          <rPr>
            <b/>
            <sz val="9"/>
            <color indexed="81"/>
            <rFont val="Tahoma"/>
            <family val="2"/>
          </rPr>
          <t>LPA:</t>
        </r>
        <r>
          <rPr>
            <sz val="9"/>
            <color indexed="81"/>
            <rFont val="Tahoma"/>
            <family val="2"/>
          </rPr>
          <t xml:space="preserve">
проверити збир!
</t>
        </r>
      </text>
    </comment>
    <comment ref="I9037" authorId="0" shapeId="0">
      <text>
        <r>
          <rPr>
            <b/>
            <sz val="9"/>
            <color indexed="81"/>
            <rFont val="Tahoma"/>
            <family val="2"/>
          </rPr>
          <t>LPA:</t>
        </r>
        <r>
          <rPr>
            <sz val="9"/>
            <color indexed="81"/>
            <rFont val="Tahoma"/>
            <family val="2"/>
          </rPr>
          <t xml:space="preserve">
проверити збир!
</t>
        </r>
      </text>
    </comment>
    <comment ref="I9038" authorId="0" shapeId="0">
      <text>
        <r>
          <rPr>
            <b/>
            <sz val="9"/>
            <color indexed="81"/>
            <rFont val="Tahoma"/>
            <family val="2"/>
          </rPr>
          <t>LPA:</t>
        </r>
        <r>
          <rPr>
            <sz val="9"/>
            <color indexed="81"/>
            <rFont val="Tahoma"/>
            <family val="2"/>
          </rPr>
          <t xml:space="preserve">
проверити збир!
</t>
        </r>
      </text>
    </comment>
    <comment ref="I9107" authorId="0" shapeId="0">
      <text>
        <r>
          <rPr>
            <b/>
            <sz val="9"/>
            <color indexed="81"/>
            <rFont val="Tahoma"/>
            <family val="2"/>
          </rPr>
          <t>LPA:</t>
        </r>
        <r>
          <rPr>
            <sz val="9"/>
            <color indexed="81"/>
            <rFont val="Tahoma"/>
            <family val="2"/>
          </rPr>
          <t xml:space="preserve">
проверити збир!
</t>
        </r>
      </text>
    </comment>
    <comment ref="I9108" authorId="0" shapeId="0">
      <text>
        <r>
          <rPr>
            <b/>
            <sz val="9"/>
            <color indexed="81"/>
            <rFont val="Tahoma"/>
            <family val="2"/>
          </rPr>
          <t>LPA:</t>
        </r>
        <r>
          <rPr>
            <sz val="9"/>
            <color indexed="81"/>
            <rFont val="Tahoma"/>
            <family val="2"/>
          </rPr>
          <t xml:space="preserve">
проверити збир!
</t>
        </r>
      </text>
    </comment>
    <comment ref="I9109" authorId="0" shapeId="0">
      <text>
        <r>
          <rPr>
            <b/>
            <sz val="9"/>
            <color indexed="81"/>
            <rFont val="Tahoma"/>
            <family val="2"/>
          </rPr>
          <t>LPA:</t>
        </r>
        <r>
          <rPr>
            <sz val="9"/>
            <color indexed="81"/>
            <rFont val="Tahoma"/>
            <family val="2"/>
          </rPr>
          <t xml:space="preserve">
проверити збир!
</t>
        </r>
      </text>
    </comment>
    <comment ref="I9110" authorId="0" shapeId="0">
      <text>
        <r>
          <rPr>
            <b/>
            <sz val="9"/>
            <color indexed="81"/>
            <rFont val="Tahoma"/>
            <family val="2"/>
          </rPr>
          <t>LPA:</t>
        </r>
        <r>
          <rPr>
            <sz val="9"/>
            <color indexed="81"/>
            <rFont val="Tahoma"/>
            <family val="2"/>
          </rPr>
          <t xml:space="preserve">
проверити збир!
</t>
        </r>
      </text>
    </comment>
    <comment ref="I9111" authorId="0" shapeId="0">
      <text>
        <r>
          <rPr>
            <b/>
            <sz val="9"/>
            <color indexed="81"/>
            <rFont val="Tahoma"/>
            <family val="2"/>
          </rPr>
          <t>LPA:</t>
        </r>
        <r>
          <rPr>
            <sz val="9"/>
            <color indexed="81"/>
            <rFont val="Tahoma"/>
            <family val="2"/>
          </rPr>
          <t xml:space="preserve">
проверити збир!
</t>
        </r>
      </text>
    </comment>
    <comment ref="I9112" authorId="0" shapeId="0">
      <text>
        <r>
          <rPr>
            <b/>
            <sz val="9"/>
            <color indexed="81"/>
            <rFont val="Tahoma"/>
            <family val="2"/>
          </rPr>
          <t>LPA:</t>
        </r>
        <r>
          <rPr>
            <sz val="9"/>
            <color indexed="81"/>
            <rFont val="Tahoma"/>
            <family val="2"/>
          </rPr>
          <t xml:space="preserve">
проверити збир!
</t>
        </r>
      </text>
    </comment>
    <comment ref="I9113" authorId="0" shapeId="0">
      <text>
        <r>
          <rPr>
            <b/>
            <sz val="9"/>
            <color indexed="81"/>
            <rFont val="Tahoma"/>
            <family val="2"/>
          </rPr>
          <t>LPA:</t>
        </r>
        <r>
          <rPr>
            <sz val="9"/>
            <color indexed="81"/>
            <rFont val="Tahoma"/>
            <family val="2"/>
          </rPr>
          <t xml:space="preserve">
проверити збир!
</t>
        </r>
      </text>
    </comment>
    <comment ref="I9114" authorId="0" shapeId="0">
      <text>
        <r>
          <rPr>
            <b/>
            <sz val="9"/>
            <color indexed="81"/>
            <rFont val="Tahoma"/>
            <family val="2"/>
          </rPr>
          <t>LPA:</t>
        </r>
        <r>
          <rPr>
            <sz val="9"/>
            <color indexed="81"/>
            <rFont val="Tahoma"/>
            <family val="2"/>
          </rPr>
          <t xml:space="preserve">
проверити збир!
</t>
        </r>
      </text>
    </comment>
    <comment ref="I9115" authorId="0" shapeId="0">
      <text>
        <r>
          <rPr>
            <b/>
            <sz val="9"/>
            <color indexed="81"/>
            <rFont val="Tahoma"/>
            <family val="2"/>
          </rPr>
          <t>LPA:</t>
        </r>
        <r>
          <rPr>
            <sz val="9"/>
            <color indexed="81"/>
            <rFont val="Tahoma"/>
            <family val="2"/>
          </rPr>
          <t xml:space="preserve">
проверити збир!
</t>
        </r>
      </text>
    </comment>
    <comment ref="I9116" authorId="0" shapeId="0">
      <text>
        <r>
          <rPr>
            <b/>
            <sz val="9"/>
            <color indexed="81"/>
            <rFont val="Tahoma"/>
            <family val="2"/>
          </rPr>
          <t>LPA:</t>
        </r>
        <r>
          <rPr>
            <sz val="9"/>
            <color indexed="81"/>
            <rFont val="Tahoma"/>
            <family val="2"/>
          </rPr>
          <t xml:space="preserve">
проверити збир!
</t>
        </r>
      </text>
    </comment>
    <comment ref="I9117" authorId="0" shapeId="0">
      <text>
        <r>
          <rPr>
            <b/>
            <sz val="9"/>
            <color indexed="81"/>
            <rFont val="Tahoma"/>
            <family val="2"/>
          </rPr>
          <t>LPA:</t>
        </r>
        <r>
          <rPr>
            <sz val="9"/>
            <color indexed="81"/>
            <rFont val="Tahoma"/>
            <family val="2"/>
          </rPr>
          <t xml:space="preserve">
проверити збир!
</t>
        </r>
      </text>
    </comment>
    <comment ref="I9118" authorId="0" shapeId="0">
      <text>
        <r>
          <rPr>
            <b/>
            <sz val="9"/>
            <color indexed="81"/>
            <rFont val="Tahoma"/>
            <family val="2"/>
          </rPr>
          <t>LPA:</t>
        </r>
        <r>
          <rPr>
            <sz val="9"/>
            <color indexed="81"/>
            <rFont val="Tahoma"/>
            <family val="2"/>
          </rPr>
          <t xml:space="preserve">
проверити збир!
</t>
        </r>
      </text>
    </comment>
    <comment ref="I9119" authorId="0" shapeId="0">
      <text>
        <r>
          <rPr>
            <b/>
            <sz val="9"/>
            <color indexed="81"/>
            <rFont val="Tahoma"/>
            <family val="2"/>
          </rPr>
          <t>LPA:</t>
        </r>
        <r>
          <rPr>
            <sz val="9"/>
            <color indexed="81"/>
            <rFont val="Tahoma"/>
            <family val="2"/>
          </rPr>
          <t xml:space="preserve">
проверити збир!
</t>
        </r>
      </text>
    </comment>
    <comment ref="I9125" authorId="0" shapeId="0">
      <text>
        <r>
          <rPr>
            <b/>
            <sz val="9"/>
            <color indexed="81"/>
            <rFont val="Tahoma"/>
            <family val="2"/>
          </rPr>
          <t>LPA:</t>
        </r>
        <r>
          <rPr>
            <sz val="9"/>
            <color indexed="81"/>
            <rFont val="Tahoma"/>
            <family val="2"/>
          </rPr>
          <t xml:space="preserve">
проверити збир!
</t>
        </r>
      </text>
    </comment>
    <comment ref="I9126" authorId="0" shapeId="0">
      <text>
        <r>
          <rPr>
            <b/>
            <sz val="9"/>
            <color indexed="81"/>
            <rFont val="Tahoma"/>
            <family val="2"/>
          </rPr>
          <t>LPA:</t>
        </r>
        <r>
          <rPr>
            <sz val="9"/>
            <color indexed="81"/>
            <rFont val="Tahoma"/>
            <family val="2"/>
          </rPr>
          <t xml:space="preserve">
проверити збир!
</t>
        </r>
      </text>
    </comment>
    <comment ref="I9127" authorId="0" shapeId="0">
      <text>
        <r>
          <rPr>
            <b/>
            <sz val="9"/>
            <color indexed="81"/>
            <rFont val="Tahoma"/>
            <family val="2"/>
          </rPr>
          <t>LPA:</t>
        </r>
        <r>
          <rPr>
            <sz val="9"/>
            <color indexed="81"/>
            <rFont val="Tahoma"/>
            <family val="2"/>
          </rPr>
          <t xml:space="preserve">
проверити збир!
</t>
        </r>
      </text>
    </comment>
    <comment ref="I9128" authorId="0" shapeId="0">
      <text>
        <r>
          <rPr>
            <b/>
            <sz val="9"/>
            <color indexed="81"/>
            <rFont val="Tahoma"/>
            <family val="2"/>
          </rPr>
          <t>LPA:</t>
        </r>
        <r>
          <rPr>
            <sz val="9"/>
            <color indexed="81"/>
            <rFont val="Tahoma"/>
            <family val="2"/>
          </rPr>
          <t xml:space="preserve">
проверити збир!
</t>
        </r>
      </text>
    </comment>
    <comment ref="I9129" authorId="0" shapeId="0">
      <text>
        <r>
          <rPr>
            <b/>
            <sz val="9"/>
            <color indexed="81"/>
            <rFont val="Tahoma"/>
            <family val="2"/>
          </rPr>
          <t>LPA:</t>
        </r>
        <r>
          <rPr>
            <sz val="9"/>
            <color indexed="81"/>
            <rFont val="Tahoma"/>
            <family val="2"/>
          </rPr>
          <t xml:space="preserve">
проверити збир!
</t>
        </r>
      </text>
    </comment>
    <comment ref="I9130" authorId="0" shapeId="0">
      <text>
        <r>
          <rPr>
            <b/>
            <sz val="9"/>
            <color indexed="81"/>
            <rFont val="Tahoma"/>
            <family val="2"/>
          </rPr>
          <t>LPA:</t>
        </r>
        <r>
          <rPr>
            <sz val="9"/>
            <color indexed="81"/>
            <rFont val="Tahoma"/>
            <family val="2"/>
          </rPr>
          <t xml:space="preserve">
проверити збир!
</t>
        </r>
      </text>
    </comment>
    <comment ref="I9131" authorId="0" shapeId="0">
      <text>
        <r>
          <rPr>
            <b/>
            <sz val="9"/>
            <color indexed="81"/>
            <rFont val="Tahoma"/>
            <family val="2"/>
          </rPr>
          <t>LPA:</t>
        </r>
        <r>
          <rPr>
            <sz val="9"/>
            <color indexed="81"/>
            <rFont val="Tahoma"/>
            <family val="2"/>
          </rPr>
          <t xml:space="preserve">
проверити збир!
</t>
        </r>
      </text>
    </comment>
    <comment ref="I9132" authorId="0" shapeId="0">
      <text>
        <r>
          <rPr>
            <b/>
            <sz val="9"/>
            <color indexed="81"/>
            <rFont val="Tahoma"/>
            <family val="2"/>
          </rPr>
          <t>LPA:</t>
        </r>
        <r>
          <rPr>
            <sz val="9"/>
            <color indexed="81"/>
            <rFont val="Tahoma"/>
            <family val="2"/>
          </rPr>
          <t xml:space="preserve">
проверити збир!
</t>
        </r>
      </text>
    </comment>
    <comment ref="I9133" authorId="0" shapeId="0">
      <text>
        <r>
          <rPr>
            <b/>
            <sz val="9"/>
            <color indexed="81"/>
            <rFont val="Tahoma"/>
            <family val="2"/>
          </rPr>
          <t>LPA:</t>
        </r>
        <r>
          <rPr>
            <sz val="9"/>
            <color indexed="81"/>
            <rFont val="Tahoma"/>
            <family val="2"/>
          </rPr>
          <t xml:space="preserve">
проверити збир!
</t>
        </r>
      </text>
    </comment>
    <comment ref="I9134" authorId="0" shapeId="0">
      <text>
        <r>
          <rPr>
            <b/>
            <sz val="9"/>
            <color indexed="81"/>
            <rFont val="Tahoma"/>
            <family val="2"/>
          </rPr>
          <t>LPA:</t>
        </r>
        <r>
          <rPr>
            <sz val="9"/>
            <color indexed="81"/>
            <rFont val="Tahoma"/>
            <family val="2"/>
          </rPr>
          <t xml:space="preserve">
проверити збир!
</t>
        </r>
      </text>
    </comment>
    <comment ref="I9135" authorId="0" shapeId="0">
      <text>
        <r>
          <rPr>
            <b/>
            <sz val="9"/>
            <color indexed="81"/>
            <rFont val="Tahoma"/>
            <family val="2"/>
          </rPr>
          <t>LPA:</t>
        </r>
        <r>
          <rPr>
            <sz val="9"/>
            <color indexed="81"/>
            <rFont val="Tahoma"/>
            <family val="2"/>
          </rPr>
          <t xml:space="preserve">
проверити збир!
</t>
        </r>
      </text>
    </comment>
    <comment ref="I9136" authorId="0" shapeId="0">
      <text>
        <r>
          <rPr>
            <b/>
            <sz val="9"/>
            <color indexed="81"/>
            <rFont val="Tahoma"/>
            <family val="2"/>
          </rPr>
          <t>LPA:</t>
        </r>
        <r>
          <rPr>
            <sz val="9"/>
            <color indexed="81"/>
            <rFont val="Tahoma"/>
            <family val="2"/>
          </rPr>
          <t xml:space="preserve">
проверити збир!
</t>
        </r>
      </text>
    </comment>
    <comment ref="I9137" authorId="0" shapeId="0">
      <text>
        <r>
          <rPr>
            <b/>
            <sz val="9"/>
            <color indexed="81"/>
            <rFont val="Tahoma"/>
            <family val="2"/>
          </rPr>
          <t>LPA:</t>
        </r>
        <r>
          <rPr>
            <sz val="9"/>
            <color indexed="81"/>
            <rFont val="Tahoma"/>
            <family val="2"/>
          </rPr>
          <t xml:space="preserve">
проверити збир!
</t>
        </r>
      </text>
    </comment>
    <comment ref="H9141" authorId="0" shapeId="0">
      <text>
        <r>
          <rPr>
            <b/>
            <sz val="9"/>
            <color indexed="81"/>
            <rFont val="Tahoma"/>
            <family val="2"/>
          </rPr>
          <t>LPA:</t>
        </r>
        <r>
          <rPr>
            <sz val="9"/>
            <color indexed="81"/>
            <rFont val="Tahoma"/>
            <family val="2"/>
          </rPr>
          <t xml:space="preserve">
проверити збир!</t>
        </r>
      </text>
    </comment>
    <comment ref="I9141" authorId="0" shapeId="0">
      <text>
        <r>
          <rPr>
            <b/>
            <sz val="9"/>
            <color indexed="81"/>
            <rFont val="Tahoma"/>
            <family val="2"/>
          </rPr>
          <t>LPA:</t>
        </r>
        <r>
          <rPr>
            <sz val="9"/>
            <color indexed="81"/>
            <rFont val="Tahoma"/>
            <family val="2"/>
          </rPr>
          <t xml:space="preserve">
проверити збир!
</t>
        </r>
      </text>
    </comment>
    <comment ref="I9142" authorId="0" shapeId="0">
      <text>
        <r>
          <rPr>
            <b/>
            <sz val="9"/>
            <color indexed="81"/>
            <rFont val="Tahoma"/>
            <family val="2"/>
          </rPr>
          <t>LPA:</t>
        </r>
        <r>
          <rPr>
            <sz val="9"/>
            <color indexed="81"/>
            <rFont val="Tahoma"/>
            <family val="2"/>
          </rPr>
          <t xml:space="preserve">
проверити збир!
</t>
        </r>
      </text>
    </comment>
    <comment ref="I9143" authorId="0" shapeId="0">
      <text>
        <r>
          <rPr>
            <b/>
            <sz val="9"/>
            <color indexed="81"/>
            <rFont val="Tahoma"/>
            <family val="2"/>
          </rPr>
          <t>LPA:</t>
        </r>
        <r>
          <rPr>
            <sz val="9"/>
            <color indexed="81"/>
            <rFont val="Tahoma"/>
            <family val="2"/>
          </rPr>
          <t xml:space="preserve">
проверити збир!
</t>
        </r>
      </text>
    </comment>
    <comment ref="I9144" authorId="0" shapeId="0">
      <text>
        <r>
          <rPr>
            <b/>
            <sz val="9"/>
            <color indexed="81"/>
            <rFont val="Tahoma"/>
            <family val="2"/>
          </rPr>
          <t>LPA:</t>
        </r>
        <r>
          <rPr>
            <sz val="9"/>
            <color indexed="81"/>
            <rFont val="Tahoma"/>
            <family val="2"/>
          </rPr>
          <t xml:space="preserve">
проверити збир!
</t>
        </r>
      </text>
    </comment>
    <comment ref="I9145" authorId="0" shapeId="0">
      <text>
        <r>
          <rPr>
            <b/>
            <sz val="9"/>
            <color indexed="81"/>
            <rFont val="Tahoma"/>
            <family val="2"/>
          </rPr>
          <t>LPA:</t>
        </r>
        <r>
          <rPr>
            <sz val="9"/>
            <color indexed="81"/>
            <rFont val="Tahoma"/>
            <family val="2"/>
          </rPr>
          <t xml:space="preserve">
проверити збир!
</t>
        </r>
      </text>
    </comment>
    <comment ref="I9146" authorId="0" shapeId="0">
      <text>
        <r>
          <rPr>
            <b/>
            <sz val="9"/>
            <color indexed="81"/>
            <rFont val="Tahoma"/>
            <family val="2"/>
          </rPr>
          <t>LPA:</t>
        </r>
        <r>
          <rPr>
            <sz val="9"/>
            <color indexed="81"/>
            <rFont val="Tahoma"/>
            <family val="2"/>
          </rPr>
          <t xml:space="preserve">
проверити збир!
</t>
        </r>
      </text>
    </comment>
    <comment ref="I9147" authorId="0" shapeId="0">
      <text>
        <r>
          <rPr>
            <b/>
            <sz val="9"/>
            <color indexed="81"/>
            <rFont val="Tahoma"/>
            <family val="2"/>
          </rPr>
          <t>LPA:</t>
        </r>
        <r>
          <rPr>
            <sz val="9"/>
            <color indexed="81"/>
            <rFont val="Tahoma"/>
            <family val="2"/>
          </rPr>
          <t xml:space="preserve">
проверити збир!
</t>
        </r>
      </text>
    </comment>
    <comment ref="I9148" authorId="0" shapeId="0">
      <text>
        <r>
          <rPr>
            <b/>
            <sz val="9"/>
            <color indexed="81"/>
            <rFont val="Tahoma"/>
            <family val="2"/>
          </rPr>
          <t>LPA:</t>
        </r>
        <r>
          <rPr>
            <sz val="9"/>
            <color indexed="81"/>
            <rFont val="Tahoma"/>
            <family val="2"/>
          </rPr>
          <t xml:space="preserve">
проверити збир!
</t>
        </r>
      </text>
    </comment>
    <comment ref="I9149" authorId="0" shapeId="0">
      <text>
        <r>
          <rPr>
            <b/>
            <sz val="9"/>
            <color indexed="81"/>
            <rFont val="Tahoma"/>
            <family val="2"/>
          </rPr>
          <t>LPA:</t>
        </r>
        <r>
          <rPr>
            <sz val="9"/>
            <color indexed="81"/>
            <rFont val="Tahoma"/>
            <family val="2"/>
          </rPr>
          <t xml:space="preserve">
проверити збир!
</t>
        </r>
      </text>
    </comment>
    <comment ref="I9150" authorId="0" shapeId="0">
      <text>
        <r>
          <rPr>
            <b/>
            <sz val="9"/>
            <color indexed="81"/>
            <rFont val="Tahoma"/>
            <family val="2"/>
          </rPr>
          <t>LPA:</t>
        </r>
        <r>
          <rPr>
            <sz val="9"/>
            <color indexed="81"/>
            <rFont val="Tahoma"/>
            <family val="2"/>
          </rPr>
          <t xml:space="preserve">
проверити збир!
</t>
        </r>
      </text>
    </comment>
    <comment ref="I9151" authorId="0" shapeId="0">
      <text>
        <r>
          <rPr>
            <b/>
            <sz val="9"/>
            <color indexed="81"/>
            <rFont val="Tahoma"/>
            <family val="2"/>
          </rPr>
          <t>LPA:</t>
        </r>
        <r>
          <rPr>
            <sz val="9"/>
            <color indexed="81"/>
            <rFont val="Tahoma"/>
            <family val="2"/>
          </rPr>
          <t xml:space="preserve">
проверити збир!
</t>
        </r>
      </text>
    </comment>
    <comment ref="I9152" authorId="0" shapeId="0">
      <text>
        <r>
          <rPr>
            <b/>
            <sz val="9"/>
            <color indexed="81"/>
            <rFont val="Tahoma"/>
            <family val="2"/>
          </rPr>
          <t>LPA:</t>
        </r>
        <r>
          <rPr>
            <sz val="9"/>
            <color indexed="81"/>
            <rFont val="Tahoma"/>
            <family val="2"/>
          </rPr>
          <t xml:space="preserve">
проверити збир!
</t>
        </r>
      </text>
    </comment>
    <comment ref="I9153" authorId="0" shapeId="0">
      <text>
        <r>
          <rPr>
            <b/>
            <sz val="9"/>
            <color indexed="81"/>
            <rFont val="Tahoma"/>
            <family val="2"/>
          </rPr>
          <t>LPA:</t>
        </r>
        <r>
          <rPr>
            <sz val="9"/>
            <color indexed="81"/>
            <rFont val="Tahoma"/>
            <family val="2"/>
          </rPr>
          <t xml:space="preserve">
проверити збир!
</t>
        </r>
      </text>
    </comment>
    <comment ref="I9154" authorId="0" shapeId="0">
      <text>
        <r>
          <rPr>
            <b/>
            <sz val="9"/>
            <color indexed="81"/>
            <rFont val="Tahoma"/>
            <family val="2"/>
          </rPr>
          <t>LPA:</t>
        </r>
        <r>
          <rPr>
            <sz val="9"/>
            <color indexed="81"/>
            <rFont val="Tahoma"/>
            <family val="2"/>
          </rPr>
          <t xml:space="preserve">
проверити збир!
</t>
        </r>
      </text>
    </comment>
    <comment ref="I9155" authorId="0" shapeId="0">
      <text>
        <r>
          <rPr>
            <b/>
            <sz val="9"/>
            <color indexed="81"/>
            <rFont val="Tahoma"/>
            <family val="2"/>
          </rPr>
          <t>LPA:</t>
        </r>
        <r>
          <rPr>
            <sz val="9"/>
            <color indexed="81"/>
            <rFont val="Tahoma"/>
            <family val="2"/>
          </rPr>
          <t xml:space="preserve">
проверити збир!
</t>
        </r>
      </text>
    </comment>
    <comment ref="I9156" authorId="0" shapeId="0">
      <text>
        <r>
          <rPr>
            <b/>
            <sz val="9"/>
            <color indexed="81"/>
            <rFont val="Tahoma"/>
            <family val="2"/>
          </rPr>
          <t>LPA:</t>
        </r>
        <r>
          <rPr>
            <sz val="9"/>
            <color indexed="81"/>
            <rFont val="Tahoma"/>
            <family val="2"/>
          </rPr>
          <t xml:space="preserve">
проверити збир!
</t>
        </r>
      </text>
    </comment>
    <comment ref="H9160" authorId="0" shapeId="0">
      <text>
        <r>
          <rPr>
            <b/>
            <sz val="9"/>
            <color indexed="81"/>
            <rFont val="Tahoma"/>
            <family val="2"/>
          </rPr>
          <t>LPA:</t>
        </r>
        <r>
          <rPr>
            <sz val="9"/>
            <color indexed="81"/>
            <rFont val="Tahoma"/>
            <family val="2"/>
          </rPr>
          <t xml:space="preserve">
проверити збир!</t>
        </r>
      </text>
    </comment>
    <comment ref="I9160" authorId="0" shapeId="0">
      <text>
        <r>
          <rPr>
            <b/>
            <sz val="9"/>
            <color indexed="81"/>
            <rFont val="Tahoma"/>
            <family val="2"/>
          </rPr>
          <t>LPA:</t>
        </r>
        <r>
          <rPr>
            <sz val="9"/>
            <color indexed="81"/>
            <rFont val="Tahoma"/>
            <family val="2"/>
          </rPr>
          <t xml:space="preserve">
проверити збир!
</t>
        </r>
      </text>
    </comment>
    <comment ref="I9161" authorId="0" shapeId="0">
      <text>
        <r>
          <rPr>
            <b/>
            <sz val="9"/>
            <color indexed="81"/>
            <rFont val="Tahoma"/>
            <family val="2"/>
          </rPr>
          <t>LPA:</t>
        </r>
        <r>
          <rPr>
            <sz val="9"/>
            <color indexed="81"/>
            <rFont val="Tahoma"/>
            <family val="2"/>
          </rPr>
          <t xml:space="preserve">
проверити збир!
</t>
        </r>
      </text>
    </comment>
    <comment ref="I9162" authorId="0" shapeId="0">
      <text>
        <r>
          <rPr>
            <b/>
            <sz val="9"/>
            <color indexed="81"/>
            <rFont val="Tahoma"/>
            <family val="2"/>
          </rPr>
          <t>LPA:</t>
        </r>
        <r>
          <rPr>
            <sz val="9"/>
            <color indexed="81"/>
            <rFont val="Tahoma"/>
            <family val="2"/>
          </rPr>
          <t xml:space="preserve">
проверити збир!
</t>
        </r>
      </text>
    </comment>
    <comment ref="I9163" authorId="0" shapeId="0">
      <text>
        <r>
          <rPr>
            <b/>
            <sz val="9"/>
            <color indexed="81"/>
            <rFont val="Tahoma"/>
            <family val="2"/>
          </rPr>
          <t>LPA:</t>
        </r>
        <r>
          <rPr>
            <sz val="9"/>
            <color indexed="81"/>
            <rFont val="Tahoma"/>
            <family val="2"/>
          </rPr>
          <t xml:space="preserve">
проверити збир!
</t>
        </r>
      </text>
    </comment>
    <comment ref="I9164" authorId="0" shapeId="0">
      <text>
        <r>
          <rPr>
            <b/>
            <sz val="9"/>
            <color indexed="81"/>
            <rFont val="Tahoma"/>
            <family val="2"/>
          </rPr>
          <t>LPA:</t>
        </r>
        <r>
          <rPr>
            <sz val="9"/>
            <color indexed="81"/>
            <rFont val="Tahoma"/>
            <family val="2"/>
          </rPr>
          <t xml:space="preserve">
проверити збир!
</t>
        </r>
      </text>
    </comment>
    <comment ref="I9165" authorId="0" shapeId="0">
      <text>
        <r>
          <rPr>
            <b/>
            <sz val="9"/>
            <color indexed="81"/>
            <rFont val="Tahoma"/>
            <family val="2"/>
          </rPr>
          <t>LPA:</t>
        </r>
        <r>
          <rPr>
            <sz val="9"/>
            <color indexed="81"/>
            <rFont val="Tahoma"/>
            <family val="2"/>
          </rPr>
          <t xml:space="preserve">
проверити збир!
</t>
        </r>
      </text>
    </comment>
    <comment ref="I9166" authorId="0" shapeId="0">
      <text>
        <r>
          <rPr>
            <b/>
            <sz val="9"/>
            <color indexed="81"/>
            <rFont val="Tahoma"/>
            <family val="2"/>
          </rPr>
          <t>LPA:</t>
        </r>
        <r>
          <rPr>
            <sz val="9"/>
            <color indexed="81"/>
            <rFont val="Tahoma"/>
            <family val="2"/>
          </rPr>
          <t xml:space="preserve">
проверити збир!
</t>
        </r>
      </text>
    </comment>
    <comment ref="I9167" authorId="0" shapeId="0">
      <text>
        <r>
          <rPr>
            <b/>
            <sz val="9"/>
            <color indexed="81"/>
            <rFont val="Tahoma"/>
            <family val="2"/>
          </rPr>
          <t>LPA:</t>
        </r>
        <r>
          <rPr>
            <sz val="9"/>
            <color indexed="81"/>
            <rFont val="Tahoma"/>
            <family val="2"/>
          </rPr>
          <t xml:space="preserve">
проверити збир!
</t>
        </r>
      </text>
    </comment>
    <comment ref="I9168" authorId="0" shapeId="0">
      <text>
        <r>
          <rPr>
            <b/>
            <sz val="9"/>
            <color indexed="81"/>
            <rFont val="Tahoma"/>
            <family val="2"/>
          </rPr>
          <t>LPA:</t>
        </r>
        <r>
          <rPr>
            <sz val="9"/>
            <color indexed="81"/>
            <rFont val="Tahoma"/>
            <family val="2"/>
          </rPr>
          <t xml:space="preserve">
проверити збир!
</t>
        </r>
      </text>
    </comment>
    <comment ref="I9169" authorId="0" shapeId="0">
      <text>
        <r>
          <rPr>
            <b/>
            <sz val="9"/>
            <color indexed="81"/>
            <rFont val="Tahoma"/>
            <family val="2"/>
          </rPr>
          <t>LPA:</t>
        </r>
        <r>
          <rPr>
            <sz val="9"/>
            <color indexed="81"/>
            <rFont val="Tahoma"/>
            <family val="2"/>
          </rPr>
          <t xml:space="preserve">
проверити збир!
</t>
        </r>
      </text>
    </comment>
    <comment ref="I9170" authorId="0" shapeId="0">
      <text>
        <r>
          <rPr>
            <b/>
            <sz val="9"/>
            <color indexed="81"/>
            <rFont val="Tahoma"/>
            <family val="2"/>
          </rPr>
          <t>LPA:</t>
        </r>
        <r>
          <rPr>
            <sz val="9"/>
            <color indexed="81"/>
            <rFont val="Tahoma"/>
            <family val="2"/>
          </rPr>
          <t xml:space="preserve">
проверити збир!
</t>
        </r>
      </text>
    </comment>
    <comment ref="I9171" authorId="0" shapeId="0">
      <text>
        <r>
          <rPr>
            <b/>
            <sz val="9"/>
            <color indexed="81"/>
            <rFont val="Tahoma"/>
            <family val="2"/>
          </rPr>
          <t>LPA:</t>
        </r>
        <r>
          <rPr>
            <sz val="9"/>
            <color indexed="81"/>
            <rFont val="Tahoma"/>
            <family val="2"/>
          </rPr>
          <t xml:space="preserve">
проверити збир!
</t>
        </r>
      </text>
    </comment>
    <comment ref="I9172" authorId="0" shapeId="0">
      <text>
        <r>
          <rPr>
            <b/>
            <sz val="9"/>
            <color indexed="81"/>
            <rFont val="Tahoma"/>
            <family val="2"/>
          </rPr>
          <t>LPA:</t>
        </r>
        <r>
          <rPr>
            <sz val="9"/>
            <color indexed="81"/>
            <rFont val="Tahoma"/>
            <family val="2"/>
          </rPr>
          <t xml:space="preserve">
проверити збир!
</t>
        </r>
      </text>
    </comment>
    <comment ref="I9173" authorId="0" shapeId="0">
      <text>
        <r>
          <rPr>
            <b/>
            <sz val="9"/>
            <color indexed="81"/>
            <rFont val="Tahoma"/>
            <family val="2"/>
          </rPr>
          <t>LPA:</t>
        </r>
        <r>
          <rPr>
            <sz val="9"/>
            <color indexed="81"/>
            <rFont val="Tahoma"/>
            <family val="2"/>
          </rPr>
          <t xml:space="preserve">
проверити збир!
</t>
        </r>
      </text>
    </comment>
    <comment ref="I9174" authorId="0" shapeId="0">
      <text>
        <r>
          <rPr>
            <b/>
            <sz val="9"/>
            <color indexed="81"/>
            <rFont val="Tahoma"/>
            <family val="2"/>
          </rPr>
          <t>LPA:</t>
        </r>
        <r>
          <rPr>
            <sz val="9"/>
            <color indexed="81"/>
            <rFont val="Tahoma"/>
            <family val="2"/>
          </rPr>
          <t xml:space="preserve">
проверити збир!
</t>
        </r>
      </text>
    </comment>
    <comment ref="I9175" authorId="0" shapeId="0">
      <text>
        <r>
          <rPr>
            <b/>
            <sz val="9"/>
            <color indexed="81"/>
            <rFont val="Tahoma"/>
            <family val="2"/>
          </rPr>
          <t>LPA:</t>
        </r>
        <r>
          <rPr>
            <sz val="9"/>
            <color indexed="81"/>
            <rFont val="Tahoma"/>
            <family val="2"/>
          </rPr>
          <t xml:space="preserve">
проверити збир!
</t>
        </r>
      </text>
    </comment>
    <comment ref="I9247" authorId="0" shapeId="0">
      <text>
        <r>
          <rPr>
            <b/>
            <sz val="9"/>
            <color indexed="81"/>
            <rFont val="Tahoma"/>
            <family val="2"/>
          </rPr>
          <t>LPA:</t>
        </r>
        <r>
          <rPr>
            <sz val="9"/>
            <color indexed="81"/>
            <rFont val="Tahoma"/>
            <family val="2"/>
          </rPr>
          <t xml:space="preserve">
проверити збир!
</t>
        </r>
      </text>
    </comment>
    <comment ref="I9248" authorId="0" shapeId="0">
      <text>
        <r>
          <rPr>
            <b/>
            <sz val="9"/>
            <color indexed="81"/>
            <rFont val="Tahoma"/>
            <family val="2"/>
          </rPr>
          <t>LPA:</t>
        </r>
        <r>
          <rPr>
            <sz val="9"/>
            <color indexed="81"/>
            <rFont val="Tahoma"/>
            <family val="2"/>
          </rPr>
          <t xml:space="preserve">
проверити збир!
</t>
        </r>
      </text>
    </comment>
    <comment ref="I9249" authorId="0" shapeId="0">
      <text>
        <r>
          <rPr>
            <b/>
            <sz val="9"/>
            <color indexed="81"/>
            <rFont val="Tahoma"/>
            <family val="2"/>
          </rPr>
          <t>LPA:</t>
        </r>
        <r>
          <rPr>
            <sz val="9"/>
            <color indexed="81"/>
            <rFont val="Tahoma"/>
            <family val="2"/>
          </rPr>
          <t xml:space="preserve">
проверити збир!
</t>
        </r>
      </text>
    </comment>
    <comment ref="I9250" authorId="0" shapeId="0">
      <text>
        <r>
          <rPr>
            <b/>
            <sz val="9"/>
            <color indexed="81"/>
            <rFont val="Tahoma"/>
            <family val="2"/>
          </rPr>
          <t>LPA:</t>
        </r>
        <r>
          <rPr>
            <sz val="9"/>
            <color indexed="81"/>
            <rFont val="Tahoma"/>
            <family val="2"/>
          </rPr>
          <t xml:space="preserve">
проверити збир!
</t>
        </r>
      </text>
    </comment>
    <comment ref="I9251" authorId="0" shapeId="0">
      <text>
        <r>
          <rPr>
            <b/>
            <sz val="9"/>
            <color indexed="81"/>
            <rFont val="Tahoma"/>
            <family val="2"/>
          </rPr>
          <t>LPA:</t>
        </r>
        <r>
          <rPr>
            <sz val="9"/>
            <color indexed="81"/>
            <rFont val="Tahoma"/>
            <family val="2"/>
          </rPr>
          <t xml:space="preserve">
проверити збир!
</t>
        </r>
      </text>
    </comment>
    <comment ref="I9252" authorId="0" shapeId="0">
      <text>
        <r>
          <rPr>
            <b/>
            <sz val="9"/>
            <color indexed="81"/>
            <rFont val="Tahoma"/>
            <family val="2"/>
          </rPr>
          <t>LPA:</t>
        </r>
        <r>
          <rPr>
            <sz val="9"/>
            <color indexed="81"/>
            <rFont val="Tahoma"/>
            <family val="2"/>
          </rPr>
          <t xml:space="preserve">
проверити збир!
</t>
        </r>
      </text>
    </comment>
    <comment ref="I9253" authorId="0" shapeId="0">
      <text>
        <r>
          <rPr>
            <b/>
            <sz val="9"/>
            <color indexed="81"/>
            <rFont val="Tahoma"/>
            <family val="2"/>
          </rPr>
          <t>LPA:</t>
        </r>
        <r>
          <rPr>
            <sz val="9"/>
            <color indexed="81"/>
            <rFont val="Tahoma"/>
            <family val="2"/>
          </rPr>
          <t xml:space="preserve">
проверити збир!
</t>
        </r>
      </text>
    </comment>
    <comment ref="I9254" authorId="0" shapeId="0">
      <text>
        <r>
          <rPr>
            <b/>
            <sz val="9"/>
            <color indexed="81"/>
            <rFont val="Tahoma"/>
            <family val="2"/>
          </rPr>
          <t>LPA:</t>
        </r>
        <r>
          <rPr>
            <sz val="9"/>
            <color indexed="81"/>
            <rFont val="Tahoma"/>
            <family val="2"/>
          </rPr>
          <t xml:space="preserve">
проверити збир!
</t>
        </r>
      </text>
    </comment>
    <comment ref="I9255" authorId="0" shapeId="0">
      <text>
        <r>
          <rPr>
            <b/>
            <sz val="9"/>
            <color indexed="81"/>
            <rFont val="Tahoma"/>
            <family val="2"/>
          </rPr>
          <t>LPA:</t>
        </r>
        <r>
          <rPr>
            <sz val="9"/>
            <color indexed="81"/>
            <rFont val="Tahoma"/>
            <family val="2"/>
          </rPr>
          <t xml:space="preserve">
проверити збир!
</t>
        </r>
      </text>
    </comment>
    <comment ref="I9256" authorId="0" shapeId="0">
      <text>
        <r>
          <rPr>
            <b/>
            <sz val="9"/>
            <color indexed="81"/>
            <rFont val="Tahoma"/>
            <family val="2"/>
          </rPr>
          <t>LPA:</t>
        </r>
        <r>
          <rPr>
            <sz val="9"/>
            <color indexed="81"/>
            <rFont val="Tahoma"/>
            <family val="2"/>
          </rPr>
          <t xml:space="preserve">
проверити збир!
</t>
        </r>
      </text>
    </comment>
    <comment ref="I9257" authorId="0" shapeId="0">
      <text>
        <r>
          <rPr>
            <b/>
            <sz val="9"/>
            <color indexed="81"/>
            <rFont val="Tahoma"/>
            <family val="2"/>
          </rPr>
          <t>LPA:</t>
        </r>
        <r>
          <rPr>
            <sz val="9"/>
            <color indexed="81"/>
            <rFont val="Tahoma"/>
            <family val="2"/>
          </rPr>
          <t xml:space="preserve">
проверити збир!
</t>
        </r>
      </text>
    </comment>
    <comment ref="I9258" authorId="0" shapeId="0">
      <text>
        <r>
          <rPr>
            <b/>
            <sz val="9"/>
            <color indexed="81"/>
            <rFont val="Tahoma"/>
            <family val="2"/>
          </rPr>
          <t>LPA:</t>
        </r>
        <r>
          <rPr>
            <sz val="9"/>
            <color indexed="81"/>
            <rFont val="Tahoma"/>
            <family val="2"/>
          </rPr>
          <t xml:space="preserve">
проверити збир!
</t>
        </r>
      </text>
    </comment>
    <comment ref="I9259" authorId="0" shapeId="0">
      <text>
        <r>
          <rPr>
            <b/>
            <sz val="9"/>
            <color indexed="81"/>
            <rFont val="Tahoma"/>
            <family val="2"/>
          </rPr>
          <t>LPA:</t>
        </r>
        <r>
          <rPr>
            <sz val="9"/>
            <color indexed="81"/>
            <rFont val="Tahoma"/>
            <family val="2"/>
          </rPr>
          <t xml:space="preserve">
проверити збир!
</t>
        </r>
      </text>
    </comment>
    <comment ref="H9262" authorId="0" shapeId="0">
      <text>
        <r>
          <rPr>
            <b/>
            <sz val="9"/>
            <color indexed="81"/>
            <rFont val="Tahoma"/>
            <family val="2"/>
          </rPr>
          <t>LPA:</t>
        </r>
        <r>
          <rPr>
            <sz val="9"/>
            <color indexed="81"/>
            <rFont val="Tahoma"/>
            <family val="2"/>
          </rPr>
          <t xml:space="preserve">
проверити збир!</t>
        </r>
      </text>
    </comment>
    <comment ref="I9262" authorId="0" shapeId="0">
      <text>
        <r>
          <rPr>
            <b/>
            <sz val="9"/>
            <color indexed="81"/>
            <rFont val="Tahoma"/>
            <family val="2"/>
          </rPr>
          <t>LPA:</t>
        </r>
        <r>
          <rPr>
            <sz val="9"/>
            <color indexed="81"/>
            <rFont val="Tahoma"/>
            <family val="2"/>
          </rPr>
          <t xml:space="preserve">
проверити збир!</t>
        </r>
      </text>
    </comment>
    <comment ref="I9263" authorId="0" shapeId="0">
      <text>
        <r>
          <rPr>
            <b/>
            <sz val="9"/>
            <color indexed="81"/>
            <rFont val="Tahoma"/>
            <family val="2"/>
          </rPr>
          <t>LPA:</t>
        </r>
        <r>
          <rPr>
            <sz val="9"/>
            <color indexed="81"/>
            <rFont val="Tahoma"/>
            <family val="2"/>
          </rPr>
          <t xml:space="preserve">
проверити збир!
</t>
        </r>
      </text>
    </comment>
    <comment ref="I9264" authorId="0" shapeId="0">
      <text>
        <r>
          <rPr>
            <b/>
            <sz val="9"/>
            <color indexed="81"/>
            <rFont val="Tahoma"/>
            <family val="2"/>
          </rPr>
          <t>LPA:</t>
        </r>
        <r>
          <rPr>
            <sz val="9"/>
            <color indexed="81"/>
            <rFont val="Tahoma"/>
            <family val="2"/>
          </rPr>
          <t xml:space="preserve">
проверити збир!
</t>
        </r>
      </text>
    </comment>
    <comment ref="I9265" authorId="0" shapeId="0">
      <text>
        <r>
          <rPr>
            <b/>
            <sz val="9"/>
            <color indexed="81"/>
            <rFont val="Tahoma"/>
            <family val="2"/>
          </rPr>
          <t>LPA:</t>
        </r>
        <r>
          <rPr>
            <sz val="9"/>
            <color indexed="81"/>
            <rFont val="Tahoma"/>
            <family val="2"/>
          </rPr>
          <t xml:space="preserve">
проверити збир!
</t>
        </r>
      </text>
    </comment>
    <comment ref="I9266" authorId="0" shapeId="0">
      <text>
        <r>
          <rPr>
            <b/>
            <sz val="9"/>
            <color indexed="81"/>
            <rFont val="Tahoma"/>
            <family val="2"/>
          </rPr>
          <t>LPA:</t>
        </r>
        <r>
          <rPr>
            <sz val="9"/>
            <color indexed="81"/>
            <rFont val="Tahoma"/>
            <family val="2"/>
          </rPr>
          <t xml:space="preserve">
проверити збир!
</t>
        </r>
      </text>
    </comment>
    <comment ref="I9267" authorId="0" shapeId="0">
      <text>
        <r>
          <rPr>
            <b/>
            <sz val="9"/>
            <color indexed="81"/>
            <rFont val="Tahoma"/>
            <family val="2"/>
          </rPr>
          <t>LPA:</t>
        </r>
        <r>
          <rPr>
            <sz val="9"/>
            <color indexed="81"/>
            <rFont val="Tahoma"/>
            <family val="2"/>
          </rPr>
          <t xml:space="preserve">
проверити збир!
</t>
        </r>
      </text>
    </comment>
    <comment ref="I9268" authorId="0" shapeId="0">
      <text>
        <r>
          <rPr>
            <b/>
            <sz val="9"/>
            <color indexed="81"/>
            <rFont val="Tahoma"/>
            <family val="2"/>
          </rPr>
          <t>LPA:</t>
        </r>
        <r>
          <rPr>
            <sz val="9"/>
            <color indexed="81"/>
            <rFont val="Tahoma"/>
            <family val="2"/>
          </rPr>
          <t xml:space="preserve">
проверити збир!
</t>
        </r>
      </text>
    </comment>
    <comment ref="I9269" authorId="0" shapeId="0">
      <text>
        <r>
          <rPr>
            <b/>
            <sz val="9"/>
            <color indexed="81"/>
            <rFont val="Tahoma"/>
            <family val="2"/>
          </rPr>
          <t>LPA:</t>
        </r>
        <r>
          <rPr>
            <sz val="9"/>
            <color indexed="81"/>
            <rFont val="Tahoma"/>
            <family val="2"/>
          </rPr>
          <t xml:space="preserve">
проверити збир!
</t>
        </r>
      </text>
    </comment>
    <comment ref="I9270" authorId="0" shapeId="0">
      <text>
        <r>
          <rPr>
            <b/>
            <sz val="9"/>
            <color indexed="81"/>
            <rFont val="Tahoma"/>
            <family val="2"/>
          </rPr>
          <t>LPA:</t>
        </r>
        <r>
          <rPr>
            <sz val="9"/>
            <color indexed="81"/>
            <rFont val="Tahoma"/>
            <family val="2"/>
          </rPr>
          <t xml:space="preserve">
проверити збир!
</t>
        </r>
      </text>
    </comment>
    <comment ref="I9271" authorId="0" shapeId="0">
      <text>
        <r>
          <rPr>
            <b/>
            <sz val="9"/>
            <color indexed="81"/>
            <rFont val="Tahoma"/>
            <family val="2"/>
          </rPr>
          <t>LPA:</t>
        </r>
        <r>
          <rPr>
            <sz val="9"/>
            <color indexed="81"/>
            <rFont val="Tahoma"/>
            <family val="2"/>
          </rPr>
          <t xml:space="preserve">
проверити збир!
</t>
        </r>
      </text>
    </comment>
    <comment ref="I9272" authorId="0" shapeId="0">
      <text>
        <r>
          <rPr>
            <b/>
            <sz val="9"/>
            <color indexed="81"/>
            <rFont val="Tahoma"/>
            <family val="2"/>
          </rPr>
          <t>LPA:</t>
        </r>
        <r>
          <rPr>
            <sz val="9"/>
            <color indexed="81"/>
            <rFont val="Tahoma"/>
            <family val="2"/>
          </rPr>
          <t xml:space="preserve">
проверити збир!
</t>
        </r>
      </text>
    </comment>
    <comment ref="I9273" authorId="0" shapeId="0">
      <text>
        <r>
          <rPr>
            <b/>
            <sz val="9"/>
            <color indexed="81"/>
            <rFont val="Tahoma"/>
            <family val="2"/>
          </rPr>
          <t>LPA:</t>
        </r>
        <r>
          <rPr>
            <sz val="9"/>
            <color indexed="81"/>
            <rFont val="Tahoma"/>
            <family val="2"/>
          </rPr>
          <t xml:space="preserve">
проверити збир!
</t>
        </r>
      </text>
    </comment>
    <comment ref="I9274" authorId="0" shapeId="0">
      <text>
        <r>
          <rPr>
            <b/>
            <sz val="9"/>
            <color indexed="81"/>
            <rFont val="Tahoma"/>
            <family val="2"/>
          </rPr>
          <t>LPA:</t>
        </r>
        <r>
          <rPr>
            <sz val="9"/>
            <color indexed="81"/>
            <rFont val="Tahoma"/>
            <family val="2"/>
          </rPr>
          <t xml:space="preserve">
проверити збир!
</t>
        </r>
      </text>
    </comment>
    <comment ref="I9275" authorId="0" shapeId="0">
      <text>
        <r>
          <rPr>
            <b/>
            <sz val="9"/>
            <color indexed="81"/>
            <rFont val="Tahoma"/>
            <family val="2"/>
          </rPr>
          <t>LPA:</t>
        </r>
        <r>
          <rPr>
            <sz val="9"/>
            <color indexed="81"/>
            <rFont val="Tahoma"/>
            <family val="2"/>
          </rPr>
          <t xml:space="preserve">
проверити збир!
</t>
        </r>
      </text>
    </comment>
    <comment ref="I9276" authorId="0" shapeId="0">
      <text>
        <r>
          <rPr>
            <b/>
            <sz val="9"/>
            <color indexed="81"/>
            <rFont val="Tahoma"/>
            <family val="2"/>
          </rPr>
          <t>LPA:</t>
        </r>
        <r>
          <rPr>
            <sz val="9"/>
            <color indexed="81"/>
            <rFont val="Tahoma"/>
            <family val="2"/>
          </rPr>
          <t xml:space="preserve">
проверити збир!
</t>
        </r>
      </text>
    </comment>
    <comment ref="I9277" authorId="0" shapeId="0">
      <text>
        <r>
          <rPr>
            <b/>
            <sz val="9"/>
            <color indexed="81"/>
            <rFont val="Tahoma"/>
            <family val="2"/>
          </rPr>
          <t>LPA:</t>
        </r>
        <r>
          <rPr>
            <sz val="9"/>
            <color indexed="81"/>
            <rFont val="Tahoma"/>
            <family val="2"/>
          </rPr>
          <t xml:space="preserve">
проверити збир!
</t>
        </r>
      </text>
    </comment>
    <comment ref="I9346" authorId="0" shapeId="0">
      <text>
        <r>
          <rPr>
            <b/>
            <sz val="9"/>
            <color indexed="81"/>
            <rFont val="Tahoma"/>
            <family val="2"/>
          </rPr>
          <t>LPA:</t>
        </r>
        <r>
          <rPr>
            <sz val="9"/>
            <color indexed="81"/>
            <rFont val="Tahoma"/>
            <family val="2"/>
          </rPr>
          <t xml:space="preserve">
проверити збир!
</t>
        </r>
      </text>
    </comment>
    <comment ref="I9347" authorId="0" shapeId="0">
      <text>
        <r>
          <rPr>
            <b/>
            <sz val="9"/>
            <color indexed="81"/>
            <rFont val="Tahoma"/>
            <family val="2"/>
          </rPr>
          <t>LPA:</t>
        </r>
        <r>
          <rPr>
            <sz val="9"/>
            <color indexed="81"/>
            <rFont val="Tahoma"/>
            <family val="2"/>
          </rPr>
          <t xml:space="preserve">
проверити збир!
</t>
        </r>
      </text>
    </comment>
    <comment ref="I9348" authorId="0" shapeId="0">
      <text>
        <r>
          <rPr>
            <b/>
            <sz val="9"/>
            <color indexed="81"/>
            <rFont val="Tahoma"/>
            <family val="2"/>
          </rPr>
          <t>LPA:</t>
        </r>
        <r>
          <rPr>
            <sz val="9"/>
            <color indexed="81"/>
            <rFont val="Tahoma"/>
            <family val="2"/>
          </rPr>
          <t xml:space="preserve">
проверити збир!
</t>
        </r>
      </text>
    </comment>
    <comment ref="I9349" authorId="0" shapeId="0">
      <text>
        <r>
          <rPr>
            <b/>
            <sz val="9"/>
            <color indexed="81"/>
            <rFont val="Tahoma"/>
            <family val="2"/>
          </rPr>
          <t>LPA:</t>
        </r>
        <r>
          <rPr>
            <sz val="9"/>
            <color indexed="81"/>
            <rFont val="Tahoma"/>
            <family val="2"/>
          </rPr>
          <t xml:space="preserve">
проверити збир!
</t>
        </r>
      </text>
    </comment>
    <comment ref="I9350" authorId="0" shapeId="0">
      <text>
        <r>
          <rPr>
            <b/>
            <sz val="9"/>
            <color indexed="81"/>
            <rFont val="Tahoma"/>
            <family val="2"/>
          </rPr>
          <t>LPA:</t>
        </r>
        <r>
          <rPr>
            <sz val="9"/>
            <color indexed="81"/>
            <rFont val="Tahoma"/>
            <family val="2"/>
          </rPr>
          <t xml:space="preserve">
проверити збир!
</t>
        </r>
      </text>
    </comment>
    <comment ref="I9351" authorId="0" shapeId="0">
      <text>
        <r>
          <rPr>
            <b/>
            <sz val="9"/>
            <color indexed="81"/>
            <rFont val="Tahoma"/>
            <family val="2"/>
          </rPr>
          <t>LPA:</t>
        </r>
        <r>
          <rPr>
            <sz val="9"/>
            <color indexed="81"/>
            <rFont val="Tahoma"/>
            <family val="2"/>
          </rPr>
          <t xml:space="preserve">
проверити збир!
</t>
        </r>
      </text>
    </comment>
    <comment ref="I9352" authorId="0" shapeId="0">
      <text>
        <r>
          <rPr>
            <b/>
            <sz val="9"/>
            <color indexed="81"/>
            <rFont val="Tahoma"/>
            <family val="2"/>
          </rPr>
          <t>LPA:</t>
        </r>
        <r>
          <rPr>
            <sz val="9"/>
            <color indexed="81"/>
            <rFont val="Tahoma"/>
            <family val="2"/>
          </rPr>
          <t xml:space="preserve">
проверити збир!
</t>
        </r>
      </text>
    </comment>
    <comment ref="I9353" authorId="0" shapeId="0">
      <text>
        <r>
          <rPr>
            <b/>
            <sz val="9"/>
            <color indexed="81"/>
            <rFont val="Tahoma"/>
            <family val="2"/>
          </rPr>
          <t>LPA:</t>
        </r>
        <r>
          <rPr>
            <sz val="9"/>
            <color indexed="81"/>
            <rFont val="Tahoma"/>
            <family val="2"/>
          </rPr>
          <t xml:space="preserve">
проверити збир!
</t>
        </r>
      </text>
    </comment>
    <comment ref="I9354" authorId="0" shapeId="0">
      <text>
        <r>
          <rPr>
            <b/>
            <sz val="9"/>
            <color indexed="81"/>
            <rFont val="Tahoma"/>
            <family val="2"/>
          </rPr>
          <t>LPA:</t>
        </r>
        <r>
          <rPr>
            <sz val="9"/>
            <color indexed="81"/>
            <rFont val="Tahoma"/>
            <family val="2"/>
          </rPr>
          <t xml:space="preserve">
проверити збир!
</t>
        </r>
      </text>
    </comment>
    <comment ref="I9355" authorId="0" shapeId="0">
      <text>
        <r>
          <rPr>
            <b/>
            <sz val="9"/>
            <color indexed="81"/>
            <rFont val="Tahoma"/>
            <family val="2"/>
          </rPr>
          <t>LPA:</t>
        </r>
        <r>
          <rPr>
            <sz val="9"/>
            <color indexed="81"/>
            <rFont val="Tahoma"/>
            <family val="2"/>
          </rPr>
          <t xml:space="preserve">
проверити збир!
</t>
        </r>
      </text>
    </comment>
    <comment ref="I9356" authorId="0" shapeId="0">
      <text>
        <r>
          <rPr>
            <b/>
            <sz val="9"/>
            <color indexed="81"/>
            <rFont val="Tahoma"/>
            <family val="2"/>
          </rPr>
          <t>LPA:</t>
        </r>
        <r>
          <rPr>
            <sz val="9"/>
            <color indexed="81"/>
            <rFont val="Tahoma"/>
            <family val="2"/>
          </rPr>
          <t xml:space="preserve">
проверити збир!
</t>
        </r>
      </text>
    </comment>
    <comment ref="I9357" authorId="0" shapeId="0">
      <text>
        <r>
          <rPr>
            <b/>
            <sz val="9"/>
            <color indexed="81"/>
            <rFont val="Tahoma"/>
            <family val="2"/>
          </rPr>
          <t>LPA:</t>
        </r>
        <r>
          <rPr>
            <sz val="9"/>
            <color indexed="81"/>
            <rFont val="Tahoma"/>
            <family val="2"/>
          </rPr>
          <t xml:space="preserve">
проверити збир!
</t>
        </r>
      </text>
    </comment>
    <comment ref="I9358" authorId="0" shapeId="0">
      <text>
        <r>
          <rPr>
            <b/>
            <sz val="9"/>
            <color indexed="81"/>
            <rFont val="Tahoma"/>
            <family val="2"/>
          </rPr>
          <t>LPA:</t>
        </r>
        <r>
          <rPr>
            <sz val="9"/>
            <color indexed="81"/>
            <rFont val="Tahoma"/>
            <family val="2"/>
          </rPr>
          <t xml:space="preserve">
проверити збир!
</t>
        </r>
      </text>
    </comment>
    <comment ref="H9361" authorId="0" shapeId="0">
      <text>
        <r>
          <rPr>
            <b/>
            <sz val="9"/>
            <color indexed="81"/>
            <rFont val="Tahoma"/>
            <family val="2"/>
          </rPr>
          <t>LPA:</t>
        </r>
        <r>
          <rPr>
            <sz val="9"/>
            <color indexed="81"/>
            <rFont val="Tahoma"/>
            <family val="2"/>
          </rPr>
          <t xml:space="preserve">
проверити збир!</t>
        </r>
      </text>
    </comment>
    <comment ref="I9361" authorId="0" shapeId="0">
      <text>
        <r>
          <rPr>
            <b/>
            <sz val="9"/>
            <color indexed="81"/>
            <rFont val="Tahoma"/>
            <family val="2"/>
          </rPr>
          <t>LPA:</t>
        </r>
        <r>
          <rPr>
            <sz val="9"/>
            <color indexed="81"/>
            <rFont val="Tahoma"/>
            <family val="2"/>
          </rPr>
          <t xml:space="preserve">
проверити збир!</t>
        </r>
      </text>
    </comment>
    <comment ref="I9362" authorId="0" shapeId="0">
      <text>
        <r>
          <rPr>
            <b/>
            <sz val="9"/>
            <color indexed="81"/>
            <rFont val="Tahoma"/>
            <family val="2"/>
          </rPr>
          <t>LPA:</t>
        </r>
        <r>
          <rPr>
            <sz val="9"/>
            <color indexed="81"/>
            <rFont val="Tahoma"/>
            <family val="2"/>
          </rPr>
          <t xml:space="preserve">
проверити збир!
</t>
        </r>
      </text>
    </comment>
    <comment ref="I9363" authorId="0" shapeId="0">
      <text>
        <r>
          <rPr>
            <b/>
            <sz val="9"/>
            <color indexed="81"/>
            <rFont val="Tahoma"/>
            <family val="2"/>
          </rPr>
          <t>LPA:</t>
        </r>
        <r>
          <rPr>
            <sz val="9"/>
            <color indexed="81"/>
            <rFont val="Tahoma"/>
            <family val="2"/>
          </rPr>
          <t xml:space="preserve">
проверити збир!
</t>
        </r>
      </text>
    </comment>
    <comment ref="I9364" authorId="0" shapeId="0">
      <text>
        <r>
          <rPr>
            <b/>
            <sz val="9"/>
            <color indexed="81"/>
            <rFont val="Tahoma"/>
            <family val="2"/>
          </rPr>
          <t>LPA:</t>
        </r>
        <r>
          <rPr>
            <sz val="9"/>
            <color indexed="81"/>
            <rFont val="Tahoma"/>
            <family val="2"/>
          </rPr>
          <t xml:space="preserve">
проверити збир!
</t>
        </r>
      </text>
    </comment>
    <comment ref="I9365" authorId="0" shapeId="0">
      <text>
        <r>
          <rPr>
            <b/>
            <sz val="9"/>
            <color indexed="81"/>
            <rFont val="Tahoma"/>
            <family val="2"/>
          </rPr>
          <t>LPA:</t>
        </r>
        <r>
          <rPr>
            <sz val="9"/>
            <color indexed="81"/>
            <rFont val="Tahoma"/>
            <family val="2"/>
          </rPr>
          <t xml:space="preserve">
проверити збир!
</t>
        </r>
      </text>
    </comment>
    <comment ref="I9366" authorId="0" shapeId="0">
      <text>
        <r>
          <rPr>
            <b/>
            <sz val="9"/>
            <color indexed="81"/>
            <rFont val="Tahoma"/>
            <family val="2"/>
          </rPr>
          <t>LPA:</t>
        </r>
        <r>
          <rPr>
            <sz val="9"/>
            <color indexed="81"/>
            <rFont val="Tahoma"/>
            <family val="2"/>
          </rPr>
          <t xml:space="preserve">
проверити збир!
</t>
        </r>
      </text>
    </comment>
    <comment ref="I9367" authorId="0" shapeId="0">
      <text>
        <r>
          <rPr>
            <b/>
            <sz val="9"/>
            <color indexed="81"/>
            <rFont val="Tahoma"/>
            <family val="2"/>
          </rPr>
          <t>LPA:</t>
        </r>
        <r>
          <rPr>
            <sz val="9"/>
            <color indexed="81"/>
            <rFont val="Tahoma"/>
            <family val="2"/>
          </rPr>
          <t xml:space="preserve">
проверити збир!
</t>
        </r>
      </text>
    </comment>
    <comment ref="I9368" authorId="0" shapeId="0">
      <text>
        <r>
          <rPr>
            <b/>
            <sz val="9"/>
            <color indexed="81"/>
            <rFont val="Tahoma"/>
            <family val="2"/>
          </rPr>
          <t>LPA:</t>
        </r>
        <r>
          <rPr>
            <sz val="9"/>
            <color indexed="81"/>
            <rFont val="Tahoma"/>
            <family val="2"/>
          </rPr>
          <t xml:space="preserve">
проверити збир!
</t>
        </r>
      </text>
    </comment>
    <comment ref="I9369" authorId="0" shapeId="0">
      <text>
        <r>
          <rPr>
            <b/>
            <sz val="9"/>
            <color indexed="81"/>
            <rFont val="Tahoma"/>
            <family val="2"/>
          </rPr>
          <t>LPA:</t>
        </r>
        <r>
          <rPr>
            <sz val="9"/>
            <color indexed="81"/>
            <rFont val="Tahoma"/>
            <family val="2"/>
          </rPr>
          <t xml:space="preserve">
проверити збир!
</t>
        </r>
      </text>
    </comment>
    <comment ref="I9370" authorId="0" shapeId="0">
      <text>
        <r>
          <rPr>
            <b/>
            <sz val="9"/>
            <color indexed="81"/>
            <rFont val="Tahoma"/>
            <family val="2"/>
          </rPr>
          <t>LPA:</t>
        </r>
        <r>
          <rPr>
            <sz val="9"/>
            <color indexed="81"/>
            <rFont val="Tahoma"/>
            <family val="2"/>
          </rPr>
          <t xml:space="preserve">
проверити збир!
</t>
        </r>
      </text>
    </comment>
    <comment ref="I9371" authorId="0" shapeId="0">
      <text>
        <r>
          <rPr>
            <b/>
            <sz val="9"/>
            <color indexed="81"/>
            <rFont val="Tahoma"/>
            <family val="2"/>
          </rPr>
          <t>LPA:</t>
        </r>
        <r>
          <rPr>
            <sz val="9"/>
            <color indexed="81"/>
            <rFont val="Tahoma"/>
            <family val="2"/>
          </rPr>
          <t xml:space="preserve">
проверити збир!
</t>
        </r>
      </text>
    </comment>
    <comment ref="I9372" authorId="0" shapeId="0">
      <text>
        <r>
          <rPr>
            <b/>
            <sz val="9"/>
            <color indexed="81"/>
            <rFont val="Tahoma"/>
            <family val="2"/>
          </rPr>
          <t>LPA:</t>
        </r>
        <r>
          <rPr>
            <sz val="9"/>
            <color indexed="81"/>
            <rFont val="Tahoma"/>
            <family val="2"/>
          </rPr>
          <t xml:space="preserve">
проверити збир!
</t>
        </r>
      </text>
    </comment>
    <comment ref="I9373" authorId="0" shapeId="0">
      <text>
        <r>
          <rPr>
            <b/>
            <sz val="9"/>
            <color indexed="81"/>
            <rFont val="Tahoma"/>
            <family val="2"/>
          </rPr>
          <t>LPA:</t>
        </r>
        <r>
          <rPr>
            <sz val="9"/>
            <color indexed="81"/>
            <rFont val="Tahoma"/>
            <family val="2"/>
          </rPr>
          <t xml:space="preserve">
проверити збир!
</t>
        </r>
      </text>
    </comment>
    <comment ref="I9374" authorId="0" shapeId="0">
      <text>
        <r>
          <rPr>
            <b/>
            <sz val="9"/>
            <color indexed="81"/>
            <rFont val="Tahoma"/>
            <family val="2"/>
          </rPr>
          <t>LPA:</t>
        </r>
        <r>
          <rPr>
            <sz val="9"/>
            <color indexed="81"/>
            <rFont val="Tahoma"/>
            <family val="2"/>
          </rPr>
          <t xml:space="preserve">
проверити збир!
</t>
        </r>
      </text>
    </comment>
    <comment ref="I9375" authorId="0" shapeId="0">
      <text>
        <r>
          <rPr>
            <b/>
            <sz val="9"/>
            <color indexed="81"/>
            <rFont val="Tahoma"/>
            <family val="2"/>
          </rPr>
          <t>LPA:</t>
        </r>
        <r>
          <rPr>
            <sz val="9"/>
            <color indexed="81"/>
            <rFont val="Tahoma"/>
            <family val="2"/>
          </rPr>
          <t xml:space="preserve">
проверити збир!
</t>
        </r>
      </text>
    </comment>
    <comment ref="I9376" authorId="0" shapeId="0">
      <text>
        <r>
          <rPr>
            <b/>
            <sz val="9"/>
            <color indexed="81"/>
            <rFont val="Tahoma"/>
            <family val="2"/>
          </rPr>
          <t>LPA:</t>
        </r>
        <r>
          <rPr>
            <sz val="9"/>
            <color indexed="81"/>
            <rFont val="Tahoma"/>
            <family val="2"/>
          </rPr>
          <t xml:space="preserve">
проверити збир!
</t>
        </r>
      </text>
    </comment>
    <comment ref="H9380" authorId="0" shapeId="0">
      <text>
        <r>
          <rPr>
            <b/>
            <sz val="9"/>
            <color indexed="81"/>
            <rFont val="Tahoma"/>
            <family val="2"/>
          </rPr>
          <t>LPA:</t>
        </r>
        <r>
          <rPr>
            <sz val="9"/>
            <color indexed="81"/>
            <rFont val="Tahoma"/>
            <family val="2"/>
          </rPr>
          <t xml:space="preserve">
проверити збир!</t>
        </r>
      </text>
    </comment>
    <comment ref="I9380" authorId="0" shapeId="0">
      <text>
        <r>
          <rPr>
            <b/>
            <sz val="9"/>
            <color indexed="81"/>
            <rFont val="Tahoma"/>
            <family val="2"/>
          </rPr>
          <t>LPA:</t>
        </r>
        <r>
          <rPr>
            <sz val="9"/>
            <color indexed="81"/>
            <rFont val="Tahoma"/>
            <family val="2"/>
          </rPr>
          <t xml:space="preserve">
проверити збир!
</t>
        </r>
      </text>
    </comment>
    <comment ref="I9381" authorId="0" shapeId="0">
      <text>
        <r>
          <rPr>
            <b/>
            <sz val="9"/>
            <color indexed="81"/>
            <rFont val="Tahoma"/>
            <family val="2"/>
          </rPr>
          <t>LPA:</t>
        </r>
        <r>
          <rPr>
            <sz val="9"/>
            <color indexed="81"/>
            <rFont val="Tahoma"/>
            <family val="2"/>
          </rPr>
          <t xml:space="preserve">
проверити збир!
</t>
        </r>
      </text>
    </comment>
    <comment ref="I9382" authorId="0" shapeId="0">
      <text>
        <r>
          <rPr>
            <b/>
            <sz val="9"/>
            <color indexed="81"/>
            <rFont val="Tahoma"/>
            <family val="2"/>
          </rPr>
          <t>LPA:</t>
        </r>
        <r>
          <rPr>
            <sz val="9"/>
            <color indexed="81"/>
            <rFont val="Tahoma"/>
            <family val="2"/>
          </rPr>
          <t xml:space="preserve">
проверити збир!
</t>
        </r>
      </text>
    </comment>
    <comment ref="I9383" authorId="0" shapeId="0">
      <text>
        <r>
          <rPr>
            <b/>
            <sz val="9"/>
            <color indexed="81"/>
            <rFont val="Tahoma"/>
            <family val="2"/>
          </rPr>
          <t>LPA:</t>
        </r>
        <r>
          <rPr>
            <sz val="9"/>
            <color indexed="81"/>
            <rFont val="Tahoma"/>
            <family val="2"/>
          </rPr>
          <t xml:space="preserve">
проверити збир!
</t>
        </r>
      </text>
    </comment>
    <comment ref="I9384" authorId="0" shapeId="0">
      <text>
        <r>
          <rPr>
            <b/>
            <sz val="9"/>
            <color indexed="81"/>
            <rFont val="Tahoma"/>
            <family val="2"/>
          </rPr>
          <t>LPA:</t>
        </r>
        <r>
          <rPr>
            <sz val="9"/>
            <color indexed="81"/>
            <rFont val="Tahoma"/>
            <family val="2"/>
          </rPr>
          <t xml:space="preserve">
проверити збир!
</t>
        </r>
      </text>
    </comment>
    <comment ref="I9385" authorId="0" shapeId="0">
      <text>
        <r>
          <rPr>
            <b/>
            <sz val="9"/>
            <color indexed="81"/>
            <rFont val="Tahoma"/>
            <family val="2"/>
          </rPr>
          <t>LPA:</t>
        </r>
        <r>
          <rPr>
            <sz val="9"/>
            <color indexed="81"/>
            <rFont val="Tahoma"/>
            <family val="2"/>
          </rPr>
          <t xml:space="preserve">
проверити збир!
</t>
        </r>
      </text>
    </comment>
    <comment ref="I9386" authorId="0" shapeId="0">
      <text>
        <r>
          <rPr>
            <b/>
            <sz val="9"/>
            <color indexed="81"/>
            <rFont val="Tahoma"/>
            <family val="2"/>
          </rPr>
          <t>LPA:</t>
        </r>
        <r>
          <rPr>
            <sz val="9"/>
            <color indexed="81"/>
            <rFont val="Tahoma"/>
            <family val="2"/>
          </rPr>
          <t xml:space="preserve">
проверити збир!
</t>
        </r>
      </text>
    </comment>
    <comment ref="I9387" authorId="0" shapeId="0">
      <text>
        <r>
          <rPr>
            <b/>
            <sz val="9"/>
            <color indexed="81"/>
            <rFont val="Tahoma"/>
            <family val="2"/>
          </rPr>
          <t>LPA:</t>
        </r>
        <r>
          <rPr>
            <sz val="9"/>
            <color indexed="81"/>
            <rFont val="Tahoma"/>
            <family val="2"/>
          </rPr>
          <t xml:space="preserve">
проверити збир!
</t>
        </r>
      </text>
    </comment>
    <comment ref="I9388" authorId="0" shapeId="0">
      <text>
        <r>
          <rPr>
            <b/>
            <sz val="9"/>
            <color indexed="81"/>
            <rFont val="Tahoma"/>
            <family val="2"/>
          </rPr>
          <t>LPA:</t>
        </r>
        <r>
          <rPr>
            <sz val="9"/>
            <color indexed="81"/>
            <rFont val="Tahoma"/>
            <family val="2"/>
          </rPr>
          <t xml:space="preserve">
проверити збир!
</t>
        </r>
      </text>
    </comment>
    <comment ref="I9389" authorId="0" shapeId="0">
      <text>
        <r>
          <rPr>
            <b/>
            <sz val="9"/>
            <color indexed="81"/>
            <rFont val="Tahoma"/>
            <family val="2"/>
          </rPr>
          <t>LPA:</t>
        </r>
        <r>
          <rPr>
            <sz val="9"/>
            <color indexed="81"/>
            <rFont val="Tahoma"/>
            <family val="2"/>
          </rPr>
          <t xml:space="preserve">
проверити збир!
</t>
        </r>
      </text>
    </comment>
    <comment ref="I9390" authorId="0" shapeId="0">
      <text>
        <r>
          <rPr>
            <b/>
            <sz val="9"/>
            <color indexed="81"/>
            <rFont val="Tahoma"/>
            <family val="2"/>
          </rPr>
          <t>LPA:</t>
        </r>
        <r>
          <rPr>
            <sz val="9"/>
            <color indexed="81"/>
            <rFont val="Tahoma"/>
            <family val="2"/>
          </rPr>
          <t xml:space="preserve">
проверити збир!
</t>
        </r>
      </text>
    </comment>
    <comment ref="I9391" authorId="0" shapeId="0">
      <text>
        <r>
          <rPr>
            <b/>
            <sz val="9"/>
            <color indexed="81"/>
            <rFont val="Tahoma"/>
            <family val="2"/>
          </rPr>
          <t>LPA:</t>
        </r>
        <r>
          <rPr>
            <sz val="9"/>
            <color indexed="81"/>
            <rFont val="Tahoma"/>
            <family val="2"/>
          </rPr>
          <t xml:space="preserve">
проверити збир!
</t>
        </r>
      </text>
    </comment>
    <comment ref="I9392" authorId="0" shapeId="0">
      <text>
        <r>
          <rPr>
            <b/>
            <sz val="9"/>
            <color indexed="81"/>
            <rFont val="Tahoma"/>
            <family val="2"/>
          </rPr>
          <t>LPA:</t>
        </r>
        <r>
          <rPr>
            <sz val="9"/>
            <color indexed="81"/>
            <rFont val="Tahoma"/>
            <family val="2"/>
          </rPr>
          <t xml:space="preserve">
проверити збир!
</t>
        </r>
      </text>
    </comment>
    <comment ref="I9393" authorId="0" shapeId="0">
      <text>
        <r>
          <rPr>
            <b/>
            <sz val="9"/>
            <color indexed="81"/>
            <rFont val="Tahoma"/>
            <family val="2"/>
          </rPr>
          <t>LPA:</t>
        </r>
        <r>
          <rPr>
            <sz val="9"/>
            <color indexed="81"/>
            <rFont val="Tahoma"/>
            <family val="2"/>
          </rPr>
          <t xml:space="preserve">
проверити збир!
</t>
        </r>
      </text>
    </comment>
    <comment ref="I9394" authorId="0" shapeId="0">
      <text>
        <r>
          <rPr>
            <b/>
            <sz val="9"/>
            <color indexed="81"/>
            <rFont val="Tahoma"/>
            <family val="2"/>
          </rPr>
          <t>LPA:</t>
        </r>
        <r>
          <rPr>
            <sz val="9"/>
            <color indexed="81"/>
            <rFont val="Tahoma"/>
            <family val="2"/>
          </rPr>
          <t xml:space="preserve">
проверити збир!
</t>
        </r>
      </text>
    </comment>
    <comment ref="I9395" authorId="0" shapeId="0">
      <text>
        <r>
          <rPr>
            <b/>
            <sz val="9"/>
            <color indexed="81"/>
            <rFont val="Tahoma"/>
            <family val="2"/>
          </rPr>
          <t>LPA:</t>
        </r>
        <r>
          <rPr>
            <sz val="9"/>
            <color indexed="81"/>
            <rFont val="Tahoma"/>
            <family val="2"/>
          </rPr>
          <t xml:space="preserve">
проверити збир!
</t>
        </r>
      </text>
    </comment>
    <comment ref="I9466" authorId="0" shapeId="0">
      <text>
        <r>
          <rPr>
            <b/>
            <sz val="9"/>
            <color indexed="81"/>
            <rFont val="Tahoma"/>
            <family val="2"/>
          </rPr>
          <t>LPA:</t>
        </r>
        <r>
          <rPr>
            <sz val="9"/>
            <color indexed="81"/>
            <rFont val="Tahoma"/>
            <family val="2"/>
          </rPr>
          <t xml:space="preserve">
проверити збир!
</t>
        </r>
      </text>
    </comment>
    <comment ref="I9467" authorId="0" shapeId="0">
      <text>
        <r>
          <rPr>
            <b/>
            <sz val="9"/>
            <color indexed="81"/>
            <rFont val="Tahoma"/>
            <family val="2"/>
          </rPr>
          <t>LPA:</t>
        </r>
        <r>
          <rPr>
            <sz val="9"/>
            <color indexed="81"/>
            <rFont val="Tahoma"/>
            <family val="2"/>
          </rPr>
          <t xml:space="preserve">
проверити збир!
</t>
        </r>
      </text>
    </comment>
    <comment ref="I9468" authorId="0" shapeId="0">
      <text>
        <r>
          <rPr>
            <b/>
            <sz val="9"/>
            <color indexed="81"/>
            <rFont val="Tahoma"/>
            <family val="2"/>
          </rPr>
          <t>LPA:</t>
        </r>
        <r>
          <rPr>
            <sz val="9"/>
            <color indexed="81"/>
            <rFont val="Tahoma"/>
            <family val="2"/>
          </rPr>
          <t xml:space="preserve">
проверити збир!
</t>
        </r>
      </text>
    </comment>
    <comment ref="I9469" authorId="0" shapeId="0">
      <text>
        <r>
          <rPr>
            <b/>
            <sz val="9"/>
            <color indexed="81"/>
            <rFont val="Tahoma"/>
            <family val="2"/>
          </rPr>
          <t>LPA:</t>
        </r>
        <r>
          <rPr>
            <sz val="9"/>
            <color indexed="81"/>
            <rFont val="Tahoma"/>
            <family val="2"/>
          </rPr>
          <t xml:space="preserve">
проверити збир!
</t>
        </r>
      </text>
    </comment>
    <comment ref="I9470" authorId="0" shapeId="0">
      <text>
        <r>
          <rPr>
            <b/>
            <sz val="9"/>
            <color indexed="81"/>
            <rFont val="Tahoma"/>
            <family val="2"/>
          </rPr>
          <t>LPA:</t>
        </r>
        <r>
          <rPr>
            <sz val="9"/>
            <color indexed="81"/>
            <rFont val="Tahoma"/>
            <family val="2"/>
          </rPr>
          <t xml:space="preserve">
проверити збир!
</t>
        </r>
      </text>
    </comment>
    <comment ref="I9471" authorId="0" shapeId="0">
      <text>
        <r>
          <rPr>
            <b/>
            <sz val="9"/>
            <color indexed="81"/>
            <rFont val="Tahoma"/>
            <family val="2"/>
          </rPr>
          <t>LPA:</t>
        </r>
        <r>
          <rPr>
            <sz val="9"/>
            <color indexed="81"/>
            <rFont val="Tahoma"/>
            <family val="2"/>
          </rPr>
          <t xml:space="preserve">
проверити збир!
</t>
        </r>
      </text>
    </comment>
    <comment ref="I9472" authorId="0" shapeId="0">
      <text>
        <r>
          <rPr>
            <b/>
            <sz val="9"/>
            <color indexed="81"/>
            <rFont val="Tahoma"/>
            <family val="2"/>
          </rPr>
          <t>LPA:</t>
        </r>
        <r>
          <rPr>
            <sz val="9"/>
            <color indexed="81"/>
            <rFont val="Tahoma"/>
            <family val="2"/>
          </rPr>
          <t xml:space="preserve">
проверити збир!
</t>
        </r>
      </text>
    </comment>
    <comment ref="I9473" authorId="0" shapeId="0">
      <text>
        <r>
          <rPr>
            <b/>
            <sz val="9"/>
            <color indexed="81"/>
            <rFont val="Tahoma"/>
            <family val="2"/>
          </rPr>
          <t>LPA:</t>
        </r>
        <r>
          <rPr>
            <sz val="9"/>
            <color indexed="81"/>
            <rFont val="Tahoma"/>
            <family val="2"/>
          </rPr>
          <t xml:space="preserve">
проверити збир!
</t>
        </r>
      </text>
    </comment>
    <comment ref="I9474" authorId="0" shapeId="0">
      <text>
        <r>
          <rPr>
            <b/>
            <sz val="9"/>
            <color indexed="81"/>
            <rFont val="Tahoma"/>
            <family val="2"/>
          </rPr>
          <t>LPA:</t>
        </r>
        <r>
          <rPr>
            <sz val="9"/>
            <color indexed="81"/>
            <rFont val="Tahoma"/>
            <family val="2"/>
          </rPr>
          <t xml:space="preserve">
проверити збир!
</t>
        </r>
      </text>
    </comment>
    <comment ref="I9475" authorId="0" shapeId="0">
      <text>
        <r>
          <rPr>
            <b/>
            <sz val="9"/>
            <color indexed="81"/>
            <rFont val="Tahoma"/>
            <family val="2"/>
          </rPr>
          <t>LPA:</t>
        </r>
        <r>
          <rPr>
            <sz val="9"/>
            <color indexed="81"/>
            <rFont val="Tahoma"/>
            <family val="2"/>
          </rPr>
          <t xml:space="preserve">
проверити збир!
</t>
        </r>
      </text>
    </comment>
    <comment ref="I9476" authorId="0" shapeId="0">
      <text>
        <r>
          <rPr>
            <b/>
            <sz val="9"/>
            <color indexed="81"/>
            <rFont val="Tahoma"/>
            <family val="2"/>
          </rPr>
          <t>LPA:</t>
        </r>
        <r>
          <rPr>
            <sz val="9"/>
            <color indexed="81"/>
            <rFont val="Tahoma"/>
            <family val="2"/>
          </rPr>
          <t xml:space="preserve">
проверити збир!
</t>
        </r>
      </text>
    </comment>
    <comment ref="I9477" authorId="0" shapeId="0">
      <text>
        <r>
          <rPr>
            <b/>
            <sz val="9"/>
            <color indexed="81"/>
            <rFont val="Tahoma"/>
            <family val="2"/>
          </rPr>
          <t>LPA:</t>
        </r>
        <r>
          <rPr>
            <sz val="9"/>
            <color indexed="81"/>
            <rFont val="Tahoma"/>
            <family val="2"/>
          </rPr>
          <t xml:space="preserve">
проверити збир!
</t>
        </r>
      </text>
    </comment>
    <comment ref="I9478" authorId="0" shapeId="0">
      <text>
        <r>
          <rPr>
            <b/>
            <sz val="9"/>
            <color indexed="81"/>
            <rFont val="Tahoma"/>
            <family val="2"/>
          </rPr>
          <t>LPA:</t>
        </r>
        <r>
          <rPr>
            <sz val="9"/>
            <color indexed="81"/>
            <rFont val="Tahoma"/>
            <family val="2"/>
          </rPr>
          <t xml:space="preserve">
проверити збир!
</t>
        </r>
      </text>
    </comment>
    <comment ref="H9481" authorId="0" shapeId="0">
      <text>
        <r>
          <rPr>
            <b/>
            <sz val="9"/>
            <color indexed="81"/>
            <rFont val="Tahoma"/>
            <family val="2"/>
          </rPr>
          <t>LPA:</t>
        </r>
        <r>
          <rPr>
            <sz val="9"/>
            <color indexed="81"/>
            <rFont val="Tahoma"/>
            <family val="2"/>
          </rPr>
          <t xml:space="preserve">
проверити збир!</t>
        </r>
      </text>
    </comment>
    <comment ref="I9481" authorId="0" shapeId="0">
      <text>
        <r>
          <rPr>
            <b/>
            <sz val="9"/>
            <color indexed="81"/>
            <rFont val="Tahoma"/>
            <family val="2"/>
          </rPr>
          <t>LPA:</t>
        </r>
        <r>
          <rPr>
            <sz val="9"/>
            <color indexed="81"/>
            <rFont val="Tahoma"/>
            <family val="2"/>
          </rPr>
          <t xml:space="preserve">
проверити збир!</t>
        </r>
      </text>
    </comment>
    <comment ref="I9482" authorId="0" shapeId="0">
      <text>
        <r>
          <rPr>
            <b/>
            <sz val="9"/>
            <color indexed="81"/>
            <rFont val="Tahoma"/>
            <family val="2"/>
          </rPr>
          <t>LPA:</t>
        </r>
        <r>
          <rPr>
            <sz val="9"/>
            <color indexed="81"/>
            <rFont val="Tahoma"/>
            <family val="2"/>
          </rPr>
          <t xml:space="preserve">
проверити збир!
</t>
        </r>
      </text>
    </comment>
    <comment ref="I9483" authorId="0" shapeId="0">
      <text>
        <r>
          <rPr>
            <b/>
            <sz val="9"/>
            <color indexed="81"/>
            <rFont val="Tahoma"/>
            <family val="2"/>
          </rPr>
          <t>LPA:</t>
        </r>
        <r>
          <rPr>
            <sz val="9"/>
            <color indexed="81"/>
            <rFont val="Tahoma"/>
            <family val="2"/>
          </rPr>
          <t xml:space="preserve">
проверити збир!
</t>
        </r>
      </text>
    </comment>
    <comment ref="I9484" authorId="0" shapeId="0">
      <text>
        <r>
          <rPr>
            <b/>
            <sz val="9"/>
            <color indexed="81"/>
            <rFont val="Tahoma"/>
            <family val="2"/>
          </rPr>
          <t>LPA:</t>
        </r>
        <r>
          <rPr>
            <sz val="9"/>
            <color indexed="81"/>
            <rFont val="Tahoma"/>
            <family val="2"/>
          </rPr>
          <t xml:space="preserve">
проверити збир!
</t>
        </r>
      </text>
    </comment>
    <comment ref="I9485" authorId="0" shapeId="0">
      <text>
        <r>
          <rPr>
            <b/>
            <sz val="9"/>
            <color indexed="81"/>
            <rFont val="Tahoma"/>
            <family val="2"/>
          </rPr>
          <t>LPA:</t>
        </r>
        <r>
          <rPr>
            <sz val="9"/>
            <color indexed="81"/>
            <rFont val="Tahoma"/>
            <family val="2"/>
          </rPr>
          <t xml:space="preserve">
проверити збир!
</t>
        </r>
      </text>
    </comment>
    <comment ref="I9486" authorId="0" shapeId="0">
      <text>
        <r>
          <rPr>
            <b/>
            <sz val="9"/>
            <color indexed="81"/>
            <rFont val="Tahoma"/>
            <family val="2"/>
          </rPr>
          <t>LPA:</t>
        </r>
        <r>
          <rPr>
            <sz val="9"/>
            <color indexed="81"/>
            <rFont val="Tahoma"/>
            <family val="2"/>
          </rPr>
          <t xml:space="preserve">
проверити збир!
</t>
        </r>
      </text>
    </comment>
    <comment ref="I9487" authorId="0" shapeId="0">
      <text>
        <r>
          <rPr>
            <b/>
            <sz val="9"/>
            <color indexed="81"/>
            <rFont val="Tahoma"/>
            <family val="2"/>
          </rPr>
          <t>LPA:</t>
        </r>
        <r>
          <rPr>
            <sz val="9"/>
            <color indexed="81"/>
            <rFont val="Tahoma"/>
            <family val="2"/>
          </rPr>
          <t xml:space="preserve">
проверити збир!
</t>
        </r>
      </text>
    </comment>
    <comment ref="I9488" authorId="0" shapeId="0">
      <text>
        <r>
          <rPr>
            <b/>
            <sz val="9"/>
            <color indexed="81"/>
            <rFont val="Tahoma"/>
            <family val="2"/>
          </rPr>
          <t>LPA:</t>
        </r>
        <r>
          <rPr>
            <sz val="9"/>
            <color indexed="81"/>
            <rFont val="Tahoma"/>
            <family val="2"/>
          </rPr>
          <t xml:space="preserve">
проверити збир!
</t>
        </r>
      </text>
    </comment>
    <comment ref="I9489" authorId="0" shapeId="0">
      <text>
        <r>
          <rPr>
            <b/>
            <sz val="9"/>
            <color indexed="81"/>
            <rFont val="Tahoma"/>
            <family val="2"/>
          </rPr>
          <t>LPA:</t>
        </r>
        <r>
          <rPr>
            <sz val="9"/>
            <color indexed="81"/>
            <rFont val="Tahoma"/>
            <family val="2"/>
          </rPr>
          <t xml:space="preserve">
проверити збир!
</t>
        </r>
      </text>
    </comment>
    <comment ref="I9490" authorId="0" shapeId="0">
      <text>
        <r>
          <rPr>
            <b/>
            <sz val="9"/>
            <color indexed="81"/>
            <rFont val="Tahoma"/>
            <family val="2"/>
          </rPr>
          <t>LPA:</t>
        </r>
        <r>
          <rPr>
            <sz val="9"/>
            <color indexed="81"/>
            <rFont val="Tahoma"/>
            <family val="2"/>
          </rPr>
          <t xml:space="preserve">
проверити збир!
</t>
        </r>
      </text>
    </comment>
    <comment ref="I9491" authorId="0" shapeId="0">
      <text>
        <r>
          <rPr>
            <b/>
            <sz val="9"/>
            <color indexed="81"/>
            <rFont val="Tahoma"/>
            <family val="2"/>
          </rPr>
          <t>LPA:</t>
        </r>
        <r>
          <rPr>
            <sz val="9"/>
            <color indexed="81"/>
            <rFont val="Tahoma"/>
            <family val="2"/>
          </rPr>
          <t xml:space="preserve">
проверити збир!
</t>
        </r>
      </text>
    </comment>
    <comment ref="I9492" authorId="0" shapeId="0">
      <text>
        <r>
          <rPr>
            <b/>
            <sz val="9"/>
            <color indexed="81"/>
            <rFont val="Tahoma"/>
            <family val="2"/>
          </rPr>
          <t>LPA:</t>
        </r>
        <r>
          <rPr>
            <sz val="9"/>
            <color indexed="81"/>
            <rFont val="Tahoma"/>
            <family val="2"/>
          </rPr>
          <t xml:space="preserve">
проверити збир!
</t>
        </r>
      </text>
    </comment>
    <comment ref="I9493" authorId="0" shapeId="0">
      <text>
        <r>
          <rPr>
            <b/>
            <sz val="9"/>
            <color indexed="81"/>
            <rFont val="Tahoma"/>
            <family val="2"/>
          </rPr>
          <t>LPA:</t>
        </r>
        <r>
          <rPr>
            <sz val="9"/>
            <color indexed="81"/>
            <rFont val="Tahoma"/>
            <family val="2"/>
          </rPr>
          <t xml:space="preserve">
проверити збир!
</t>
        </r>
      </text>
    </comment>
    <comment ref="I9494" authorId="0" shapeId="0">
      <text>
        <r>
          <rPr>
            <b/>
            <sz val="9"/>
            <color indexed="81"/>
            <rFont val="Tahoma"/>
            <family val="2"/>
          </rPr>
          <t>LPA:</t>
        </r>
        <r>
          <rPr>
            <sz val="9"/>
            <color indexed="81"/>
            <rFont val="Tahoma"/>
            <family val="2"/>
          </rPr>
          <t xml:space="preserve">
проверити збир!
</t>
        </r>
      </text>
    </comment>
    <comment ref="I9495" authorId="0" shapeId="0">
      <text>
        <r>
          <rPr>
            <b/>
            <sz val="9"/>
            <color indexed="81"/>
            <rFont val="Tahoma"/>
            <family val="2"/>
          </rPr>
          <t>LPA:</t>
        </r>
        <r>
          <rPr>
            <sz val="9"/>
            <color indexed="81"/>
            <rFont val="Tahoma"/>
            <family val="2"/>
          </rPr>
          <t xml:space="preserve">
проверити збир!
</t>
        </r>
      </text>
    </comment>
    <comment ref="I9496" authorId="0" shapeId="0">
      <text>
        <r>
          <rPr>
            <b/>
            <sz val="9"/>
            <color indexed="81"/>
            <rFont val="Tahoma"/>
            <family val="2"/>
          </rPr>
          <t>LPA:</t>
        </r>
        <r>
          <rPr>
            <sz val="9"/>
            <color indexed="81"/>
            <rFont val="Tahoma"/>
            <family val="2"/>
          </rPr>
          <t xml:space="preserve">
проверити збир!
</t>
        </r>
      </text>
    </comment>
    <comment ref="I9565" authorId="0" shapeId="0">
      <text>
        <r>
          <rPr>
            <b/>
            <sz val="9"/>
            <color indexed="81"/>
            <rFont val="Tahoma"/>
            <family val="2"/>
          </rPr>
          <t>LPA:</t>
        </r>
        <r>
          <rPr>
            <sz val="9"/>
            <color indexed="81"/>
            <rFont val="Tahoma"/>
            <family val="2"/>
          </rPr>
          <t xml:space="preserve">
проверити збир!
</t>
        </r>
      </text>
    </comment>
    <comment ref="I9566" authorId="0" shapeId="0">
      <text>
        <r>
          <rPr>
            <b/>
            <sz val="9"/>
            <color indexed="81"/>
            <rFont val="Tahoma"/>
            <family val="2"/>
          </rPr>
          <t>LPA:</t>
        </r>
        <r>
          <rPr>
            <sz val="9"/>
            <color indexed="81"/>
            <rFont val="Tahoma"/>
            <family val="2"/>
          </rPr>
          <t xml:space="preserve">
проверити збир!
</t>
        </r>
      </text>
    </comment>
    <comment ref="I9567" authorId="0" shapeId="0">
      <text>
        <r>
          <rPr>
            <b/>
            <sz val="9"/>
            <color indexed="81"/>
            <rFont val="Tahoma"/>
            <family val="2"/>
          </rPr>
          <t>LPA:</t>
        </r>
        <r>
          <rPr>
            <sz val="9"/>
            <color indexed="81"/>
            <rFont val="Tahoma"/>
            <family val="2"/>
          </rPr>
          <t xml:space="preserve">
проверити збир!
</t>
        </r>
      </text>
    </comment>
    <comment ref="I9568" authorId="0" shapeId="0">
      <text>
        <r>
          <rPr>
            <b/>
            <sz val="9"/>
            <color indexed="81"/>
            <rFont val="Tahoma"/>
            <family val="2"/>
          </rPr>
          <t>LPA:</t>
        </r>
        <r>
          <rPr>
            <sz val="9"/>
            <color indexed="81"/>
            <rFont val="Tahoma"/>
            <family val="2"/>
          </rPr>
          <t xml:space="preserve">
проверити збир!
</t>
        </r>
      </text>
    </comment>
    <comment ref="I9569" authorId="0" shapeId="0">
      <text>
        <r>
          <rPr>
            <b/>
            <sz val="9"/>
            <color indexed="81"/>
            <rFont val="Tahoma"/>
            <family val="2"/>
          </rPr>
          <t>LPA:</t>
        </r>
        <r>
          <rPr>
            <sz val="9"/>
            <color indexed="81"/>
            <rFont val="Tahoma"/>
            <family val="2"/>
          </rPr>
          <t xml:space="preserve">
проверити збир!
</t>
        </r>
      </text>
    </comment>
    <comment ref="I9570" authorId="0" shapeId="0">
      <text>
        <r>
          <rPr>
            <b/>
            <sz val="9"/>
            <color indexed="81"/>
            <rFont val="Tahoma"/>
            <family val="2"/>
          </rPr>
          <t>LPA:</t>
        </r>
        <r>
          <rPr>
            <sz val="9"/>
            <color indexed="81"/>
            <rFont val="Tahoma"/>
            <family val="2"/>
          </rPr>
          <t xml:space="preserve">
проверити збир!
</t>
        </r>
      </text>
    </comment>
    <comment ref="I9571" authorId="0" shapeId="0">
      <text>
        <r>
          <rPr>
            <b/>
            <sz val="9"/>
            <color indexed="81"/>
            <rFont val="Tahoma"/>
            <family val="2"/>
          </rPr>
          <t>LPA:</t>
        </r>
        <r>
          <rPr>
            <sz val="9"/>
            <color indexed="81"/>
            <rFont val="Tahoma"/>
            <family val="2"/>
          </rPr>
          <t xml:space="preserve">
проверити збир!
</t>
        </r>
      </text>
    </comment>
    <comment ref="I9572" authorId="0" shapeId="0">
      <text>
        <r>
          <rPr>
            <b/>
            <sz val="9"/>
            <color indexed="81"/>
            <rFont val="Tahoma"/>
            <family val="2"/>
          </rPr>
          <t>LPA:</t>
        </r>
        <r>
          <rPr>
            <sz val="9"/>
            <color indexed="81"/>
            <rFont val="Tahoma"/>
            <family val="2"/>
          </rPr>
          <t xml:space="preserve">
проверити збир!
</t>
        </r>
      </text>
    </comment>
    <comment ref="I9573" authorId="0" shapeId="0">
      <text>
        <r>
          <rPr>
            <b/>
            <sz val="9"/>
            <color indexed="81"/>
            <rFont val="Tahoma"/>
            <family val="2"/>
          </rPr>
          <t>LPA:</t>
        </r>
        <r>
          <rPr>
            <sz val="9"/>
            <color indexed="81"/>
            <rFont val="Tahoma"/>
            <family val="2"/>
          </rPr>
          <t xml:space="preserve">
проверити збир!
</t>
        </r>
      </text>
    </comment>
    <comment ref="I9574" authorId="0" shapeId="0">
      <text>
        <r>
          <rPr>
            <b/>
            <sz val="9"/>
            <color indexed="81"/>
            <rFont val="Tahoma"/>
            <family val="2"/>
          </rPr>
          <t>LPA:</t>
        </r>
        <r>
          <rPr>
            <sz val="9"/>
            <color indexed="81"/>
            <rFont val="Tahoma"/>
            <family val="2"/>
          </rPr>
          <t xml:space="preserve">
проверити збир!
</t>
        </r>
      </text>
    </comment>
    <comment ref="I9575" authorId="0" shapeId="0">
      <text>
        <r>
          <rPr>
            <b/>
            <sz val="9"/>
            <color indexed="81"/>
            <rFont val="Tahoma"/>
            <family val="2"/>
          </rPr>
          <t>LPA:</t>
        </r>
        <r>
          <rPr>
            <sz val="9"/>
            <color indexed="81"/>
            <rFont val="Tahoma"/>
            <family val="2"/>
          </rPr>
          <t xml:space="preserve">
проверити збир!
</t>
        </r>
      </text>
    </comment>
    <comment ref="I9576" authorId="0" shapeId="0">
      <text>
        <r>
          <rPr>
            <b/>
            <sz val="9"/>
            <color indexed="81"/>
            <rFont val="Tahoma"/>
            <family val="2"/>
          </rPr>
          <t>LPA:</t>
        </r>
        <r>
          <rPr>
            <sz val="9"/>
            <color indexed="81"/>
            <rFont val="Tahoma"/>
            <family val="2"/>
          </rPr>
          <t xml:space="preserve">
проверити збир!
</t>
        </r>
      </text>
    </comment>
    <comment ref="I9577" authorId="0" shapeId="0">
      <text>
        <r>
          <rPr>
            <b/>
            <sz val="9"/>
            <color indexed="81"/>
            <rFont val="Tahoma"/>
            <family val="2"/>
          </rPr>
          <t>LPA:</t>
        </r>
        <r>
          <rPr>
            <sz val="9"/>
            <color indexed="81"/>
            <rFont val="Tahoma"/>
            <family val="2"/>
          </rPr>
          <t xml:space="preserve">
проверити збир!
</t>
        </r>
      </text>
    </comment>
    <comment ref="H9580" authorId="0" shapeId="0">
      <text>
        <r>
          <rPr>
            <b/>
            <sz val="9"/>
            <color indexed="81"/>
            <rFont val="Tahoma"/>
            <family val="2"/>
          </rPr>
          <t>LPA:</t>
        </r>
        <r>
          <rPr>
            <sz val="9"/>
            <color indexed="81"/>
            <rFont val="Tahoma"/>
            <family val="2"/>
          </rPr>
          <t xml:space="preserve">
проверити збир!</t>
        </r>
      </text>
    </comment>
    <comment ref="I9580" authorId="0" shapeId="0">
      <text>
        <r>
          <rPr>
            <b/>
            <sz val="9"/>
            <color indexed="81"/>
            <rFont val="Tahoma"/>
            <family val="2"/>
          </rPr>
          <t>LPA:</t>
        </r>
        <r>
          <rPr>
            <sz val="9"/>
            <color indexed="81"/>
            <rFont val="Tahoma"/>
            <family val="2"/>
          </rPr>
          <t xml:space="preserve">
проверити збир!</t>
        </r>
      </text>
    </comment>
    <comment ref="I9581" authorId="0" shapeId="0">
      <text>
        <r>
          <rPr>
            <b/>
            <sz val="9"/>
            <color indexed="81"/>
            <rFont val="Tahoma"/>
            <family val="2"/>
          </rPr>
          <t>LPA:</t>
        </r>
        <r>
          <rPr>
            <sz val="9"/>
            <color indexed="81"/>
            <rFont val="Tahoma"/>
            <family val="2"/>
          </rPr>
          <t xml:space="preserve">
проверити збир!
</t>
        </r>
      </text>
    </comment>
    <comment ref="I9582" authorId="0" shapeId="0">
      <text>
        <r>
          <rPr>
            <b/>
            <sz val="9"/>
            <color indexed="81"/>
            <rFont val="Tahoma"/>
            <family val="2"/>
          </rPr>
          <t>LPA:</t>
        </r>
        <r>
          <rPr>
            <sz val="9"/>
            <color indexed="81"/>
            <rFont val="Tahoma"/>
            <family val="2"/>
          </rPr>
          <t xml:space="preserve">
проверити збир!
</t>
        </r>
      </text>
    </comment>
    <comment ref="I9583" authorId="0" shapeId="0">
      <text>
        <r>
          <rPr>
            <b/>
            <sz val="9"/>
            <color indexed="81"/>
            <rFont val="Tahoma"/>
            <family val="2"/>
          </rPr>
          <t>LPA:</t>
        </r>
        <r>
          <rPr>
            <sz val="9"/>
            <color indexed="81"/>
            <rFont val="Tahoma"/>
            <family val="2"/>
          </rPr>
          <t xml:space="preserve">
проверити збир!
</t>
        </r>
      </text>
    </comment>
    <comment ref="I9584" authorId="0" shapeId="0">
      <text>
        <r>
          <rPr>
            <b/>
            <sz val="9"/>
            <color indexed="81"/>
            <rFont val="Tahoma"/>
            <family val="2"/>
          </rPr>
          <t>LPA:</t>
        </r>
        <r>
          <rPr>
            <sz val="9"/>
            <color indexed="81"/>
            <rFont val="Tahoma"/>
            <family val="2"/>
          </rPr>
          <t xml:space="preserve">
проверити збир!
</t>
        </r>
      </text>
    </comment>
    <comment ref="I9585" authorId="0" shapeId="0">
      <text>
        <r>
          <rPr>
            <b/>
            <sz val="9"/>
            <color indexed="81"/>
            <rFont val="Tahoma"/>
            <family val="2"/>
          </rPr>
          <t>LPA:</t>
        </r>
        <r>
          <rPr>
            <sz val="9"/>
            <color indexed="81"/>
            <rFont val="Tahoma"/>
            <family val="2"/>
          </rPr>
          <t xml:space="preserve">
проверити збир!
</t>
        </r>
      </text>
    </comment>
    <comment ref="I9586" authorId="0" shapeId="0">
      <text>
        <r>
          <rPr>
            <b/>
            <sz val="9"/>
            <color indexed="81"/>
            <rFont val="Tahoma"/>
            <family val="2"/>
          </rPr>
          <t>LPA:</t>
        </r>
        <r>
          <rPr>
            <sz val="9"/>
            <color indexed="81"/>
            <rFont val="Tahoma"/>
            <family val="2"/>
          </rPr>
          <t xml:space="preserve">
проверити збир!
</t>
        </r>
      </text>
    </comment>
    <comment ref="I9587" authorId="0" shapeId="0">
      <text>
        <r>
          <rPr>
            <b/>
            <sz val="9"/>
            <color indexed="81"/>
            <rFont val="Tahoma"/>
            <family val="2"/>
          </rPr>
          <t>LPA:</t>
        </r>
        <r>
          <rPr>
            <sz val="9"/>
            <color indexed="81"/>
            <rFont val="Tahoma"/>
            <family val="2"/>
          </rPr>
          <t xml:space="preserve">
проверити збир!
</t>
        </r>
      </text>
    </comment>
    <comment ref="I9588" authorId="0" shapeId="0">
      <text>
        <r>
          <rPr>
            <b/>
            <sz val="9"/>
            <color indexed="81"/>
            <rFont val="Tahoma"/>
            <family val="2"/>
          </rPr>
          <t>LPA:</t>
        </r>
        <r>
          <rPr>
            <sz val="9"/>
            <color indexed="81"/>
            <rFont val="Tahoma"/>
            <family val="2"/>
          </rPr>
          <t xml:space="preserve">
проверити збир!
</t>
        </r>
      </text>
    </comment>
    <comment ref="I9589" authorId="0" shapeId="0">
      <text>
        <r>
          <rPr>
            <b/>
            <sz val="9"/>
            <color indexed="81"/>
            <rFont val="Tahoma"/>
            <family val="2"/>
          </rPr>
          <t>LPA:</t>
        </r>
        <r>
          <rPr>
            <sz val="9"/>
            <color indexed="81"/>
            <rFont val="Tahoma"/>
            <family val="2"/>
          </rPr>
          <t xml:space="preserve">
проверити збир!
</t>
        </r>
      </text>
    </comment>
    <comment ref="I9590" authorId="0" shapeId="0">
      <text>
        <r>
          <rPr>
            <b/>
            <sz val="9"/>
            <color indexed="81"/>
            <rFont val="Tahoma"/>
            <family val="2"/>
          </rPr>
          <t>LPA:</t>
        </r>
        <r>
          <rPr>
            <sz val="9"/>
            <color indexed="81"/>
            <rFont val="Tahoma"/>
            <family val="2"/>
          </rPr>
          <t xml:space="preserve">
проверити збир!
</t>
        </r>
      </text>
    </comment>
    <comment ref="I9591" authorId="0" shapeId="0">
      <text>
        <r>
          <rPr>
            <b/>
            <sz val="9"/>
            <color indexed="81"/>
            <rFont val="Tahoma"/>
            <family val="2"/>
          </rPr>
          <t>LPA:</t>
        </r>
        <r>
          <rPr>
            <sz val="9"/>
            <color indexed="81"/>
            <rFont val="Tahoma"/>
            <family val="2"/>
          </rPr>
          <t xml:space="preserve">
проверити збир!
</t>
        </r>
      </text>
    </comment>
    <comment ref="I9592" authorId="0" shapeId="0">
      <text>
        <r>
          <rPr>
            <b/>
            <sz val="9"/>
            <color indexed="81"/>
            <rFont val="Tahoma"/>
            <family val="2"/>
          </rPr>
          <t>LPA:</t>
        </r>
        <r>
          <rPr>
            <sz val="9"/>
            <color indexed="81"/>
            <rFont val="Tahoma"/>
            <family val="2"/>
          </rPr>
          <t xml:space="preserve">
проверити збир!
</t>
        </r>
      </text>
    </comment>
    <comment ref="I9593" authorId="0" shapeId="0">
      <text>
        <r>
          <rPr>
            <b/>
            <sz val="9"/>
            <color indexed="81"/>
            <rFont val="Tahoma"/>
            <family val="2"/>
          </rPr>
          <t>LPA:</t>
        </r>
        <r>
          <rPr>
            <sz val="9"/>
            <color indexed="81"/>
            <rFont val="Tahoma"/>
            <family val="2"/>
          </rPr>
          <t xml:space="preserve">
проверити збир!
</t>
        </r>
      </text>
    </comment>
    <comment ref="I9594" authorId="0" shapeId="0">
      <text>
        <r>
          <rPr>
            <b/>
            <sz val="9"/>
            <color indexed="81"/>
            <rFont val="Tahoma"/>
            <family val="2"/>
          </rPr>
          <t>LPA:</t>
        </r>
        <r>
          <rPr>
            <sz val="9"/>
            <color indexed="81"/>
            <rFont val="Tahoma"/>
            <family val="2"/>
          </rPr>
          <t xml:space="preserve">
проверити збир!
</t>
        </r>
      </text>
    </comment>
    <comment ref="I9595" authorId="0" shapeId="0">
      <text>
        <r>
          <rPr>
            <b/>
            <sz val="9"/>
            <color indexed="81"/>
            <rFont val="Tahoma"/>
            <family val="2"/>
          </rPr>
          <t>LPA:</t>
        </r>
        <r>
          <rPr>
            <sz val="9"/>
            <color indexed="81"/>
            <rFont val="Tahoma"/>
            <family val="2"/>
          </rPr>
          <t xml:space="preserve">
проверити збир!
</t>
        </r>
      </text>
    </comment>
    <comment ref="I9664" authorId="0" shapeId="0">
      <text>
        <r>
          <rPr>
            <b/>
            <sz val="9"/>
            <color indexed="81"/>
            <rFont val="Tahoma"/>
            <family val="2"/>
          </rPr>
          <t>LPA:</t>
        </r>
        <r>
          <rPr>
            <sz val="9"/>
            <color indexed="81"/>
            <rFont val="Tahoma"/>
            <family val="2"/>
          </rPr>
          <t xml:space="preserve">
проверити збир!
</t>
        </r>
      </text>
    </comment>
    <comment ref="I9665" authorId="0" shapeId="0">
      <text>
        <r>
          <rPr>
            <b/>
            <sz val="9"/>
            <color indexed="81"/>
            <rFont val="Tahoma"/>
            <family val="2"/>
          </rPr>
          <t>LPA:</t>
        </r>
        <r>
          <rPr>
            <sz val="9"/>
            <color indexed="81"/>
            <rFont val="Tahoma"/>
            <family val="2"/>
          </rPr>
          <t xml:space="preserve">
проверити збир!
</t>
        </r>
      </text>
    </comment>
    <comment ref="I9666" authorId="0" shapeId="0">
      <text>
        <r>
          <rPr>
            <b/>
            <sz val="9"/>
            <color indexed="81"/>
            <rFont val="Tahoma"/>
            <family val="2"/>
          </rPr>
          <t>LPA:</t>
        </r>
        <r>
          <rPr>
            <sz val="9"/>
            <color indexed="81"/>
            <rFont val="Tahoma"/>
            <family val="2"/>
          </rPr>
          <t xml:space="preserve">
проверити збир!
</t>
        </r>
      </text>
    </comment>
    <comment ref="I9667" authorId="0" shapeId="0">
      <text>
        <r>
          <rPr>
            <b/>
            <sz val="9"/>
            <color indexed="81"/>
            <rFont val="Tahoma"/>
            <family val="2"/>
          </rPr>
          <t>LPA:</t>
        </r>
        <r>
          <rPr>
            <sz val="9"/>
            <color indexed="81"/>
            <rFont val="Tahoma"/>
            <family val="2"/>
          </rPr>
          <t xml:space="preserve">
проверити збир!
</t>
        </r>
      </text>
    </comment>
    <comment ref="I9668" authorId="0" shapeId="0">
      <text>
        <r>
          <rPr>
            <b/>
            <sz val="9"/>
            <color indexed="81"/>
            <rFont val="Tahoma"/>
            <family val="2"/>
          </rPr>
          <t>LPA:</t>
        </r>
        <r>
          <rPr>
            <sz val="9"/>
            <color indexed="81"/>
            <rFont val="Tahoma"/>
            <family val="2"/>
          </rPr>
          <t xml:space="preserve">
проверити збир!
</t>
        </r>
      </text>
    </comment>
    <comment ref="I9669" authorId="0" shapeId="0">
      <text>
        <r>
          <rPr>
            <b/>
            <sz val="9"/>
            <color indexed="81"/>
            <rFont val="Tahoma"/>
            <family val="2"/>
          </rPr>
          <t>LPA:</t>
        </r>
        <r>
          <rPr>
            <sz val="9"/>
            <color indexed="81"/>
            <rFont val="Tahoma"/>
            <family val="2"/>
          </rPr>
          <t xml:space="preserve">
проверити збир!
</t>
        </r>
      </text>
    </comment>
    <comment ref="I9670" authorId="0" shapeId="0">
      <text>
        <r>
          <rPr>
            <b/>
            <sz val="9"/>
            <color indexed="81"/>
            <rFont val="Tahoma"/>
            <family val="2"/>
          </rPr>
          <t>LPA:</t>
        </r>
        <r>
          <rPr>
            <sz val="9"/>
            <color indexed="81"/>
            <rFont val="Tahoma"/>
            <family val="2"/>
          </rPr>
          <t xml:space="preserve">
проверити збир!
</t>
        </r>
      </text>
    </comment>
    <comment ref="I9671" authorId="0" shapeId="0">
      <text>
        <r>
          <rPr>
            <b/>
            <sz val="9"/>
            <color indexed="81"/>
            <rFont val="Tahoma"/>
            <family val="2"/>
          </rPr>
          <t>LPA:</t>
        </r>
        <r>
          <rPr>
            <sz val="9"/>
            <color indexed="81"/>
            <rFont val="Tahoma"/>
            <family val="2"/>
          </rPr>
          <t xml:space="preserve">
проверити збир!
</t>
        </r>
      </text>
    </comment>
    <comment ref="I9672" authorId="0" shapeId="0">
      <text>
        <r>
          <rPr>
            <b/>
            <sz val="9"/>
            <color indexed="81"/>
            <rFont val="Tahoma"/>
            <family val="2"/>
          </rPr>
          <t>LPA:</t>
        </r>
        <r>
          <rPr>
            <sz val="9"/>
            <color indexed="81"/>
            <rFont val="Tahoma"/>
            <family val="2"/>
          </rPr>
          <t xml:space="preserve">
проверити збир!
</t>
        </r>
      </text>
    </comment>
    <comment ref="I9673" authorId="0" shapeId="0">
      <text>
        <r>
          <rPr>
            <b/>
            <sz val="9"/>
            <color indexed="81"/>
            <rFont val="Tahoma"/>
            <family val="2"/>
          </rPr>
          <t>LPA:</t>
        </r>
        <r>
          <rPr>
            <sz val="9"/>
            <color indexed="81"/>
            <rFont val="Tahoma"/>
            <family val="2"/>
          </rPr>
          <t xml:space="preserve">
проверити збир!
</t>
        </r>
      </text>
    </comment>
    <comment ref="I9674" authorId="0" shapeId="0">
      <text>
        <r>
          <rPr>
            <b/>
            <sz val="9"/>
            <color indexed="81"/>
            <rFont val="Tahoma"/>
            <family val="2"/>
          </rPr>
          <t>LPA:</t>
        </r>
        <r>
          <rPr>
            <sz val="9"/>
            <color indexed="81"/>
            <rFont val="Tahoma"/>
            <family val="2"/>
          </rPr>
          <t xml:space="preserve">
проверити збир!
</t>
        </r>
      </text>
    </comment>
    <comment ref="I9675" authorId="0" shapeId="0">
      <text>
        <r>
          <rPr>
            <b/>
            <sz val="9"/>
            <color indexed="81"/>
            <rFont val="Tahoma"/>
            <family val="2"/>
          </rPr>
          <t>LPA:</t>
        </r>
        <r>
          <rPr>
            <sz val="9"/>
            <color indexed="81"/>
            <rFont val="Tahoma"/>
            <family val="2"/>
          </rPr>
          <t xml:space="preserve">
проверити збир!
</t>
        </r>
      </text>
    </comment>
    <comment ref="I9676" authorId="0" shapeId="0">
      <text>
        <r>
          <rPr>
            <b/>
            <sz val="9"/>
            <color indexed="81"/>
            <rFont val="Tahoma"/>
            <family val="2"/>
          </rPr>
          <t>LPA:</t>
        </r>
        <r>
          <rPr>
            <sz val="9"/>
            <color indexed="81"/>
            <rFont val="Tahoma"/>
            <family val="2"/>
          </rPr>
          <t xml:space="preserve">
проверити збир!
</t>
        </r>
      </text>
    </comment>
    <comment ref="H9679" authorId="0" shapeId="0">
      <text>
        <r>
          <rPr>
            <b/>
            <sz val="9"/>
            <color indexed="81"/>
            <rFont val="Tahoma"/>
            <family val="2"/>
          </rPr>
          <t>LPA:</t>
        </r>
        <r>
          <rPr>
            <sz val="9"/>
            <color indexed="81"/>
            <rFont val="Tahoma"/>
            <family val="2"/>
          </rPr>
          <t xml:space="preserve">
проверити збир!</t>
        </r>
      </text>
    </comment>
    <comment ref="I9679" authorId="0" shapeId="0">
      <text>
        <r>
          <rPr>
            <b/>
            <sz val="9"/>
            <color indexed="81"/>
            <rFont val="Tahoma"/>
            <family val="2"/>
          </rPr>
          <t>LPA:</t>
        </r>
        <r>
          <rPr>
            <sz val="9"/>
            <color indexed="81"/>
            <rFont val="Tahoma"/>
            <family val="2"/>
          </rPr>
          <t xml:space="preserve">
проверити збир!</t>
        </r>
      </text>
    </comment>
    <comment ref="I9680" authorId="0" shapeId="0">
      <text>
        <r>
          <rPr>
            <b/>
            <sz val="9"/>
            <color indexed="81"/>
            <rFont val="Tahoma"/>
            <family val="2"/>
          </rPr>
          <t>LPA:</t>
        </r>
        <r>
          <rPr>
            <sz val="9"/>
            <color indexed="81"/>
            <rFont val="Tahoma"/>
            <family val="2"/>
          </rPr>
          <t xml:space="preserve">
проверити збир!
</t>
        </r>
      </text>
    </comment>
    <comment ref="I9681" authorId="0" shapeId="0">
      <text>
        <r>
          <rPr>
            <b/>
            <sz val="9"/>
            <color indexed="81"/>
            <rFont val="Tahoma"/>
            <family val="2"/>
          </rPr>
          <t>LPA:</t>
        </r>
        <r>
          <rPr>
            <sz val="9"/>
            <color indexed="81"/>
            <rFont val="Tahoma"/>
            <family val="2"/>
          </rPr>
          <t xml:space="preserve">
проверити збир!
</t>
        </r>
      </text>
    </comment>
    <comment ref="I9682" authorId="0" shapeId="0">
      <text>
        <r>
          <rPr>
            <b/>
            <sz val="9"/>
            <color indexed="81"/>
            <rFont val="Tahoma"/>
            <family val="2"/>
          </rPr>
          <t>LPA:</t>
        </r>
        <r>
          <rPr>
            <sz val="9"/>
            <color indexed="81"/>
            <rFont val="Tahoma"/>
            <family val="2"/>
          </rPr>
          <t xml:space="preserve">
проверити збир!
</t>
        </r>
      </text>
    </comment>
    <comment ref="I9683" authorId="0" shapeId="0">
      <text>
        <r>
          <rPr>
            <b/>
            <sz val="9"/>
            <color indexed="81"/>
            <rFont val="Tahoma"/>
            <family val="2"/>
          </rPr>
          <t>LPA:</t>
        </r>
        <r>
          <rPr>
            <sz val="9"/>
            <color indexed="81"/>
            <rFont val="Tahoma"/>
            <family val="2"/>
          </rPr>
          <t xml:space="preserve">
проверити збир!
</t>
        </r>
      </text>
    </comment>
    <comment ref="I9684" authorId="0" shapeId="0">
      <text>
        <r>
          <rPr>
            <b/>
            <sz val="9"/>
            <color indexed="81"/>
            <rFont val="Tahoma"/>
            <family val="2"/>
          </rPr>
          <t>LPA:</t>
        </r>
        <r>
          <rPr>
            <sz val="9"/>
            <color indexed="81"/>
            <rFont val="Tahoma"/>
            <family val="2"/>
          </rPr>
          <t xml:space="preserve">
проверити збир!
</t>
        </r>
      </text>
    </comment>
    <comment ref="I9685" authorId="0" shapeId="0">
      <text>
        <r>
          <rPr>
            <b/>
            <sz val="9"/>
            <color indexed="81"/>
            <rFont val="Tahoma"/>
            <family val="2"/>
          </rPr>
          <t>LPA:</t>
        </r>
        <r>
          <rPr>
            <sz val="9"/>
            <color indexed="81"/>
            <rFont val="Tahoma"/>
            <family val="2"/>
          </rPr>
          <t xml:space="preserve">
проверити збир!
</t>
        </r>
      </text>
    </comment>
    <comment ref="I9686" authorId="0" shapeId="0">
      <text>
        <r>
          <rPr>
            <b/>
            <sz val="9"/>
            <color indexed="81"/>
            <rFont val="Tahoma"/>
            <family val="2"/>
          </rPr>
          <t>LPA:</t>
        </r>
        <r>
          <rPr>
            <sz val="9"/>
            <color indexed="81"/>
            <rFont val="Tahoma"/>
            <family val="2"/>
          </rPr>
          <t xml:space="preserve">
проверити збир!
</t>
        </r>
      </text>
    </comment>
    <comment ref="I9687" authorId="0" shapeId="0">
      <text>
        <r>
          <rPr>
            <b/>
            <sz val="9"/>
            <color indexed="81"/>
            <rFont val="Tahoma"/>
            <family val="2"/>
          </rPr>
          <t>LPA:</t>
        </r>
        <r>
          <rPr>
            <sz val="9"/>
            <color indexed="81"/>
            <rFont val="Tahoma"/>
            <family val="2"/>
          </rPr>
          <t xml:space="preserve">
проверити збир!
</t>
        </r>
      </text>
    </comment>
    <comment ref="I9688" authorId="0" shapeId="0">
      <text>
        <r>
          <rPr>
            <b/>
            <sz val="9"/>
            <color indexed="81"/>
            <rFont val="Tahoma"/>
            <family val="2"/>
          </rPr>
          <t>LPA:</t>
        </r>
        <r>
          <rPr>
            <sz val="9"/>
            <color indexed="81"/>
            <rFont val="Tahoma"/>
            <family val="2"/>
          </rPr>
          <t xml:space="preserve">
проверити збир!
</t>
        </r>
      </text>
    </comment>
    <comment ref="I9689" authorId="0" shapeId="0">
      <text>
        <r>
          <rPr>
            <b/>
            <sz val="9"/>
            <color indexed="81"/>
            <rFont val="Tahoma"/>
            <family val="2"/>
          </rPr>
          <t>LPA:</t>
        </r>
        <r>
          <rPr>
            <sz val="9"/>
            <color indexed="81"/>
            <rFont val="Tahoma"/>
            <family val="2"/>
          </rPr>
          <t xml:space="preserve">
проверити збир!
</t>
        </r>
      </text>
    </comment>
    <comment ref="I9690" authorId="0" shapeId="0">
      <text>
        <r>
          <rPr>
            <b/>
            <sz val="9"/>
            <color indexed="81"/>
            <rFont val="Tahoma"/>
            <family val="2"/>
          </rPr>
          <t>LPA:</t>
        </r>
        <r>
          <rPr>
            <sz val="9"/>
            <color indexed="81"/>
            <rFont val="Tahoma"/>
            <family val="2"/>
          </rPr>
          <t xml:space="preserve">
проверити збир!
</t>
        </r>
      </text>
    </comment>
    <comment ref="I9691" authorId="0" shapeId="0">
      <text>
        <r>
          <rPr>
            <b/>
            <sz val="9"/>
            <color indexed="81"/>
            <rFont val="Tahoma"/>
            <family val="2"/>
          </rPr>
          <t>LPA:</t>
        </r>
        <r>
          <rPr>
            <sz val="9"/>
            <color indexed="81"/>
            <rFont val="Tahoma"/>
            <family val="2"/>
          </rPr>
          <t xml:space="preserve">
проверити збир!
</t>
        </r>
      </text>
    </comment>
    <comment ref="I9692" authorId="0" shapeId="0">
      <text>
        <r>
          <rPr>
            <b/>
            <sz val="9"/>
            <color indexed="81"/>
            <rFont val="Tahoma"/>
            <family val="2"/>
          </rPr>
          <t>LPA:</t>
        </r>
        <r>
          <rPr>
            <sz val="9"/>
            <color indexed="81"/>
            <rFont val="Tahoma"/>
            <family val="2"/>
          </rPr>
          <t xml:space="preserve">
проверити збир!
</t>
        </r>
      </text>
    </comment>
    <comment ref="I9693" authorId="0" shapeId="0">
      <text>
        <r>
          <rPr>
            <b/>
            <sz val="9"/>
            <color indexed="81"/>
            <rFont val="Tahoma"/>
            <family val="2"/>
          </rPr>
          <t>LPA:</t>
        </r>
        <r>
          <rPr>
            <sz val="9"/>
            <color indexed="81"/>
            <rFont val="Tahoma"/>
            <family val="2"/>
          </rPr>
          <t xml:space="preserve">
проверити збир!
</t>
        </r>
      </text>
    </comment>
    <comment ref="I9694" authorId="0" shapeId="0">
      <text>
        <r>
          <rPr>
            <b/>
            <sz val="9"/>
            <color indexed="81"/>
            <rFont val="Tahoma"/>
            <family val="2"/>
          </rPr>
          <t>LPA:</t>
        </r>
        <r>
          <rPr>
            <sz val="9"/>
            <color indexed="81"/>
            <rFont val="Tahoma"/>
            <family val="2"/>
          </rPr>
          <t xml:space="preserve">
проверити збир!
</t>
        </r>
      </text>
    </comment>
    <comment ref="I9763" authorId="0" shapeId="0">
      <text>
        <r>
          <rPr>
            <b/>
            <sz val="9"/>
            <color indexed="81"/>
            <rFont val="Tahoma"/>
            <family val="2"/>
          </rPr>
          <t>LPA:</t>
        </r>
        <r>
          <rPr>
            <sz val="9"/>
            <color indexed="81"/>
            <rFont val="Tahoma"/>
            <family val="2"/>
          </rPr>
          <t xml:space="preserve">
проверити збир!
</t>
        </r>
      </text>
    </comment>
    <comment ref="I9764" authorId="0" shapeId="0">
      <text>
        <r>
          <rPr>
            <b/>
            <sz val="9"/>
            <color indexed="81"/>
            <rFont val="Tahoma"/>
            <family val="2"/>
          </rPr>
          <t>LPA:</t>
        </r>
        <r>
          <rPr>
            <sz val="9"/>
            <color indexed="81"/>
            <rFont val="Tahoma"/>
            <family val="2"/>
          </rPr>
          <t xml:space="preserve">
проверити збир!
</t>
        </r>
      </text>
    </comment>
    <comment ref="I9765" authorId="0" shapeId="0">
      <text>
        <r>
          <rPr>
            <b/>
            <sz val="9"/>
            <color indexed="81"/>
            <rFont val="Tahoma"/>
            <family val="2"/>
          </rPr>
          <t>LPA:</t>
        </r>
        <r>
          <rPr>
            <sz val="9"/>
            <color indexed="81"/>
            <rFont val="Tahoma"/>
            <family val="2"/>
          </rPr>
          <t xml:space="preserve">
проверити збир!
</t>
        </r>
      </text>
    </comment>
    <comment ref="I9766" authorId="0" shapeId="0">
      <text>
        <r>
          <rPr>
            <b/>
            <sz val="9"/>
            <color indexed="81"/>
            <rFont val="Tahoma"/>
            <family val="2"/>
          </rPr>
          <t>LPA:</t>
        </r>
        <r>
          <rPr>
            <sz val="9"/>
            <color indexed="81"/>
            <rFont val="Tahoma"/>
            <family val="2"/>
          </rPr>
          <t xml:space="preserve">
проверити збир!
</t>
        </r>
      </text>
    </comment>
    <comment ref="I9767" authorId="0" shapeId="0">
      <text>
        <r>
          <rPr>
            <b/>
            <sz val="9"/>
            <color indexed="81"/>
            <rFont val="Tahoma"/>
            <family val="2"/>
          </rPr>
          <t>LPA:</t>
        </r>
        <r>
          <rPr>
            <sz val="9"/>
            <color indexed="81"/>
            <rFont val="Tahoma"/>
            <family val="2"/>
          </rPr>
          <t xml:space="preserve">
проверити збир!
</t>
        </r>
      </text>
    </comment>
    <comment ref="I9768" authorId="0" shapeId="0">
      <text>
        <r>
          <rPr>
            <b/>
            <sz val="9"/>
            <color indexed="81"/>
            <rFont val="Tahoma"/>
            <family val="2"/>
          </rPr>
          <t>LPA:</t>
        </r>
        <r>
          <rPr>
            <sz val="9"/>
            <color indexed="81"/>
            <rFont val="Tahoma"/>
            <family val="2"/>
          </rPr>
          <t xml:space="preserve">
проверити збир!
</t>
        </r>
      </text>
    </comment>
    <comment ref="I9769" authorId="0" shapeId="0">
      <text>
        <r>
          <rPr>
            <b/>
            <sz val="9"/>
            <color indexed="81"/>
            <rFont val="Tahoma"/>
            <family val="2"/>
          </rPr>
          <t>LPA:</t>
        </r>
        <r>
          <rPr>
            <sz val="9"/>
            <color indexed="81"/>
            <rFont val="Tahoma"/>
            <family val="2"/>
          </rPr>
          <t xml:space="preserve">
проверити збир!
</t>
        </r>
      </text>
    </comment>
    <comment ref="I9770" authorId="0" shapeId="0">
      <text>
        <r>
          <rPr>
            <b/>
            <sz val="9"/>
            <color indexed="81"/>
            <rFont val="Tahoma"/>
            <family val="2"/>
          </rPr>
          <t>LPA:</t>
        </r>
        <r>
          <rPr>
            <sz val="9"/>
            <color indexed="81"/>
            <rFont val="Tahoma"/>
            <family val="2"/>
          </rPr>
          <t xml:space="preserve">
проверити збир!
</t>
        </r>
      </text>
    </comment>
    <comment ref="I9771" authorId="0" shapeId="0">
      <text>
        <r>
          <rPr>
            <b/>
            <sz val="9"/>
            <color indexed="81"/>
            <rFont val="Tahoma"/>
            <family val="2"/>
          </rPr>
          <t>LPA:</t>
        </r>
        <r>
          <rPr>
            <sz val="9"/>
            <color indexed="81"/>
            <rFont val="Tahoma"/>
            <family val="2"/>
          </rPr>
          <t xml:space="preserve">
проверити збир!
</t>
        </r>
      </text>
    </comment>
    <comment ref="I9772" authorId="0" shapeId="0">
      <text>
        <r>
          <rPr>
            <b/>
            <sz val="9"/>
            <color indexed="81"/>
            <rFont val="Tahoma"/>
            <family val="2"/>
          </rPr>
          <t>LPA:</t>
        </r>
        <r>
          <rPr>
            <sz val="9"/>
            <color indexed="81"/>
            <rFont val="Tahoma"/>
            <family val="2"/>
          </rPr>
          <t xml:space="preserve">
проверити збир!
</t>
        </r>
      </text>
    </comment>
    <comment ref="I9773" authorId="0" shapeId="0">
      <text>
        <r>
          <rPr>
            <b/>
            <sz val="9"/>
            <color indexed="81"/>
            <rFont val="Tahoma"/>
            <family val="2"/>
          </rPr>
          <t>LPA:</t>
        </r>
        <r>
          <rPr>
            <sz val="9"/>
            <color indexed="81"/>
            <rFont val="Tahoma"/>
            <family val="2"/>
          </rPr>
          <t xml:space="preserve">
проверити збир!
</t>
        </r>
      </text>
    </comment>
    <comment ref="I9774" authorId="0" shapeId="0">
      <text>
        <r>
          <rPr>
            <b/>
            <sz val="9"/>
            <color indexed="81"/>
            <rFont val="Tahoma"/>
            <family val="2"/>
          </rPr>
          <t>LPA:</t>
        </r>
        <r>
          <rPr>
            <sz val="9"/>
            <color indexed="81"/>
            <rFont val="Tahoma"/>
            <family val="2"/>
          </rPr>
          <t xml:space="preserve">
проверити збир!
</t>
        </r>
      </text>
    </comment>
    <comment ref="I9775" authorId="0" shapeId="0">
      <text>
        <r>
          <rPr>
            <b/>
            <sz val="9"/>
            <color indexed="81"/>
            <rFont val="Tahoma"/>
            <family val="2"/>
          </rPr>
          <t>LPA:</t>
        </r>
        <r>
          <rPr>
            <sz val="9"/>
            <color indexed="81"/>
            <rFont val="Tahoma"/>
            <family val="2"/>
          </rPr>
          <t xml:space="preserve">
проверити збир!
</t>
        </r>
      </text>
    </comment>
    <comment ref="H9778" authorId="0" shapeId="0">
      <text>
        <r>
          <rPr>
            <b/>
            <sz val="9"/>
            <color indexed="81"/>
            <rFont val="Tahoma"/>
            <family val="2"/>
          </rPr>
          <t>LPA:</t>
        </r>
        <r>
          <rPr>
            <sz val="9"/>
            <color indexed="81"/>
            <rFont val="Tahoma"/>
            <family val="2"/>
          </rPr>
          <t xml:space="preserve">
проверити збир!</t>
        </r>
      </text>
    </comment>
    <comment ref="I9778" authorId="0" shapeId="0">
      <text>
        <r>
          <rPr>
            <b/>
            <sz val="9"/>
            <color indexed="81"/>
            <rFont val="Tahoma"/>
            <family val="2"/>
          </rPr>
          <t>LPA:</t>
        </r>
        <r>
          <rPr>
            <sz val="9"/>
            <color indexed="81"/>
            <rFont val="Tahoma"/>
            <family val="2"/>
          </rPr>
          <t xml:space="preserve">
проверити збир!</t>
        </r>
      </text>
    </comment>
    <comment ref="I9779" authorId="0" shapeId="0">
      <text>
        <r>
          <rPr>
            <b/>
            <sz val="9"/>
            <color indexed="81"/>
            <rFont val="Tahoma"/>
            <family val="2"/>
          </rPr>
          <t>LPA:</t>
        </r>
        <r>
          <rPr>
            <sz val="9"/>
            <color indexed="81"/>
            <rFont val="Tahoma"/>
            <family val="2"/>
          </rPr>
          <t xml:space="preserve">
проверити збир!
</t>
        </r>
      </text>
    </comment>
    <comment ref="I9780" authorId="0" shapeId="0">
      <text>
        <r>
          <rPr>
            <b/>
            <sz val="9"/>
            <color indexed="81"/>
            <rFont val="Tahoma"/>
            <family val="2"/>
          </rPr>
          <t>LPA:</t>
        </r>
        <r>
          <rPr>
            <sz val="9"/>
            <color indexed="81"/>
            <rFont val="Tahoma"/>
            <family val="2"/>
          </rPr>
          <t xml:space="preserve">
проверити збир!
</t>
        </r>
      </text>
    </comment>
    <comment ref="I9781" authorId="0" shapeId="0">
      <text>
        <r>
          <rPr>
            <b/>
            <sz val="9"/>
            <color indexed="81"/>
            <rFont val="Tahoma"/>
            <family val="2"/>
          </rPr>
          <t>LPA:</t>
        </r>
        <r>
          <rPr>
            <sz val="9"/>
            <color indexed="81"/>
            <rFont val="Tahoma"/>
            <family val="2"/>
          </rPr>
          <t xml:space="preserve">
проверити збир!
</t>
        </r>
      </text>
    </comment>
    <comment ref="I9782" authorId="0" shapeId="0">
      <text>
        <r>
          <rPr>
            <b/>
            <sz val="9"/>
            <color indexed="81"/>
            <rFont val="Tahoma"/>
            <family val="2"/>
          </rPr>
          <t>LPA:</t>
        </r>
        <r>
          <rPr>
            <sz val="9"/>
            <color indexed="81"/>
            <rFont val="Tahoma"/>
            <family val="2"/>
          </rPr>
          <t xml:space="preserve">
проверити збир!
</t>
        </r>
      </text>
    </comment>
    <comment ref="I9783" authorId="0" shapeId="0">
      <text>
        <r>
          <rPr>
            <b/>
            <sz val="9"/>
            <color indexed="81"/>
            <rFont val="Tahoma"/>
            <family val="2"/>
          </rPr>
          <t>LPA:</t>
        </r>
        <r>
          <rPr>
            <sz val="9"/>
            <color indexed="81"/>
            <rFont val="Tahoma"/>
            <family val="2"/>
          </rPr>
          <t xml:space="preserve">
проверити збир!
</t>
        </r>
      </text>
    </comment>
    <comment ref="I9784" authorId="0" shapeId="0">
      <text>
        <r>
          <rPr>
            <b/>
            <sz val="9"/>
            <color indexed="81"/>
            <rFont val="Tahoma"/>
            <family val="2"/>
          </rPr>
          <t>LPA:</t>
        </r>
        <r>
          <rPr>
            <sz val="9"/>
            <color indexed="81"/>
            <rFont val="Tahoma"/>
            <family val="2"/>
          </rPr>
          <t xml:space="preserve">
проверити збир!
</t>
        </r>
      </text>
    </comment>
    <comment ref="I9785" authorId="0" shapeId="0">
      <text>
        <r>
          <rPr>
            <b/>
            <sz val="9"/>
            <color indexed="81"/>
            <rFont val="Tahoma"/>
            <family val="2"/>
          </rPr>
          <t>LPA:</t>
        </r>
        <r>
          <rPr>
            <sz val="9"/>
            <color indexed="81"/>
            <rFont val="Tahoma"/>
            <family val="2"/>
          </rPr>
          <t xml:space="preserve">
проверити збир!
</t>
        </r>
      </text>
    </comment>
    <comment ref="I9786" authorId="0" shapeId="0">
      <text>
        <r>
          <rPr>
            <b/>
            <sz val="9"/>
            <color indexed="81"/>
            <rFont val="Tahoma"/>
            <family val="2"/>
          </rPr>
          <t>LPA:</t>
        </r>
        <r>
          <rPr>
            <sz val="9"/>
            <color indexed="81"/>
            <rFont val="Tahoma"/>
            <family val="2"/>
          </rPr>
          <t xml:space="preserve">
проверити збир!
</t>
        </r>
      </text>
    </comment>
    <comment ref="I9787" authorId="0" shapeId="0">
      <text>
        <r>
          <rPr>
            <b/>
            <sz val="9"/>
            <color indexed="81"/>
            <rFont val="Tahoma"/>
            <family val="2"/>
          </rPr>
          <t>LPA:</t>
        </r>
        <r>
          <rPr>
            <sz val="9"/>
            <color indexed="81"/>
            <rFont val="Tahoma"/>
            <family val="2"/>
          </rPr>
          <t xml:space="preserve">
проверити збир!
</t>
        </r>
      </text>
    </comment>
    <comment ref="I9788" authorId="0" shapeId="0">
      <text>
        <r>
          <rPr>
            <b/>
            <sz val="9"/>
            <color indexed="81"/>
            <rFont val="Tahoma"/>
            <family val="2"/>
          </rPr>
          <t>LPA:</t>
        </r>
        <r>
          <rPr>
            <sz val="9"/>
            <color indexed="81"/>
            <rFont val="Tahoma"/>
            <family val="2"/>
          </rPr>
          <t xml:space="preserve">
проверити збир!
</t>
        </r>
      </text>
    </comment>
    <comment ref="I9789" authorId="0" shapeId="0">
      <text>
        <r>
          <rPr>
            <b/>
            <sz val="9"/>
            <color indexed="81"/>
            <rFont val="Tahoma"/>
            <family val="2"/>
          </rPr>
          <t>LPA:</t>
        </r>
        <r>
          <rPr>
            <sz val="9"/>
            <color indexed="81"/>
            <rFont val="Tahoma"/>
            <family val="2"/>
          </rPr>
          <t xml:space="preserve">
проверити збир!
</t>
        </r>
      </text>
    </comment>
    <comment ref="I9790" authorId="0" shapeId="0">
      <text>
        <r>
          <rPr>
            <b/>
            <sz val="9"/>
            <color indexed="81"/>
            <rFont val="Tahoma"/>
            <family val="2"/>
          </rPr>
          <t>LPA:</t>
        </r>
        <r>
          <rPr>
            <sz val="9"/>
            <color indexed="81"/>
            <rFont val="Tahoma"/>
            <family val="2"/>
          </rPr>
          <t xml:space="preserve">
проверити збир!
</t>
        </r>
      </text>
    </comment>
    <comment ref="I9791" authorId="0" shapeId="0">
      <text>
        <r>
          <rPr>
            <b/>
            <sz val="9"/>
            <color indexed="81"/>
            <rFont val="Tahoma"/>
            <family val="2"/>
          </rPr>
          <t>LPA:</t>
        </r>
        <r>
          <rPr>
            <sz val="9"/>
            <color indexed="81"/>
            <rFont val="Tahoma"/>
            <family val="2"/>
          </rPr>
          <t xml:space="preserve">
проверити збир!
</t>
        </r>
      </text>
    </comment>
    <comment ref="I9792" authorId="0" shapeId="0">
      <text>
        <r>
          <rPr>
            <b/>
            <sz val="9"/>
            <color indexed="81"/>
            <rFont val="Tahoma"/>
            <family val="2"/>
          </rPr>
          <t>LPA:</t>
        </r>
        <r>
          <rPr>
            <sz val="9"/>
            <color indexed="81"/>
            <rFont val="Tahoma"/>
            <family val="2"/>
          </rPr>
          <t xml:space="preserve">
проверити збир!
</t>
        </r>
      </text>
    </comment>
    <comment ref="I9793" authorId="0" shapeId="0">
      <text>
        <r>
          <rPr>
            <b/>
            <sz val="9"/>
            <color indexed="81"/>
            <rFont val="Tahoma"/>
            <family val="2"/>
          </rPr>
          <t>LPA:</t>
        </r>
        <r>
          <rPr>
            <sz val="9"/>
            <color indexed="81"/>
            <rFont val="Tahoma"/>
            <family val="2"/>
          </rPr>
          <t xml:space="preserve">
проверити збир!
</t>
        </r>
      </text>
    </comment>
    <comment ref="I9862" authorId="0" shapeId="0">
      <text>
        <r>
          <rPr>
            <b/>
            <sz val="9"/>
            <color indexed="81"/>
            <rFont val="Tahoma"/>
            <family val="2"/>
          </rPr>
          <t>LPA:</t>
        </r>
        <r>
          <rPr>
            <sz val="9"/>
            <color indexed="81"/>
            <rFont val="Tahoma"/>
            <family val="2"/>
          </rPr>
          <t xml:space="preserve">
проверити збир!
</t>
        </r>
      </text>
    </comment>
    <comment ref="I9863" authorId="0" shapeId="0">
      <text>
        <r>
          <rPr>
            <b/>
            <sz val="9"/>
            <color indexed="81"/>
            <rFont val="Tahoma"/>
            <family val="2"/>
          </rPr>
          <t>LPA:</t>
        </r>
        <r>
          <rPr>
            <sz val="9"/>
            <color indexed="81"/>
            <rFont val="Tahoma"/>
            <family val="2"/>
          </rPr>
          <t xml:space="preserve">
проверити збир!
</t>
        </r>
      </text>
    </comment>
    <comment ref="I9864" authorId="0" shapeId="0">
      <text>
        <r>
          <rPr>
            <b/>
            <sz val="9"/>
            <color indexed="81"/>
            <rFont val="Tahoma"/>
            <family val="2"/>
          </rPr>
          <t>LPA:</t>
        </r>
        <r>
          <rPr>
            <sz val="9"/>
            <color indexed="81"/>
            <rFont val="Tahoma"/>
            <family val="2"/>
          </rPr>
          <t xml:space="preserve">
проверити збир!
</t>
        </r>
      </text>
    </comment>
    <comment ref="I9865" authorId="0" shapeId="0">
      <text>
        <r>
          <rPr>
            <b/>
            <sz val="9"/>
            <color indexed="81"/>
            <rFont val="Tahoma"/>
            <family val="2"/>
          </rPr>
          <t>LPA:</t>
        </r>
        <r>
          <rPr>
            <sz val="9"/>
            <color indexed="81"/>
            <rFont val="Tahoma"/>
            <family val="2"/>
          </rPr>
          <t xml:space="preserve">
проверити збир!
</t>
        </r>
      </text>
    </comment>
    <comment ref="I9866" authorId="0" shapeId="0">
      <text>
        <r>
          <rPr>
            <b/>
            <sz val="9"/>
            <color indexed="81"/>
            <rFont val="Tahoma"/>
            <family val="2"/>
          </rPr>
          <t>LPA:</t>
        </r>
        <r>
          <rPr>
            <sz val="9"/>
            <color indexed="81"/>
            <rFont val="Tahoma"/>
            <family val="2"/>
          </rPr>
          <t xml:space="preserve">
проверити збир!
</t>
        </r>
      </text>
    </comment>
    <comment ref="I9867" authorId="0" shapeId="0">
      <text>
        <r>
          <rPr>
            <b/>
            <sz val="9"/>
            <color indexed="81"/>
            <rFont val="Tahoma"/>
            <family val="2"/>
          </rPr>
          <t>LPA:</t>
        </r>
        <r>
          <rPr>
            <sz val="9"/>
            <color indexed="81"/>
            <rFont val="Tahoma"/>
            <family val="2"/>
          </rPr>
          <t xml:space="preserve">
проверити збир!
</t>
        </r>
      </text>
    </comment>
    <comment ref="I9868" authorId="0" shapeId="0">
      <text>
        <r>
          <rPr>
            <b/>
            <sz val="9"/>
            <color indexed="81"/>
            <rFont val="Tahoma"/>
            <family val="2"/>
          </rPr>
          <t>LPA:</t>
        </r>
        <r>
          <rPr>
            <sz val="9"/>
            <color indexed="81"/>
            <rFont val="Tahoma"/>
            <family val="2"/>
          </rPr>
          <t xml:space="preserve">
проверити збир!
</t>
        </r>
      </text>
    </comment>
    <comment ref="I9869" authorId="0" shapeId="0">
      <text>
        <r>
          <rPr>
            <b/>
            <sz val="9"/>
            <color indexed="81"/>
            <rFont val="Tahoma"/>
            <family val="2"/>
          </rPr>
          <t>LPA:</t>
        </r>
        <r>
          <rPr>
            <sz val="9"/>
            <color indexed="81"/>
            <rFont val="Tahoma"/>
            <family val="2"/>
          </rPr>
          <t xml:space="preserve">
проверити збир!
</t>
        </r>
      </text>
    </comment>
    <comment ref="I9870" authorId="0" shapeId="0">
      <text>
        <r>
          <rPr>
            <b/>
            <sz val="9"/>
            <color indexed="81"/>
            <rFont val="Tahoma"/>
            <family val="2"/>
          </rPr>
          <t>LPA:</t>
        </r>
        <r>
          <rPr>
            <sz val="9"/>
            <color indexed="81"/>
            <rFont val="Tahoma"/>
            <family val="2"/>
          </rPr>
          <t xml:space="preserve">
проверити збир!
</t>
        </r>
      </text>
    </comment>
    <comment ref="I9871" authorId="0" shapeId="0">
      <text>
        <r>
          <rPr>
            <b/>
            <sz val="9"/>
            <color indexed="81"/>
            <rFont val="Tahoma"/>
            <family val="2"/>
          </rPr>
          <t>LPA:</t>
        </r>
        <r>
          <rPr>
            <sz val="9"/>
            <color indexed="81"/>
            <rFont val="Tahoma"/>
            <family val="2"/>
          </rPr>
          <t xml:space="preserve">
проверити збир!
</t>
        </r>
      </text>
    </comment>
    <comment ref="I9872" authorId="0" shapeId="0">
      <text>
        <r>
          <rPr>
            <b/>
            <sz val="9"/>
            <color indexed="81"/>
            <rFont val="Tahoma"/>
            <family val="2"/>
          </rPr>
          <t>LPA:</t>
        </r>
        <r>
          <rPr>
            <sz val="9"/>
            <color indexed="81"/>
            <rFont val="Tahoma"/>
            <family val="2"/>
          </rPr>
          <t xml:space="preserve">
проверити збир!
</t>
        </r>
      </text>
    </comment>
    <comment ref="I9873" authorId="0" shapeId="0">
      <text>
        <r>
          <rPr>
            <b/>
            <sz val="9"/>
            <color indexed="81"/>
            <rFont val="Tahoma"/>
            <family val="2"/>
          </rPr>
          <t>LPA:</t>
        </r>
        <r>
          <rPr>
            <sz val="9"/>
            <color indexed="81"/>
            <rFont val="Tahoma"/>
            <family val="2"/>
          </rPr>
          <t xml:space="preserve">
проверити збир!
</t>
        </r>
      </text>
    </comment>
    <comment ref="I9874" authorId="0" shapeId="0">
      <text>
        <r>
          <rPr>
            <b/>
            <sz val="9"/>
            <color indexed="81"/>
            <rFont val="Tahoma"/>
            <family val="2"/>
          </rPr>
          <t>LPA:</t>
        </r>
        <r>
          <rPr>
            <sz val="9"/>
            <color indexed="81"/>
            <rFont val="Tahoma"/>
            <family val="2"/>
          </rPr>
          <t xml:space="preserve">
проверити збир!
</t>
        </r>
      </text>
    </comment>
    <comment ref="H9877" authorId="0" shapeId="0">
      <text>
        <r>
          <rPr>
            <b/>
            <sz val="9"/>
            <color indexed="81"/>
            <rFont val="Tahoma"/>
            <family val="2"/>
          </rPr>
          <t>LPA:</t>
        </r>
        <r>
          <rPr>
            <sz val="9"/>
            <color indexed="81"/>
            <rFont val="Tahoma"/>
            <family val="2"/>
          </rPr>
          <t xml:space="preserve">
проверити збир!</t>
        </r>
      </text>
    </comment>
    <comment ref="I9877" authorId="0" shapeId="0">
      <text>
        <r>
          <rPr>
            <b/>
            <sz val="9"/>
            <color indexed="81"/>
            <rFont val="Tahoma"/>
            <family val="2"/>
          </rPr>
          <t>LPA:</t>
        </r>
        <r>
          <rPr>
            <sz val="9"/>
            <color indexed="81"/>
            <rFont val="Tahoma"/>
            <family val="2"/>
          </rPr>
          <t xml:space="preserve">
проверити збир!</t>
        </r>
      </text>
    </comment>
    <comment ref="I9878" authorId="0" shapeId="0">
      <text>
        <r>
          <rPr>
            <b/>
            <sz val="9"/>
            <color indexed="81"/>
            <rFont val="Tahoma"/>
            <family val="2"/>
          </rPr>
          <t>LPA:</t>
        </r>
        <r>
          <rPr>
            <sz val="9"/>
            <color indexed="81"/>
            <rFont val="Tahoma"/>
            <family val="2"/>
          </rPr>
          <t xml:space="preserve">
проверити збир!
</t>
        </r>
      </text>
    </comment>
    <comment ref="I9879" authorId="0" shapeId="0">
      <text>
        <r>
          <rPr>
            <b/>
            <sz val="9"/>
            <color indexed="81"/>
            <rFont val="Tahoma"/>
            <family val="2"/>
          </rPr>
          <t>LPA:</t>
        </r>
        <r>
          <rPr>
            <sz val="9"/>
            <color indexed="81"/>
            <rFont val="Tahoma"/>
            <family val="2"/>
          </rPr>
          <t xml:space="preserve">
проверити збир!
</t>
        </r>
      </text>
    </comment>
    <comment ref="I9880" authorId="0" shapeId="0">
      <text>
        <r>
          <rPr>
            <b/>
            <sz val="9"/>
            <color indexed="81"/>
            <rFont val="Tahoma"/>
            <family val="2"/>
          </rPr>
          <t>LPA:</t>
        </r>
        <r>
          <rPr>
            <sz val="9"/>
            <color indexed="81"/>
            <rFont val="Tahoma"/>
            <family val="2"/>
          </rPr>
          <t xml:space="preserve">
проверити збир!
</t>
        </r>
      </text>
    </comment>
    <comment ref="I9881" authorId="0" shapeId="0">
      <text>
        <r>
          <rPr>
            <b/>
            <sz val="9"/>
            <color indexed="81"/>
            <rFont val="Tahoma"/>
            <family val="2"/>
          </rPr>
          <t>LPA:</t>
        </r>
        <r>
          <rPr>
            <sz val="9"/>
            <color indexed="81"/>
            <rFont val="Tahoma"/>
            <family val="2"/>
          </rPr>
          <t xml:space="preserve">
проверити збир!
</t>
        </r>
      </text>
    </comment>
    <comment ref="I9882" authorId="0" shapeId="0">
      <text>
        <r>
          <rPr>
            <b/>
            <sz val="9"/>
            <color indexed="81"/>
            <rFont val="Tahoma"/>
            <family val="2"/>
          </rPr>
          <t>LPA:</t>
        </r>
        <r>
          <rPr>
            <sz val="9"/>
            <color indexed="81"/>
            <rFont val="Tahoma"/>
            <family val="2"/>
          </rPr>
          <t xml:space="preserve">
проверити збир!
</t>
        </r>
      </text>
    </comment>
    <comment ref="I9883" authorId="0" shapeId="0">
      <text>
        <r>
          <rPr>
            <b/>
            <sz val="9"/>
            <color indexed="81"/>
            <rFont val="Tahoma"/>
            <family val="2"/>
          </rPr>
          <t>LPA:</t>
        </r>
        <r>
          <rPr>
            <sz val="9"/>
            <color indexed="81"/>
            <rFont val="Tahoma"/>
            <family val="2"/>
          </rPr>
          <t xml:space="preserve">
проверити збир!
</t>
        </r>
      </text>
    </comment>
    <comment ref="I9884" authorId="0" shapeId="0">
      <text>
        <r>
          <rPr>
            <b/>
            <sz val="9"/>
            <color indexed="81"/>
            <rFont val="Tahoma"/>
            <family val="2"/>
          </rPr>
          <t>LPA:</t>
        </r>
        <r>
          <rPr>
            <sz val="9"/>
            <color indexed="81"/>
            <rFont val="Tahoma"/>
            <family val="2"/>
          </rPr>
          <t xml:space="preserve">
проверити збир!
</t>
        </r>
      </text>
    </comment>
    <comment ref="I9885" authorId="0" shapeId="0">
      <text>
        <r>
          <rPr>
            <b/>
            <sz val="9"/>
            <color indexed="81"/>
            <rFont val="Tahoma"/>
            <family val="2"/>
          </rPr>
          <t>LPA:</t>
        </r>
        <r>
          <rPr>
            <sz val="9"/>
            <color indexed="81"/>
            <rFont val="Tahoma"/>
            <family val="2"/>
          </rPr>
          <t xml:space="preserve">
проверити збир!
</t>
        </r>
      </text>
    </comment>
    <comment ref="I9886" authorId="0" shapeId="0">
      <text>
        <r>
          <rPr>
            <b/>
            <sz val="9"/>
            <color indexed="81"/>
            <rFont val="Tahoma"/>
            <family val="2"/>
          </rPr>
          <t>LPA:</t>
        </r>
        <r>
          <rPr>
            <sz val="9"/>
            <color indexed="81"/>
            <rFont val="Tahoma"/>
            <family val="2"/>
          </rPr>
          <t xml:space="preserve">
проверити збир!
</t>
        </r>
      </text>
    </comment>
    <comment ref="I9887" authorId="0" shapeId="0">
      <text>
        <r>
          <rPr>
            <b/>
            <sz val="9"/>
            <color indexed="81"/>
            <rFont val="Tahoma"/>
            <family val="2"/>
          </rPr>
          <t>LPA:</t>
        </r>
        <r>
          <rPr>
            <sz val="9"/>
            <color indexed="81"/>
            <rFont val="Tahoma"/>
            <family val="2"/>
          </rPr>
          <t xml:space="preserve">
проверити збир!
</t>
        </r>
      </text>
    </comment>
    <comment ref="I9888" authorId="0" shapeId="0">
      <text>
        <r>
          <rPr>
            <b/>
            <sz val="9"/>
            <color indexed="81"/>
            <rFont val="Tahoma"/>
            <family val="2"/>
          </rPr>
          <t>LPA:</t>
        </r>
        <r>
          <rPr>
            <sz val="9"/>
            <color indexed="81"/>
            <rFont val="Tahoma"/>
            <family val="2"/>
          </rPr>
          <t xml:space="preserve">
проверити збир!
</t>
        </r>
      </text>
    </comment>
    <comment ref="I9889" authorId="0" shapeId="0">
      <text>
        <r>
          <rPr>
            <b/>
            <sz val="9"/>
            <color indexed="81"/>
            <rFont val="Tahoma"/>
            <family val="2"/>
          </rPr>
          <t>LPA:</t>
        </r>
        <r>
          <rPr>
            <sz val="9"/>
            <color indexed="81"/>
            <rFont val="Tahoma"/>
            <family val="2"/>
          </rPr>
          <t xml:space="preserve">
проверити збир!
</t>
        </r>
      </text>
    </comment>
    <comment ref="I9890" authorId="0" shapeId="0">
      <text>
        <r>
          <rPr>
            <b/>
            <sz val="9"/>
            <color indexed="81"/>
            <rFont val="Tahoma"/>
            <family val="2"/>
          </rPr>
          <t>LPA:</t>
        </r>
        <r>
          <rPr>
            <sz val="9"/>
            <color indexed="81"/>
            <rFont val="Tahoma"/>
            <family val="2"/>
          </rPr>
          <t xml:space="preserve">
проверити збир!
</t>
        </r>
      </text>
    </comment>
    <comment ref="I9891" authorId="0" shapeId="0">
      <text>
        <r>
          <rPr>
            <b/>
            <sz val="9"/>
            <color indexed="81"/>
            <rFont val="Tahoma"/>
            <family val="2"/>
          </rPr>
          <t>LPA:</t>
        </r>
        <r>
          <rPr>
            <sz val="9"/>
            <color indexed="81"/>
            <rFont val="Tahoma"/>
            <family val="2"/>
          </rPr>
          <t xml:space="preserve">
проверити збир!
</t>
        </r>
      </text>
    </comment>
    <comment ref="I9892" authorId="0" shapeId="0">
      <text>
        <r>
          <rPr>
            <b/>
            <sz val="9"/>
            <color indexed="81"/>
            <rFont val="Tahoma"/>
            <family val="2"/>
          </rPr>
          <t>LPA:</t>
        </r>
        <r>
          <rPr>
            <sz val="9"/>
            <color indexed="81"/>
            <rFont val="Tahoma"/>
            <family val="2"/>
          </rPr>
          <t xml:space="preserve">
проверити збир!
</t>
        </r>
      </text>
    </comment>
    <comment ref="I9961" authorId="0" shapeId="0">
      <text>
        <r>
          <rPr>
            <b/>
            <sz val="9"/>
            <color indexed="81"/>
            <rFont val="Tahoma"/>
            <family val="2"/>
          </rPr>
          <t>LPA:</t>
        </r>
        <r>
          <rPr>
            <sz val="9"/>
            <color indexed="81"/>
            <rFont val="Tahoma"/>
            <family val="2"/>
          </rPr>
          <t xml:space="preserve">
проверити збир!
</t>
        </r>
      </text>
    </comment>
    <comment ref="I9962" authorId="0" shapeId="0">
      <text>
        <r>
          <rPr>
            <b/>
            <sz val="9"/>
            <color indexed="81"/>
            <rFont val="Tahoma"/>
            <family val="2"/>
          </rPr>
          <t>LPA:</t>
        </r>
        <r>
          <rPr>
            <sz val="9"/>
            <color indexed="81"/>
            <rFont val="Tahoma"/>
            <family val="2"/>
          </rPr>
          <t xml:space="preserve">
проверити збир!
</t>
        </r>
      </text>
    </comment>
    <comment ref="I9963" authorId="0" shapeId="0">
      <text>
        <r>
          <rPr>
            <b/>
            <sz val="9"/>
            <color indexed="81"/>
            <rFont val="Tahoma"/>
            <family val="2"/>
          </rPr>
          <t>LPA:</t>
        </r>
        <r>
          <rPr>
            <sz val="9"/>
            <color indexed="81"/>
            <rFont val="Tahoma"/>
            <family val="2"/>
          </rPr>
          <t xml:space="preserve">
проверити збир!
</t>
        </r>
      </text>
    </comment>
    <comment ref="I9964" authorId="0" shapeId="0">
      <text>
        <r>
          <rPr>
            <b/>
            <sz val="9"/>
            <color indexed="81"/>
            <rFont val="Tahoma"/>
            <family val="2"/>
          </rPr>
          <t>LPA:</t>
        </r>
        <r>
          <rPr>
            <sz val="9"/>
            <color indexed="81"/>
            <rFont val="Tahoma"/>
            <family val="2"/>
          </rPr>
          <t xml:space="preserve">
проверити збир!
</t>
        </r>
      </text>
    </comment>
    <comment ref="I9965" authorId="0" shapeId="0">
      <text>
        <r>
          <rPr>
            <b/>
            <sz val="9"/>
            <color indexed="81"/>
            <rFont val="Tahoma"/>
            <family val="2"/>
          </rPr>
          <t>LPA:</t>
        </r>
        <r>
          <rPr>
            <sz val="9"/>
            <color indexed="81"/>
            <rFont val="Tahoma"/>
            <family val="2"/>
          </rPr>
          <t xml:space="preserve">
проверити збир!
</t>
        </r>
      </text>
    </comment>
    <comment ref="I9966" authorId="0" shapeId="0">
      <text>
        <r>
          <rPr>
            <b/>
            <sz val="9"/>
            <color indexed="81"/>
            <rFont val="Tahoma"/>
            <family val="2"/>
          </rPr>
          <t>LPA:</t>
        </r>
        <r>
          <rPr>
            <sz val="9"/>
            <color indexed="81"/>
            <rFont val="Tahoma"/>
            <family val="2"/>
          </rPr>
          <t xml:space="preserve">
проверити збир!
</t>
        </r>
      </text>
    </comment>
    <comment ref="I9967" authorId="0" shapeId="0">
      <text>
        <r>
          <rPr>
            <b/>
            <sz val="9"/>
            <color indexed="81"/>
            <rFont val="Tahoma"/>
            <family val="2"/>
          </rPr>
          <t>LPA:</t>
        </r>
        <r>
          <rPr>
            <sz val="9"/>
            <color indexed="81"/>
            <rFont val="Tahoma"/>
            <family val="2"/>
          </rPr>
          <t xml:space="preserve">
проверити збир!
</t>
        </r>
      </text>
    </comment>
    <comment ref="I9968" authorId="0" shapeId="0">
      <text>
        <r>
          <rPr>
            <b/>
            <sz val="9"/>
            <color indexed="81"/>
            <rFont val="Tahoma"/>
            <family val="2"/>
          </rPr>
          <t>LPA:</t>
        </r>
        <r>
          <rPr>
            <sz val="9"/>
            <color indexed="81"/>
            <rFont val="Tahoma"/>
            <family val="2"/>
          </rPr>
          <t xml:space="preserve">
проверити збир!
</t>
        </r>
      </text>
    </comment>
    <comment ref="I9969" authorId="0" shapeId="0">
      <text>
        <r>
          <rPr>
            <b/>
            <sz val="9"/>
            <color indexed="81"/>
            <rFont val="Tahoma"/>
            <family val="2"/>
          </rPr>
          <t>LPA:</t>
        </r>
        <r>
          <rPr>
            <sz val="9"/>
            <color indexed="81"/>
            <rFont val="Tahoma"/>
            <family val="2"/>
          </rPr>
          <t xml:space="preserve">
проверити збир!
</t>
        </r>
      </text>
    </comment>
    <comment ref="I9970" authorId="0" shapeId="0">
      <text>
        <r>
          <rPr>
            <b/>
            <sz val="9"/>
            <color indexed="81"/>
            <rFont val="Tahoma"/>
            <family val="2"/>
          </rPr>
          <t>LPA:</t>
        </r>
        <r>
          <rPr>
            <sz val="9"/>
            <color indexed="81"/>
            <rFont val="Tahoma"/>
            <family val="2"/>
          </rPr>
          <t xml:space="preserve">
проверити збир!
</t>
        </r>
      </text>
    </comment>
    <comment ref="I9971" authorId="0" shapeId="0">
      <text>
        <r>
          <rPr>
            <b/>
            <sz val="9"/>
            <color indexed="81"/>
            <rFont val="Tahoma"/>
            <family val="2"/>
          </rPr>
          <t>LPA:</t>
        </r>
        <r>
          <rPr>
            <sz val="9"/>
            <color indexed="81"/>
            <rFont val="Tahoma"/>
            <family val="2"/>
          </rPr>
          <t xml:space="preserve">
проверити збир!
</t>
        </r>
      </text>
    </comment>
    <comment ref="I9972" authorId="0" shapeId="0">
      <text>
        <r>
          <rPr>
            <b/>
            <sz val="9"/>
            <color indexed="81"/>
            <rFont val="Tahoma"/>
            <family val="2"/>
          </rPr>
          <t>LPA:</t>
        </r>
        <r>
          <rPr>
            <sz val="9"/>
            <color indexed="81"/>
            <rFont val="Tahoma"/>
            <family val="2"/>
          </rPr>
          <t xml:space="preserve">
проверити збир!
</t>
        </r>
      </text>
    </comment>
    <comment ref="I9973" authorId="0" shapeId="0">
      <text>
        <r>
          <rPr>
            <b/>
            <sz val="9"/>
            <color indexed="81"/>
            <rFont val="Tahoma"/>
            <family val="2"/>
          </rPr>
          <t>LPA:</t>
        </r>
        <r>
          <rPr>
            <sz val="9"/>
            <color indexed="81"/>
            <rFont val="Tahoma"/>
            <family val="2"/>
          </rPr>
          <t xml:space="preserve">
проверити збир!
</t>
        </r>
      </text>
    </comment>
    <comment ref="H9976" authorId="0" shapeId="0">
      <text>
        <r>
          <rPr>
            <b/>
            <sz val="9"/>
            <color indexed="81"/>
            <rFont val="Tahoma"/>
            <family val="2"/>
          </rPr>
          <t>LPA:</t>
        </r>
        <r>
          <rPr>
            <sz val="9"/>
            <color indexed="81"/>
            <rFont val="Tahoma"/>
            <family val="2"/>
          </rPr>
          <t xml:space="preserve">
проверити збир!</t>
        </r>
      </text>
    </comment>
    <comment ref="I9976" authorId="0" shapeId="0">
      <text>
        <r>
          <rPr>
            <b/>
            <sz val="9"/>
            <color indexed="81"/>
            <rFont val="Tahoma"/>
            <family val="2"/>
          </rPr>
          <t>LPA:</t>
        </r>
        <r>
          <rPr>
            <sz val="9"/>
            <color indexed="81"/>
            <rFont val="Tahoma"/>
            <family val="2"/>
          </rPr>
          <t xml:space="preserve">
проверити збир!</t>
        </r>
      </text>
    </comment>
    <comment ref="I9977" authorId="0" shapeId="0">
      <text>
        <r>
          <rPr>
            <b/>
            <sz val="9"/>
            <color indexed="81"/>
            <rFont val="Tahoma"/>
            <family val="2"/>
          </rPr>
          <t>LPA:</t>
        </r>
        <r>
          <rPr>
            <sz val="9"/>
            <color indexed="81"/>
            <rFont val="Tahoma"/>
            <family val="2"/>
          </rPr>
          <t xml:space="preserve">
проверити збир!
</t>
        </r>
      </text>
    </comment>
    <comment ref="I9978" authorId="0" shapeId="0">
      <text>
        <r>
          <rPr>
            <b/>
            <sz val="9"/>
            <color indexed="81"/>
            <rFont val="Tahoma"/>
            <family val="2"/>
          </rPr>
          <t>LPA:</t>
        </r>
        <r>
          <rPr>
            <sz val="9"/>
            <color indexed="81"/>
            <rFont val="Tahoma"/>
            <family val="2"/>
          </rPr>
          <t xml:space="preserve">
проверити збир!
</t>
        </r>
      </text>
    </comment>
    <comment ref="I9979" authorId="0" shapeId="0">
      <text>
        <r>
          <rPr>
            <b/>
            <sz val="9"/>
            <color indexed="81"/>
            <rFont val="Tahoma"/>
            <family val="2"/>
          </rPr>
          <t>LPA:</t>
        </r>
        <r>
          <rPr>
            <sz val="9"/>
            <color indexed="81"/>
            <rFont val="Tahoma"/>
            <family val="2"/>
          </rPr>
          <t xml:space="preserve">
проверити збир!
</t>
        </r>
      </text>
    </comment>
    <comment ref="I9980" authorId="0" shapeId="0">
      <text>
        <r>
          <rPr>
            <b/>
            <sz val="9"/>
            <color indexed="81"/>
            <rFont val="Tahoma"/>
            <family val="2"/>
          </rPr>
          <t>LPA:</t>
        </r>
        <r>
          <rPr>
            <sz val="9"/>
            <color indexed="81"/>
            <rFont val="Tahoma"/>
            <family val="2"/>
          </rPr>
          <t xml:space="preserve">
проверити збир!
</t>
        </r>
      </text>
    </comment>
    <comment ref="I9981" authorId="0" shapeId="0">
      <text>
        <r>
          <rPr>
            <b/>
            <sz val="9"/>
            <color indexed="81"/>
            <rFont val="Tahoma"/>
            <family val="2"/>
          </rPr>
          <t>LPA:</t>
        </r>
        <r>
          <rPr>
            <sz val="9"/>
            <color indexed="81"/>
            <rFont val="Tahoma"/>
            <family val="2"/>
          </rPr>
          <t xml:space="preserve">
проверити збир!
</t>
        </r>
      </text>
    </comment>
    <comment ref="I9982" authorId="0" shapeId="0">
      <text>
        <r>
          <rPr>
            <b/>
            <sz val="9"/>
            <color indexed="81"/>
            <rFont val="Tahoma"/>
            <family val="2"/>
          </rPr>
          <t>LPA:</t>
        </r>
        <r>
          <rPr>
            <sz val="9"/>
            <color indexed="81"/>
            <rFont val="Tahoma"/>
            <family val="2"/>
          </rPr>
          <t xml:space="preserve">
проверити збир!
</t>
        </r>
      </text>
    </comment>
    <comment ref="I9983" authorId="0" shapeId="0">
      <text>
        <r>
          <rPr>
            <b/>
            <sz val="9"/>
            <color indexed="81"/>
            <rFont val="Tahoma"/>
            <family val="2"/>
          </rPr>
          <t>LPA:</t>
        </r>
        <r>
          <rPr>
            <sz val="9"/>
            <color indexed="81"/>
            <rFont val="Tahoma"/>
            <family val="2"/>
          </rPr>
          <t xml:space="preserve">
проверити збир!
</t>
        </r>
      </text>
    </comment>
    <comment ref="I9984" authorId="0" shapeId="0">
      <text>
        <r>
          <rPr>
            <b/>
            <sz val="9"/>
            <color indexed="81"/>
            <rFont val="Tahoma"/>
            <family val="2"/>
          </rPr>
          <t>LPA:</t>
        </r>
        <r>
          <rPr>
            <sz val="9"/>
            <color indexed="81"/>
            <rFont val="Tahoma"/>
            <family val="2"/>
          </rPr>
          <t xml:space="preserve">
проверити збир!
</t>
        </r>
      </text>
    </comment>
    <comment ref="I9985" authorId="0" shapeId="0">
      <text>
        <r>
          <rPr>
            <b/>
            <sz val="9"/>
            <color indexed="81"/>
            <rFont val="Tahoma"/>
            <family val="2"/>
          </rPr>
          <t>LPA:</t>
        </r>
        <r>
          <rPr>
            <sz val="9"/>
            <color indexed="81"/>
            <rFont val="Tahoma"/>
            <family val="2"/>
          </rPr>
          <t xml:space="preserve">
проверити збир!
</t>
        </r>
      </text>
    </comment>
    <comment ref="I9986" authorId="0" shapeId="0">
      <text>
        <r>
          <rPr>
            <b/>
            <sz val="9"/>
            <color indexed="81"/>
            <rFont val="Tahoma"/>
            <family val="2"/>
          </rPr>
          <t>LPA:</t>
        </r>
        <r>
          <rPr>
            <sz val="9"/>
            <color indexed="81"/>
            <rFont val="Tahoma"/>
            <family val="2"/>
          </rPr>
          <t xml:space="preserve">
проверити збир!
</t>
        </r>
      </text>
    </comment>
    <comment ref="I9987" authorId="0" shapeId="0">
      <text>
        <r>
          <rPr>
            <b/>
            <sz val="9"/>
            <color indexed="81"/>
            <rFont val="Tahoma"/>
            <family val="2"/>
          </rPr>
          <t>LPA:</t>
        </r>
        <r>
          <rPr>
            <sz val="9"/>
            <color indexed="81"/>
            <rFont val="Tahoma"/>
            <family val="2"/>
          </rPr>
          <t xml:space="preserve">
проверити збир!
</t>
        </r>
      </text>
    </comment>
    <comment ref="I9988" authorId="0" shapeId="0">
      <text>
        <r>
          <rPr>
            <b/>
            <sz val="9"/>
            <color indexed="81"/>
            <rFont val="Tahoma"/>
            <family val="2"/>
          </rPr>
          <t>LPA:</t>
        </r>
        <r>
          <rPr>
            <sz val="9"/>
            <color indexed="81"/>
            <rFont val="Tahoma"/>
            <family val="2"/>
          </rPr>
          <t xml:space="preserve">
проверити збир!
</t>
        </r>
      </text>
    </comment>
    <comment ref="I9989" authorId="0" shapeId="0">
      <text>
        <r>
          <rPr>
            <b/>
            <sz val="9"/>
            <color indexed="81"/>
            <rFont val="Tahoma"/>
            <family val="2"/>
          </rPr>
          <t>LPA:</t>
        </r>
        <r>
          <rPr>
            <sz val="9"/>
            <color indexed="81"/>
            <rFont val="Tahoma"/>
            <family val="2"/>
          </rPr>
          <t xml:space="preserve">
проверити збир!
</t>
        </r>
      </text>
    </comment>
    <comment ref="I9990" authorId="0" shapeId="0">
      <text>
        <r>
          <rPr>
            <b/>
            <sz val="9"/>
            <color indexed="81"/>
            <rFont val="Tahoma"/>
            <family val="2"/>
          </rPr>
          <t>LPA:</t>
        </r>
        <r>
          <rPr>
            <sz val="9"/>
            <color indexed="81"/>
            <rFont val="Tahoma"/>
            <family val="2"/>
          </rPr>
          <t xml:space="preserve">
проверити збир!
</t>
        </r>
      </text>
    </comment>
    <comment ref="I9991" authorId="0" shapeId="0">
      <text>
        <r>
          <rPr>
            <b/>
            <sz val="9"/>
            <color indexed="81"/>
            <rFont val="Tahoma"/>
            <family val="2"/>
          </rPr>
          <t>LPA:</t>
        </r>
        <r>
          <rPr>
            <sz val="9"/>
            <color indexed="81"/>
            <rFont val="Tahoma"/>
            <family val="2"/>
          </rPr>
          <t xml:space="preserve">
проверити збир!
</t>
        </r>
      </text>
    </comment>
    <comment ref="I10060" authorId="0" shapeId="0">
      <text>
        <r>
          <rPr>
            <b/>
            <sz val="9"/>
            <color indexed="81"/>
            <rFont val="Tahoma"/>
            <family val="2"/>
          </rPr>
          <t>LPA:</t>
        </r>
        <r>
          <rPr>
            <sz val="9"/>
            <color indexed="81"/>
            <rFont val="Tahoma"/>
            <family val="2"/>
          </rPr>
          <t xml:space="preserve">
проверити збир!
</t>
        </r>
      </text>
    </comment>
    <comment ref="I10061" authorId="0" shapeId="0">
      <text>
        <r>
          <rPr>
            <b/>
            <sz val="9"/>
            <color indexed="81"/>
            <rFont val="Tahoma"/>
            <family val="2"/>
          </rPr>
          <t>LPA:</t>
        </r>
        <r>
          <rPr>
            <sz val="9"/>
            <color indexed="81"/>
            <rFont val="Tahoma"/>
            <family val="2"/>
          </rPr>
          <t xml:space="preserve">
проверити збир!
</t>
        </r>
      </text>
    </comment>
    <comment ref="I10062" authorId="0" shapeId="0">
      <text>
        <r>
          <rPr>
            <b/>
            <sz val="9"/>
            <color indexed="81"/>
            <rFont val="Tahoma"/>
            <family val="2"/>
          </rPr>
          <t>LPA:</t>
        </r>
        <r>
          <rPr>
            <sz val="9"/>
            <color indexed="81"/>
            <rFont val="Tahoma"/>
            <family val="2"/>
          </rPr>
          <t xml:space="preserve">
проверити збир!
</t>
        </r>
      </text>
    </comment>
    <comment ref="I10063" authorId="0" shapeId="0">
      <text>
        <r>
          <rPr>
            <b/>
            <sz val="9"/>
            <color indexed="81"/>
            <rFont val="Tahoma"/>
            <family val="2"/>
          </rPr>
          <t>LPA:</t>
        </r>
        <r>
          <rPr>
            <sz val="9"/>
            <color indexed="81"/>
            <rFont val="Tahoma"/>
            <family val="2"/>
          </rPr>
          <t xml:space="preserve">
проверити збир!
</t>
        </r>
      </text>
    </comment>
    <comment ref="I10064" authorId="0" shapeId="0">
      <text>
        <r>
          <rPr>
            <b/>
            <sz val="9"/>
            <color indexed="81"/>
            <rFont val="Tahoma"/>
            <family val="2"/>
          </rPr>
          <t>LPA:</t>
        </r>
        <r>
          <rPr>
            <sz val="9"/>
            <color indexed="81"/>
            <rFont val="Tahoma"/>
            <family val="2"/>
          </rPr>
          <t xml:space="preserve">
проверити збир!
</t>
        </r>
      </text>
    </comment>
    <comment ref="I10065" authorId="0" shapeId="0">
      <text>
        <r>
          <rPr>
            <b/>
            <sz val="9"/>
            <color indexed="81"/>
            <rFont val="Tahoma"/>
            <family val="2"/>
          </rPr>
          <t>LPA:</t>
        </r>
        <r>
          <rPr>
            <sz val="9"/>
            <color indexed="81"/>
            <rFont val="Tahoma"/>
            <family val="2"/>
          </rPr>
          <t xml:space="preserve">
проверити збир!
</t>
        </r>
      </text>
    </comment>
    <comment ref="I10066" authorId="0" shapeId="0">
      <text>
        <r>
          <rPr>
            <b/>
            <sz val="9"/>
            <color indexed="81"/>
            <rFont val="Tahoma"/>
            <family val="2"/>
          </rPr>
          <t>LPA:</t>
        </r>
        <r>
          <rPr>
            <sz val="9"/>
            <color indexed="81"/>
            <rFont val="Tahoma"/>
            <family val="2"/>
          </rPr>
          <t xml:space="preserve">
проверити збир!
</t>
        </r>
      </text>
    </comment>
    <comment ref="I10067" authorId="0" shapeId="0">
      <text>
        <r>
          <rPr>
            <b/>
            <sz val="9"/>
            <color indexed="81"/>
            <rFont val="Tahoma"/>
            <family val="2"/>
          </rPr>
          <t>LPA:</t>
        </r>
        <r>
          <rPr>
            <sz val="9"/>
            <color indexed="81"/>
            <rFont val="Tahoma"/>
            <family val="2"/>
          </rPr>
          <t xml:space="preserve">
проверити збир!
</t>
        </r>
      </text>
    </comment>
    <comment ref="I10068" authorId="0" shapeId="0">
      <text>
        <r>
          <rPr>
            <b/>
            <sz val="9"/>
            <color indexed="81"/>
            <rFont val="Tahoma"/>
            <family val="2"/>
          </rPr>
          <t>LPA:</t>
        </r>
        <r>
          <rPr>
            <sz val="9"/>
            <color indexed="81"/>
            <rFont val="Tahoma"/>
            <family val="2"/>
          </rPr>
          <t xml:space="preserve">
проверити збир!
</t>
        </r>
      </text>
    </comment>
    <comment ref="I10069" authorId="0" shapeId="0">
      <text>
        <r>
          <rPr>
            <b/>
            <sz val="9"/>
            <color indexed="81"/>
            <rFont val="Tahoma"/>
            <family val="2"/>
          </rPr>
          <t>LPA:</t>
        </r>
        <r>
          <rPr>
            <sz val="9"/>
            <color indexed="81"/>
            <rFont val="Tahoma"/>
            <family val="2"/>
          </rPr>
          <t xml:space="preserve">
проверити збир!
</t>
        </r>
      </text>
    </comment>
    <comment ref="I10070" authorId="0" shapeId="0">
      <text>
        <r>
          <rPr>
            <b/>
            <sz val="9"/>
            <color indexed="81"/>
            <rFont val="Tahoma"/>
            <family val="2"/>
          </rPr>
          <t>LPA:</t>
        </r>
        <r>
          <rPr>
            <sz val="9"/>
            <color indexed="81"/>
            <rFont val="Tahoma"/>
            <family val="2"/>
          </rPr>
          <t xml:space="preserve">
проверити збир!
</t>
        </r>
      </text>
    </comment>
    <comment ref="I10071" authorId="0" shapeId="0">
      <text>
        <r>
          <rPr>
            <b/>
            <sz val="9"/>
            <color indexed="81"/>
            <rFont val="Tahoma"/>
            <family val="2"/>
          </rPr>
          <t>LPA:</t>
        </r>
        <r>
          <rPr>
            <sz val="9"/>
            <color indexed="81"/>
            <rFont val="Tahoma"/>
            <family val="2"/>
          </rPr>
          <t xml:space="preserve">
проверити збир!
</t>
        </r>
      </text>
    </comment>
    <comment ref="I10072" authorId="0" shapeId="0">
      <text>
        <r>
          <rPr>
            <b/>
            <sz val="9"/>
            <color indexed="81"/>
            <rFont val="Tahoma"/>
            <family val="2"/>
          </rPr>
          <t>LPA:</t>
        </r>
        <r>
          <rPr>
            <sz val="9"/>
            <color indexed="81"/>
            <rFont val="Tahoma"/>
            <family val="2"/>
          </rPr>
          <t xml:space="preserve">
проверити збир!
</t>
        </r>
      </text>
    </comment>
    <comment ref="H10075" authorId="0" shapeId="0">
      <text>
        <r>
          <rPr>
            <b/>
            <sz val="9"/>
            <color indexed="81"/>
            <rFont val="Tahoma"/>
            <family val="2"/>
          </rPr>
          <t>LPA:</t>
        </r>
        <r>
          <rPr>
            <sz val="9"/>
            <color indexed="81"/>
            <rFont val="Tahoma"/>
            <family val="2"/>
          </rPr>
          <t xml:space="preserve">
проверити збир!</t>
        </r>
      </text>
    </comment>
    <comment ref="I10075" authorId="0" shapeId="0">
      <text>
        <r>
          <rPr>
            <b/>
            <sz val="9"/>
            <color indexed="81"/>
            <rFont val="Tahoma"/>
            <family val="2"/>
          </rPr>
          <t>LPA:</t>
        </r>
        <r>
          <rPr>
            <sz val="9"/>
            <color indexed="81"/>
            <rFont val="Tahoma"/>
            <family val="2"/>
          </rPr>
          <t xml:space="preserve">
проверити збир!</t>
        </r>
      </text>
    </comment>
    <comment ref="I10076" authorId="0" shapeId="0">
      <text>
        <r>
          <rPr>
            <b/>
            <sz val="9"/>
            <color indexed="81"/>
            <rFont val="Tahoma"/>
            <family val="2"/>
          </rPr>
          <t>LPA:</t>
        </r>
        <r>
          <rPr>
            <sz val="9"/>
            <color indexed="81"/>
            <rFont val="Tahoma"/>
            <family val="2"/>
          </rPr>
          <t xml:space="preserve">
проверити збир!
</t>
        </r>
      </text>
    </comment>
    <comment ref="I10077" authorId="0" shapeId="0">
      <text>
        <r>
          <rPr>
            <b/>
            <sz val="9"/>
            <color indexed="81"/>
            <rFont val="Tahoma"/>
            <family val="2"/>
          </rPr>
          <t>LPA:</t>
        </r>
        <r>
          <rPr>
            <sz val="9"/>
            <color indexed="81"/>
            <rFont val="Tahoma"/>
            <family val="2"/>
          </rPr>
          <t xml:space="preserve">
проверити збир!
</t>
        </r>
      </text>
    </comment>
    <comment ref="I10078" authorId="0" shapeId="0">
      <text>
        <r>
          <rPr>
            <b/>
            <sz val="9"/>
            <color indexed="81"/>
            <rFont val="Tahoma"/>
            <family val="2"/>
          </rPr>
          <t>LPA:</t>
        </r>
        <r>
          <rPr>
            <sz val="9"/>
            <color indexed="81"/>
            <rFont val="Tahoma"/>
            <family val="2"/>
          </rPr>
          <t xml:space="preserve">
проверити збир!
</t>
        </r>
      </text>
    </comment>
    <comment ref="I10079" authorId="0" shapeId="0">
      <text>
        <r>
          <rPr>
            <b/>
            <sz val="9"/>
            <color indexed="81"/>
            <rFont val="Tahoma"/>
            <family val="2"/>
          </rPr>
          <t>LPA:</t>
        </r>
        <r>
          <rPr>
            <sz val="9"/>
            <color indexed="81"/>
            <rFont val="Tahoma"/>
            <family val="2"/>
          </rPr>
          <t xml:space="preserve">
проверити збир!
</t>
        </r>
      </text>
    </comment>
    <comment ref="I10080" authorId="0" shapeId="0">
      <text>
        <r>
          <rPr>
            <b/>
            <sz val="9"/>
            <color indexed="81"/>
            <rFont val="Tahoma"/>
            <family val="2"/>
          </rPr>
          <t>LPA:</t>
        </r>
        <r>
          <rPr>
            <sz val="9"/>
            <color indexed="81"/>
            <rFont val="Tahoma"/>
            <family val="2"/>
          </rPr>
          <t xml:space="preserve">
проверити збир!
</t>
        </r>
      </text>
    </comment>
    <comment ref="I10081" authorId="0" shapeId="0">
      <text>
        <r>
          <rPr>
            <b/>
            <sz val="9"/>
            <color indexed="81"/>
            <rFont val="Tahoma"/>
            <family val="2"/>
          </rPr>
          <t>LPA:</t>
        </r>
        <r>
          <rPr>
            <sz val="9"/>
            <color indexed="81"/>
            <rFont val="Tahoma"/>
            <family val="2"/>
          </rPr>
          <t xml:space="preserve">
проверити збир!
</t>
        </r>
      </text>
    </comment>
    <comment ref="I10082" authorId="0" shapeId="0">
      <text>
        <r>
          <rPr>
            <b/>
            <sz val="9"/>
            <color indexed="81"/>
            <rFont val="Tahoma"/>
            <family val="2"/>
          </rPr>
          <t>LPA:</t>
        </r>
        <r>
          <rPr>
            <sz val="9"/>
            <color indexed="81"/>
            <rFont val="Tahoma"/>
            <family val="2"/>
          </rPr>
          <t xml:space="preserve">
проверити збир!
</t>
        </r>
      </text>
    </comment>
    <comment ref="I10083" authorId="0" shapeId="0">
      <text>
        <r>
          <rPr>
            <b/>
            <sz val="9"/>
            <color indexed="81"/>
            <rFont val="Tahoma"/>
            <family val="2"/>
          </rPr>
          <t>LPA:</t>
        </r>
        <r>
          <rPr>
            <sz val="9"/>
            <color indexed="81"/>
            <rFont val="Tahoma"/>
            <family val="2"/>
          </rPr>
          <t xml:space="preserve">
проверити збир!
</t>
        </r>
      </text>
    </comment>
    <comment ref="I10084" authorId="0" shapeId="0">
      <text>
        <r>
          <rPr>
            <b/>
            <sz val="9"/>
            <color indexed="81"/>
            <rFont val="Tahoma"/>
            <family val="2"/>
          </rPr>
          <t>LPA:</t>
        </r>
        <r>
          <rPr>
            <sz val="9"/>
            <color indexed="81"/>
            <rFont val="Tahoma"/>
            <family val="2"/>
          </rPr>
          <t xml:space="preserve">
проверити збир!
</t>
        </r>
      </text>
    </comment>
    <comment ref="I10085" authorId="0" shapeId="0">
      <text>
        <r>
          <rPr>
            <b/>
            <sz val="9"/>
            <color indexed="81"/>
            <rFont val="Tahoma"/>
            <family val="2"/>
          </rPr>
          <t>LPA:</t>
        </r>
        <r>
          <rPr>
            <sz val="9"/>
            <color indexed="81"/>
            <rFont val="Tahoma"/>
            <family val="2"/>
          </rPr>
          <t xml:space="preserve">
проверити збир!
</t>
        </r>
      </text>
    </comment>
    <comment ref="I10086" authorId="0" shapeId="0">
      <text>
        <r>
          <rPr>
            <b/>
            <sz val="9"/>
            <color indexed="81"/>
            <rFont val="Tahoma"/>
            <family val="2"/>
          </rPr>
          <t>LPA:</t>
        </r>
        <r>
          <rPr>
            <sz val="9"/>
            <color indexed="81"/>
            <rFont val="Tahoma"/>
            <family val="2"/>
          </rPr>
          <t xml:space="preserve">
проверити збир!
</t>
        </r>
      </text>
    </comment>
    <comment ref="I10087" authorId="0" shapeId="0">
      <text>
        <r>
          <rPr>
            <b/>
            <sz val="9"/>
            <color indexed="81"/>
            <rFont val="Tahoma"/>
            <family val="2"/>
          </rPr>
          <t>LPA:</t>
        </r>
        <r>
          <rPr>
            <sz val="9"/>
            <color indexed="81"/>
            <rFont val="Tahoma"/>
            <family val="2"/>
          </rPr>
          <t xml:space="preserve">
проверити збир!
</t>
        </r>
      </text>
    </comment>
    <comment ref="I10088" authorId="0" shapeId="0">
      <text>
        <r>
          <rPr>
            <b/>
            <sz val="9"/>
            <color indexed="81"/>
            <rFont val="Tahoma"/>
            <family val="2"/>
          </rPr>
          <t>LPA:</t>
        </r>
        <r>
          <rPr>
            <sz val="9"/>
            <color indexed="81"/>
            <rFont val="Tahoma"/>
            <family val="2"/>
          </rPr>
          <t xml:space="preserve">
проверити збир!
</t>
        </r>
      </text>
    </comment>
    <comment ref="I10089" authorId="0" shapeId="0">
      <text>
        <r>
          <rPr>
            <b/>
            <sz val="9"/>
            <color indexed="81"/>
            <rFont val="Tahoma"/>
            <family val="2"/>
          </rPr>
          <t>LPA:</t>
        </r>
        <r>
          <rPr>
            <sz val="9"/>
            <color indexed="81"/>
            <rFont val="Tahoma"/>
            <family val="2"/>
          </rPr>
          <t xml:space="preserve">
проверити збир!
</t>
        </r>
      </text>
    </comment>
    <comment ref="I10090" authorId="0" shapeId="0">
      <text>
        <r>
          <rPr>
            <b/>
            <sz val="9"/>
            <color indexed="81"/>
            <rFont val="Tahoma"/>
            <family val="2"/>
          </rPr>
          <t>LPA:</t>
        </r>
        <r>
          <rPr>
            <sz val="9"/>
            <color indexed="81"/>
            <rFont val="Tahoma"/>
            <family val="2"/>
          </rPr>
          <t xml:space="preserve">
проверити збир!
</t>
        </r>
      </text>
    </comment>
    <comment ref="I10159" authorId="0" shapeId="0">
      <text>
        <r>
          <rPr>
            <b/>
            <sz val="9"/>
            <color indexed="81"/>
            <rFont val="Tahoma"/>
            <family val="2"/>
          </rPr>
          <t>LPA:</t>
        </r>
        <r>
          <rPr>
            <sz val="9"/>
            <color indexed="81"/>
            <rFont val="Tahoma"/>
            <family val="2"/>
          </rPr>
          <t xml:space="preserve">
проверити збир!
</t>
        </r>
      </text>
    </comment>
    <comment ref="I10160" authorId="0" shapeId="0">
      <text>
        <r>
          <rPr>
            <b/>
            <sz val="9"/>
            <color indexed="81"/>
            <rFont val="Tahoma"/>
            <family val="2"/>
          </rPr>
          <t>LPA:</t>
        </r>
        <r>
          <rPr>
            <sz val="9"/>
            <color indexed="81"/>
            <rFont val="Tahoma"/>
            <family val="2"/>
          </rPr>
          <t xml:space="preserve">
проверити збир!
</t>
        </r>
      </text>
    </comment>
    <comment ref="I10161" authorId="0" shapeId="0">
      <text>
        <r>
          <rPr>
            <b/>
            <sz val="9"/>
            <color indexed="81"/>
            <rFont val="Tahoma"/>
            <family val="2"/>
          </rPr>
          <t>LPA:</t>
        </r>
        <r>
          <rPr>
            <sz val="9"/>
            <color indexed="81"/>
            <rFont val="Tahoma"/>
            <family val="2"/>
          </rPr>
          <t xml:space="preserve">
проверити збир!
</t>
        </r>
      </text>
    </comment>
    <comment ref="I10162" authorId="0" shapeId="0">
      <text>
        <r>
          <rPr>
            <b/>
            <sz val="9"/>
            <color indexed="81"/>
            <rFont val="Tahoma"/>
            <family val="2"/>
          </rPr>
          <t>LPA:</t>
        </r>
        <r>
          <rPr>
            <sz val="9"/>
            <color indexed="81"/>
            <rFont val="Tahoma"/>
            <family val="2"/>
          </rPr>
          <t xml:space="preserve">
проверити збир!
</t>
        </r>
      </text>
    </comment>
    <comment ref="I10163" authorId="0" shapeId="0">
      <text>
        <r>
          <rPr>
            <b/>
            <sz val="9"/>
            <color indexed="81"/>
            <rFont val="Tahoma"/>
            <family val="2"/>
          </rPr>
          <t>LPA:</t>
        </r>
        <r>
          <rPr>
            <sz val="9"/>
            <color indexed="81"/>
            <rFont val="Tahoma"/>
            <family val="2"/>
          </rPr>
          <t xml:space="preserve">
проверити збир!
</t>
        </r>
      </text>
    </comment>
    <comment ref="I10164" authorId="0" shapeId="0">
      <text>
        <r>
          <rPr>
            <b/>
            <sz val="9"/>
            <color indexed="81"/>
            <rFont val="Tahoma"/>
            <family val="2"/>
          </rPr>
          <t>LPA:</t>
        </r>
        <r>
          <rPr>
            <sz val="9"/>
            <color indexed="81"/>
            <rFont val="Tahoma"/>
            <family val="2"/>
          </rPr>
          <t xml:space="preserve">
проверити збир!
</t>
        </r>
      </text>
    </comment>
    <comment ref="I10165" authorId="0" shapeId="0">
      <text>
        <r>
          <rPr>
            <b/>
            <sz val="9"/>
            <color indexed="81"/>
            <rFont val="Tahoma"/>
            <family val="2"/>
          </rPr>
          <t>LPA:</t>
        </r>
        <r>
          <rPr>
            <sz val="9"/>
            <color indexed="81"/>
            <rFont val="Tahoma"/>
            <family val="2"/>
          </rPr>
          <t xml:space="preserve">
проверити збир!
</t>
        </r>
      </text>
    </comment>
    <comment ref="I10166" authorId="0" shapeId="0">
      <text>
        <r>
          <rPr>
            <b/>
            <sz val="9"/>
            <color indexed="81"/>
            <rFont val="Tahoma"/>
            <family val="2"/>
          </rPr>
          <t>LPA:</t>
        </r>
        <r>
          <rPr>
            <sz val="9"/>
            <color indexed="81"/>
            <rFont val="Tahoma"/>
            <family val="2"/>
          </rPr>
          <t xml:space="preserve">
проверити збир!
</t>
        </r>
      </text>
    </comment>
    <comment ref="I10167" authorId="0" shapeId="0">
      <text>
        <r>
          <rPr>
            <b/>
            <sz val="9"/>
            <color indexed="81"/>
            <rFont val="Tahoma"/>
            <family val="2"/>
          </rPr>
          <t>LPA:</t>
        </r>
        <r>
          <rPr>
            <sz val="9"/>
            <color indexed="81"/>
            <rFont val="Tahoma"/>
            <family val="2"/>
          </rPr>
          <t xml:space="preserve">
проверити збир!
</t>
        </r>
      </text>
    </comment>
    <comment ref="I10168" authorId="0" shapeId="0">
      <text>
        <r>
          <rPr>
            <b/>
            <sz val="9"/>
            <color indexed="81"/>
            <rFont val="Tahoma"/>
            <family val="2"/>
          </rPr>
          <t>LPA:</t>
        </r>
        <r>
          <rPr>
            <sz val="9"/>
            <color indexed="81"/>
            <rFont val="Tahoma"/>
            <family val="2"/>
          </rPr>
          <t xml:space="preserve">
проверити збир!
</t>
        </r>
      </text>
    </comment>
    <comment ref="I10169" authorId="0" shapeId="0">
      <text>
        <r>
          <rPr>
            <b/>
            <sz val="9"/>
            <color indexed="81"/>
            <rFont val="Tahoma"/>
            <family val="2"/>
          </rPr>
          <t>LPA:</t>
        </r>
        <r>
          <rPr>
            <sz val="9"/>
            <color indexed="81"/>
            <rFont val="Tahoma"/>
            <family val="2"/>
          </rPr>
          <t xml:space="preserve">
проверити збир!
</t>
        </r>
      </text>
    </comment>
    <comment ref="I10170" authorId="0" shapeId="0">
      <text>
        <r>
          <rPr>
            <b/>
            <sz val="9"/>
            <color indexed="81"/>
            <rFont val="Tahoma"/>
            <family val="2"/>
          </rPr>
          <t>LPA:</t>
        </r>
        <r>
          <rPr>
            <sz val="9"/>
            <color indexed="81"/>
            <rFont val="Tahoma"/>
            <family val="2"/>
          </rPr>
          <t xml:space="preserve">
проверити збир!
</t>
        </r>
      </text>
    </comment>
    <comment ref="I10171" authorId="0" shapeId="0">
      <text>
        <r>
          <rPr>
            <b/>
            <sz val="9"/>
            <color indexed="81"/>
            <rFont val="Tahoma"/>
            <family val="2"/>
          </rPr>
          <t>LPA:</t>
        </r>
        <r>
          <rPr>
            <sz val="9"/>
            <color indexed="81"/>
            <rFont val="Tahoma"/>
            <family val="2"/>
          </rPr>
          <t xml:space="preserve">
проверити збир!
</t>
        </r>
      </text>
    </comment>
    <comment ref="H10174" authorId="0" shapeId="0">
      <text>
        <r>
          <rPr>
            <b/>
            <sz val="9"/>
            <color indexed="81"/>
            <rFont val="Tahoma"/>
            <family val="2"/>
          </rPr>
          <t>LPA:</t>
        </r>
        <r>
          <rPr>
            <sz val="9"/>
            <color indexed="81"/>
            <rFont val="Tahoma"/>
            <family val="2"/>
          </rPr>
          <t xml:space="preserve">
проверити збир!</t>
        </r>
      </text>
    </comment>
    <comment ref="I10174" authorId="0" shapeId="0">
      <text>
        <r>
          <rPr>
            <b/>
            <sz val="9"/>
            <color indexed="81"/>
            <rFont val="Tahoma"/>
            <family val="2"/>
          </rPr>
          <t>LPA:</t>
        </r>
        <r>
          <rPr>
            <sz val="9"/>
            <color indexed="81"/>
            <rFont val="Tahoma"/>
            <family val="2"/>
          </rPr>
          <t xml:space="preserve">
проверити збир!</t>
        </r>
      </text>
    </comment>
    <comment ref="I10175" authorId="0" shapeId="0">
      <text>
        <r>
          <rPr>
            <b/>
            <sz val="9"/>
            <color indexed="81"/>
            <rFont val="Tahoma"/>
            <family val="2"/>
          </rPr>
          <t>LPA:</t>
        </r>
        <r>
          <rPr>
            <sz val="9"/>
            <color indexed="81"/>
            <rFont val="Tahoma"/>
            <family val="2"/>
          </rPr>
          <t xml:space="preserve">
проверити збир!
</t>
        </r>
      </text>
    </comment>
    <comment ref="I10176" authorId="0" shapeId="0">
      <text>
        <r>
          <rPr>
            <b/>
            <sz val="9"/>
            <color indexed="81"/>
            <rFont val="Tahoma"/>
            <family val="2"/>
          </rPr>
          <t>LPA:</t>
        </r>
        <r>
          <rPr>
            <sz val="9"/>
            <color indexed="81"/>
            <rFont val="Tahoma"/>
            <family val="2"/>
          </rPr>
          <t xml:space="preserve">
проверити збир!
</t>
        </r>
      </text>
    </comment>
    <comment ref="I10177" authorId="0" shapeId="0">
      <text>
        <r>
          <rPr>
            <b/>
            <sz val="9"/>
            <color indexed="81"/>
            <rFont val="Tahoma"/>
            <family val="2"/>
          </rPr>
          <t>LPA:</t>
        </r>
        <r>
          <rPr>
            <sz val="9"/>
            <color indexed="81"/>
            <rFont val="Tahoma"/>
            <family val="2"/>
          </rPr>
          <t xml:space="preserve">
проверити збир!
</t>
        </r>
      </text>
    </comment>
    <comment ref="I10178" authorId="0" shapeId="0">
      <text>
        <r>
          <rPr>
            <b/>
            <sz val="9"/>
            <color indexed="81"/>
            <rFont val="Tahoma"/>
            <family val="2"/>
          </rPr>
          <t>LPA:</t>
        </r>
        <r>
          <rPr>
            <sz val="9"/>
            <color indexed="81"/>
            <rFont val="Tahoma"/>
            <family val="2"/>
          </rPr>
          <t xml:space="preserve">
проверити збир!
</t>
        </r>
      </text>
    </comment>
    <comment ref="I10179" authorId="0" shapeId="0">
      <text>
        <r>
          <rPr>
            <b/>
            <sz val="9"/>
            <color indexed="81"/>
            <rFont val="Tahoma"/>
            <family val="2"/>
          </rPr>
          <t>LPA:</t>
        </r>
        <r>
          <rPr>
            <sz val="9"/>
            <color indexed="81"/>
            <rFont val="Tahoma"/>
            <family val="2"/>
          </rPr>
          <t xml:space="preserve">
проверити збир!
</t>
        </r>
      </text>
    </comment>
    <comment ref="I10180" authorId="0" shapeId="0">
      <text>
        <r>
          <rPr>
            <b/>
            <sz val="9"/>
            <color indexed="81"/>
            <rFont val="Tahoma"/>
            <family val="2"/>
          </rPr>
          <t>LPA:</t>
        </r>
        <r>
          <rPr>
            <sz val="9"/>
            <color indexed="81"/>
            <rFont val="Tahoma"/>
            <family val="2"/>
          </rPr>
          <t xml:space="preserve">
проверити збир!
</t>
        </r>
      </text>
    </comment>
    <comment ref="I10181" authorId="0" shapeId="0">
      <text>
        <r>
          <rPr>
            <b/>
            <sz val="9"/>
            <color indexed="81"/>
            <rFont val="Tahoma"/>
            <family val="2"/>
          </rPr>
          <t>LPA:</t>
        </r>
        <r>
          <rPr>
            <sz val="9"/>
            <color indexed="81"/>
            <rFont val="Tahoma"/>
            <family val="2"/>
          </rPr>
          <t xml:space="preserve">
проверити збир!
</t>
        </r>
      </text>
    </comment>
    <comment ref="I10182" authorId="0" shapeId="0">
      <text>
        <r>
          <rPr>
            <b/>
            <sz val="9"/>
            <color indexed="81"/>
            <rFont val="Tahoma"/>
            <family val="2"/>
          </rPr>
          <t>LPA:</t>
        </r>
        <r>
          <rPr>
            <sz val="9"/>
            <color indexed="81"/>
            <rFont val="Tahoma"/>
            <family val="2"/>
          </rPr>
          <t xml:space="preserve">
проверити збир!
</t>
        </r>
      </text>
    </comment>
    <comment ref="I10183" authorId="0" shapeId="0">
      <text>
        <r>
          <rPr>
            <b/>
            <sz val="9"/>
            <color indexed="81"/>
            <rFont val="Tahoma"/>
            <family val="2"/>
          </rPr>
          <t>LPA:</t>
        </r>
        <r>
          <rPr>
            <sz val="9"/>
            <color indexed="81"/>
            <rFont val="Tahoma"/>
            <family val="2"/>
          </rPr>
          <t xml:space="preserve">
проверити збир!
</t>
        </r>
      </text>
    </comment>
    <comment ref="I10184" authorId="0" shapeId="0">
      <text>
        <r>
          <rPr>
            <b/>
            <sz val="9"/>
            <color indexed="81"/>
            <rFont val="Tahoma"/>
            <family val="2"/>
          </rPr>
          <t>LPA:</t>
        </r>
        <r>
          <rPr>
            <sz val="9"/>
            <color indexed="81"/>
            <rFont val="Tahoma"/>
            <family val="2"/>
          </rPr>
          <t xml:space="preserve">
проверити збир!
</t>
        </r>
      </text>
    </comment>
    <comment ref="I10185" authorId="0" shapeId="0">
      <text>
        <r>
          <rPr>
            <b/>
            <sz val="9"/>
            <color indexed="81"/>
            <rFont val="Tahoma"/>
            <family val="2"/>
          </rPr>
          <t>LPA:</t>
        </r>
        <r>
          <rPr>
            <sz val="9"/>
            <color indexed="81"/>
            <rFont val="Tahoma"/>
            <family val="2"/>
          </rPr>
          <t xml:space="preserve">
проверити збир!
</t>
        </r>
      </text>
    </comment>
    <comment ref="I10186" authorId="0" shapeId="0">
      <text>
        <r>
          <rPr>
            <b/>
            <sz val="9"/>
            <color indexed="81"/>
            <rFont val="Tahoma"/>
            <family val="2"/>
          </rPr>
          <t>LPA:</t>
        </r>
        <r>
          <rPr>
            <sz val="9"/>
            <color indexed="81"/>
            <rFont val="Tahoma"/>
            <family val="2"/>
          </rPr>
          <t xml:space="preserve">
проверити збир!
</t>
        </r>
      </text>
    </comment>
    <comment ref="I10187" authorId="0" shapeId="0">
      <text>
        <r>
          <rPr>
            <b/>
            <sz val="9"/>
            <color indexed="81"/>
            <rFont val="Tahoma"/>
            <family val="2"/>
          </rPr>
          <t>LPA:</t>
        </r>
        <r>
          <rPr>
            <sz val="9"/>
            <color indexed="81"/>
            <rFont val="Tahoma"/>
            <family val="2"/>
          </rPr>
          <t xml:space="preserve">
проверити збир!
</t>
        </r>
      </text>
    </comment>
    <comment ref="I10188" authorId="0" shapeId="0">
      <text>
        <r>
          <rPr>
            <b/>
            <sz val="9"/>
            <color indexed="81"/>
            <rFont val="Tahoma"/>
            <family val="2"/>
          </rPr>
          <t>LPA:</t>
        </r>
        <r>
          <rPr>
            <sz val="9"/>
            <color indexed="81"/>
            <rFont val="Tahoma"/>
            <family val="2"/>
          </rPr>
          <t xml:space="preserve">
проверити збир!
</t>
        </r>
      </text>
    </comment>
    <comment ref="I10189" authorId="0" shapeId="0">
      <text>
        <r>
          <rPr>
            <b/>
            <sz val="9"/>
            <color indexed="81"/>
            <rFont val="Tahoma"/>
            <family val="2"/>
          </rPr>
          <t>LPA:</t>
        </r>
        <r>
          <rPr>
            <sz val="9"/>
            <color indexed="81"/>
            <rFont val="Tahoma"/>
            <family val="2"/>
          </rPr>
          <t xml:space="preserve">
проверити збир!
</t>
        </r>
      </text>
    </comment>
    <comment ref="H10194" authorId="0" shapeId="0">
      <text>
        <r>
          <rPr>
            <b/>
            <sz val="9"/>
            <color indexed="81"/>
            <rFont val="Tahoma"/>
            <family val="2"/>
          </rPr>
          <t>LPA:</t>
        </r>
        <r>
          <rPr>
            <sz val="9"/>
            <color indexed="81"/>
            <rFont val="Tahoma"/>
            <family val="2"/>
          </rPr>
          <t xml:space="preserve">
проверити збир!</t>
        </r>
      </text>
    </comment>
    <comment ref="I10194" authorId="0" shapeId="0">
      <text>
        <r>
          <rPr>
            <b/>
            <sz val="9"/>
            <color indexed="81"/>
            <rFont val="Tahoma"/>
            <family val="2"/>
          </rPr>
          <t>LPA:</t>
        </r>
        <r>
          <rPr>
            <sz val="9"/>
            <color indexed="81"/>
            <rFont val="Tahoma"/>
            <family val="2"/>
          </rPr>
          <t xml:space="preserve">
проверити збир!
</t>
        </r>
      </text>
    </comment>
    <comment ref="I10195" authorId="0" shapeId="0">
      <text>
        <r>
          <rPr>
            <b/>
            <sz val="9"/>
            <color indexed="81"/>
            <rFont val="Tahoma"/>
            <family val="2"/>
          </rPr>
          <t>LPA:</t>
        </r>
        <r>
          <rPr>
            <sz val="9"/>
            <color indexed="81"/>
            <rFont val="Tahoma"/>
            <family val="2"/>
          </rPr>
          <t xml:space="preserve">
проверити збир!
</t>
        </r>
      </text>
    </comment>
    <comment ref="I10196" authorId="0" shapeId="0">
      <text>
        <r>
          <rPr>
            <b/>
            <sz val="9"/>
            <color indexed="81"/>
            <rFont val="Tahoma"/>
            <family val="2"/>
          </rPr>
          <t>LPA:</t>
        </r>
        <r>
          <rPr>
            <sz val="9"/>
            <color indexed="81"/>
            <rFont val="Tahoma"/>
            <family val="2"/>
          </rPr>
          <t xml:space="preserve">
проверити збир!
</t>
        </r>
      </text>
    </comment>
    <comment ref="I10197" authorId="0" shapeId="0">
      <text>
        <r>
          <rPr>
            <b/>
            <sz val="9"/>
            <color indexed="81"/>
            <rFont val="Tahoma"/>
            <family val="2"/>
          </rPr>
          <t>LPA:</t>
        </r>
        <r>
          <rPr>
            <sz val="9"/>
            <color indexed="81"/>
            <rFont val="Tahoma"/>
            <family val="2"/>
          </rPr>
          <t xml:space="preserve">
проверити збир!
</t>
        </r>
      </text>
    </comment>
    <comment ref="I10198" authorId="0" shapeId="0">
      <text>
        <r>
          <rPr>
            <b/>
            <sz val="9"/>
            <color indexed="81"/>
            <rFont val="Tahoma"/>
            <family val="2"/>
          </rPr>
          <t>LPA:</t>
        </r>
        <r>
          <rPr>
            <sz val="9"/>
            <color indexed="81"/>
            <rFont val="Tahoma"/>
            <family val="2"/>
          </rPr>
          <t xml:space="preserve">
проверити збир!
</t>
        </r>
      </text>
    </comment>
    <comment ref="I10199" authorId="0" shapeId="0">
      <text>
        <r>
          <rPr>
            <b/>
            <sz val="9"/>
            <color indexed="81"/>
            <rFont val="Tahoma"/>
            <family val="2"/>
          </rPr>
          <t>LPA:</t>
        </r>
        <r>
          <rPr>
            <sz val="9"/>
            <color indexed="81"/>
            <rFont val="Tahoma"/>
            <family val="2"/>
          </rPr>
          <t xml:space="preserve">
проверити збир!
</t>
        </r>
      </text>
    </comment>
    <comment ref="I10200" authorId="0" shapeId="0">
      <text>
        <r>
          <rPr>
            <b/>
            <sz val="9"/>
            <color indexed="81"/>
            <rFont val="Tahoma"/>
            <family val="2"/>
          </rPr>
          <t>LPA:</t>
        </r>
        <r>
          <rPr>
            <sz val="9"/>
            <color indexed="81"/>
            <rFont val="Tahoma"/>
            <family val="2"/>
          </rPr>
          <t xml:space="preserve">
проверити збир!
</t>
        </r>
      </text>
    </comment>
    <comment ref="I10201" authorId="0" shapeId="0">
      <text>
        <r>
          <rPr>
            <b/>
            <sz val="9"/>
            <color indexed="81"/>
            <rFont val="Tahoma"/>
            <family val="2"/>
          </rPr>
          <t>LPA:</t>
        </r>
        <r>
          <rPr>
            <sz val="9"/>
            <color indexed="81"/>
            <rFont val="Tahoma"/>
            <family val="2"/>
          </rPr>
          <t xml:space="preserve">
проверити збир!
</t>
        </r>
      </text>
    </comment>
    <comment ref="I10202" authorId="0" shapeId="0">
      <text>
        <r>
          <rPr>
            <b/>
            <sz val="9"/>
            <color indexed="81"/>
            <rFont val="Tahoma"/>
            <family val="2"/>
          </rPr>
          <t>LPA:</t>
        </r>
        <r>
          <rPr>
            <sz val="9"/>
            <color indexed="81"/>
            <rFont val="Tahoma"/>
            <family val="2"/>
          </rPr>
          <t xml:space="preserve">
проверити збир!
</t>
        </r>
      </text>
    </comment>
    <comment ref="I10203" authorId="0" shapeId="0">
      <text>
        <r>
          <rPr>
            <b/>
            <sz val="9"/>
            <color indexed="81"/>
            <rFont val="Tahoma"/>
            <family val="2"/>
          </rPr>
          <t>LPA:</t>
        </r>
        <r>
          <rPr>
            <sz val="9"/>
            <color indexed="81"/>
            <rFont val="Tahoma"/>
            <family val="2"/>
          </rPr>
          <t xml:space="preserve">
проверити збир!
</t>
        </r>
      </text>
    </comment>
    <comment ref="I10204" authorId="0" shapeId="0">
      <text>
        <r>
          <rPr>
            <b/>
            <sz val="9"/>
            <color indexed="81"/>
            <rFont val="Tahoma"/>
            <family val="2"/>
          </rPr>
          <t>LPA:</t>
        </r>
        <r>
          <rPr>
            <sz val="9"/>
            <color indexed="81"/>
            <rFont val="Tahoma"/>
            <family val="2"/>
          </rPr>
          <t xml:space="preserve">
проверити збир!
</t>
        </r>
      </text>
    </comment>
    <comment ref="I10205" authorId="0" shapeId="0">
      <text>
        <r>
          <rPr>
            <b/>
            <sz val="9"/>
            <color indexed="81"/>
            <rFont val="Tahoma"/>
            <family val="2"/>
          </rPr>
          <t>LPA:</t>
        </r>
        <r>
          <rPr>
            <sz val="9"/>
            <color indexed="81"/>
            <rFont val="Tahoma"/>
            <family val="2"/>
          </rPr>
          <t xml:space="preserve">
проверити збир!
</t>
        </r>
      </text>
    </comment>
    <comment ref="I10206" authorId="0" shapeId="0">
      <text>
        <r>
          <rPr>
            <b/>
            <sz val="9"/>
            <color indexed="81"/>
            <rFont val="Tahoma"/>
            <family val="2"/>
          </rPr>
          <t>LPA:</t>
        </r>
        <r>
          <rPr>
            <sz val="9"/>
            <color indexed="81"/>
            <rFont val="Tahoma"/>
            <family val="2"/>
          </rPr>
          <t xml:space="preserve">
проверити збир!
</t>
        </r>
      </text>
    </comment>
    <comment ref="I10207" authorId="0" shapeId="0">
      <text>
        <r>
          <rPr>
            <b/>
            <sz val="9"/>
            <color indexed="81"/>
            <rFont val="Tahoma"/>
            <family val="2"/>
          </rPr>
          <t>LPA:</t>
        </r>
        <r>
          <rPr>
            <sz val="9"/>
            <color indexed="81"/>
            <rFont val="Tahoma"/>
            <family val="2"/>
          </rPr>
          <t xml:space="preserve">
проверити збир!
</t>
        </r>
      </text>
    </comment>
    <comment ref="I10208" authorId="0" shapeId="0">
      <text>
        <r>
          <rPr>
            <b/>
            <sz val="9"/>
            <color indexed="81"/>
            <rFont val="Tahoma"/>
            <family val="2"/>
          </rPr>
          <t>LPA:</t>
        </r>
        <r>
          <rPr>
            <sz val="9"/>
            <color indexed="81"/>
            <rFont val="Tahoma"/>
            <family val="2"/>
          </rPr>
          <t xml:space="preserve">
проверити збир!
</t>
        </r>
      </text>
    </comment>
    <comment ref="I10209" authorId="0" shapeId="0">
      <text>
        <r>
          <rPr>
            <b/>
            <sz val="9"/>
            <color indexed="81"/>
            <rFont val="Tahoma"/>
            <family val="2"/>
          </rPr>
          <t>LPA:</t>
        </r>
        <r>
          <rPr>
            <sz val="9"/>
            <color indexed="81"/>
            <rFont val="Tahoma"/>
            <family val="2"/>
          </rPr>
          <t xml:space="preserve">
проверити збир!
</t>
        </r>
      </text>
    </comment>
    <comment ref="I10280" authorId="0" shapeId="0">
      <text>
        <r>
          <rPr>
            <b/>
            <sz val="9"/>
            <color indexed="81"/>
            <rFont val="Tahoma"/>
            <family val="2"/>
          </rPr>
          <t>LPA:</t>
        </r>
        <r>
          <rPr>
            <sz val="9"/>
            <color indexed="81"/>
            <rFont val="Tahoma"/>
            <family val="2"/>
          </rPr>
          <t xml:space="preserve">
проверити збир!
</t>
        </r>
      </text>
    </comment>
    <comment ref="I10281" authorId="0" shapeId="0">
      <text>
        <r>
          <rPr>
            <b/>
            <sz val="9"/>
            <color indexed="81"/>
            <rFont val="Tahoma"/>
            <family val="2"/>
          </rPr>
          <t>LPA:</t>
        </r>
        <r>
          <rPr>
            <sz val="9"/>
            <color indexed="81"/>
            <rFont val="Tahoma"/>
            <family val="2"/>
          </rPr>
          <t xml:space="preserve">
проверити збир!
</t>
        </r>
      </text>
    </comment>
    <comment ref="I10282" authorId="0" shapeId="0">
      <text>
        <r>
          <rPr>
            <b/>
            <sz val="9"/>
            <color indexed="81"/>
            <rFont val="Tahoma"/>
            <family val="2"/>
          </rPr>
          <t>LPA:</t>
        </r>
        <r>
          <rPr>
            <sz val="9"/>
            <color indexed="81"/>
            <rFont val="Tahoma"/>
            <family val="2"/>
          </rPr>
          <t xml:space="preserve">
проверити збир!
</t>
        </r>
      </text>
    </comment>
    <comment ref="I10283" authorId="0" shapeId="0">
      <text>
        <r>
          <rPr>
            <b/>
            <sz val="9"/>
            <color indexed="81"/>
            <rFont val="Tahoma"/>
            <family val="2"/>
          </rPr>
          <t>LPA:</t>
        </r>
        <r>
          <rPr>
            <sz val="9"/>
            <color indexed="81"/>
            <rFont val="Tahoma"/>
            <family val="2"/>
          </rPr>
          <t xml:space="preserve">
проверити збир!
</t>
        </r>
      </text>
    </comment>
    <comment ref="I10284" authorId="0" shapeId="0">
      <text>
        <r>
          <rPr>
            <b/>
            <sz val="9"/>
            <color indexed="81"/>
            <rFont val="Tahoma"/>
            <family val="2"/>
          </rPr>
          <t>LPA:</t>
        </r>
        <r>
          <rPr>
            <sz val="9"/>
            <color indexed="81"/>
            <rFont val="Tahoma"/>
            <family val="2"/>
          </rPr>
          <t xml:space="preserve">
проверити збир!
</t>
        </r>
      </text>
    </comment>
    <comment ref="I10285" authorId="0" shapeId="0">
      <text>
        <r>
          <rPr>
            <b/>
            <sz val="9"/>
            <color indexed="81"/>
            <rFont val="Tahoma"/>
            <family val="2"/>
          </rPr>
          <t>LPA:</t>
        </r>
        <r>
          <rPr>
            <sz val="9"/>
            <color indexed="81"/>
            <rFont val="Tahoma"/>
            <family val="2"/>
          </rPr>
          <t xml:space="preserve">
проверити збир!
</t>
        </r>
      </text>
    </comment>
    <comment ref="I10286" authorId="0" shapeId="0">
      <text>
        <r>
          <rPr>
            <b/>
            <sz val="9"/>
            <color indexed="81"/>
            <rFont val="Tahoma"/>
            <family val="2"/>
          </rPr>
          <t>LPA:</t>
        </r>
        <r>
          <rPr>
            <sz val="9"/>
            <color indexed="81"/>
            <rFont val="Tahoma"/>
            <family val="2"/>
          </rPr>
          <t xml:space="preserve">
проверити збир!
</t>
        </r>
      </text>
    </comment>
    <comment ref="I10287" authorId="0" shapeId="0">
      <text>
        <r>
          <rPr>
            <b/>
            <sz val="9"/>
            <color indexed="81"/>
            <rFont val="Tahoma"/>
            <family val="2"/>
          </rPr>
          <t>LPA:</t>
        </r>
        <r>
          <rPr>
            <sz val="9"/>
            <color indexed="81"/>
            <rFont val="Tahoma"/>
            <family val="2"/>
          </rPr>
          <t xml:space="preserve">
проверити збир!
</t>
        </r>
      </text>
    </comment>
    <comment ref="I10288" authorId="0" shapeId="0">
      <text>
        <r>
          <rPr>
            <b/>
            <sz val="9"/>
            <color indexed="81"/>
            <rFont val="Tahoma"/>
            <family val="2"/>
          </rPr>
          <t>LPA:</t>
        </r>
        <r>
          <rPr>
            <sz val="9"/>
            <color indexed="81"/>
            <rFont val="Tahoma"/>
            <family val="2"/>
          </rPr>
          <t xml:space="preserve">
проверити збир!
</t>
        </r>
      </text>
    </comment>
    <comment ref="I10289" authorId="0" shapeId="0">
      <text>
        <r>
          <rPr>
            <b/>
            <sz val="9"/>
            <color indexed="81"/>
            <rFont val="Tahoma"/>
            <family val="2"/>
          </rPr>
          <t>LPA:</t>
        </r>
        <r>
          <rPr>
            <sz val="9"/>
            <color indexed="81"/>
            <rFont val="Tahoma"/>
            <family val="2"/>
          </rPr>
          <t xml:space="preserve">
проверити збир!
</t>
        </r>
      </text>
    </comment>
    <comment ref="I10290" authorId="0" shapeId="0">
      <text>
        <r>
          <rPr>
            <b/>
            <sz val="9"/>
            <color indexed="81"/>
            <rFont val="Tahoma"/>
            <family val="2"/>
          </rPr>
          <t>LPA:</t>
        </r>
        <r>
          <rPr>
            <sz val="9"/>
            <color indexed="81"/>
            <rFont val="Tahoma"/>
            <family val="2"/>
          </rPr>
          <t xml:space="preserve">
проверити збир!
</t>
        </r>
      </text>
    </comment>
    <comment ref="I10291" authorId="0" shapeId="0">
      <text>
        <r>
          <rPr>
            <b/>
            <sz val="9"/>
            <color indexed="81"/>
            <rFont val="Tahoma"/>
            <family val="2"/>
          </rPr>
          <t>LPA:</t>
        </r>
        <r>
          <rPr>
            <sz val="9"/>
            <color indexed="81"/>
            <rFont val="Tahoma"/>
            <family val="2"/>
          </rPr>
          <t xml:space="preserve">
проверити збир!
</t>
        </r>
      </text>
    </comment>
    <comment ref="I10292" authorId="0" shapeId="0">
      <text>
        <r>
          <rPr>
            <b/>
            <sz val="9"/>
            <color indexed="81"/>
            <rFont val="Tahoma"/>
            <family val="2"/>
          </rPr>
          <t>LPA:</t>
        </r>
        <r>
          <rPr>
            <sz val="9"/>
            <color indexed="81"/>
            <rFont val="Tahoma"/>
            <family val="2"/>
          </rPr>
          <t xml:space="preserve">
проверити збир!
</t>
        </r>
      </text>
    </comment>
    <comment ref="H10295" authorId="0" shapeId="0">
      <text>
        <r>
          <rPr>
            <b/>
            <sz val="9"/>
            <color indexed="81"/>
            <rFont val="Tahoma"/>
            <family val="2"/>
          </rPr>
          <t>LPA:</t>
        </r>
        <r>
          <rPr>
            <sz val="9"/>
            <color indexed="81"/>
            <rFont val="Tahoma"/>
            <family val="2"/>
          </rPr>
          <t xml:space="preserve">
проверити збир!</t>
        </r>
      </text>
    </comment>
    <comment ref="I10295" authorId="0" shapeId="0">
      <text>
        <r>
          <rPr>
            <b/>
            <sz val="9"/>
            <color indexed="81"/>
            <rFont val="Tahoma"/>
            <family val="2"/>
          </rPr>
          <t>LPA:</t>
        </r>
        <r>
          <rPr>
            <sz val="9"/>
            <color indexed="81"/>
            <rFont val="Tahoma"/>
            <family val="2"/>
          </rPr>
          <t xml:space="preserve">
проверити збир!</t>
        </r>
      </text>
    </comment>
    <comment ref="I10296" authorId="0" shapeId="0">
      <text>
        <r>
          <rPr>
            <b/>
            <sz val="9"/>
            <color indexed="81"/>
            <rFont val="Tahoma"/>
            <family val="2"/>
          </rPr>
          <t>LPA:</t>
        </r>
        <r>
          <rPr>
            <sz val="9"/>
            <color indexed="81"/>
            <rFont val="Tahoma"/>
            <family val="2"/>
          </rPr>
          <t xml:space="preserve">
проверити збир!
</t>
        </r>
      </text>
    </comment>
    <comment ref="I10297" authorId="0" shapeId="0">
      <text>
        <r>
          <rPr>
            <b/>
            <sz val="9"/>
            <color indexed="81"/>
            <rFont val="Tahoma"/>
            <family val="2"/>
          </rPr>
          <t>LPA:</t>
        </r>
        <r>
          <rPr>
            <sz val="9"/>
            <color indexed="81"/>
            <rFont val="Tahoma"/>
            <family val="2"/>
          </rPr>
          <t xml:space="preserve">
проверити збир!
</t>
        </r>
      </text>
    </comment>
    <comment ref="I10298" authorId="0" shapeId="0">
      <text>
        <r>
          <rPr>
            <b/>
            <sz val="9"/>
            <color indexed="81"/>
            <rFont val="Tahoma"/>
            <family val="2"/>
          </rPr>
          <t>LPA:</t>
        </r>
        <r>
          <rPr>
            <sz val="9"/>
            <color indexed="81"/>
            <rFont val="Tahoma"/>
            <family val="2"/>
          </rPr>
          <t xml:space="preserve">
проверити збир!
</t>
        </r>
      </text>
    </comment>
    <comment ref="I10299" authorId="0" shapeId="0">
      <text>
        <r>
          <rPr>
            <b/>
            <sz val="9"/>
            <color indexed="81"/>
            <rFont val="Tahoma"/>
            <family val="2"/>
          </rPr>
          <t>LPA:</t>
        </r>
        <r>
          <rPr>
            <sz val="9"/>
            <color indexed="81"/>
            <rFont val="Tahoma"/>
            <family val="2"/>
          </rPr>
          <t xml:space="preserve">
проверити збир!
</t>
        </r>
      </text>
    </comment>
    <comment ref="I10300" authorId="0" shapeId="0">
      <text>
        <r>
          <rPr>
            <b/>
            <sz val="9"/>
            <color indexed="81"/>
            <rFont val="Tahoma"/>
            <family val="2"/>
          </rPr>
          <t>LPA:</t>
        </r>
        <r>
          <rPr>
            <sz val="9"/>
            <color indexed="81"/>
            <rFont val="Tahoma"/>
            <family val="2"/>
          </rPr>
          <t xml:space="preserve">
проверити збир!
</t>
        </r>
      </text>
    </comment>
    <comment ref="I10301" authorId="0" shapeId="0">
      <text>
        <r>
          <rPr>
            <b/>
            <sz val="9"/>
            <color indexed="81"/>
            <rFont val="Tahoma"/>
            <family val="2"/>
          </rPr>
          <t>LPA:</t>
        </r>
        <r>
          <rPr>
            <sz val="9"/>
            <color indexed="81"/>
            <rFont val="Tahoma"/>
            <family val="2"/>
          </rPr>
          <t xml:space="preserve">
проверити збир!
</t>
        </r>
      </text>
    </comment>
    <comment ref="I10302" authorId="0" shapeId="0">
      <text>
        <r>
          <rPr>
            <b/>
            <sz val="9"/>
            <color indexed="81"/>
            <rFont val="Tahoma"/>
            <family val="2"/>
          </rPr>
          <t>LPA:</t>
        </r>
        <r>
          <rPr>
            <sz val="9"/>
            <color indexed="81"/>
            <rFont val="Tahoma"/>
            <family val="2"/>
          </rPr>
          <t xml:space="preserve">
проверити збир!
</t>
        </r>
      </text>
    </comment>
    <comment ref="I10303" authorId="0" shapeId="0">
      <text>
        <r>
          <rPr>
            <b/>
            <sz val="9"/>
            <color indexed="81"/>
            <rFont val="Tahoma"/>
            <family val="2"/>
          </rPr>
          <t>LPA:</t>
        </r>
        <r>
          <rPr>
            <sz val="9"/>
            <color indexed="81"/>
            <rFont val="Tahoma"/>
            <family val="2"/>
          </rPr>
          <t xml:space="preserve">
проверити збир!
</t>
        </r>
      </text>
    </comment>
    <comment ref="I10304" authorId="0" shapeId="0">
      <text>
        <r>
          <rPr>
            <b/>
            <sz val="9"/>
            <color indexed="81"/>
            <rFont val="Tahoma"/>
            <family val="2"/>
          </rPr>
          <t>LPA:</t>
        </r>
        <r>
          <rPr>
            <sz val="9"/>
            <color indexed="81"/>
            <rFont val="Tahoma"/>
            <family val="2"/>
          </rPr>
          <t xml:space="preserve">
проверити збир!
</t>
        </r>
      </text>
    </comment>
    <comment ref="I10305" authorId="0" shapeId="0">
      <text>
        <r>
          <rPr>
            <b/>
            <sz val="9"/>
            <color indexed="81"/>
            <rFont val="Tahoma"/>
            <family val="2"/>
          </rPr>
          <t>LPA:</t>
        </r>
        <r>
          <rPr>
            <sz val="9"/>
            <color indexed="81"/>
            <rFont val="Tahoma"/>
            <family val="2"/>
          </rPr>
          <t xml:space="preserve">
проверити збир!
</t>
        </r>
      </text>
    </comment>
    <comment ref="I10306" authorId="0" shapeId="0">
      <text>
        <r>
          <rPr>
            <b/>
            <sz val="9"/>
            <color indexed="81"/>
            <rFont val="Tahoma"/>
            <family val="2"/>
          </rPr>
          <t>LPA:</t>
        </r>
        <r>
          <rPr>
            <sz val="9"/>
            <color indexed="81"/>
            <rFont val="Tahoma"/>
            <family val="2"/>
          </rPr>
          <t xml:space="preserve">
проверити збир!
</t>
        </r>
      </text>
    </comment>
    <comment ref="I10307" authorId="0" shapeId="0">
      <text>
        <r>
          <rPr>
            <b/>
            <sz val="9"/>
            <color indexed="81"/>
            <rFont val="Tahoma"/>
            <family val="2"/>
          </rPr>
          <t>LPA:</t>
        </r>
        <r>
          <rPr>
            <sz val="9"/>
            <color indexed="81"/>
            <rFont val="Tahoma"/>
            <family val="2"/>
          </rPr>
          <t xml:space="preserve">
проверити збир!
</t>
        </r>
      </text>
    </comment>
    <comment ref="I10308" authorId="0" shapeId="0">
      <text>
        <r>
          <rPr>
            <b/>
            <sz val="9"/>
            <color indexed="81"/>
            <rFont val="Tahoma"/>
            <family val="2"/>
          </rPr>
          <t>LPA:</t>
        </r>
        <r>
          <rPr>
            <sz val="9"/>
            <color indexed="81"/>
            <rFont val="Tahoma"/>
            <family val="2"/>
          </rPr>
          <t xml:space="preserve">
проверити збир!
</t>
        </r>
      </text>
    </comment>
    <comment ref="I10309" authorId="0" shapeId="0">
      <text>
        <r>
          <rPr>
            <b/>
            <sz val="9"/>
            <color indexed="81"/>
            <rFont val="Tahoma"/>
            <family val="2"/>
          </rPr>
          <t>LPA:</t>
        </r>
        <r>
          <rPr>
            <sz val="9"/>
            <color indexed="81"/>
            <rFont val="Tahoma"/>
            <family val="2"/>
          </rPr>
          <t xml:space="preserve">
проверити збир!
</t>
        </r>
      </text>
    </comment>
    <comment ref="I10310" authorId="0" shapeId="0">
      <text>
        <r>
          <rPr>
            <b/>
            <sz val="9"/>
            <color indexed="81"/>
            <rFont val="Tahoma"/>
            <family val="2"/>
          </rPr>
          <t>LPA:</t>
        </r>
        <r>
          <rPr>
            <sz val="9"/>
            <color indexed="81"/>
            <rFont val="Tahoma"/>
            <family val="2"/>
          </rPr>
          <t xml:space="preserve">
проверити збир!
</t>
        </r>
      </text>
    </comment>
    <comment ref="I10379" authorId="0" shapeId="0">
      <text>
        <r>
          <rPr>
            <b/>
            <sz val="9"/>
            <color indexed="81"/>
            <rFont val="Tahoma"/>
            <family val="2"/>
          </rPr>
          <t>LPA:</t>
        </r>
        <r>
          <rPr>
            <sz val="9"/>
            <color indexed="81"/>
            <rFont val="Tahoma"/>
            <family val="2"/>
          </rPr>
          <t xml:space="preserve">
проверити збир!
</t>
        </r>
      </text>
    </comment>
    <comment ref="I10380" authorId="0" shapeId="0">
      <text>
        <r>
          <rPr>
            <b/>
            <sz val="9"/>
            <color indexed="81"/>
            <rFont val="Tahoma"/>
            <family val="2"/>
          </rPr>
          <t>LPA:</t>
        </r>
        <r>
          <rPr>
            <sz val="9"/>
            <color indexed="81"/>
            <rFont val="Tahoma"/>
            <family val="2"/>
          </rPr>
          <t xml:space="preserve">
проверити збир!
</t>
        </r>
      </text>
    </comment>
    <comment ref="I10381" authorId="0" shapeId="0">
      <text>
        <r>
          <rPr>
            <b/>
            <sz val="9"/>
            <color indexed="81"/>
            <rFont val="Tahoma"/>
            <family val="2"/>
          </rPr>
          <t>LPA:</t>
        </r>
        <r>
          <rPr>
            <sz val="9"/>
            <color indexed="81"/>
            <rFont val="Tahoma"/>
            <family val="2"/>
          </rPr>
          <t xml:space="preserve">
проверити збир!
</t>
        </r>
      </text>
    </comment>
    <comment ref="I10382" authorId="0" shapeId="0">
      <text>
        <r>
          <rPr>
            <b/>
            <sz val="9"/>
            <color indexed="81"/>
            <rFont val="Tahoma"/>
            <family val="2"/>
          </rPr>
          <t>LPA:</t>
        </r>
        <r>
          <rPr>
            <sz val="9"/>
            <color indexed="81"/>
            <rFont val="Tahoma"/>
            <family val="2"/>
          </rPr>
          <t xml:space="preserve">
проверити збир!
</t>
        </r>
      </text>
    </comment>
    <comment ref="I10383" authorId="0" shapeId="0">
      <text>
        <r>
          <rPr>
            <b/>
            <sz val="9"/>
            <color indexed="81"/>
            <rFont val="Tahoma"/>
            <family val="2"/>
          </rPr>
          <t>LPA:</t>
        </r>
        <r>
          <rPr>
            <sz val="9"/>
            <color indexed="81"/>
            <rFont val="Tahoma"/>
            <family val="2"/>
          </rPr>
          <t xml:space="preserve">
проверити збир!
</t>
        </r>
      </text>
    </comment>
    <comment ref="I10384" authorId="0" shapeId="0">
      <text>
        <r>
          <rPr>
            <b/>
            <sz val="9"/>
            <color indexed="81"/>
            <rFont val="Tahoma"/>
            <family val="2"/>
          </rPr>
          <t>LPA:</t>
        </r>
        <r>
          <rPr>
            <sz val="9"/>
            <color indexed="81"/>
            <rFont val="Tahoma"/>
            <family val="2"/>
          </rPr>
          <t xml:space="preserve">
проверити збир!
</t>
        </r>
      </text>
    </comment>
    <comment ref="I10385" authorId="0" shapeId="0">
      <text>
        <r>
          <rPr>
            <b/>
            <sz val="9"/>
            <color indexed="81"/>
            <rFont val="Tahoma"/>
            <family val="2"/>
          </rPr>
          <t>LPA:</t>
        </r>
        <r>
          <rPr>
            <sz val="9"/>
            <color indexed="81"/>
            <rFont val="Tahoma"/>
            <family val="2"/>
          </rPr>
          <t xml:space="preserve">
проверити збир!
</t>
        </r>
      </text>
    </comment>
    <comment ref="I10386" authorId="0" shapeId="0">
      <text>
        <r>
          <rPr>
            <b/>
            <sz val="9"/>
            <color indexed="81"/>
            <rFont val="Tahoma"/>
            <family val="2"/>
          </rPr>
          <t>LPA:</t>
        </r>
        <r>
          <rPr>
            <sz val="9"/>
            <color indexed="81"/>
            <rFont val="Tahoma"/>
            <family val="2"/>
          </rPr>
          <t xml:space="preserve">
проверити збир!
</t>
        </r>
      </text>
    </comment>
    <comment ref="I10387" authorId="0" shapeId="0">
      <text>
        <r>
          <rPr>
            <b/>
            <sz val="9"/>
            <color indexed="81"/>
            <rFont val="Tahoma"/>
            <family val="2"/>
          </rPr>
          <t>LPA:</t>
        </r>
        <r>
          <rPr>
            <sz val="9"/>
            <color indexed="81"/>
            <rFont val="Tahoma"/>
            <family val="2"/>
          </rPr>
          <t xml:space="preserve">
проверити збир!
</t>
        </r>
      </text>
    </comment>
    <comment ref="I10388" authorId="0" shapeId="0">
      <text>
        <r>
          <rPr>
            <b/>
            <sz val="9"/>
            <color indexed="81"/>
            <rFont val="Tahoma"/>
            <family val="2"/>
          </rPr>
          <t>LPA:</t>
        </r>
        <r>
          <rPr>
            <sz val="9"/>
            <color indexed="81"/>
            <rFont val="Tahoma"/>
            <family val="2"/>
          </rPr>
          <t xml:space="preserve">
проверити збир!
</t>
        </r>
      </text>
    </comment>
    <comment ref="I10389" authorId="0" shapeId="0">
      <text>
        <r>
          <rPr>
            <b/>
            <sz val="9"/>
            <color indexed="81"/>
            <rFont val="Tahoma"/>
            <family val="2"/>
          </rPr>
          <t>LPA:</t>
        </r>
        <r>
          <rPr>
            <sz val="9"/>
            <color indexed="81"/>
            <rFont val="Tahoma"/>
            <family val="2"/>
          </rPr>
          <t xml:space="preserve">
проверити збир!
</t>
        </r>
      </text>
    </comment>
    <comment ref="I10390" authorId="0" shapeId="0">
      <text>
        <r>
          <rPr>
            <b/>
            <sz val="9"/>
            <color indexed="81"/>
            <rFont val="Tahoma"/>
            <family val="2"/>
          </rPr>
          <t>LPA:</t>
        </r>
        <r>
          <rPr>
            <sz val="9"/>
            <color indexed="81"/>
            <rFont val="Tahoma"/>
            <family val="2"/>
          </rPr>
          <t xml:space="preserve">
проверити збир!
</t>
        </r>
      </text>
    </comment>
    <comment ref="I10391" authorId="0" shapeId="0">
      <text>
        <r>
          <rPr>
            <b/>
            <sz val="9"/>
            <color indexed="81"/>
            <rFont val="Tahoma"/>
            <family val="2"/>
          </rPr>
          <t>LPA:</t>
        </r>
        <r>
          <rPr>
            <sz val="9"/>
            <color indexed="81"/>
            <rFont val="Tahoma"/>
            <family val="2"/>
          </rPr>
          <t xml:space="preserve">
проверити збир!
</t>
        </r>
      </text>
    </comment>
    <comment ref="H10394" authorId="0" shapeId="0">
      <text>
        <r>
          <rPr>
            <b/>
            <sz val="9"/>
            <color indexed="81"/>
            <rFont val="Tahoma"/>
            <family val="2"/>
          </rPr>
          <t>LPA:</t>
        </r>
        <r>
          <rPr>
            <sz val="9"/>
            <color indexed="81"/>
            <rFont val="Tahoma"/>
            <family val="2"/>
          </rPr>
          <t xml:space="preserve">
проверити збир!</t>
        </r>
      </text>
    </comment>
    <comment ref="I10394" authorId="0" shapeId="0">
      <text>
        <r>
          <rPr>
            <b/>
            <sz val="9"/>
            <color indexed="81"/>
            <rFont val="Tahoma"/>
            <family val="2"/>
          </rPr>
          <t>LPA:</t>
        </r>
        <r>
          <rPr>
            <sz val="9"/>
            <color indexed="81"/>
            <rFont val="Tahoma"/>
            <family val="2"/>
          </rPr>
          <t xml:space="preserve">
проверити збир!</t>
        </r>
      </text>
    </comment>
    <comment ref="I10395" authorId="0" shapeId="0">
      <text>
        <r>
          <rPr>
            <b/>
            <sz val="9"/>
            <color indexed="81"/>
            <rFont val="Tahoma"/>
            <family val="2"/>
          </rPr>
          <t>LPA:</t>
        </r>
        <r>
          <rPr>
            <sz val="9"/>
            <color indexed="81"/>
            <rFont val="Tahoma"/>
            <family val="2"/>
          </rPr>
          <t xml:space="preserve">
проверити збир!
</t>
        </r>
      </text>
    </comment>
    <comment ref="I10396" authorId="0" shapeId="0">
      <text>
        <r>
          <rPr>
            <b/>
            <sz val="9"/>
            <color indexed="81"/>
            <rFont val="Tahoma"/>
            <family val="2"/>
          </rPr>
          <t>LPA:</t>
        </r>
        <r>
          <rPr>
            <sz val="9"/>
            <color indexed="81"/>
            <rFont val="Tahoma"/>
            <family val="2"/>
          </rPr>
          <t xml:space="preserve">
проверити збир!
</t>
        </r>
      </text>
    </comment>
    <comment ref="I10397" authorId="0" shapeId="0">
      <text>
        <r>
          <rPr>
            <b/>
            <sz val="9"/>
            <color indexed="81"/>
            <rFont val="Tahoma"/>
            <family val="2"/>
          </rPr>
          <t>LPA:</t>
        </r>
        <r>
          <rPr>
            <sz val="9"/>
            <color indexed="81"/>
            <rFont val="Tahoma"/>
            <family val="2"/>
          </rPr>
          <t xml:space="preserve">
проверити збир!
</t>
        </r>
      </text>
    </comment>
    <comment ref="I10398" authorId="0" shapeId="0">
      <text>
        <r>
          <rPr>
            <b/>
            <sz val="9"/>
            <color indexed="81"/>
            <rFont val="Tahoma"/>
            <family val="2"/>
          </rPr>
          <t>LPA:</t>
        </r>
        <r>
          <rPr>
            <sz val="9"/>
            <color indexed="81"/>
            <rFont val="Tahoma"/>
            <family val="2"/>
          </rPr>
          <t xml:space="preserve">
проверити збир!
</t>
        </r>
      </text>
    </comment>
    <comment ref="I10399" authorId="0" shapeId="0">
      <text>
        <r>
          <rPr>
            <b/>
            <sz val="9"/>
            <color indexed="81"/>
            <rFont val="Tahoma"/>
            <family val="2"/>
          </rPr>
          <t>LPA:</t>
        </r>
        <r>
          <rPr>
            <sz val="9"/>
            <color indexed="81"/>
            <rFont val="Tahoma"/>
            <family val="2"/>
          </rPr>
          <t xml:space="preserve">
проверити збир!
</t>
        </r>
      </text>
    </comment>
    <comment ref="I10400" authorId="0" shapeId="0">
      <text>
        <r>
          <rPr>
            <b/>
            <sz val="9"/>
            <color indexed="81"/>
            <rFont val="Tahoma"/>
            <family val="2"/>
          </rPr>
          <t>LPA:</t>
        </r>
        <r>
          <rPr>
            <sz val="9"/>
            <color indexed="81"/>
            <rFont val="Tahoma"/>
            <family val="2"/>
          </rPr>
          <t xml:space="preserve">
проверити збир!
</t>
        </r>
      </text>
    </comment>
    <comment ref="I10401" authorId="0" shapeId="0">
      <text>
        <r>
          <rPr>
            <b/>
            <sz val="9"/>
            <color indexed="81"/>
            <rFont val="Tahoma"/>
            <family val="2"/>
          </rPr>
          <t>LPA:</t>
        </r>
        <r>
          <rPr>
            <sz val="9"/>
            <color indexed="81"/>
            <rFont val="Tahoma"/>
            <family val="2"/>
          </rPr>
          <t xml:space="preserve">
проверити збир!
</t>
        </r>
      </text>
    </comment>
    <comment ref="I10402" authorId="0" shapeId="0">
      <text>
        <r>
          <rPr>
            <b/>
            <sz val="9"/>
            <color indexed="81"/>
            <rFont val="Tahoma"/>
            <family val="2"/>
          </rPr>
          <t>LPA:</t>
        </r>
        <r>
          <rPr>
            <sz val="9"/>
            <color indexed="81"/>
            <rFont val="Tahoma"/>
            <family val="2"/>
          </rPr>
          <t xml:space="preserve">
проверити збир!
</t>
        </r>
      </text>
    </comment>
    <comment ref="I10403" authorId="0" shapeId="0">
      <text>
        <r>
          <rPr>
            <b/>
            <sz val="9"/>
            <color indexed="81"/>
            <rFont val="Tahoma"/>
            <family val="2"/>
          </rPr>
          <t>LPA:</t>
        </r>
        <r>
          <rPr>
            <sz val="9"/>
            <color indexed="81"/>
            <rFont val="Tahoma"/>
            <family val="2"/>
          </rPr>
          <t xml:space="preserve">
проверити збир!
</t>
        </r>
      </text>
    </comment>
    <comment ref="I10404" authorId="0" shapeId="0">
      <text>
        <r>
          <rPr>
            <b/>
            <sz val="9"/>
            <color indexed="81"/>
            <rFont val="Tahoma"/>
            <family val="2"/>
          </rPr>
          <t>LPA:</t>
        </r>
        <r>
          <rPr>
            <sz val="9"/>
            <color indexed="81"/>
            <rFont val="Tahoma"/>
            <family val="2"/>
          </rPr>
          <t xml:space="preserve">
проверити збир!
</t>
        </r>
      </text>
    </comment>
    <comment ref="I10405" authorId="0" shapeId="0">
      <text>
        <r>
          <rPr>
            <b/>
            <sz val="9"/>
            <color indexed="81"/>
            <rFont val="Tahoma"/>
            <family val="2"/>
          </rPr>
          <t>LPA:</t>
        </r>
        <r>
          <rPr>
            <sz val="9"/>
            <color indexed="81"/>
            <rFont val="Tahoma"/>
            <family val="2"/>
          </rPr>
          <t xml:space="preserve">
проверити збир!
</t>
        </r>
      </text>
    </comment>
    <comment ref="I10406" authorId="0" shapeId="0">
      <text>
        <r>
          <rPr>
            <b/>
            <sz val="9"/>
            <color indexed="81"/>
            <rFont val="Tahoma"/>
            <family val="2"/>
          </rPr>
          <t>LPA:</t>
        </r>
        <r>
          <rPr>
            <sz val="9"/>
            <color indexed="81"/>
            <rFont val="Tahoma"/>
            <family val="2"/>
          </rPr>
          <t xml:space="preserve">
проверити збир!
</t>
        </r>
      </text>
    </comment>
    <comment ref="I10407" authorId="0" shapeId="0">
      <text>
        <r>
          <rPr>
            <b/>
            <sz val="9"/>
            <color indexed="81"/>
            <rFont val="Tahoma"/>
            <family val="2"/>
          </rPr>
          <t>LPA:</t>
        </r>
        <r>
          <rPr>
            <sz val="9"/>
            <color indexed="81"/>
            <rFont val="Tahoma"/>
            <family val="2"/>
          </rPr>
          <t xml:space="preserve">
проверити збир!
</t>
        </r>
      </text>
    </comment>
    <comment ref="I10408" authorId="0" shapeId="0">
      <text>
        <r>
          <rPr>
            <b/>
            <sz val="9"/>
            <color indexed="81"/>
            <rFont val="Tahoma"/>
            <family val="2"/>
          </rPr>
          <t>LPA:</t>
        </r>
        <r>
          <rPr>
            <sz val="9"/>
            <color indexed="81"/>
            <rFont val="Tahoma"/>
            <family val="2"/>
          </rPr>
          <t xml:space="preserve">
проверити збир!
</t>
        </r>
      </text>
    </comment>
    <comment ref="I10409" authorId="0" shapeId="0">
      <text>
        <r>
          <rPr>
            <b/>
            <sz val="9"/>
            <color indexed="81"/>
            <rFont val="Tahoma"/>
            <family val="2"/>
          </rPr>
          <t>LPA:</t>
        </r>
        <r>
          <rPr>
            <sz val="9"/>
            <color indexed="81"/>
            <rFont val="Tahoma"/>
            <family val="2"/>
          </rPr>
          <t xml:space="preserve">
проверити збир!
</t>
        </r>
      </text>
    </comment>
    <comment ref="I10478" authorId="0" shapeId="0">
      <text>
        <r>
          <rPr>
            <b/>
            <sz val="9"/>
            <color indexed="81"/>
            <rFont val="Tahoma"/>
            <family val="2"/>
          </rPr>
          <t>LPA:</t>
        </r>
        <r>
          <rPr>
            <sz val="9"/>
            <color indexed="81"/>
            <rFont val="Tahoma"/>
            <family val="2"/>
          </rPr>
          <t xml:space="preserve">
проверити збир!
</t>
        </r>
      </text>
    </comment>
    <comment ref="I10479" authorId="0" shapeId="0">
      <text>
        <r>
          <rPr>
            <b/>
            <sz val="9"/>
            <color indexed="81"/>
            <rFont val="Tahoma"/>
            <family val="2"/>
          </rPr>
          <t>LPA:</t>
        </r>
        <r>
          <rPr>
            <sz val="9"/>
            <color indexed="81"/>
            <rFont val="Tahoma"/>
            <family val="2"/>
          </rPr>
          <t xml:space="preserve">
проверити збир!
</t>
        </r>
      </text>
    </comment>
    <comment ref="I10480" authorId="0" shapeId="0">
      <text>
        <r>
          <rPr>
            <b/>
            <sz val="9"/>
            <color indexed="81"/>
            <rFont val="Tahoma"/>
            <family val="2"/>
          </rPr>
          <t>LPA:</t>
        </r>
        <r>
          <rPr>
            <sz val="9"/>
            <color indexed="81"/>
            <rFont val="Tahoma"/>
            <family val="2"/>
          </rPr>
          <t xml:space="preserve">
проверити збир!
</t>
        </r>
      </text>
    </comment>
    <comment ref="I10481" authorId="0" shapeId="0">
      <text>
        <r>
          <rPr>
            <b/>
            <sz val="9"/>
            <color indexed="81"/>
            <rFont val="Tahoma"/>
            <family val="2"/>
          </rPr>
          <t>LPA:</t>
        </r>
        <r>
          <rPr>
            <sz val="9"/>
            <color indexed="81"/>
            <rFont val="Tahoma"/>
            <family val="2"/>
          </rPr>
          <t xml:space="preserve">
проверити збир!
</t>
        </r>
      </text>
    </comment>
    <comment ref="I10482" authorId="0" shapeId="0">
      <text>
        <r>
          <rPr>
            <b/>
            <sz val="9"/>
            <color indexed="81"/>
            <rFont val="Tahoma"/>
            <family val="2"/>
          </rPr>
          <t>LPA:</t>
        </r>
        <r>
          <rPr>
            <sz val="9"/>
            <color indexed="81"/>
            <rFont val="Tahoma"/>
            <family val="2"/>
          </rPr>
          <t xml:space="preserve">
проверити збир!
</t>
        </r>
      </text>
    </comment>
    <comment ref="I10483" authorId="0" shapeId="0">
      <text>
        <r>
          <rPr>
            <b/>
            <sz val="9"/>
            <color indexed="81"/>
            <rFont val="Tahoma"/>
            <family val="2"/>
          </rPr>
          <t>LPA:</t>
        </r>
        <r>
          <rPr>
            <sz val="9"/>
            <color indexed="81"/>
            <rFont val="Tahoma"/>
            <family val="2"/>
          </rPr>
          <t xml:space="preserve">
проверити збир!
</t>
        </r>
      </text>
    </comment>
    <comment ref="I10484" authorId="0" shapeId="0">
      <text>
        <r>
          <rPr>
            <b/>
            <sz val="9"/>
            <color indexed="81"/>
            <rFont val="Tahoma"/>
            <family val="2"/>
          </rPr>
          <t>LPA:</t>
        </r>
        <r>
          <rPr>
            <sz val="9"/>
            <color indexed="81"/>
            <rFont val="Tahoma"/>
            <family val="2"/>
          </rPr>
          <t xml:space="preserve">
проверити збир!
</t>
        </r>
      </text>
    </comment>
    <comment ref="I10485" authorId="0" shapeId="0">
      <text>
        <r>
          <rPr>
            <b/>
            <sz val="9"/>
            <color indexed="81"/>
            <rFont val="Tahoma"/>
            <family val="2"/>
          </rPr>
          <t>LPA:</t>
        </r>
        <r>
          <rPr>
            <sz val="9"/>
            <color indexed="81"/>
            <rFont val="Tahoma"/>
            <family val="2"/>
          </rPr>
          <t xml:space="preserve">
проверити збир!
</t>
        </r>
      </text>
    </comment>
    <comment ref="I10486" authorId="0" shapeId="0">
      <text>
        <r>
          <rPr>
            <b/>
            <sz val="9"/>
            <color indexed="81"/>
            <rFont val="Tahoma"/>
            <family val="2"/>
          </rPr>
          <t>LPA:</t>
        </r>
        <r>
          <rPr>
            <sz val="9"/>
            <color indexed="81"/>
            <rFont val="Tahoma"/>
            <family val="2"/>
          </rPr>
          <t xml:space="preserve">
проверити збир!
</t>
        </r>
      </text>
    </comment>
    <comment ref="I10487" authorId="0" shapeId="0">
      <text>
        <r>
          <rPr>
            <b/>
            <sz val="9"/>
            <color indexed="81"/>
            <rFont val="Tahoma"/>
            <family val="2"/>
          </rPr>
          <t>LPA:</t>
        </r>
        <r>
          <rPr>
            <sz val="9"/>
            <color indexed="81"/>
            <rFont val="Tahoma"/>
            <family val="2"/>
          </rPr>
          <t xml:space="preserve">
проверити збир!
</t>
        </r>
      </text>
    </comment>
    <comment ref="I10488" authorId="0" shapeId="0">
      <text>
        <r>
          <rPr>
            <b/>
            <sz val="9"/>
            <color indexed="81"/>
            <rFont val="Tahoma"/>
            <family val="2"/>
          </rPr>
          <t>LPA:</t>
        </r>
        <r>
          <rPr>
            <sz val="9"/>
            <color indexed="81"/>
            <rFont val="Tahoma"/>
            <family val="2"/>
          </rPr>
          <t xml:space="preserve">
проверити збир!
</t>
        </r>
      </text>
    </comment>
    <comment ref="I10489" authorId="0" shapeId="0">
      <text>
        <r>
          <rPr>
            <b/>
            <sz val="9"/>
            <color indexed="81"/>
            <rFont val="Tahoma"/>
            <family val="2"/>
          </rPr>
          <t>LPA:</t>
        </r>
        <r>
          <rPr>
            <sz val="9"/>
            <color indexed="81"/>
            <rFont val="Tahoma"/>
            <family val="2"/>
          </rPr>
          <t xml:space="preserve">
проверити збир!
</t>
        </r>
      </text>
    </comment>
    <comment ref="I10490" authorId="0" shapeId="0">
      <text>
        <r>
          <rPr>
            <b/>
            <sz val="9"/>
            <color indexed="81"/>
            <rFont val="Tahoma"/>
            <family val="2"/>
          </rPr>
          <t>LPA:</t>
        </r>
        <r>
          <rPr>
            <sz val="9"/>
            <color indexed="81"/>
            <rFont val="Tahoma"/>
            <family val="2"/>
          </rPr>
          <t xml:space="preserve">
проверити збир!
</t>
        </r>
      </text>
    </comment>
    <comment ref="H10493" authorId="0" shapeId="0">
      <text>
        <r>
          <rPr>
            <b/>
            <sz val="9"/>
            <color indexed="81"/>
            <rFont val="Tahoma"/>
            <family val="2"/>
          </rPr>
          <t>LPA:</t>
        </r>
        <r>
          <rPr>
            <sz val="9"/>
            <color indexed="81"/>
            <rFont val="Tahoma"/>
            <family val="2"/>
          </rPr>
          <t xml:space="preserve">
проверити збир!</t>
        </r>
      </text>
    </comment>
    <comment ref="I10493" authorId="0" shapeId="0">
      <text>
        <r>
          <rPr>
            <b/>
            <sz val="9"/>
            <color indexed="81"/>
            <rFont val="Tahoma"/>
            <family val="2"/>
          </rPr>
          <t>LPA:</t>
        </r>
        <r>
          <rPr>
            <sz val="9"/>
            <color indexed="81"/>
            <rFont val="Tahoma"/>
            <family val="2"/>
          </rPr>
          <t xml:space="preserve">
проверити збир!</t>
        </r>
      </text>
    </comment>
    <comment ref="I10494" authorId="0" shapeId="0">
      <text>
        <r>
          <rPr>
            <b/>
            <sz val="9"/>
            <color indexed="81"/>
            <rFont val="Tahoma"/>
            <family val="2"/>
          </rPr>
          <t>LPA:</t>
        </r>
        <r>
          <rPr>
            <sz val="9"/>
            <color indexed="81"/>
            <rFont val="Tahoma"/>
            <family val="2"/>
          </rPr>
          <t xml:space="preserve">
проверити збир!
</t>
        </r>
      </text>
    </comment>
    <comment ref="I10495" authorId="0" shapeId="0">
      <text>
        <r>
          <rPr>
            <b/>
            <sz val="9"/>
            <color indexed="81"/>
            <rFont val="Tahoma"/>
            <family val="2"/>
          </rPr>
          <t>LPA:</t>
        </r>
        <r>
          <rPr>
            <sz val="9"/>
            <color indexed="81"/>
            <rFont val="Tahoma"/>
            <family val="2"/>
          </rPr>
          <t xml:space="preserve">
проверити збир!
</t>
        </r>
      </text>
    </comment>
    <comment ref="I10496" authorId="0" shapeId="0">
      <text>
        <r>
          <rPr>
            <b/>
            <sz val="9"/>
            <color indexed="81"/>
            <rFont val="Tahoma"/>
            <family val="2"/>
          </rPr>
          <t>LPA:</t>
        </r>
        <r>
          <rPr>
            <sz val="9"/>
            <color indexed="81"/>
            <rFont val="Tahoma"/>
            <family val="2"/>
          </rPr>
          <t xml:space="preserve">
проверити збир!
</t>
        </r>
      </text>
    </comment>
    <comment ref="I10497" authorId="0" shapeId="0">
      <text>
        <r>
          <rPr>
            <b/>
            <sz val="9"/>
            <color indexed="81"/>
            <rFont val="Tahoma"/>
            <family val="2"/>
          </rPr>
          <t>LPA:</t>
        </r>
        <r>
          <rPr>
            <sz val="9"/>
            <color indexed="81"/>
            <rFont val="Tahoma"/>
            <family val="2"/>
          </rPr>
          <t xml:space="preserve">
проверити збир!
</t>
        </r>
      </text>
    </comment>
    <comment ref="I10498" authorId="0" shapeId="0">
      <text>
        <r>
          <rPr>
            <b/>
            <sz val="9"/>
            <color indexed="81"/>
            <rFont val="Tahoma"/>
            <family val="2"/>
          </rPr>
          <t>LPA:</t>
        </r>
        <r>
          <rPr>
            <sz val="9"/>
            <color indexed="81"/>
            <rFont val="Tahoma"/>
            <family val="2"/>
          </rPr>
          <t xml:space="preserve">
проверити збир!
</t>
        </r>
      </text>
    </comment>
    <comment ref="I10499" authorId="0" shapeId="0">
      <text>
        <r>
          <rPr>
            <b/>
            <sz val="9"/>
            <color indexed="81"/>
            <rFont val="Tahoma"/>
            <family val="2"/>
          </rPr>
          <t>LPA:</t>
        </r>
        <r>
          <rPr>
            <sz val="9"/>
            <color indexed="81"/>
            <rFont val="Tahoma"/>
            <family val="2"/>
          </rPr>
          <t xml:space="preserve">
проверити збир!
</t>
        </r>
      </text>
    </comment>
    <comment ref="I10500" authorId="0" shapeId="0">
      <text>
        <r>
          <rPr>
            <b/>
            <sz val="9"/>
            <color indexed="81"/>
            <rFont val="Tahoma"/>
            <family val="2"/>
          </rPr>
          <t>LPA:</t>
        </r>
        <r>
          <rPr>
            <sz val="9"/>
            <color indexed="81"/>
            <rFont val="Tahoma"/>
            <family val="2"/>
          </rPr>
          <t xml:space="preserve">
проверити збир!
</t>
        </r>
      </text>
    </comment>
    <comment ref="I10501" authorId="0" shapeId="0">
      <text>
        <r>
          <rPr>
            <b/>
            <sz val="9"/>
            <color indexed="81"/>
            <rFont val="Tahoma"/>
            <family val="2"/>
          </rPr>
          <t>LPA:</t>
        </r>
        <r>
          <rPr>
            <sz val="9"/>
            <color indexed="81"/>
            <rFont val="Tahoma"/>
            <family val="2"/>
          </rPr>
          <t xml:space="preserve">
проверити збир!
</t>
        </r>
      </text>
    </comment>
    <comment ref="I10502" authorId="0" shapeId="0">
      <text>
        <r>
          <rPr>
            <b/>
            <sz val="9"/>
            <color indexed="81"/>
            <rFont val="Tahoma"/>
            <family val="2"/>
          </rPr>
          <t>LPA:</t>
        </r>
        <r>
          <rPr>
            <sz val="9"/>
            <color indexed="81"/>
            <rFont val="Tahoma"/>
            <family val="2"/>
          </rPr>
          <t xml:space="preserve">
проверити збир!
</t>
        </r>
      </text>
    </comment>
    <comment ref="I10503" authorId="0" shapeId="0">
      <text>
        <r>
          <rPr>
            <b/>
            <sz val="9"/>
            <color indexed="81"/>
            <rFont val="Tahoma"/>
            <family val="2"/>
          </rPr>
          <t>LPA:</t>
        </r>
        <r>
          <rPr>
            <sz val="9"/>
            <color indexed="81"/>
            <rFont val="Tahoma"/>
            <family val="2"/>
          </rPr>
          <t xml:space="preserve">
проверити збир!
</t>
        </r>
      </text>
    </comment>
    <comment ref="I10504" authorId="0" shapeId="0">
      <text>
        <r>
          <rPr>
            <b/>
            <sz val="9"/>
            <color indexed="81"/>
            <rFont val="Tahoma"/>
            <family val="2"/>
          </rPr>
          <t>LPA:</t>
        </r>
        <r>
          <rPr>
            <sz val="9"/>
            <color indexed="81"/>
            <rFont val="Tahoma"/>
            <family val="2"/>
          </rPr>
          <t xml:space="preserve">
проверити збир!
</t>
        </r>
      </text>
    </comment>
    <comment ref="I10505" authorId="0" shapeId="0">
      <text>
        <r>
          <rPr>
            <b/>
            <sz val="9"/>
            <color indexed="81"/>
            <rFont val="Tahoma"/>
            <family val="2"/>
          </rPr>
          <t>LPA:</t>
        </r>
        <r>
          <rPr>
            <sz val="9"/>
            <color indexed="81"/>
            <rFont val="Tahoma"/>
            <family val="2"/>
          </rPr>
          <t xml:space="preserve">
проверити збир!
</t>
        </r>
      </text>
    </comment>
    <comment ref="I10506" authorId="0" shapeId="0">
      <text>
        <r>
          <rPr>
            <b/>
            <sz val="9"/>
            <color indexed="81"/>
            <rFont val="Tahoma"/>
            <family val="2"/>
          </rPr>
          <t>LPA:</t>
        </r>
        <r>
          <rPr>
            <sz val="9"/>
            <color indexed="81"/>
            <rFont val="Tahoma"/>
            <family val="2"/>
          </rPr>
          <t xml:space="preserve">
проверити збир!
</t>
        </r>
      </text>
    </comment>
    <comment ref="I10507" authorId="0" shapeId="0">
      <text>
        <r>
          <rPr>
            <b/>
            <sz val="9"/>
            <color indexed="81"/>
            <rFont val="Tahoma"/>
            <family val="2"/>
          </rPr>
          <t>LPA:</t>
        </r>
        <r>
          <rPr>
            <sz val="9"/>
            <color indexed="81"/>
            <rFont val="Tahoma"/>
            <family val="2"/>
          </rPr>
          <t xml:space="preserve">
проверити збир!
</t>
        </r>
      </text>
    </comment>
    <comment ref="I10508" authorId="0" shapeId="0">
      <text>
        <r>
          <rPr>
            <b/>
            <sz val="9"/>
            <color indexed="81"/>
            <rFont val="Tahoma"/>
            <family val="2"/>
          </rPr>
          <t>LPA:</t>
        </r>
        <r>
          <rPr>
            <sz val="9"/>
            <color indexed="81"/>
            <rFont val="Tahoma"/>
            <family val="2"/>
          </rPr>
          <t xml:space="preserve">
проверити збир!
</t>
        </r>
      </text>
    </comment>
    <comment ref="I10577" authorId="0" shapeId="0">
      <text>
        <r>
          <rPr>
            <b/>
            <sz val="9"/>
            <color indexed="81"/>
            <rFont val="Tahoma"/>
            <family val="2"/>
          </rPr>
          <t>LPA:</t>
        </r>
        <r>
          <rPr>
            <sz val="9"/>
            <color indexed="81"/>
            <rFont val="Tahoma"/>
            <family val="2"/>
          </rPr>
          <t xml:space="preserve">
проверити збир!
</t>
        </r>
      </text>
    </comment>
    <comment ref="I10578" authorId="0" shapeId="0">
      <text>
        <r>
          <rPr>
            <b/>
            <sz val="9"/>
            <color indexed="81"/>
            <rFont val="Tahoma"/>
            <family val="2"/>
          </rPr>
          <t>LPA:</t>
        </r>
        <r>
          <rPr>
            <sz val="9"/>
            <color indexed="81"/>
            <rFont val="Tahoma"/>
            <family val="2"/>
          </rPr>
          <t xml:space="preserve">
проверити збир!
</t>
        </r>
      </text>
    </comment>
    <comment ref="I10579" authorId="0" shapeId="0">
      <text>
        <r>
          <rPr>
            <b/>
            <sz val="9"/>
            <color indexed="81"/>
            <rFont val="Tahoma"/>
            <family val="2"/>
          </rPr>
          <t>LPA:</t>
        </r>
        <r>
          <rPr>
            <sz val="9"/>
            <color indexed="81"/>
            <rFont val="Tahoma"/>
            <family val="2"/>
          </rPr>
          <t xml:space="preserve">
проверити збир!
</t>
        </r>
      </text>
    </comment>
    <comment ref="I10580" authorId="0" shapeId="0">
      <text>
        <r>
          <rPr>
            <b/>
            <sz val="9"/>
            <color indexed="81"/>
            <rFont val="Tahoma"/>
            <family val="2"/>
          </rPr>
          <t>LPA:</t>
        </r>
        <r>
          <rPr>
            <sz val="9"/>
            <color indexed="81"/>
            <rFont val="Tahoma"/>
            <family val="2"/>
          </rPr>
          <t xml:space="preserve">
проверити збир!
</t>
        </r>
      </text>
    </comment>
    <comment ref="I10581" authorId="0" shapeId="0">
      <text>
        <r>
          <rPr>
            <b/>
            <sz val="9"/>
            <color indexed="81"/>
            <rFont val="Tahoma"/>
            <family val="2"/>
          </rPr>
          <t>LPA:</t>
        </r>
        <r>
          <rPr>
            <sz val="9"/>
            <color indexed="81"/>
            <rFont val="Tahoma"/>
            <family val="2"/>
          </rPr>
          <t xml:space="preserve">
проверити збир!
</t>
        </r>
      </text>
    </comment>
    <comment ref="I10582" authorId="0" shapeId="0">
      <text>
        <r>
          <rPr>
            <b/>
            <sz val="9"/>
            <color indexed="81"/>
            <rFont val="Tahoma"/>
            <family val="2"/>
          </rPr>
          <t>LPA:</t>
        </r>
        <r>
          <rPr>
            <sz val="9"/>
            <color indexed="81"/>
            <rFont val="Tahoma"/>
            <family val="2"/>
          </rPr>
          <t xml:space="preserve">
проверити збир!
</t>
        </r>
      </text>
    </comment>
    <comment ref="I10583" authorId="0" shapeId="0">
      <text>
        <r>
          <rPr>
            <b/>
            <sz val="9"/>
            <color indexed="81"/>
            <rFont val="Tahoma"/>
            <family val="2"/>
          </rPr>
          <t>LPA:</t>
        </r>
        <r>
          <rPr>
            <sz val="9"/>
            <color indexed="81"/>
            <rFont val="Tahoma"/>
            <family val="2"/>
          </rPr>
          <t xml:space="preserve">
проверити збир!
</t>
        </r>
      </text>
    </comment>
    <comment ref="I10584" authorId="0" shapeId="0">
      <text>
        <r>
          <rPr>
            <b/>
            <sz val="9"/>
            <color indexed="81"/>
            <rFont val="Tahoma"/>
            <family val="2"/>
          </rPr>
          <t>LPA:</t>
        </r>
        <r>
          <rPr>
            <sz val="9"/>
            <color indexed="81"/>
            <rFont val="Tahoma"/>
            <family val="2"/>
          </rPr>
          <t xml:space="preserve">
проверити збир!
</t>
        </r>
      </text>
    </comment>
    <comment ref="I10585" authorId="0" shapeId="0">
      <text>
        <r>
          <rPr>
            <b/>
            <sz val="9"/>
            <color indexed="81"/>
            <rFont val="Tahoma"/>
            <family val="2"/>
          </rPr>
          <t>LPA:</t>
        </r>
        <r>
          <rPr>
            <sz val="9"/>
            <color indexed="81"/>
            <rFont val="Tahoma"/>
            <family val="2"/>
          </rPr>
          <t xml:space="preserve">
проверити збир!
</t>
        </r>
      </text>
    </comment>
    <comment ref="I10586" authorId="0" shapeId="0">
      <text>
        <r>
          <rPr>
            <b/>
            <sz val="9"/>
            <color indexed="81"/>
            <rFont val="Tahoma"/>
            <family val="2"/>
          </rPr>
          <t>LPA:</t>
        </r>
        <r>
          <rPr>
            <sz val="9"/>
            <color indexed="81"/>
            <rFont val="Tahoma"/>
            <family val="2"/>
          </rPr>
          <t xml:space="preserve">
проверити збир!
</t>
        </r>
      </text>
    </comment>
    <comment ref="I10587" authorId="0" shapeId="0">
      <text>
        <r>
          <rPr>
            <b/>
            <sz val="9"/>
            <color indexed="81"/>
            <rFont val="Tahoma"/>
            <family val="2"/>
          </rPr>
          <t>LPA:</t>
        </r>
        <r>
          <rPr>
            <sz val="9"/>
            <color indexed="81"/>
            <rFont val="Tahoma"/>
            <family val="2"/>
          </rPr>
          <t xml:space="preserve">
проверити збир!
</t>
        </r>
      </text>
    </comment>
    <comment ref="I10588" authorId="0" shapeId="0">
      <text>
        <r>
          <rPr>
            <b/>
            <sz val="9"/>
            <color indexed="81"/>
            <rFont val="Tahoma"/>
            <family val="2"/>
          </rPr>
          <t>LPA:</t>
        </r>
        <r>
          <rPr>
            <sz val="9"/>
            <color indexed="81"/>
            <rFont val="Tahoma"/>
            <family val="2"/>
          </rPr>
          <t xml:space="preserve">
проверити збир!
</t>
        </r>
      </text>
    </comment>
    <comment ref="I10589" authorId="0" shapeId="0">
      <text>
        <r>
          <rPr>
            <b/>
            <sz val="9"/>
            <color indexed="81"/>
            <rFont val="Tahoma"/>
            <family val="2"/>
          </rPr>
          <t>LPA:</t>
        </r>
        <r>
          <rPr>
            <sz val="9"/>
            <color indexed="81"/>
            <rFont val="Tahoma"/>
            <family val="2"/>
          </rPr>
          <t xml:space="preserve">
проверити збир!
</t>
        </r>
      </text>
    </comment>
    <comment ref="H10592" authorId="0" shapeId="0">
      <text>
        <r>
          <rPr>
            <b/>
            <sz val="9"/>
            <color indexed="81"/>
            <rFont val="Tahoma"/>
            <family val="2"/>
          </rPr>
          <t>LPA:</t>
        </r>
        <r>
          <rPr>
            <sz val="9"/>
            <color indexed="81"/>
            <rFont val="Tahoma"/>
            <family val="2"/>
          </rPr>
          <t xml:space="preserve">
проверити збир!</t>
        </r>
      </text>
    </comment>
    <comment ref="I10592" authorId="0" shapeId="0">
      <text>
        <r>
          <rPr>
            <b/>
            <sz val="9"/>
            <color indexed="81"/>
            <rFont val="Tahoma"/>
            <family val="2"/>
          </rPr>
          <t>LPA:</t>
        </r>
        <r>
          <rPr>
            <sz val="9"/>
            <color indexed="81"/>
            <rFont val="Tahoma"/>
            <family val="2"/>
          </rPr>
          <t xml:space="preserve">
проверити збир!</t>
        </r>
      </text>
    </comment>
    <comment ref="I10593" authorId="0" shapeId="0">
      <text>
        <r>
          <rPr>
            <b/>
            <sz val="9"/>
            <color indexed="81"/>
            <rFont val="Tahoma"/>
            <family val="2"/>
          </rPr>
          <t>LPA:</t>
        </r>
        <r>
          <rPr>
            <sz val="9"/>
            <color indexed="81"/>
            <rFont val="Tahoma"/>
            <family val="2"/>
          </rPr>
          <t xml:space="preserve">
проверити збир!
</t>
        </r>
      </text>
    </comment>
    <comment ref="I10594" authorId="0" shapeId="0">
      <text>
        <r>
          <rPr>
            <b/>
            <sz val="9"/>
            <color indexed="81"/>
            <rFont val="Tahoma"/>
            <family val="2"/>
          </rPr>
          <t>LPA:</t>
        </r>
        <r>
          <rPr>
            <sz val="9"/>
            <color indexed="81"/>
            <rFont val="Tahoma"/>
            <family val="2"/>
          </rPr>
          <t xml:space="preserve">
проверити збир!
</t>
        </r>
      </text>
    </comment>
    <comment ref="I10595" authorId="0" shapeId="0">
      <text>
        <r>
          <rPr>
            <b/>
            <sz val="9"/>
            <color indexed="81"/>
            <rFont val="Tahoma"/>
            <family val="2"/>
          </rPr>
          <t>LPA:</t>
        </r>
        <r>
          <rPr>
            <sz val="9"/>
            <color indexed="81"/>
            <rFont val="Tahoma"/>
            <family val="2"/>
          </rPr>
          <t xml:space="preserve">
проверити збир!
</t>
        </r>
      </text>
    </comment>
    <comment ref="I10596" authorId="0" shapeId="0">
      <text>
        <r>
          <rPr>
            <b/>
            <sz val="9"/>
            <color indexed="81"/>
            <rFont val="Tahoma"/>
            <family val="2"/>
          </rPr>
          <t>LPA:</t>
        </r>
        <r>
          <rPr>
            <sz val="9"/>
            <color indexed="81"/>
            <rFont val="Tahoma"/>
            <family val="2"/>
          </rPr>
          <t xml:space="preserve">
проверити збир!
</t>
        </r>
      </text>
    </comment>
    <comment ref="I10597" authorId="0" shapeId="0">
      <text>
        <r>
          <rPr>
            <b/>
            <sz val="9"/>
            <color indexed="81"/>
            <rFont val="Tahoma"/>
            <family val="2"/>
          </rPr>
          <t>LPA:</t>
        </r>
        <r>
          <rPr>
            <sz val="9"/>
            <color indexed="81"/>
            <rFont val="Tahoma"/>
            <family val="2"/>
          </rPr>
          <t xml:space="preserve">
проверити збир!
</t>
        </r>
      </text>
    </comment>
    <comment ref="I10598" authorId="0" shapeId="0">
      <text>
        <r>
          <rPr>
            <b/>
            <sz val="9"/>
            <color indexed="81"/>
            <rFont val="Tahoma"/>
            <family val="2"/>
          </rPr>
          <t>LPA:</t>
        </r>
        <r>
          <rPr>
            <sz val="9"/>
            <color indexed="81"/>
            <rFont val="Tahoma"/>
            <family val="2"/>
          </rPr>
          <t xml:space="preserve">
проверити збир!
</t>
        </r>
      </text>
    </comment>
    <comment ref="I10599" authorId="0" shapeId="0">
      <text>
        <r>
          <rPr>
            <b/>
            <sz val="9"/>
            <color indexed="81"/>
            <rFont val="Tahoma"/>
            <family val="2"/>
          </rPr>
          <t>LPA:</t>
        </r>
        <r>
          <rPr>
            <sz val="9"/>
            <color indexed="81"/>
            <rFont val="Tahoma"/>
            <family val="2"/>
          </rPr>
          <t xml:space="preserve">
проверити збир!
</t>
        </r>
      </text>
    </comment>
    <comment ref="I10600" authorId="0" shapeId="0">
      <text>
        <r>
          <rPr>
            <b/>
            <sz val="9"/>
            <color indexed="81"/>
            <rFont val="Tahoma"/>
            <family val="2"/>
          </rPr>
          <t>LPA:</t>
        </r>
        <r>
          <rPr>
            <sz val="9"/>
            <color indexed="81"/>
            <rFont val="Tahoma"/>
            <family val="2"/>
          </rPr>
          <t xml:space="preserve">
проверити збир!
</t>
        </r>
      </text>
    </comment>
    <comment ref="I10601" authorId="0" shapeId="0">
      <text>
        <r>
          <rPr>
            <b/>
            <sz val="9"/>
            <color indexed="81"/>
            <rFont val="Tahoma"/>
            <family val="2"/>
          </rPr>
          <t>LPA:</t>
        </r>
        <r>
          <rPr>
            <sz val="9"/>
            <color indexed="81"/>
            <rFont val="Tahoma"/>
            <family val="2"/>
          </rPr>
          <t xml:space="preserve">
проверити збир!
</t>
        </r>
      </text>
    </comment>
    <comment ref="I10602" authorId="0" shapeId="0">
      <text>
        <r>
          <rPr>
            <b/>
            <sz val="9"/>
            <color indexed="81"/>
            <rFont val="Tahoma"/>
            <family val="2"/>
          </rPr>
          <t>LPA:</t>
        </r>
        <r>
          <rPr>
            <sz val="9"/>
            <color indexed="81"/>
            <rFont val="Tahoma"/>
            <family val="2"/>
          </rPr>
          <t xml:space="preserve">
проверити збир!
</t>
        </r>
      </text>
    </comment>
    <comment ref="I10603" authorId="0" shapeId="0">
      <text>
        <r>
          <rPr>
            <b/>
            <sz val="9"/>
            <color indexed="81"/>
            <rFont val="Tahoma"/>
            <family val="2"/>
          </rPr>
          <t>LPA:</t>
        </r>
        <r>
          <rPr>
            <sz val="9"/>
            <color indexed="81"/>
            <rFont val="Tahoma"/>
            <family val="2"/>
          </rPr>
          <t xml:space="preserve">
проверити збир!
</t>
        </r>
      </text>
    </comment>
    <comment ref="I10604" authorId="0" shapeId="0">
      <text>
        <r>
          <rPr>
            <b/>
            <sz val="9"/>
            <color indexed="81"/>
            <rFont val="Tahoma"/>
            <family val="2"/>
          </rPr>
          <t>LPA:</t>
        </r>
        <r>
          <rPr>
            <sz val="9"/>
            <color indexed="81"/>
            <rFont val="Tahoma"/>
            <family val="2"/>
          </rPr>
          <t xml:space="preserve">
проверити збир!
</t>
        </r>
      </text>
    </comment>
    <comment ref="I10605" authorId="0" shapeId="0">
      <text>
        <r>
          <rPr>
            <b/>
            <sz val="9"/>
            <color indexed="81"/>
            <rFont val="Tahoma"/>
            <family val="2"/>
          </rPr>
          <t>LPA:</t>
        </r>
        <r>
          <rPr>
            <sz val="9"/>
            <color indexed="81"/>
            <rFont val="Tahoma"/>
            <family val="2"/>
          </rPr>
          <t xml:space="preserve">
проверити збир!
</t>
        </r>
      </text>
    </comment>
    <comment ref="I10606" authorId="0" shapeId="0">
      <text>
        <r>
          <rPr>
            <b/>
            <sz val="9"/>
            <color indexed="81"/>
            <rFont val="Tahoma"/>
            <family val="2"/>
          </rPr>
          <t>LPA:</t>
        </r>
        <r>
          <rPr>
            <sz val="9"/>
            <color indexed="81"/>
            <rFont val="Tahoma"/>
            <family val="2"/>
          </rPr>
          <t xml:space="preserve">
проверити збир!
</t>
        </r>
      </text>
    </comment>
    <comment ref="I10607" authorId="0" shapeId="0">
      <text>
        <r>
          <rPr>
            <b/>
            <sz val="9"/>
            <color indexed="81"/>
            <rFont val="Tahoma"/>
            <family val="2"/>
          </rPr>
          <t>LPA:</t>
        </r>
        <r>
          <rPr>
            <sz val="9"/>
            <color indexed="81"/>
            <rFont val="Tahoma"/>
            <family val="2"/>
          </rPr>
          <t xml:space="preserve">
проверити збир!
</t>
        </r>
      </text>
    </comment>
    <comment ref="I10676" authorId="0" shapeId="0">
      <text>
        <r>
          <rPr>
            <b/>
            <sz val="9"/>
            <color indexed="81"/>
            <rFont val="Tahoma"/>
            <family val="2"/>
          </rPr>
          <t>LPA:</t>
        </r>
        <r>
          <rPr>
            <sz val="9"/>
            <color indexed="81"/>
            <rFont val="Tahoma"/>
            <family val="2"/>
          </rPr>
          <t xml:space="preserve">
проверити збир!
</t>
        </r>
      </text>
    </comment>
    <comment ref="I10677" authorId="0" shapeId="0">
      <text>
        <r>
          <rPr>
            <b/>
            <sz val="9"/>
            <color indexed="81"/>
            <rFont val="Tahoma"/>
            <family val="2"/>
          </rPr>
          <t>LPA:</t>
        </r>
        <r>
          <rPr>
            <sz val="9"/>
            <color indexed="81"/>
            <rFont val="Tahoma"/>
            <family val="2"/>
          </rPr>
          <t xml:space="preserve">
проверити збир!
</t>
        </r>
      </text>
    </comment>
    <comment ref="I10678" authorId="0" shapeId="0">
      <text>
        <r>
          <rPr>
            <b/>
            <sz val="9"/>
            <color indexed="81"/>
            <rFont val="Tahoma"/>
            <family val="2"/>
          </rPr>
          <t>LPA:</t>
        </r>
        <r>
          <rPr>
            <sz val="9"/>
            <color indexed="81"/>
            <rFont val="Tahoma"/>
            <family val="2"/>
          </rPr>
          <t xml:space="preserve">
проверити збир!
</t>
        </r>
      </text>
    </comment>
    <comment ref="I10679" authorId="0" shapeId="0">
      <text>
        <r>
          <rPr>
            <b/>
            <sz val="9"/>
            <color indexed="81"/>
            <rFont val="Tahoma"/>
            <family val="2"/>
          </rPr>
          <t>LPA:</t>
        </r>
        <r>
          <rPr>
            <sz val="9"/>
            <color indexed="81"/>
            <rFont val="Tahoma"/>
            <family val="2"/>
          </rPr>
          <t xml:space="preserve">
проверити збир!
</t>
        </r>
      </text>
    </comment>
    <comment ref="I10680" authorId="0" shapeId="0">
      <text>
        <r>
          <rPr>
            <b/>
            <sz val="9"/>
            <color indexed="81"/>
            <rFont val="Tahoma"/>
            <family val="2"/>
          </rPr>
          <t>LPA:</t>
        </r>
        <r>
          <rPr>
            <sz val="9"/>
            <color indexed="81"/>
            <rFont val="Tahoma"/>
            <family val="2"/>
          </rPr>
          <t xml:space="preserve">
проверити збир!
</t>
        </r>
      </text>
    </comment>
    <comment ref="I10681" authorId="0" shapeId="0">
      <text>
        <r>
          <rPr>
            <b/>
            <sz val="9"/>
            <color indexed="81"/>
            <rFont val="Tahoma"/>
            <family val="2"/>
          </rPr>
          <t>LPA:</t>
        </r>
        <r>
          <rPr>
            <sz val="9"/>
            <color indexed="81"/>
            <rFont val="Tahoma"/>
            <family val="2"/>
          </rPr>
          <t xml:space="preserve">
проверити збир!
</t>
        </r>
      </text>
    </comment>
    <comment ref="I10682" authorId="0" shapeId="0">
      <text>
        <r>
          <rPr>
            <b/>
            <sz val="9"/>
            <color indexed="81"/>
            <rFont val="Tahoma"/>
            <family val="2"/>
          </rPr>
          <t>LPA:</t>
        </r>
        <r>
          <rPr>
            <sz val="9"/>
            <color indexed="81"/>
            <rFont val="Tahoma"/>
            <family val="2"/>
          </rPr>
          <t xml:space="preserve">
проверити збир!
</t>
        </r>
      </text>
    </comment>
    <comment ref="I10683" authorId="0" shapeId="0">
      <text>
        <r>
          <rPr>
            <b/>
            <sz val="9"/>
            <color indexed="81"/>
            <rFont val="Tahoma"/>
            <family val="2"/>
          </rPr>
          <t>LPA:</t>
        </r>
        <r>
          <rPr>
            <sz val="9"/>
            <color indexed="81"/>
            <rFont val="Tahoma"/>
            <family val="2"/>
          </rPr>
          <t xml:space="preserve">
проверити збир!
</t>
        </r>
      </text>
    </comment>
    <comment ref="I10684" authorId="0" shapeId="0">
      <text>
        <r>
          <rPr>
            <b/>
            <sz val="9"/>
            <color indexed="81"/>
            <rFont val="Tahoma"/>
            <family val="2"/>
          </rPr>
          <t>LPA:</t>
        </r>
        <r>
          <rPr>
            <sz val="9"/>
            <color indexed="81"/>
            <rFont val="Tahoma"/>
            <family val="2"/>
          </rPr>
          <t xml:space="preserve">
проверити збир!
</t>
        </r>
      </text>
    </comment>
    <comment ref="I10685" authorId="0" shapeId="0">
      <text>
        <r>
          <rPr>
            <b/>
            <sz val="9"/>
            <color indexed="81"/>
            <rFont val="Tahoma"/>
            <family val="2"/>
          </rPr>
          <t>LPA:</t>
        </r>
        <r>
          <rPr>
            <sz val="9"/>
            <color indexed="81"/>
            <rFont val="Tahoma"/>
            <family val="2"/>
          </rPr>
          <t xml:space="preserve">
проверити збир!
</t>
        </r>
      </text>
    </comment>
    <comment ref="I10686" authorId="0" shapeId="0">
      <text>
        <r>
          <rPr>
            <b/>
            <sz val="9"/>
            <color indexed="81"/>
            <rFont val="Tahoma"/>
            <family val="2"/>
          </rPr>
          <t>LPA:</t>
        </r>
        <r>
          <rPr>
            <sz val="9"/>
            <color indexed="81"/>
            <rFont val="Tahoma"/>
            <family val="2"/>
          </rPr>
          <t xml:space="preserve">
проверити збир!
</t>
        </r>
      </text>
    </comment>
    <comment ref="I10687" authorId="0" shapeId="0">
      <text>
        <r>
          <rPr>
            <b/>
            <sz val="9"/>
            <color indexed="81"/>
            <rFont val="Tahoma"/>
            <family val="2"/>
          </rPr>
          <t>LPA:</t>
        </r>
        <r>
          <rPr>
            <sz val="9"/>
            <color indexed="81"/>
            <rFont val="Tahoma"/>
            <family val="2"/>
          </rPr>
          <t xml:space="preserve">
проверити збир!
</t>
        </r>
      </text>
    </comment>
    <comment ref="I10688" authorId="0" shapeId="0">
      <text>
        <r>
          <rPr>
            <b/>
            <sz val="9"/>
            <color indexed="81"/>
            <rFont val="Tahoma"/>
            <family val="2"/>
          </rPr>
          <t>LPA:</t>
        </r>
        <r>
          <rPr>
            <sz val="9"/>
            <color indexed="81"/>
            <rFont val="Tahoma"/>
            <family val="2"/>
          </rPr>
          <t xml:space="preserve">
проверити збир!
</t>
        </r>
      </text>
    </comment>
    <comment ref="H10691" authorId="0" shapeId="0">
      <text>
        <r>
          <rPr>
            <b/>
            <sz val="9"/>
            <color indexed="81"/>
            <rFont val="Tahoma"/>
            <family val="2"/>
          </rPr>
          <t>LPA:</t>
        </r>
        <r>
          <rPr>
            <sz val="9"/>
            <color indexed="81"/>
            <rFont val="Tahoma"/>
            <family val="2"/>
          </rPr>
          <t xml:space="preserve">
проверити збир!</t>
        </r>
      </text>
    </comment>
    <comment ref="I10691" authorId="0" shapeId="0">
      <text>
        <r>
          <rPr>
            <b/>
            <sz val="9"/>
            <color indexed="81"/>
            <rFont val="Tahoma"/>
            <family val="2"/>
          </rPr>
          <t>LPA:</t>
        </r>
        <r>
          <rPr>
            <sz val="9"/>
            <color indexed="81"/>
            <rFont val="Tahoma"/>
            <family val="2"/>
          </rPr>
          <t xml:space="preserve">
проверити збир!</t>
        </r>
      </text>
    </comment>
    <comment ref="I10692" authorId="0" shapeId="0">
      <text>
        <r>
          <rPr>
            <b/>
            <sz val="9"/>
            <color indexed="81"/>
            <rFont val="Tahoma"/>
            <family val="2"/>
          </rPr>
          <t>LPA:</t>
        </r>
        <r>
          <rPr>
            <sz val="9"/>
            <color indexed="81"/>
            <rFont val="Tahoma"/>
            <family val="2"/>
          </rPr>
          <t xml:space="preserve">
проверити збир!
</t>
        </r>
      </text>
    </comment>
    <comment ref="I10693" authorId="0" shapeId="0">
      <text>
        <r>
          <rPr>
            <b/>
            <sz val="9"/>
            <color indexed="81"/>
            <rFont val="Tahoma"/>
            <family val="2"/>
          </rPr>
          <t>LPA:</t>
        </r>
        <r>
          <rPr>
            <sz val="9"/>
            <color indexed="81"/>
            <rFont val="Tahoma"/>
            <family val="2"/>
          </rPr>
          <t xml:space="preserve">
проверити збир!
</t>
        </r>
      </text>
    </comment>
    <comment ref="I10694" authorId="0" shapeId="0">
      <text>
        <r>
          <rPr>
            <b/>
            <sz val="9"/>
            <color indexed="81"/>
            <rFont val="Tahoma"/>
            <family val="2"/>
          </rPr>
          <t>LPA:</t>
        </r>
        <r>
          <rPr>
            <sz val="9"/>
            <color indexed="81"/>
            <rFont val="Tahoma"/>
            <family val="2"/>
          </rPr>
          <t xml:space="preserve">
проверити збир!
</t>
        </r>
      </text>
    </comment>
    <comment ref="I10695" authorId="0" shapeId="0">
      <text>
        <r>
          <rPr>
            <b/>
            <sz val="9"/>
            <color indexed="81"/>
            <rFont val="Tahoma"/>
            <family val="2"/>
          </rPr>
          <t>LPA:</t>
        </r>
        <r>
          <rPr>
            <sz val="9"/>
            <color indexed="81"/>
            <rFont val="Tahoma"/>
            <family val="2"/>
          </rPr>
          <t xml:space="preserve">
проверити збир!
</t>
        </r>
      </text>
    </comment>
    <comment ref="I10696" authorId="0" shapeId="0">
      <text>
        <r>
          <rPr>
            <b/>
            <sz val="9"/>
            <color indexed="81"/>
            <rFont val="Tahoma"/>
            <family val="2"/>
          </rPr>
          <t>LPA:</t>
        </r>
        <r>
          <rPr>
            <sz val="9"/>
            <color indexed="81"/>
            <rFont val="Tahoma"/>
            <family val="2"/>
          </rPr>
          <t xml:space="preserve">
проверити збир!
</t>
        </r>
      </text>
    </comment>
    <comment ref="I10697" authorId="0" shapeId="0">
      <text>
        <r>
          <rPr>
            <b/>
            <sz val="9"/>
            <color indexed="81"/>
            <rFont val="Tahoma"/>
            <family val="2"/>
          </rPr>
          <t>LPA:</t>
        </r>
        <r>
          <rPr>
            <sz val="9"/>
            <color indexed="81"/>
            <rFont val="Tahoma"/>
            <family val="2"/>
          </rPr>
          <t xml:space="preserve">
проверити збир!
</t>
        </r>
      </text>
    </comment>
    <comment ref="I10698" authorId="0" shapeId="0">
      <text>
        <r>
          <rPr>
            <b/>
            <sz val="9"/>
            <color indexed="81"/>
            <rFont val="Tahoma"/>
            <family val="2"/>
          </rPr>
          <t>LPA:</t>
        </r>
        <r>
          <rPr>
            <sz val="9"/>
            <color indexed="81"/>
            <rFont val="Tahoma"/>
            <family val="2"/>
          </rPr>
          <t xml:space="preserve">
проверити збир!
</t>
        </r>
      </text>
    </comment>
    <comment ref="I10699" authorId="0" shapeId="0">
      <text>
        <r>
          <rPr>
            <b/>
            <sz val="9"/>
            <color indexed="81"/>
            <rFont val="Tahoma"/>
            <family val="2"/>
          </rPr>
          <t>LPA:</t>
        </r>
        <r>
          <rPr>
            <sz val="9"/>
            <color indexed="81"/>
            <rFont val="Tahoma"/>
            <family val="2"/>
          </rPr>
          <t xml:space="preserve">
проверити збир!
</t>
        </r>
      </text>
    </comment>
    <comment ref="I10700" authorId="0" shapeId="0">
      <text>
        <r>
          <rPr>
            <b/>
            <sz val="9"/>
            <color indexed="81"/>
            <rFont val="Tahoma"/>
            <family val="2"/>
          </rPr>
          <t>LPA:</t>
        </r>
        <r>
          <rPr>
            <sz val="9"/>
            <color indexed="81"/>
            <rFont val="Tahoma"/>
            <family val="2"/>
          </rPr>
          <t xml:space="preserve">
проверити збир!
</t>
        </r>
      </text>
    </comment>
    <comment ref="I10701" authorId="0" shapeId="0">
      <text>
        <r>
          <rPr>
            <b/>
            <sz val="9"/>
            <color indexed="81"/>
            <rFont val="Tahoma"/>
            <family val="2"/>
          </rPr>
          <t>LPA:</t>
        </r>
        <r>
          <rPr>
            <sz val="9"/>
            <color indexed="81"/>
            <rFont val="Tahoma"/>
            <family val="2"/>
          </rPr>
          <t xml:space="preserve">
проверити збир!
</t>
        </r>
      </text>
    </comment>
    <comment ref="I10702" authorId="0" shapeId="0">
      <text>
        <r>
          <rPr>
            <b/>
            <sz val="9"/>
            <color indexed="81"/>
            <rFont val="Tahoma"/>
            <family val="2"/>
          </rPr>
          <t>LPA:</t>
        </r>
        <r>
          <rPr>
            <sz val="9"/>
            <color indexed="81"/>
            <rFont val="Tahoma"/>
            <family val="2"/>
          </rPr>
          <t xml:space="preserve">
проверити збир!
</t>
        </r>
      </text>
    </comment>
    <comment ref="I10703" authorId="0" shapeId="0">
      <text>
        <r>
          <rPr>
            <b/>
            <sz val="9"/>
            <color indexed="81"/>
            <rFont val="Tahoma"/>
            <family val="2"/>
          </rPr>
          <t>LPA:</t>
        </r>
        <r>
          <rPr>
            <sz val="9"/>
            <color indexed="81"/>
            <rFont val="Tahoma"/>
            <family val="2"/>
          </rPr>
          <t xml:space="preserve">
проверити збир!
</t>
        </r>
      </text>
    </comment>
    <comment ref="I10704" authorId="0" shapeId="0">
      <text>
        <r>
          <rPr>
            <b/>
            <sz val="9"/>
            <color indexed="81"/>
            <rFont val="Tahoma"/>
            <family val="2"/>
          </rPr>
          <t>LPA:</t>
        </r>
        <r>
          <rPr>
            <sz val="9"/>
            <color indexed="81"/>
            <rFont val="Tahoma"/>
            <family val="2"/>
          </rPr>
          <t xml:space="preserve">
проверити збир!
</t>
        </r>
      </text>
    </comment>
    <comment ref="I10705" authorId="0" shapeId="0">
      <text>
        <r>
          <rPr>
            <b/>
            <sz val="9"/>
            <color indexed="81"/>
            <rFont val="Tahoma"/>
            <family val="2"/>
          </rPr>
          <t>LPA:</t>
        </r>
        <r>
          <rPr>
            <sz val="9"/>
            <color indexed="81"/>
            <rFont val="Tahoma"/>
            <family val="2"/>
          </rPr>
          <t xml:space="preserve">
проверити збир!
</t>
        </r>
      </text>
    </comment>
    <comment ref="I10706" authorId="0" shapeId="0">
      <text>
        <r>
          <rPr>
            <b/>
            <sz val="9"/>
            <color indexed="81"/>
            <rFont val="Tahoma"/>
            <family val="2"/>
          </rPr>
          <t>LPA:</t>
        </r>
        <r>
          <rPr>
            <sz val="9"/>
            <color indexed="81"/>
            <rFont val="Tahoma"/>
            <family val="2"/>
          </rPr>
          <t xml:space="preserve">
проверити збир!
</t>
        </r>
      </text>
    </comment>
    <comment ref="H10710" authorId="0" shapeId="0">
      <text>
        <r>
          <rPr>
            <b/>
            <sz val="9"/>
            <color indexed="81"/>
            <rFont val="Tahoma"/>
            <family val="2"/>
          </rPr>
          <t>LPA:</t>
        </r>
        <r>
          <rPr>
            <sz val="9"/>
            <color indexed="81"/>
            <rFont val="Tahoma"/>
            <family val="2"/>
          </rPr>
          <t xml:space="preserve">
проверити збир!</t>
        </r>
      </text>
    </comment>
    <comment ref="I10710" authorId="0" shapeId="0">
      <text>
        <r>
          <rPr>
            <b/>
            <sz val="9"/>
            <color indexed="81"/>
            <rFont val="Tahoma"/>
            <family val="2"/>
          </rPr>
          <t>LPA:</t>
        </r>
        <r>
          <rPr>
            <sz val="9"/>
            <color indexed="81"/>
            <rFont val="Tahoma"/>
            <family val="2"/>
          </rPr>
          <t xml:space="preserve">
проверити збир!
</t>
        </r>
      </text>
    </comment>
    <comment ref="I10711" authorId="0" shapeId="0">
      <text>
        <r>
          <rPr>
            <b/>
            <sz val="9"/>
            <color indexed="81"/>
            <rFont val="Tahoma"/>
            <family val="2"/>
          </rPr>
          <t>LPA:</t>
        </r>
        <r>
          <rPr>
            <sz val="9"/>
            <color indexed="81"/>
            <rFont val="Tahoma"/>
            <family val="2"/>
          </rPr>
          <t xml:space="preserve">
проверити збир!
</t>
        </r>
      </text>
    </comment>
    <comment ref="I10712" authorId="0" shapeId="0">
      <text>
        <r>
          <rPr>
            <b/>
            <sz val="9"/>
            <color indexed="81"/>
            <rFont val="Tahoma"/>
            <family val="2"/>
          </rPr>
          <t>LPA:</t>
        </r>
        <r>
          <rPr>
            <sz val="9"/>
            <color indexed="81"/>
            <rFont val="Tahoma"/>
            <family val="2"/>
          </rPr>
          <t xml:space="preserve">
проверити збир!
</t>
        </r>
      </text>
    </comment>
    <comment ref="I10713" authorId="0" shapeId="0">
      <text>
        <r>
          <rPr>
            <b/>
            <sz val="9"/>
            <color indexed="81"/>
            <rFont val="Tahoma"/>
            <family val="2"/>
          </rPr>
          <t>LPA:</t>
        </r>
        <r>
          <rPr>
            <sz val="9"/>
            <color indexed="81"/>
            <rFont val="Tahoma"/>
            <family val="2"/>
          </rPr>
          <t xml:space="preserve">
проверити збир!
</t>
        </r>
      </text>
    </comment>
    <comment ref="I10714" authorId="0" shapeId="0">
      <text>
        <r>
          <rPr>
            <b/>
            <sz val="9"/>
            <color indexed="81"/>
            <rFont val="Tahoma"/>
            <family val="2"/>
          </rPr>
          <t>LPA:</t>
        </r>
        <r>
          <rPr>
            <sz val="9"/>
            <color indexed="81"/>
            <rFont val="Tahoma"/>
            <family val="2"/>
          </rPr>
          <t xml:space="preserve">
проверити збир!
</t>
        </r>
      </text>
    </comment>
    <comment ref="I10715" authorId="0" shapeId="0">
      <text>
        <r>
          <rPr>
            <b/>
            <sz val="9"/>
            <color indexed="81"/>
            <rFont val="Tahoma"/>
            <family val="2"/>
          </rPr>
          <t>LPA:</t>
        </r>
        <r>
          <rPr>
            <sz val="9"/>
            <color indexed="81"/>
            <rFont val="Tahoma"/>
            <family val="2"/>
          </rPr>
          <t xml:space="preserve">
проверити збир!
</t>
        </r>
      </text>
    </comment>
    <comment ref="I10716" authorId="0" shapeId="0">
      <text>
        <r>
          <rPr>
            <b/>
            <sz val="9"/>
            <color indexed="81"/>
            <rFont val="Tahoma"/>
            <family val="2"/>
          </rPr>
          <t>LPA:</t>
        </r>
        <r>
          <rPr>
            <sz val="9"/>
            <color indexed="81"/>
            <rFont val="Tahoma"/>
            <family val="2"/>
          </rPr>
          <t xml:space="preserve">
проверити збир!
</t>
        </r>
      </text>
    </comment>
    <comment ref="I10717" authorId="0" shapeId="0">
      <text>
        <r>
          <rPr>
            <b/>
            <sz val="9"/>
            <color indexed="81"/>
            <rFont val="Tahoma"/>
            <family val="2"/>
          </rPr>
          <t>LPA:</t>
        </r>
        <r>
          <rPr>
            <sz val="9"/>
            <color indexed="81"/>
            <rFont val="Tahoma"/>
            <family val="2"/>
          </rPr>
          <t xml:space="preserve">
проверити збир!
</t>
        </r>
      </text>
    </comment>
    <comment ref="I10718" authorId="0" shapeId="0">
      <text>
        <r>
          <rPr>
            <b/>
            <sz val="9"/>
            <color indexed="81"/>
            <rFont val="Tahoma"/>
            <family val="2"/>
          </rPr>
          <t>LPA:</t>
        </r>
        <r>
          <rPr>
            <sz val="9"/>
            <color indexed="81"/>
            <rFont val="Tahoma"/>
            <family val="2"/>
          </rPr>
          <t xml:space="preserve">
проверити збир!
</t>
        </r>
      </text>
    </comment>
    <comment ref="I10719" authorId="0" shapeId="0">
      <text>
        <r>
          <rPr>
            <b/>
            <sz val="9"/>
            <color indexed="81"/>
            <rFont val="Tahoma"/>
            <family val="2"/>
          </rPr>
          <t>LPA:</t>
        </r>
        <r>
          <rPr>
            <sz val="9"/>
            <color indexed="81"/>
            <rFont val="Tahoma"/>
            <family val="2"/>
          </rPr>
          <t xml:space="preserve">
проверити збир!
</t>
        </r>
      </text>
    </comment>
    <comment ref="I10720" authorId="0" shapeId="0">
      <text>
        <r>
          <rPr>
            <b/>
            <sz val="9"/>
            <color indexed="81"/>
            <rFont val="Tahoma"/>
            <family val="2"/>
          </rPr>
          <t>LPA:</t>
        </r>
        <r>
          <rPr>
            <sz val="9"/>
            <color indexed="81"/>
            <rFont val="Tahoma"/>
            <family val="2"/>
          </rPr>
          <t xml:space="preserve">
проверити збир!
</t>
        </r>
      </text>
    </comment>
    <comment ref="I10721" authorId="0" shapeId="0">
      <text>
        <r>
          <rPr>
            <b/>
            <sz val="9"/>
            <color indexed="81"/>
            <rFont val="Tahoma"/>
            <family val="2"/>
          </rPr>
          <t>LPA:</t>
        </r>
        <r>
          <rPr>
            <sz val="9"/>
            <color indexed="81"/>
            <rFont val="Tahoma"/>
            <family val="2"/>
          </rPr>
          <t xml:space="preserve">
проверити збир!
</t>
        </r>
      </text>
    </comment>
    <comment ref="I10722" authorId="0" shapeId="0">
      <text>
        <r>
          <rPr>
            <b/>
            <sz val="9"/>
            <color indexed="81"/>
            <rFont val="Tahoma"/>
            <family val="2"/>
          </rPr>
          <t>LPA:</t>
        </r>
        <r>
          <rPr>
            <sz val="9"/>
            <color indexed="81"/>
            <rFont val="Tahoma"/>
            <family val="2"/>
          </rPr>
          <t xml:space="preserve">
проверити збир!
</t>
        </r>
      </text>
    </comment>
    <comment ref="I10723" authorId="0" shapeId="0">
      <text>
        <r>
          <rPr>
            <b/>
            <sz val="9"/>
            <color indexed="81"/>
            <rFont val="Tahoma"/>
            <family val="2"/>
          </rPr>
          <t>LPA:</t>
        </r>
        <r>
          <rPr>
            <sz val="9"/>
            <color indexed="81"/>
            <rFont val="Tahoma"/>
            <family val="2"/>
          </rPr>
          <t xml:space="preserve">
проверити збир!
</t>
        </r>
      </text>
    </comment>
    <comment ref="I10724" authorId="0" shapeId="0">
      <text>
        <r>
          <rPr>
            <b/>
            <sz val="9"/>
            <color indexed="81"/>
            <rFont val="Tahoma"/>
            <family val="2"/>
          </rPr>
          <t>LPA:</t>
        </r>
        <r>
          <rPr>
            <sz val="9"/>
            <color indexed="81"/>
            <rFont val="Tahoma"/>
            <family val="2"/>
          </rPr>
          <t xml:space="preserve">
проверити збир!
</t>
        </r>
      </text>
    </comment>
    <comment ref="I10725" authorId="0" shapeId="0">
      <text>
        <r>
          <rPr>
            <b/>
            <sz val="9"/>
            <color indexed="81"/>
            <rFont val="Tahoma"/>
            <family val="2"/>
          </rPr>
          <t>LPA:</t>
        </r>
        <r>
          <rPr>
            <sz val="9"/>
            <color indexed="81"/>
            <rFont val="Tahoma"/>
            <family val="2"/>
          </rPr>
          <t xml:space="preserve">
проверити збир!
</t>
        </r>
      </text>
    </comment>
    <comment ref="H10729" authorId="0" shapeId="0">
      <text>
        <r>
          <rPr>
            <b/>
            <sz val="9"/>
            <color indexed="81"/>
            <rFont val="Tahoma"/>
            <family val="2"/>
          </rPr>
          <t>LPA:</t>
        </r>
        <r>
          <rPr>
            <sz val="9"/>
            <color indexed="81"/>
            <rFont val="Tahoma"/>
            <family val="2"/>
          </rPr>
          <t xml:space="preserve">
провери збир!</t>
        </r>
      </text>
    </comment>
    <comment ref="I10729" authorId="0" shapeId="0">
      <text>
        <r>
          <rPr>
            <b/>
            <sz val="9"/>
            <color indexed="81"/>
            <rFont val="Tahoma"/>
            <family val="2"/>
          </rPr>
          <t>LPA:</t>
        </r>
        <r>
          <rPr>
            <sz val="9"/>
            <color indexed="81"/>
            <rFont val="Tahoma"/>
            <family val="2"/>
          </rPr>
          <t xml:space="preserve">
проверити збир!
</t>
        </r>
      </text>
    </comment>
    <comment ref="I10730" authorId="0" shapeId="0">
      <text>
        <r>
          <rPr>
            <b/>
            <sz val="9"/>
            <color indexed="81"/>
            <rFont val="Tahoma"/>
            <family val="2"/>
          </rPr>
          <t>LPA:</t>
        </r>
        <r>
          <rPr>
            <sz val="9"/>
            <color indexed="81"/>
            <rFont val="Tahoma"/>
            <family val="2"/>
          </rPr>
          <t xml:space="preserve">
проверити збир!
</t>
        </r>
      </text>
    </comment>
    <comment ref="I10731" authorId="0" shapeId="0">
      <text>
        <r>
          <rPr>
            <b/>
            <sz val="9"/>
            <color indexed="81"/>
            <rFont val="Tahoma"/>
            <family val="2"/>
          </rPr>
          <t>LPA:</t>
        </r>
        <r>
          <rPr>
            <sz val="9"/>
            <color indexed="81"/>
            <rFont val="Tahoma"/>
            <family val="2"/>
          </rPr>
          <t xml:space="preserve">
проверити збир!
</t>
        </r>
      </text>
    </comment>
    <comment ref="I10732" authorId="0" shapeId="0">
      <text>
        <r>
          <rPr>
            <b/>
            <sz val="9"/>
            <color indexed="81"/>
            <rFont val="Tahoma"/>
            <family val="2"/>
          </rPr>
          <t>LPA:</t>
        </r>
        <r>
          <rPr>
            <sz val="9"/>
            <color indexed="81"/>
            <rFont val="Tahoma"/>
            <family val="2"/>
          </rPr>
          <t xml:space="preserve">
проверити збир!
</t>
        </r>
      </text>
    </comment>
    <comment ref="I10733" authorId="0" shapeId="0">
      <text>
        <r>
          <rPr>
            <b/>
            <sz val="9"/>
            <color indexed="81"/>
            <rFont val="Tahoma"/>
            <family val="2"/>
          </rPr>
          <t>LPA:</t>
        </r>
        <r>
          <rPr>
            <sz val="9"/>
            <color indexed="81"/>
            <rFont val="Tahoma"/>
            <family val="2"/>
          </rPr>
          <t xml:space="preserve">
проверити збир!
</t>
        </r>
      </text>
    </comment>
    <comment ref="I10734" authorId="0" shapeId="0">
      <text>
        <r>
          <rPr>
            <b/>
            <sz val="9"/>
            <color indexed="81"/>
            <rFont val="Tahoma"/>
            <family val="2"/>
          </rPr>
          <t>LPA:</t>
        </r>
        <r>
          <rPr>
            <sz val="9"/>
            <color indexed="81"/>
            <rFont val="Tahoma"/>
            <family val="2"/>
          </rPr>
          <t xml:space="preserve">
проверити збир!
</t>
        </r>
      </text>
    </comment>
    <comment ref="I10735" authorId="0" shapeId="0">
      <text>
        <r>
          <rPr>
            <b/>
            <sz val="9"/>
            <color indexed="81"/>
            <rFont val="Tahoma"/>
            <family val="2"/>
          </rPr>
          <t>LPA:</t>
        </r>
        <r>
          <rPr>
            <sz val="9"/>
            <color indexed="81"/>
            <rFont val="Tahoma"/>
            <family val="2"/>
          </rPr>
          <t xml:space="preserve">
проверити збир!
</t>
        </r>
      </text>
    </comment>
    <comment ref="I10736" authorId="0" shapeId="0">
      <text>
        <r>
          <rPr>
            <b/>
            <sz val="9"/>
            <color indexed="81"/>
            <rFont val="Tahoma"/>
            <family val="2"/>
          </rPr>
          <t>LPA:</t>
        </r>
        <r>
          <rPr>
            <sz val="9"/>
            <color indexed="81"/>
            <rFont val="Tahoma"/>
            <family val="2"/>
          </rPr>
          <t xml:space="preserve">
проверити збир!
</t>
        </r>
      </text>
    </comment>
    <comment ref="I10737" authorId="0" shapeId="0">
      <text>
        <r>
          <rPr>
            <b/>
            <sz val="9"/>
            <color indexed="81"/>
            <rFont val="Tahoma"/>
            <family val="2"/>
          </rPr>
          <t>LPA:</t>
        </r>
        <r>
          <rPr>
            <sz val="9"/>
            <color indexed="81"/>
            <rFont val="Tahoma"/>
            <family val="2"/>
          </rPr>
          <t xml:space="preserve">
проверити збир!
</t>
        </r>
      </text>
    </comment>
    <comment ref="I10738" authorId="0" shapeId="0">
      <text>
        <r>
          <rPr>
            <b/>
            <sz val="9"/>
            <color indexed="81"/>
            <rFont val="Tahoma"/>
            <family val="2"/>
          </rPr>
          <t>LPA:</t>
        </r>
        <r>
          <rPr>
            <sz val="9"/>
            <color indexed="81"/>
            <rFont val="Tahoma"/>
            <family val="2"/>
          </rPr>
          <t xml:space="preserve">
проверити збир!
</t>
        </r>
      </text>
    </comment>
    <comment ref="I10739" authorId="0" shapeId="0">
      <text>
        <r>
          <rPr>
            <b/>
            <sz val="9"/>
            <color indexed="81"/>
            <rFont val="Tahoma"/>
            <family val="2"/>
          </rPr>
          <t>LPA:</t>
        </r>
        <r>
          <rPr>
            <sz val="9"/>
            <color indexed="81"/>
            <rFont val="Tahoma"/>
            <family val="2"/>
          </rPr>
          <t xml:space="preserve">
проверити збир!
</t>
        </r>
      </text>
    </comment>
    <comment ref="I10740" authorId="0" shapeId="0">
      <text>
        <r>
          <rPr>
            <b/>
            <sz val="9"/>
            <color indexed="81"/>
            <rFont val="Tahoma"/>
            <family val="2"/>
          </rPr>
          <t>LPA:</t>
        </r>
        <r>
          <rPr>
            <sz val="9"/>
            <color indexed="81"/>
            <rFont val="Tahoma"/>
            <family val="2"/>
          </rPr>
          <t xml:space="preserve">
проверити збир!
</t>
        </r>
      </text>
    </comment>
    <comment ref="I10741" authorId="0" shapeId="0">
      <text>
        <r>
          <rPr>
            <b/>
            <sz val="9"/>
            <color indexed="81"/>
            <rFont val="Tahoma"/>
            <family val="2"/>
          </rPr>
          <t>LPA:</t>
        </r>
        <r>
          <rPr>
            <sz val="9"/>
            <color indexed="81"/>
            <rFont val="Tahoma"/>
            <family val="2"/>
          </rPr>
          <t xml:space="preserve">
проверити збир!
</t>
        </r>
      </text>
    </comment>
    <comment ref="I10742" authorId="0" shapeId="0">
      <text>
        <r>
          <rPr>
            <b/>
            <sz val="9"/>
            <color indexed="81"/>
            <rFont val="Tahoma"/>
            <family val="2"/>
          </rPr>
          <t>LPA:</t>
        </r>
        <r>
          <rPr>
            <sz val="9"/>
            <color indexed="81"/>
            <rFont val="Tahoma"/>
            <family val="2"/>
          </rPr>
          <t xml:space="preserve">
проверити збир!
</t>
        </r>
      </text>
    </comment>
    <comment ref="I10743" authorId="0" shapeId="0">
      <text>
        <r>
          <rPr>
            <b/>
            <sz val="9"/>
            <color indexed="81"/>
            <rFont val="Tahoma"/>
            <family val="2"/>
          </rPr>
          <t>LPA:</t>
        </r>
        <r>
          <rPr>
            <sz val="9"/>
            <color indexed="81"/>
            <rFont val="Tahoma"/>
            <family val="2"/>
          </rPr>
          <t xml:space="preserve">
проверити збир!
</t>
        </r>
      </text>
    </comment>
    <comment ref="I10744" authorId="0" shapeId="0">
      <text>
        <r>
          <rPr>
            <b/>
            <sz val="9"/>
            <color indexed="81"/>
            <rFont val="Tahoma"/>
            <family val="2"/>
          </rPr>
          <t>LPA:</t>
        </r>
        <r>
          <rPr>
            <sz val="9"/>
            <color indexed="81"/>
            <rFont val="Tahoma"/>
            <family val="2"/>
          </rPr>
          <t xml:space="preserve">
проверити збир!
</t>
        </r>
      </text>
    </comment>
    <comment ref="I10816" authorId="0" shapeId="0">
      <text>
        <r>
          <rPr>
            <b/>
            <sz val="9"/>
            <color indexed="81"/>
            <rFont val="Tahoma"/>
            <family val="2"/>
          </rPr>
          <t>LPA:</t>
        </r>
        <r>
          <rPr>
            <sz val="9"/>
            <color indexed="81"/>
            <rFont val="Tahoma"/>
            <family val="2"/>
          </rPr>
          <t xml:space="preserve">
проверити збир!
</t>
        </r>
      </text>
    </comment>
    <comment ref="I10817" authorId="0" shapeId="0">
      <text>
        <r>
          <rPr>
            <b/>
            <sz val="9"/>
            <color indexed="81"/>
            <rFont val="Tahoma"/>
            <family val="2"/>
          </rPr>
          <t>LPA:</t>
        </r>
        <r>
          <rPr>
            <sz val="9"/>
            <color indexed="81"/>
            <rFont val="Tahoma"/>
            <family val="2"/>
          </rPr>
          <t xml:space="preserve">
проверити збир!
</t>
        </r>
      </text>
    </comment>
    <comment ref="I10818" authorId="0" shapeId="0">
      <text>
        <r>
          <rPr>
            <b/>
            <sz val="9"/>
            <color indexed="81"/>
            <rFont val="Tahoma"/>
            <family val="2"/>
          </rPr>
          <t>LPA:</t>
        </r>
        <r>
          <rPr>
            <sz val="9"/>
            <color indexed="81"/>
            <rFont val="Tahoma"/>
            <family val="2"/>
          </rPr>
          <t xml:space="preserve">
проверити збир!
</t>
        </r>
      </text>
    </comment>
    <comment ref="I10819" authorId="0" shapeId="0">
      <text>
        <r>
          <rPr>
            <b/>
            <sz val="9"/>
            <color indexed="81"/>
            <rFont val="Tahoma"/>
            <family val="2"/>
          </rPr>
          <t>LPA:</t>
        </r>
        <r>
          <rPr>
            <sz val="9"/>
            <color indexed="81"/>
            <rFont val="Tahoma"/>
            <family val="2"/>
          </rPr>
          <t xml:space="preserve">
проверити збир!
</t>
        </r>
      </text>
    </comment>
    <comment ref="I10820" authorId="0" shapeId="0">
      <text>
        <r>
          <rPr>
            <b/>
            <sz val="9"/>
            <color indexed="81"/>
            <rFont val="Tahoma"/>
            <family val="2"/>
          </rPr>
          <t>LPA:</t>
        </r>
        <r>
          <rPr>
            <sz val="9"/>
            <color indexed="81"/>
            <rFont val="Tahoma"/>
            <family val="2"/>
          </rPr>
          <t xml:space="preserve">
проверити збир!
</t>
        </r>
      </text>
    </comment>
    <comment ref="I10821" authorId="0" shapeId="0">
      <text>
        <r>
          <rPr>
            <b/>
            <sz val="9"/>
            <color indexed="81"/>
            <rFont val="Tahoma"/>
            <family val="2"/>
          </rPr>
          <t>LPA:</t>
        </r>
        <r>
          <rPr>
            <sz val="9"/>
            <color indexed="81"/>
            <rFont val="Tahoma"/>
            <family val="2"/>
          </rPr>
          <t xml:space="preserve">
проверити збир!
</t>
        </r>
      </text>
    </comment>
    <comment ref="I10822" authorId="0" shapeId="0">
      <text>
        <r>
          <rPr>
            <b/>
            <sz val="9"/>
            <color indexed="81"/>
            <rFont val="Tahoma"/>
            <family val="2"/>
          </rPr>
          <t>LPA:</t>
        </r>
        <r>
          <rPr>
            <sz val="9"/>
            <color indexed="81"/>
            <rFont val="Tahoma"/>
            <family val="2"/>
          </rPr>
          <t xml:space="preserve">
проверити збир!
</t>
        </r>
      </text>
    </comment>
    <comment ref="I10823" authorId="0" shapeId="0">
      <text>
        <r>
          <rPr>
            <b/>
            <sz val="9"/>
            <color indexed="81"/>
            <rFont val="Tahoma"/>
            <family val="2"/>
          </rPr>
          <t>LPA:</t>
        </r>
        <r>
          <rPr>
            <sz val="9"/>
            <color indexed="81"/>
            <rFont val="Tahoma"/>
            <family val="2"/>
          </rPr>
          <t xml:space="preserve">
проверити збир!
</t>
        </r>
      </text>
    </comment>
    <comment ref="I10824" authorId="0" shapeId="0">
      <text>
        <r>
          <rPr>
            <b/>
            <sz val="9"/>
            <color indexed="81"/>
            <rFont val="Tahoma"/>
            <family val="2"/>
          </rPr>
          <t>LPA:</t>
        </r>
        <r>
          <rPr>
            <sz val="9"/>
            <color indexed="81"/>
            <rFont val="Tahoma"/>
            <family val="2"/>
          </rPr>
          <t xml:space="preserve">
проверити збир!
</t>
        </r>
      </text>
    </comment>
    <comment ref="I10825" authorId="0" shapeId="0">
      <text>
        <r>
          <rPr>
            <b/>
            <sz val="9"/>
            <color indexed="81"/>
            <rFont val="Tahoma"/>
            <family val="2"/>
          </rPr>
          <t>LPA:</t>
        </r>
        <r>
          <rPr>
            <sz val="9"/>
            <color indexed="81"/>
            <rFont val="Tahoma"/>
            <family val="2"/>
          </rPr>
          <t xml:space="preserve">
проверити збир!
</t>
        </r>
      </text>
    </comment>
    <comment ref="I10826" authorId="0" shapeId="0">
      <text>
        <r>
          <rPr>
            <b/>
            <sz val="9"/>
            <color indexed="81"/>
            <rFont val="Tahoma"/>
            <family val="2"/>
          </rPr>
          <t>LPA:</t>
        </r>
        <r>
          <rPr>
            <sz val="9"/>
            <color indexed="81"/>
            <rFont val="Tahoma"/>
            <family val="2"/>
          </rPr>
          <t xml:space="preserve">
проверити збир!
</t>
        </r>
      </text>
    </comment>
    <comment ref="I10827" authorId="0" shapeId="0">
      <text>
        <r>
          <rPr>
            <b/>
            <sz val="9"/>
            <color indexed="81"/>
            <rFont val="Tahoma"/>
            <family val="2"/>
          </rPr>
          <t>LPA:</t>
        </r>
        <r>
          <rPr>
            <sz val="9"/>
            <color indexed="81"/>
            <rFont val="Tahoma"/>
            <family val="2"/>
          </rPr>
          <t xml:space="preserve">
проверити збир!
</t>
        </r>
      </text>
    </comment>
    <comment ref="I10828" authorId="0" shapeId="0">
      <text>
        <r>
          <rPr>
            <b/>
            <sz val="9"/>
            <color indexed="81"/>
            <rFont val="Tahoma"/>
            <family val="2"/>
          </rPr>
          <t>LPA:</t>
        </r>
        <r>
          <rPr>
            <sz val="9"/>
            <color indexed="81"/>
            <rFont val="Tahoma"/>
            <family val="2"/>
          </rPr>
          <t xml:space="preserve">
проверити збир!
</t>
        </r>
      </text>
    </comment>
    <comment ref="H10831" authorId="0" shapeId="0">
      <text>
        <r>
          <rPr>
            <b/>
            <sz val="9"/>
            <color indexed="81"/>
            <rFont val="Tahoma"/>
            <family val="2"/>
          </rPr>
          <t>LPA:</t>
        </r>
        <r>
          <rPr>
            <sz val="9"/>
            <color indexed="81"/>
            <rFont val="Tahoma"/>
            <family val="2"/>
          </rPr>
          <t xml:space="preserve">
проверити збир!</t>
        </r>
      </text>
    </comment>
    <comment ref="I10831" authorId="0" shapeId="0">
      <text>
        <r>
          <rPr>
            <b/>
            <sz val="9"/>
            <color indexed="81"/>
            <rFont val="Tahoma"/>
            <family val="2"/>
          </rPr>
          <t>LPA:</t>
        </r>
        <r>
          <rPr>
            <sz val="9"/>
            <color indexed="81"/>
            <rFont val="Tahoma"/>
            <family val="2"/>
          </rPr>
          <t xml:space="preserve">
проверити збир!</t>
        </r>
      </text>
    </comment>
    <comment ref="I10832" authorId="0" shapeId="0">
      <text>
        <r>
          <rPr>
            <b/>
            <sz val="9"/>
            <color indexed="81"/>
            <rFont val="Tahoma"/>
            <family val="2"/>
          </rPr>
          <t>LPA:</t>
        </r>
        <r>
          <rPr>
            <sz val="9"/>
            <color indexed="81"/>
            <rFont val="Tahoma"/>
            <family val="2"/>
          </rPr>
          <t xml:space="preserve">
проверити збир!
</t>
        </r>
      </text>
    </comment>
    <comment ref="I10833" authorId="0" shapeId="0">
      <text>
        <r>
          <rPr>
            <b/>
            <sz val="9"/>
            <color indexed="81"/>
            <rFont val="Tahoma"/>
            <family val="2"/>
          </rPr>
          <t>LPA:</t>
        </r>
        <r>
          <rPr>
            <sz val="9"/>
            <color indexed="81"/>
            <rFont val="Tahoma"/>
            <family val="2"/>
          </rPr>
          <t xml:space="preserve">
проверити збир!
</t>
        </r>
      </text>
    </comment>
    <comment ref="I10834" authorId="0" shapeId="0">
      <text>
        <r>
          <rPr>
            <b/>
            <sz val="9"/>
            <color indexed="81"/>
            <rFont val="Tahoma"/>
            <family val="2"/>
          </rPr>
          <t>LPA:</t>
        </r>
        <r>
          <rPr>
            <sz val="9"/>
            <color indexed="81"/>
            <rFont val="Tahoma"/>
            <family val="2"/>
          </rPr>
          <t xml:space="preserve">
проверити збир!
</t>
        </r>
      </text>
    </comment>
    <comment ref="I10835" authorId="0" shapeId="0">
      <text>
        <r>
          <rPr>
            <b/>
            <sz val="9"/>
            <color indexed="81"/>
            <rFont val="Tahoma"/>
            <family val="2"/>
          </rPr>
          <t>LPA:</t>
        </r>
        <r>
          <rPr>
            <sz val="9"/>
            <color indexed="81"/>
            <rFont val="Tahoma"/>
            <family val="2"/>
          </rPr>
          <t xml:space="preserve">
проверити збир!
</t>
        </r>
      </text>
    </comment>
    <comment ref="I10836" authorId="0" shapeId="0">
      <text>
        <r>
          <rPr>
            <b/>
            <sz val="9"/>
            <color indexed="81"/>
            <rFont val="Tahoma"/>
            <family val="2"/>
          </rPr>
          <t>LPA:</t>
        </r>
        <r>
          <rPr>
            <sz val="9"/>
            <color indexed="81"/>
            <rFont val="Tahoma"/>
            <family val="2"/>
          </rPr>
          <t xml:space="preserve">
проверити збир!
</t>
        </r>
      </text>
    </comment>
    <comment ref="I10837" authorId="0" shapeId="0">
      <text>
        <r>
          <rPr>
            <b/>
            <sz val="9"/>
            <color indexed="81"/>
            <rFont val="Tahoma"/>
            <family val="2"/>
          </rPr>
          <t>LPA:</t>
        </r>
        <r>
          <rPr>
            <sz val="9"/>
            <color indexed="81"/>
            <rFont val="Tahoma"/>
            <family val="2"/>
          </rPr>
          <t xml:space="preserve">
проверити збир!
</t>
        </r>
      </text>
    </comment>
    <comment ref="I10838" authorId="0" shapeId="0">
      <text>
        <r>
          <rPr>
            <b/>
            <sz val="9"/>
            <color indexed="81"/>
            <rFont val="Tahoma"/>
            <family val="2"/>
          </rPr>
          <t>LPA:</t>
        </r>
        <r>
          <rPr>
            <sz val="9"/>
            <color indexed="81"/>
            <rFont val="Tahoma"/>
            <family val="2"/>
          </rPr>
          <t xml:space="preserve">
проверити збир!
</t>
        </r>
      </text>
    </comment>
    <comment ref="I10839" authorId="0" shapeId="0">
      <text>
        <r>
          <rPr>
            <b/>
            <sz val="9"/>
            <color indexed="81"/>
            <rFont val="Tahoma"/>
            <family val="2"/>
          </rPr>
          <t>LPA:</t>
        </r>
        <r>
          <rPr>
            <sz val="9"/>
            <color indexed="81"/>
            <rFont val="Tahoma"/>
            <family val="2"/>
          </rPr>
          <t xml:space="preserve">
проверити збир!
</t>
        </r>
      </text>
    </comment>
    <comment ref="I10840" authorId="0" shapeId="0">
      <text>
        <r>
          <rPr>
            <b/>
            <sz val="9"/>
            <color indexed="81"/>
            <rFont val="Tahoma"/>
            <family val="2"/>
          </rPr>
          <t>LPA:</t>
        </r>
        <r>
          <rPr>
            <sz val="9"/>
            <color indexed="81"/>
            <rFont val="Tahoma"/>
            <family val="2"/>
          </rPr>
          <t xml:space="preserve">
проверити збир!
</t>
        </r>
      </text>
    </comment>
    <comment ref="I10841" authorId="0" shapeId="0">
      <text>
        <r>
          <rPr>
            <b/>
            <sz val="9"/>
            <color indexed="81"/>
            <rFont val="Tahoma"/>
            <family val="2"/>
          </rPr>
          <t>LPA:</t>
        </r>
        <r>
          <rPr>
            <sz val="9"/>
            <color indexed="81"/>
            <rFont val="Tahoma"/>
            <family val="2"/>
          </rPr>
          <t xml:space="preserve">
проверити збир!
</t>
        </r>
      </text>
    </comment>
    <comment ref="I10842" authorId="0" shapeId="0">
      <text>
        <r>
          <rPr>
            <b/>
            <sz val="9"/>
            <color indexed="81"/>
            <rFont val="Tahoma"/>
            <family val="2"/>
          </rPr>
          <t>LPA:</t>
        </r>
        <r>
          <rPr>
            <sz val="9"/>
            <color indexed="81"/>
            <rFont val="Tahoma"/>
            <family val="2"/>
          </rPr>
          <t xml:space="preserve">
проверити збир!
</t>
        </r>
      </text>
    </comment>
    <comment ref="I10843" authorId="0" shapeId="0">
      <text>
        <r>
          <rPr>
            <b/>
            <sz val="9"/>
            <color indexed="81"/>
            <rFont val="Tahoma"/>
            <family val="2"/>
          </rPr>
          <t>LPA:</t>
        </r>
        <r>
          <rPr>
            <sz val="9"/>
            <color indexed="81"/>
            <rFont val="Tahoma"/>
            <family val="2"/>
          </rPr>
          <t xml:space="preserve">
проверити збир!
</t>
        </r>
      </text>
    </comment>
    <comment ref="I10844" authorId="0" shapeId="0">
      <text>
        <r>
          <rPr>
            <b/>
            <sz val="9"/>
            <color indexed="81"/>
            <rFont val="Tahoma"/>
            <family val="2"/>
          </rPr>
          <t>LPA:</t>
        </r>
        <r>
          <rPr>
            <sz val="9"/>
            <color indexed="81"/>
            <rFont val="Tahoma"/>
            <family val="2"/>
          </rPr>
          <t xml:space="preserve">
проверити збир!
</t>
        </r>
      </text>
    </comment>
    <comment ref="I10845" authorId="0" shapeId="0">
      <text>
        <r>
          <rPr>
            <b/>
            <sz val="9"/>
            <color indexed="81"/>
            <rFont val="Tahoma"/>
            <family val="2"/>
          </rPr>
          <t>LPA:</t>
        </r>
        <r>
          <rPr>
            <sz val="9"/>
            <color indexed="81"/>
            <rFont val="Tahoma"/>
            <family val="2"/>
          </rPr>
          <t xml:space="preserve">
проверити збир!
</t>
        </r>
      </text>
    </comment>
    <comment ref="I10846" authorId="0" shapeId="0">
      <text>
        <r>
          <rPr>
            <b/>
            <sz val="9"/>
            <color indexed="81"/>
            <rFont val="Tahoma"/>
            <family val="2"/>
          </rPr>
          <t>LPA:</t>
        </r>
        <r>
          <rPr>
            <sz val="9"/>
            <color indexed="81"/>
            <rFont val="Tahoma"/>
            <family val="2"/>
          </rPr>
          <t xml:space="preserve">
проверити збир!
</t>
        </r>
      </text>
    </comment>
    <comment ref="I10915" authorId="0" shapeId="0">
      <text>
        <r>
          <rPr>
            <b/>
            <sz val="9"/>
            <color indexed="81"/>
            <rFont val="Tahoma"/>
            <family val="2"/>
          </rPr>
          <t>LPA:</t>
        </r>
        <r>
          <rPr>
            <sz val="9"/>
            <color indexed="81"/>
            <rFont val="Tahoma"/>
            <family val="2"/>
          </rPr>
          <t xml:space="preserve">
проверити збир!
</t>
        </r>
      </text>
    </comment>
    <comment ref="I10916" authorId="0" shapeId="0">
      <text>
        <r>
          <rPr>
            <b/>
            <sz val="9"/>
            <color indexed="81"/>
            <rFont val="Tahoma"/>
            <family val="2"/>
          </rPr>
          <t>LPA:</t>
        </r>
        <r>
          <rPr>
            <sz val="9"/>
            <color indexed="81"/>
            <rFont val="Tahoma"/>
            <family val="2"/>
          </rPr>
          <t xml:space="preserve">
проверити збир!
</t>
        </r>
      </text>
    </comment>
    <comment ref="I10917" authorId="0" shapeId="0">
      <text>
        <r>
          <rPr>
            <b/>
            <sz val="9"/>
            <color indexed="81"/>
            <rFont val="Tahoma"/>
            <family val="2"/>
          </rPr>
          <t>LPA:</t>
        </r>
        <r>
          <rPr>
            <sz val="9"/>
            <color indexed="81"/>
            <rFont val="Tahoma"/>
            <family val="2"/>
          </rPr>
          <t xml:space="preserve">
проверити збир!
</t>
        </r>
      </text>
    </comment>
    <comment ref="I10918" authorId="0" shapeId="0">
      <text>
        <r>
          <rPr>
            <b/>
            <sz val="9"/>
            <color indexed="81"/>
            <rFont val="Tahoma"/>
            <family val="2"/>
          </rPr>
          <t>LPA:</t>
        </r>
        <r>
          <rPr>
            <sz val="9"/>
            <color indexed="81"/>
            <rFont val="Tahoma"/>
            <family val="2"/>
          </rPr>
          <t xml:space="preserve">
проверити збир!
</t>
        </r>
      </text>
    </comment>
    <comment ref="I10919" authorId="0" shapeId="0">
      <text>
        <r>
          <rPr>
            <b/>
            <sz val="9"/>
            <color indexed="81"/>
            <rFont val="Tahoma"/>
            <family val="2"/>
          </rPr>
          <t>LPA:</t>
        </r>
        <r>
          <rPr>
            <sz val="9"/>
            <color indexed="81"/>
            <rFont val="Tahoma"/>
            <family val="2"/>
          </rPr>
          <t xml:space="preserve">
проверити збир!
</t>
        </r>
      </text>
    </comment>
    <comment ref="I10920" authorId="0" shapeId="0">
      <text>
        <r>
          <rPr>
            <b/>
            <sz val="9"/>
            <color indexed="81"/>
            <rFont val="Tahoma"/>
            <family val="2"/>
          </rPr>
          <t>LPA:</t>
        </r>
        <r>
          <rPr>
            <sz val="9"/>
            <color indexed="81"/>
            <rFont val="Tahoma"/>
            <family val="2"/>
          </rPr>
          <t xml:space="preserve">
проверити збир!
</t>
        </r>
      </text>
    </comment>
    <comment ref="I10921" authorId="0" shapeId="0">
      <text>
        <r>
          <rPr>
            <b/>
            <sz val="9"/>
            <color indexed="81"/>
            <rFont val="Tahoma"/>
            <family val="2"/>
          </rPr>
          <t>LPA:</t>
        </r>
        <r>
          <rPr>
            <sz val="9"/>
            <color indexed="81"/>
            <rFont val="Tahoma"/>
            <family val="2"/>
          </rPr>
          <t xml:space="preserve">
проверити збир!
</t>
        </r>
      </text>
    </comment>
    <comment ref="I10922" authorId="0" shapeId="0">
      <text>
        <r>
          <rPr>
            <b/>
            <sz val="9"/>
            <color indexed="81"/>
            <rFont val="Tahoma"/>
            <family val="2"/>
          </rPr>
          <t>LPA:</t>
        </r>
        <r>
          <rPr>
            <sz val="9"/>
            <color indexed="81"/>
            <rFont val="Tahoma"/>
            <family val="2"/>
          </rPr>
          <t xml:space="preserve">
проверити збир!
</t>
        </r>
      </text>
    </comment>
    <comment ref="I10923" authorId="0" shapeId="0">
      <text>
        <r>
          <rPr>
            <b/>
            <sz val="9"/>
            <color indexed="81"/>
            <rFont val="Tahoma"/>
            <family val="2"/>
          </rPr>
          <t>LPA:</t>
        </r>
        <r>
          <rPr>
            <sz val="9"/>
            <color indexed="81"/>
            <rFont val="Tahoma"/>
            <family val="2"/>
          </rPr>
          <t xml:space="preserve">
проверити збир!
</t>
        </r>
      </text>
    </comment>
    <comment ref="I10924" authorId="0" shapeId="0">
      <text>
        <r>
          <rPr>
            <b/>
            <sz val="9"/>
            <color indexed="81"/>
            <rFont val="Tahoma"/>
            <family val="2"/>
          </rPr>
          <t>LPA:</t>
        </r>
        <r>
          <rPr>
            <sz val="9"/>
            <color indexed="81"/>
            <rFont val="Tahoma"/>
            <family val="2"/>
          </rPr>
          <t xml:space="preserve">
проверити збир!
</t>
        </r>
      </text>
    </comment>
    <comment ref="I10925" authorId="0" shapeId="0">
      <text>
        <r>
          <rPr>
            <b/>
            <sz val="9"/>
            <color indexed="81"/>
            <rFont val="Tahoma"/>
            <family val="2"/>
          </rPr>
          <t>LPA:</t>
        </r>
        <r>
          <rPr>
            <sz val="9"/>
            <color indexed="81"/>
            <rFont val="Tahoma"/>
            <family val="2"/>
          </rPr>
          <t xml:space="preserve">
проверити збир!
</t>
        </r>
      </text>
    </comment>
    <comment ref="I10926" authorId="0" shapeId="0">
      <text>
        <r>
          <rPr>
            <b/>
            <sz val="9"/>
            <color indexed="81"/>
            <rFont val="Tahoma"/>
            <family val="2"/>
          </rPr>
          <t>LPA:</t>
        </r>
        <r>
          <rPr>
            <sz val="9"/>
            <color indexed="81"/>
            <rFont val="Tahoma"/>
            <family val="2"/>
          </rPr>
          <t xml:space="preserve">
проверити збир!
</t>
        </r>
      </text>
    </comment>
    <comment ref="I10927" authorId="0" shapeId="0">
      <text>
        <r>
          <rPr>
            <b/>
            <sz val="9"/>
            <color indexed="81"/>
            <rFont val="Tahoma"/>
            <family val="2"/>
          </rPr>
          <t>LPA:</t>
        </r>
        <r>
          <rPr>
            <sz val="9"/>
            <color indexed="81"/>
            <rFont val="Tahoma"/>
            <family val="2"/>
          </rPr>
          <t xml:space="preserve">
проверити збир!
</t>
        </r>
      </text>
    </comment>
    <comment ref="H10930" authorId="0" shapeId="0">
      <text>
        <r>
          <rPr>
            <b/>
            <sz val="9"/>
            <color indexed="81"/>
            <rFont val="Tahoma"/>
            <family val="2"/>
          </rPr>
          <t>LPA:</t>
        </r>
        <r>
          <rPr>
            <sz val="9"/>
            <color indexed="81"/>
            <rFont val="Tahoma"/>
            <family val="2"/>
          </rPr>
          <t xml:space="preserve">
проверити збир!</t>
        </r>
      </text>
    </comment>
    <comment ref="I10930" authorId="0" shapeId="0">
      <text>
        <r>
          <rPr>
            <b/>
            <sz val="9"/>
            <color indexed="81"/>
            <rFont val="Tahoma"/>
            <family val="2"/>
          </rPr>
          <t>LPA:</t>
        </r>
        <r>
          <rPr>
            <sz val="9"/>
            <color indexed="81"/>
            <rFont val="Tahoma"/>
            <family val="2"/>
          </rPr>
          <t xml:space="preserve">
проверити збир!</t>
        </r>
      </text>
    </comment>
    <comment ref="I10931" authorId="0" shapeId="0">
      <text>
        <r>
          <rPr>
            <b/>
            <sz val="9"/>
            <color indexed="81"/>
            <rFont val="Tahoma"/>
            <family val="2"/>
          </rPr>
          <t>LPA:</t>
        </r>
        <r>
          <rPr>
            <sz val="9"/>
            <color indexed="81"/>
            <rFont val="Tahoma"/>
            <family val="2"/>
          </rPr>
          <t xml:space="preserve">
проверити збир!
</t>
        </r>
      </text>
    </comment>
    <comment ref="I10932" authorId="0" shapeId="0">
      <text>
        <r>
          <rPr>
            <b/>
            <sz val="9"/>
            <color indexed="81"/>
            <rFont val="Tahoma"/>
            <family val="2"/>
          </rPr>
          <t>LPA:</t>
        </r>
        <r>
          <rPr>
            <sz val="9"/>
            <color indexed="81"/>
            <rFont val="Tahoma"/>
            <family val="2"/>
          </rPr>
          <t xml:space="preserve">
проверити збир!
</t>
        </r>
      </text>
    </comment>
    <comment ref="I10933" authorId="0" shapeId="0">
      <text>
        <r>
          <rPr>
            <b/>
            <sz val="9"/>
            <color indexed="81"/>
            <rFont val="Tahoma"/>
            <family val="2"/>
          </rPr>
          <t>LPA:</t>
        </r>
        <r>
          <rPr>
            <sz val="9"/>
            <color indexed="81"/>
            <rFont val="Tahoma"/>
            <family val="2"/>
          </rPr>
          <t xml:space="preserve">
проверити збир!
</t>
        </r>
      </text>
    </comment>
    <comment ref="I10934" authorId="0" shapeId="0">
      <text>
        <r>
          <rPr>
            <b/>
            <sz val="9"/>
            <color indexed="81"/>
            <rFont val="Tahoma"/>
            <family val="2"/>
          </rPr>
          <t>LPA:</t>
        </r>
        <r>
          <rPr>
            <sz val="9"/>
            <color indexed="81"/>
            <rFont val="Tahoma"/>
            <family val="2"/>
          </rPr>
          <t xml:space="preserve">
проверити збир!
</t>
        </r>
      </text>
    </comment>
    <comment ref="I10935" authorId="0" shapeId="0">
      <text>
        <r>
          <rPr>
            <b/>
            <sz val="9"/>
            <color indexed="81"/>
            <rFont val="Tahoma"/>
            <family val="2"/>
          </rPr>
          <t>LPA:</t>
        </r>
        <r>
          <rPr>
            <sz val="9"/>
            <color indexed="81"/>
            <rFont val="Tahoma"/>
            <family val="2"/>
          </rPr>
          <t xml:space="preserve">
проверити збир!
</t>
        </r>
      </text>
    </comment>
    <comment ref="I10936" authorId="0" shapeId="0">
      <text>
        <r>
          <rPr>
            <b/>
            <sz val="9"/>
            <color indexed="81"/>
            <rFont val="Tahoma"/>
            <family val="2"/>
          </rPr>
          <t>LPA:</t>
        </r>
        <r>
          <rPr>
            <sz val="9"/>
            <color indexed="81"/>
            <rFont val="Tahoma"/>
            <family val="2"/>
          </rPr>
          <t xml:space="preserve">
проверити збир!
</t>
        </r>
      </text>
    </comment>
    <comment ref="I10937" authorId="0" shapeId="0">
      <text>
        <r>
          <rPr>
            <b/>
            <sz val="9"/>
            <color indexed="81"/>
            <rFont val="Tahoma"/>
            <family val="2"/>
          </rPr>
          <t>LPA:</t>
        </r>
        <r>
          <rPr>
            <sz val="9"/>
            <color indexed="81"/>
            <rFont val="Tahoma"/>
            <family val="2"/>
          </rPr>
          <t xml:space="preserve">
проверити збир!
</t>
        </r>
      </text>
    </comment>
    <comment ref="I10938" authorId="0" shapeId="0">
      <text>
        <r>
          <rPr>
            <b/>
            <sz val="9"/>
            <color indexed="81"/>
            <rFont val="Tahoma"/>
            <family val="2"/>
          </rPr>
          <t>LPA:</t>
        </r>
        <r>
          <rPr>
            <sz val="9"/>
            <color indexed="81"/>
            <rFont val="Tahoma"/>
            <family val="2"/>
          </rPr>
          <t xml:space="preserve">
проверити збир!
</t>
        </r>
      </text>
    </comment>
    <comment ref="I10939" authorId="0" shapeId="0">
      <text>
        <r>
          <rPr>
            <b/>
            <sz val="9"/>
            <color indexed="81"/>
            <rFont val="Tahoma"/>
            <family val="2"/>
          </rPr>
          <t>LPA:</t>
        </r>
        <r>
          <rPr>
            <sz val="9"/>
            <color indexed="81"/>
            <rFont val="Tahoma"/>
            <family val="2"/>
          </rPr>
          <t xml:space="preserve">
проверити збир!
</t>
        </r>
      </text>
    </comment>
    <comment ref="I10940" authorId="0" shapeId="0">
      <text>
        <r>
          <rPr>
            <b/>
            <sz val="9"/>
            <color indexed="81"/>
            <rFont val="Tahoma"/>
            <family val="2"/>
          </rPr>
          <t>LPA:</t>
        </r>
        <r>
          <rPr>
            <sz val="9"/>
            <color indexed="81"/>
            <rFont val="Tahoma"/>
            <family val="2"/>
          </rPr>
          <t xml:space="preserve">
проверити збир!
</t>
        </r>
      </text>
    </comment>
    <comment ref="I10941" authorId="0" shapeId="0">
      <text>
        <r>
          <rPr>
            <b/>
            <sz val="9"/>
            <color indexed="81"/>
            <rFont val="Tahoma"/>
            <family val="2"/>
          </rPr>
          <t>LPA:</t>
        </r>
        <r>
          <rPr>
            <sz val="9"/>
            <color indexed="81"/>
            <rFont val="Tahoma"/>
            <family val="2"/>
          </rPr>
          <t xml:space="preserve">
проверити збир!
</t>
        </r>
      </text>
    </comment>
    <comment ref="I10942" authorId="0" shapeId="0">
      <text>
        <r>
          <rPr>
            <b/>
            <sz val="9"/>
            <color indexed="81"/>
            <rFont val="Tahoma"/>
            <family val="2"/>
          </rPr>
          <t>LPA:</t>
        </r>
        <r>
          <rPr>
            <sz val="9"/>
            <color indexed="81"/>
            <rFont val="Tahoma"/>
            <family val="2"/>
          </rPr>
          <t xml:space="preserve">
проверити збир!
</t>
        </r>
      </text>
    </comment>
    <comment ref="I10943" authorId="0" shapeId="0">
      <text>
        <r>
          <rPr>
            <b/>
            <sz val="9"/>
            <color indexed="81"/>
            <rFont val="Tahoma"/>
            <family val="2"/>
          </rPr>
          <t>LPA:</t>
        </r>
        <r>
          <rPr>
            <sz val="9"/>
            <color indexed="81"/>
            <rFont val="Tahoma"/>
            <family val="2"/>
          </rPr>
          <t xml:space="preserve">
проверити збир!
</t>
        </r>
      </text>
    </comment>
    <comment ref="I10944" authorId="0" shapeId="0">
      <text>
        <r>
          <rPr>
            <b/>
            <sz val="9"/>
            <color indexed="81"/>
            <rFont val="Tahoma"/>
            <family val="2"/>
          </rPr>
          <t>LPA:</t>
        </r>
        <r>
          <rPr>
            <sz val="9"/>
            <color indexed="81"/>
            <rFont val="Tahoma"/>
            <family val="2"/>
          </rPr>
          <t xml:space="preserve">
проверити збир!
</t>
        </r>
      </text>
    </comment>
    <comment ref="I10945" authorId="0" shapeId="0">
      <text>
        <r>
          <rPr>
            <b/>
            <sz val="9"/>
            <color indexed="81"/>
            <rFont val="Tahoma"/>
            <family val="2"/>
          </rPr>
          <t>LPA:</t>
        </r>
        <r>
          <rPr>
            <sz val="9"/>
            <color indexed="81"/>
            <rFont val="Tahoma"/>
            <family val="2"/>
          </rPr>
          <t xml:space="preserve">
проверити збир!
</t>
        </r>
      </text>
    </comment>
    <comment ref="I11014" authorId="0" shapeId="0">
      <text>
        <r>
          <rPr>
            <b/>
            <sz val="9"/>
            <color indexed="81"/>
            <rFont val="Tahoma"/>
            <family val="2"/>
          </rPr>
          <t>LPA:</t>
        </r>
        <r>
          <rPr>
            <sz val="9"/>
            <color indexed="81"/>
            <rFont val="Tahoma"/>
            <family val="2"/>
          </rPr>
          <t xml:space="preserve">
проверити збир!
</t>
        </r>
      </text>
    </comment>
    <comment ref="I11015" authorId="0" shapeId="0">
      <text>
        <r>
          <rPr>
            <b/>
            <sz val="9"/>
            <color indexed="81"/>
            <rFont val="Tahoma"/>
            <family val="2"/>
          </rPr>
          <t>LPA:</t>
        </r>
        <r>
          <rPr>
            <sz val="9"/>
            <color indexed="81"/>
            <rFont val="Tahoma"/>
            <family val="2"/>
          </rPr>
          <t xml:space="preserve">
проверити збир!
</t>
        </r>
      </text>
    </comment>
    <comment ref="I11016" authorId="0" shapeId="0">
      <text>
        <r>
          <rPr>
            <b/>
            <sz val="9"/>
            <color indexed="81"/>
            <rFont val="Tahoma"/>
            <family val="2"/>
          </rPr>
          <t>LPA:</t>
        </r>
        <r>
          <rPr>
            <sz val="9"/>
            <color indexed="81"/>
            <rFont val="Tahoma"/>
            <family val="2"/>
          </rPr>
          <t xml:space="preserve">
проверити збир!
</t>
        </r>
      </text>
    </comment>
    <comment ref="I11017" authorId="0" shapeId="0">
      <text>
        <r>
          <rPr>
            <b/>
            <sz val="9"/>
            <color indexed="81"/>
            <rFont val="Tahoma"/>
            <family val="2"/>
          </rPr>
          <t>LPA:</t>
        </r>
        <r>
          <rPr>
            <sz val="9"/>
            <color indexed="81"/>
            <rFont val="Tahoma"/>
            <family val="2"/>
          </rPr>
          <t xml:space="preserve">
проверити збир!
</t>
        </r>
      </text>
    </comment>
    <comment ref="I11018" authorId="0" shapeId="0">
      <text>
        <r>
          <rPr>
            <b/>
            <sz val="9"/>
            <color indexed="81"/>
            <rFont val="Tahoma"/>
            <family val="2"/>
          </rPr>
          <t>LPA:</t>
        </r>
        <r>
          <rPr>
            <sz val="9"/>
            <color indexed="81"/>
            <rFont val="Tahoma"/>
            <family val="2"/>
          </rPr>
          <t xml:space="preserve">
проверити збир!
</t>
        </r>
      </text>
    </comment>
    <comment ref="I11019" authorId="0" shapeId="0">
      <text>
        <r>
          <rPr>
            <b/>
            <sz val="9"/>
            <color indexed="81"/>
            <rFont val="Tahoma"/>
            <family val="2"/>
          </rPr>
          <t>LPA:</t>
        </r>
        <r>
          <rPr>
            <sz val="9"/>
            <color indexed="81"/>
            <rFont val="Tahoma"/>
            <family val="2"/>
          </rPr>
          <t xml:space="preserve">
проверити збир!
</t>
        </r>
      </text>
    </comment>
    <comment ref="I11020" authorId="0" shapeId="0">
      <text>
        <r>
          <rPr>
            <b/>
            <sz val="9"/>
            <color indexed="81"/>
            <rFont val="Tahoma"/>
            <family val="2"/>
          </rPr>
          <t>LPA:</t>
        </r>
        <r>
          <rPr>
            <sz val="9"/>
            <color indexed="81"/>
            <rFont val="Tahoma"/>
            <family val="2"/>
          </rPr>
          <t xml:space="preserve">
проверити збир!
</t>
        </r>
      </text>
    </comment>
    <comment ref="I11021" authorId="0" shapeId="0">
      <text>
        <r>
          <rPr>
            <b/>
            <sz val="9"/>
            <color indexed="81"/>
            <rFont val="Tahoma"/>
            <family val="2"/>
          </rPr>
          <t>LPA:</t>
        </r>
        <r>
          <rPr>
            <sz val="9"/>
            <color indexed="81"/>
            <rFont val="Tahoma"/>
            <family val="2"/>
          </rPr>
          <t xml:space="preserve">
проверити збир!
</t>
        </r>
      </text>
    </comment>
    <comment ref="I11022" authorId="0" shapeId="0">
      <text>
        <r>
          <rPr>
            <b/>
            <sz val="9"/>
            <color indexed="81"/>
            <rFont val="Tahoma"/>
            <family val="2"/>
          </rPr>
          <t>LPA:</t>
        </r>
        <r>
          <rPr>
            <sz val="9"/>
            <color indexed="81"/>
            <rFont val="Tahoma"/>
            <family val="2"/>
          </rPr>
          <t xml:space="preserve">
проверити збир!
</t>
        </r>
      </text>
    </comment>
    <comment ref="I11023" authorId="0" shapeId="0">
      <text>
        <r>
          <rPr>
            <b/>
            <sz val="9"/>
            <color indexed="81"/>
            <rFont val="Tahoma"/>
            <family val="2"/>
          </rPr>
          <t>LPA:</t>
        </r>
        <r>
          <rPr>
            <sz val="9"/>
            <color indexed="81"/>
            <rFont val="Tahoma"/>
            <family val="2"/>
          </rPr>
          <t xml:space="preserve">
проверити збир!
</t>
        </r>
      </text>
    </comment>
    <comment ref="I11024" authorId="0" shapeId="0">
      <text>
        <r>
          <rPr>
            <b/>
            <sz val="9"/>
            <color indexed="81"/>
            <rFont val="Tahoma"/>
            <family val="2"/>
          </rPr>
          <t>LPA:</t>
        </r>
        <r>
          <rPr>
            <sz val="9"/>
            <color indexed="81"/>
            <rFont val="Tahoma"/>
            <family val="2"/>
          </rPr>
          <t xml:space="preserve">
проверити збир!
</t>
        </r>
      </text>
    </comment>
    <comment ref="I11025" authorId="0" shapeId="0">
      <text>
        <r>
          <rPr>
            <b/>
            <sz val="9"/>
            <color indexed="81"/>
            <rFont val="Tahoma"/>
            <family val="2"/>
          </rPr>
          <t>LPA:</t>
        </r>
        <r>
          <rPr>
            <sz val="9"/>
            <color indexed="81"/>
            <rFont val="Tahoma"/>
            <family val="2"/>
          </rPr>
          <t xml:space="preserve">
проверити збир!
</t>
        </r>
      </text>
    </comment>
    <comment ref="I11026" authorId="0" shapeId="0">
      <text>
        <r>
          <rPr>
            <b/>
            <sz val="9"/>
            <color indexed="81"/>
            <rFont val="Tahoma"/>
            <family val="2"/>
          </rPr>
          <t>LPA:</t>
        </r>
        <r>
          <rPr>
            <sz val="9"/>
            <color indexed="81"/>
            <rFont val="Tahoma"/>
            <family val="2"/>
          </rPr>
          <t xml:space="preserve">
проверити збир!
</t>
        </r>
      </text>
    </comment>
    <comment ref="H11029" authorId="0" shapeId="0">
      <text>
        <r>
          <rPr>
            <b/>
            <sz val="9"/>
            <color indexed="81"/>
            <rFont val="Tahoma"/>
            <family val="2"/>
          </rPr>
          <t>LPA:</t>
        </r>
        <r>
          <rPr>
            <sz val="9"/>
            <color indexed="81"/>
            <rFont val="Tahoma"/>
            <family val="2"/>
          </rPr>
          <t xml:space="preserve">
проверити збир!</t>
        </r>
      </text>
    </comment>
    <comment ref="I11029" authorId="0" shapeId="0">
      <text>
        <r>
          <rPr>
            <b/>
            <sz val="9"/>
            <color indexed="81"/>
            <rFont val="Tahoma"/>
            <family val="2"/>
          </rPr>
          <t>LPA:</t>
        </r>
        <r>
          <rPr>
            <sz val="9"/>
            <color indexed="81"/>
            <rFont val="Tahoma"/>
            <family val="2"/>
          </rPr>
          <t xml:space="preserve">
проверити збир!</t>
        </r>
      </text>
    </comment>
    <comment ref="I11030" authorId="0" shapeId="0">
      <text>
        <r>
          <rPr>
            <b/>
            <sz val="9"/>
            <color indexed="81"/>
            <rFont val="Tahoma"/>
            <family val="2"/>
          </rPr>
          <t>LPA:</t>
        </r>
        <r>
          <rPr>
            <sz val="9"/>
            <color indexed="81"/>
            <rFont val="Tahoma"/>
            <family val="2"/>
          </rPr>
          <t xml:space="preserve">
проверити збир!
</t>
        </r>
      </text>
    </comment>
    <comment ref="I11031" authorId="0" shapeId="0">
      <text>
        <r>
          <rPr>
            <b/>
            <sz val="9"/>
            <color indexed="81"/>
            <rFont val="Tahoma"/>
            <family val="2"/>
          </rPr>
          <t>LPA:</t>
        </r>
        <r>
          <rPr>
            <sz val="9"/>
            <color indexed="81"/>
            <rFont val="Tahoma"/>
            <family val="2"/>
          </rPr>
          <t xml:space="preserve">
проверити збир!
</t>
        </r>
      </text>
    </comment>
    <comment ref="I11032" authorId="0" shapeId="0">
      <text>
        <r>
          <rPr>
            <b/>
            <sz val="9"/>
            <color indexed="81"/>
            <rFont val="Tahoma"/>
            <family val="2"/>
          </rPr>
          <t>LPA:</t>
        </r>
        <r>
          <rPr>
            <sz val="9"/>
            <color indexed="81"/>
            <rFont val="Tahoma"/>
            <family val="2"/>
          </rPr>
          <t xml:space="preserve">
проверити збир!
</t>
        </r>
      </text>
    </comment>
    <comment ref="I11033" authorId="0" shapeId="0">
      <text>
        <r>
          <rPr>
            <b/>
            <sz val="9"/>
            <color indexed="81"/>
            <rFont val="Tahoma"/>
            <family val="2"/>
          </rPr>
          <t>LPA:</t>
        </r>
        <r>
          <rPr>
            <sz val="9"/>
            <color indexed="81"/>
            <rFont val="Tahoma"/>
            <family val="2"/>
          </rPr>
          <t xml:space="preserve">
проверити збир!
</t>
        </r>
      </text>
    </comment>
    <comment ref="I11034" authorId="0" shapeId="0">
      <text>
        <r>
          <rPr>
            <b/>
            <sz val="9"/>
            <color indexed="81"/>
            <rFont val="Tahoma"/>
            <family val="2"/>
          </rPr>
          <t>LPA:</t>
        </r>
        <r>
          <rPr>
            <sz val="9"/>
            <color indexed="81"/>
            <rFont val="Tahoma"/>
            <family val="2"/>
          </rPr>
          <t xml:space="preserve">
проверити збир!
</t>
        </r>
      </text>
    </comment>
    <comment ref="I11035" authorId="0" shapeId="0">
      <text>
        <r>
          <rPr>
            <b/>
            <sz val="9"/>
            <color indexed="81"/>
            <rFont val="Tahoma"/>
            <family val="2"/>
          </rPr>
          <t>LPA:</t>
        </r>
        <r>
          <rPr>
            <sz val="9"/>
            <color indexed="81"/>
            <rFont val="Tahoma"/>
            <family val="2"/>
          </rPr>
          <t xml:space="preserve">
проверити збир!
</t>
        </r>
      </text>
    </comment>
    <comment ref="I11036" authorId="0" shapeId="0">
      <text>
        <r>
          <rPr>
            <b/>
            <sz val="9"/>
            <color indexed="81"/>
            <rFont val="Tahoma"/>
            <family val="2"/>
          </rPr>
          <t>LPA:</t>
        </r>
        <r>
          <rPr>
            <sz val="9"/>
            <color indexed="81"/>
            <rFont val="Tahoma"/>
            <family val="2"/>
          </rPr>
          <t xml:space="preserve">
проверити збир!
</t>
        </r>
      </text>
    </comment>
    <comment ref="I11037" authorId="0" shapeId="0">
      <text>
        <r>
          <rPr>
            <b/>
            <sz val="9"/>
            <color indexed="81"/>
            <rFont val="Tahoma"/>
            <family val="2"/>
          </rPr>
          <t>LPA:</t>
        </r>
        <r>
          <rPr>
            <sz val="9"/>
            <color indexed="81"/>
            <rFont val="Tahoma"/>
            <family val="2"/>
          </rPr>
          <t xml:space="preserve">
проверити збир!
</t>
        </r>
      </text>
    </comment>
    <comment ref="I11038" authorId="0" shapeId="0">
      <text>
        <r>
          <rPr>
            <b/>
            <sz val="9"/>
            <color indexed="81"/>
            <rFont val="Tahoma"/>
            <family val="2"/>
          </rPr>
          <t>LPA:</t>
        </r>
        <r>
          <rPr>
            <sz val="9"/>
            <color indexed="81"/>
            <rFont val="Tahoma"/>
            <family val="2"/>
          </rPr>
          <t xml:space="preserve">
проверити збир!
</t>
        </r>
      </text>
    </comment>
    <comment ref="I11039" authorId="0" shapeId="0">
      <text>
        <r>
          <rPr>
            <b/>
            <sz val="9"/>
            <color indexed="81"/>
            <rFont val="Tahoma"/>
            <family val="2"/>
          </rPr>
          <t>LPA:</t>
        </r>
        <r>
          <rPr>
            <sz val="9"/>
            <color indexed="81"/>
            <rFont val="Tahoma"/>
            <family val="2"/>
          </rPr>
          <t xml:space="preserve">
проверити збир!
</t>
        </r>
      </text>
    </comment>
    <comment ref="I11040" authorId="0" shapeId="0">
      <text>
        <r>
          <rPr>
            <b/>
            <sz val="9"/>
            <color indexed="81"/>
            <rFont val="Tahoma"/>
            <family val="2"/>
          </rPr>
          <t>LPA:</t>
        </r>
        <r>
          <rPr>
            <sz val="9"/>
            <color indexed="81"/>
            <rFont val="Tahoma"/>
            <family val="2"/>
          </rPr>
          <t xml:space="preserve">
проверити збир!
</t>
        </r>
      </text>
    </comment>
    <comment ref="I11041" authorId="0" shapeId="0">
      <text>
        <r>
          <rPr>
            <b/>
            <sz val="9"/>
            <color indexed="81"/>
            <rFont val="Tahoma"/>
            <family val="2"/>
          </rPr>
          <t>LPA:</t>
        </r>
        <r>
          <rPr>
            <sz val="9"/>
            <color indexed="81"/>
            <rFont val="Tahoma"/>
            <family val="2"/>
          </rPr>
          <t xml:space="preserve">
проверити збир!
</t>
        </r>
      </text>
    </comment>
    <comment ref="I11042" authorId="0" shapeId="0">
      <text>
        <r>
          <rPr>
            <b/>
            <sz val="9"/>
            <color indexed="81"/>
            <rFont val="Tahoma"/>
            <family val="2"/>
          </rPr>
          <t>LPA:</t>
        </r>
        <r>
          <rPr>
            <sz val="9"/>
            <color indexed="81"/>
            <rFont val="Tahoma"/>
            <family val="2"/>
          </rPr>
          <t xml:space="preserve">
проверити збир!
</t>
        </r>
      </text>
    </comment>
    <comment ref="I11043" authorId="0" shapeId="0">
      <text>
        <r>
          <rPr>
            <b/>
            <sz val="9"/>
            <color indexed="81"/>
            <rFont val="Tahoma"/>
            <family val="2"/>
          </rPr>
          <t>LPA:</t>
        </r>
        <r>
          <rPr>
            <sz val="9"/>
            <color indexed="81"/>
            <rFont val="Tahoma"/>
            <family val="2"/>
          </rPr>
          <t xml:space="preserve">
проверити збир!
</t>
        </r>
      </text>
    </comment>
    <comment ref="I11044" authorId="0" shapeId="0">
      <text>
        <r>
          <rPr>
            <b/>
            <sz val="9"/>
            <color indexed="81"/>
            <rFont val="Tahoma"/>
            <family val="2"/>
          </rPr>
          <t>LPA:</t>
        </r>
        <r>
          <rPr>
            <sz val="9"/>
            <color indexed="81"/>
            <rFont val="Tahoma"/>
            <family val="2"/>
          </rPr>
          <t xml:space="preserve">
проверити збир!
</t>
        </r>
      </text>
    </comment>
    <comment ref="I11113" authorId="0" shapeId="0">
      <text>
        <r>
          <rPr>
            <b/>
            <sz val="9"/>
            <color indexed="81"/>
            <rFont val="Tahoma"/>
            <family val="2"/>
          </rPr>
          <t>LPA:</t>
        </r>
        <r>
          <rPr>
            <sz val="9"/>
            <color indexed="81"/>
            <rFont val="Tahoma"/>
            <family val="2"/>
          </rPr>
          <t xml:space="preserve">
проверити збир!
</t>
        </r>
      </text>
    </comment>
    <comment ref="I11114" authorId="0" shapeId="0">
      <text>
        <r>
          <rPr>
            <b/>
            <sz val="9"/>
            <color indexed="81"/>
            <rFont val="Tahoma"/>
            <family val="2"/>
          </rPr>
          <t>LPA:</t>
        </r>
        <r>
          <rPr>
            <sz val="9"/>
            <color indexed="81"/>
            <rFont val="Tahoma"/>
            <family val="2"/>
          </rPr>
          <t xml:space="preserve">
проверити збир!
</t>
        </r>
      </text>
    </comment>
    <comment ref="I11115" authorId="0" shapeId="0">
      <text>
        <r>
          <rPr>
            <b/>
            <sz val="9"/>
            <color indexed="81"/>
            <rFont val="Tahoma"/>
            <family val="2"/>
          </rPr>
          <t>LPA:</t>
        </r>
        <r>
          <rPr>
            <sz val="9"/>
            <color indexed="81"/>
            <rFont val="Tahoma"/>
            <family val="2"/>
          </rPr>
          <t xml:space="preserve">
проверити збир!
</t>
        </r>
      </text>
    </comment>
    <comment ref="I11116" authorId="0" shapeId="0">
      <text>
        <r>
          <rPr>
            <b/>
            <sz val="9"/>
            <color indexed="81"/>
            <rFont val="Tahoma"/>
            <family val="2"/>
          </rPr>
          <t>LPA:</t>
        </r>
        <r>
          <rPr>
            <sz val="9"/>
            <color indexed="81"/>
            <rFont val="Tahoma"/>
            <family val="2"/>
          </rPr>
          <t xml:space="preserve">
проверити збир!
</t>
        </r>
      </text>
    </comment>
    <comment ref="I11117" authorId="0" shapeId="0">
      <text>
        <r>
          <rPr>
            <b/>
            <sz val="9"/>
            <color indexed="81"/>
            <rFont val="Tahoma"/>
            <family val="2"/>
          </rPr>
          <t>LPA:</t>
        </r>
        <r>
          <rPr>
            <sz val="9"/>
            <color indexed="81"/>
            <rFont val="Tahoma"/>
            <family val="2"/>
          </rPr>
          <t xml:space="preserve">
проверити збир!
</t>
        </r>
      </text>
    </comment>
    <comment ref="I11118" authorId="0" shapeId="0">
      <text>
        <r>
          <rPr>
            <b/>
            <sz val="9"/>
            <color indexed="81"/>
            <rFont val="Tahoma"/>
            <family val="2"/>
          </rPr>
          <t>LPA:</t>
        </r>
        <r>
          <rPr>
            <sz val="9"/>
            <color indexed="81"/>
            <rFont val="Tahoma"/>
            <family val="2"/>
          </rPr>
          <t xml:space="preserve">
проверити збир!
</t>
        </r>
      </text>
    </comment>
    <comment ref="I11119" authorId="0" shapeId="0">
      <text>
        <r>
          <rPr>
            <b/>
            <sz val="9"/>
            <color indexed="81"/>
            <rFont val="Tahoma"/>
            <family val="2"/>
          </rPr>
          <t>LPA:</t>
        </r>
        <r>
          <rPr>
            <sz val="9"/>
            <color indexed="81"/>
            <rFont val="Tahoma"/>
            <family val="2"/>
          </rPr>
          <t xml:space="preserve">
проверити збир!
</t>
        </r>
      </text>
    </comment>
    <comment ref="I11120" authorId="0" shapeId="0">
      <text>
        <r>
          <rPr>
            <b/>
            <sz val="9"/>
            <color indexed="81"/>
            <rFont val="Tahoma"/>
            <family val="2"/>
          </rPr>
          <t>LPA:</t>
        </r>
        <r>
          <rPr>
            <sz val="9"/>
            <color indexed="81"/>
            <rFont val="Tahoma"/>
            <family val="2"/>
          </rPr>
          <t xml:space="preserve">
проверити збир!
</t>
        </r>
      </text>
    </comment>
    <comment ref="I11121" authorId="0" shapeId="0">
      <text>
        <r>
          <rPr>
            <b/>
            <sz val="9"/>
            <color indexed="81"/>
            <rFont val="Tahoma"/>
            <family val="2"/>
          </rPr>
          <t>LPA:</t>
        </r>
        <r>
          <rPr>
            <sz val="9"/>
            <color indexed="81"/>
            <rFont val="Tahoma"/>
            <family val="2"/>
          </rPr>
          <t xml:space="preserve">
проверити збир!
</t>
        </r>
      </text>
    </comment>
    <comment ref="I11122" authorId="0" shapeId="0">
      <text>
        <r>
          <rPr>
            <b/>
            <sz val="9"/>
            <color indexed="81"/>
            <rFont val="Tahoma"/>
            <family val="2"/>
          </rPr>
          <t>LPA:</t>
        </r>
        <r>
          <rPr>
            <sz val="9"/>
            <color indexed="81"/>
            <rFont val="Tahoma"/>
            <family val="2"/>
          </rPr>
          <t xml:space="preserve">
проверити збир!
</t>
        </r>
      </text>
    </comment>
    <comment ref="I11123" authorId="0" shapeId="0">
      <text>
        <r>
          <rPr>
            <b/>
            <sz val="9"/>
            <color indexed="81"/>
            <rFont val="Tahoma"/>
            <family val="2"/>
          </rPr>
          <t>LPA:</t>
        </r>
        <r>
          <rPr>
            <sz val="9"/>
            <color indexed="81"/>
            <rFont val="Tahoma"/>
            <family val="2"/>
          </rPr>
          <t xml:space="preserve">
проверити збир!
</t>
        </r>
      </text>
    </comment>
    <comment ref="I11124" authorId="0" shapeId="0">
      <text>
        <r>
          <rPr>
            <b/>
            <sz val="9"/>
            <color indexed="81"/>
            <rFont val="Tahoma"/>
            <family val="2"/>
          </rPr>
          <t>LPA:</t>
        </r>
        <r>
          <rPr>
            <sz val="9"/>
            <color indexed="81"/>
            <rFont val="Tahoma"/>
            <family val="2"/>
          </rPr>
          <t xml:space="preserve">
проверити збир!
</t>
        </r>
      </text>
    </comment>
    <comment ref="I11125" authorId="0" shapeId="0">
      <text>
        <r>
          <rPr>
            <b/>
            <sz val="9"/>
            <color indexed="81"/>
            <rFont val="Tahoma"/>
            <family val="2"/>
          </rPr>
          <t>LPA:</t>
        </r>
        <r>
          <rPr>
            <sz val="9"/>
            <color indexed="81"/>
            <rFont val="Tahoma"/>
            <family val="2"/>
          </rPr>
          <t xml:space="preserve">
проверити збир!
</t>
        </r>
      </text>
    </comment>
    <comment ref="H11128" authorId="0" shapeId="0">
      <text>
        <r>
          <rPr>
            <b/>
            <sz val="9"/>
            <color indexed="81"/>
            <rFont val="Tahoma"/>
            <family val="2"/>
          </rPr>
          <t>LPA:</t>
        </r>
        <r>
          <rPr>
            <sz val="9"/>
            <color indexed="81"/>
            <rFont val="Tahoma"/>
            <family val="2"/>
          </rPr>
          <t xml:space="preserve">
проверити збир!</t>
        </r>
      </text>
    </comment>
    <comment ref="I11128" authorId="0" shapeId="0">
      <text>
        <r>
          <rPr>
            <b/>
            <sz val="9"/>
            <color indexed="81"/>
            <rFont val="Tahoma"/>
            <family val="2"/>
          </rPr>
          <t>LPA:</t>
        </r>
        <r>
          <rPr>
            <sz val="9"/>
            <color indexed="81"/>
            <rFont val="Tahoma"/>
            <family val="2"/>
          </rPr>
          <t xml:space="preserve">
проверити збир!</t>
        </r>
      </text>
    </comment>
    <comment ref="I11129" authorId="0" shapeId="0">
      <text>
        <r>
          <rPr>
            <b/>
            <sz val="9"/>
            <color indexed="81"/>
            <rFont val="Tahoma"/>
            <family val="2"/>
          </rPr>
          <t>LPA:</t>
        </r>
        <r>
          <rPr>
            <sz val="9"/>
            <color indexed="81"/>
            <rFont val="Tahoma"/>
            <family val="2"/>
          </rPr>
          <t xml:space="preserve">
проверити збир!
</t>
        </r>
      </text>
    </comment>
    <comment ref="I11130" authorId="0" shapeId="0">
      <text>
        <r>
          <rPr>
            <b/>
            <sz val="9"/>
            <color indexed="81"/>
            <rFont val="Tahoma"/>
            <family val="2"/>
          </rPr>
          <t>LPA:</t>
        </r>
        <r>
          <rPr>
            <sz val="9"/>
            <color indexed="81"/>
            <rFont val="Tahoma"/>
            <family val="2"/>
          </rPr>
          <t xml:space="preserve">
проверити збир!
</t>
        </r>
      </text>
    </comment>
    <comment ref="I11131" authorId="0" shapeId="0">
      <text>
        <r>
          <rPr>
            <b/>
            <sz val="9"/>
            <color indexed="81"/>
            <rFont val="Tahoma"/>
            <family val="2"/>
          </rPr>
          <t>LPA:</t>
        </r>
        <r>
          <rPr>
            <sz val="9"/>
            <color indexed="81"/>
            <rFont val="Tahoma"/>
            <family val="2"/>
          </rPr>
          <t xml:space="preserve">
проверити збир!
</t>
        </r>
      </text>
    </comment>
    <comment ref="I11132" authorId="0" shapeId="0">
      <text>
        <r>
          <rPr>
            <b/>
            <sz val="9"/>
            <color indexed="81"/>
            <rFont val="Tahoma"/>
            <family val="2"/>
          </rPr>
          <t>LPA:</t>
        </r>
        <r>
          <rPr>
            <sz val="9"/>
            <color indexed="81"/>
            <rFont val="Tahoma"/>
            <family val="2"/>
          </rPr>
          <t xml:space="preserve">
проверити збир!
</t>
        </r>
      </text>
    </comment>
    <comment ref="I11133" authorId="0" shapeId="0">
      <text>
        <r>
          <rPr>
            <b/>
            <sz val="9"/>
            <color indexed="81"/>
            <rFont val="Tahoma"/>
            <family val="2"/>
          </rPr>
          <t>LPA:</t>
        </r>
        <r>
          <rPr>
            <sz val="9"/>
            <color indexed="81"/>
            <rFont val="Tahoma"/>
            <family val="2"/>
          </rPr>
          <t xml:space="preserve">
проверити збир!
</t>
        </r>
      </text>
    </comment>
    <comment ref="I11134" authorId="0" shapeId="0">
      <text>
        <r>
          <rPr>
            <b/>
            <sz val="9"/>
            <color indexed="81"/>
            <rFont val="Tahoma"/>
            <family val="2"/>
          </rPr>
          <t>LPA:</t>
        </r>
        <r>
          <rPr>
            <sz val="9"/>
            <color indexed="81"/>
            <rFont val="Tahoma"/>
            <family val="2"/>
          </rPr>
          <t xml:space="preserve">
проверити збир!
</t>
        </r>
      </text>
    </comment>
    <comment ref="I11135" authorId="0" shapeId="0">
      <text>
        <r>
          <rPr>
            <b/>
            <sz val="9"/>
            <color indexed="81"/>
            <rFont val="Tahoma"/>
            <family val="2"/>
          </rPr>
          <t>LPA:</t>
        </r>
        <r>
          <rPr>
            <sz val="9"/>
            <color indexed="81"/>
            <rFont val="Tahoma"/>
            <family val="2"/>
          </rPr>
          <t xml:space="preserve">
проверити збир!
</t>
        </r>
      </text>
    </comment>
    <comment ref="I11136" authorId="0" shapeId="0">
      <text>
        <r>
          <rPr>
            <b/>
            <sz val="9"/>
            <color indexed="81"/>
            <rFont val="Tahoma"/>
            <family val="2"/>
          </rPr>
          <t>LPA:</t>
        </r>
        <r>
          <rPr>
            <sz val="9"/>
            <color indexed="81"/>
            <rFont val="Tahoma"/>
            <family val="2"/>
          </rPr>
          <t xml:space="preserve">
проверити збир!
</t>
        </r>
      </text>
    </comment>
    <comment ref="I11137" authorId="0" shapeId="0">
      <text>
        <r>
          <rPr>
            <b/>
            <sz val="9"/>
            <color indexed="81"/>
            <rFont val="Tahoma"/>
            <family val="2"/>
          </rPr>
          <t>LPA:</t>
        </r>
        <r>
          <rPr>
            <sz val="9"/>
            <color indexed="81"/>
            <rFont val="Tahoma"/>
            <family val="2"/>
          </rPr>
          <t xml:space="preserve">
проверити збир!
</t>
        </r>
      </text>
    </comment>
    <comment ref="I11138" authorId="0" shapeId="0">
      <text>
        <r>
          <rPr>
            <b/>
            <sz val="9"/>
            <color indexed="81"/>
            <rFont val="Tahoma"/>
            <family val="2"/>
          </rPr>
          <t>LPA:</t>
        </r>
        <r>
          <rPr>
            <sz val="9"/>
            <color indexed="81"/>
            <rFont val="Tahoma"/>
            <family val="2"/>
          </rPr>
          <t xml:space="preserve">
проверити збир!
</t>
        </r>
      </text>
    </comment>
    <comment ref="I11139" authorId="0" shapeId="0">
      <text>
        <r>
          <rPr>
            <b/>
            <sz val="9"/>
            <color indexed="81"/>
            <rFont val="Tahoma"/>
            <family val="2"/>
          </rPr>
          <t>LPA:</t>
        </r>
        <r>
          <rPr>
            <sz val="9"/>
            <color indexed="81"/>
            <rFont val="Tahoma"/>
            <family val="2"/>
          </rPr>
          <t xml:space="preserve">
проверити збир!
</t>
        </r>
      </text>
    </comment>
    <comment ref="I11140" authorId="0" shapeId="0">
      <text>
        <r>
          <rPr>
            <b/>
            <sz val="9"/>
            <color indexed="81"/>
            <rFont val="Tahoma"/>
            <family val="2"/>
          </rPr>
          <t>LPA:</t>
        </r>
        <r>
          <rPr>
            <sz val="9"/>
            <color indexed="81"/>
            <rFont val="Tahoma"/>
            <family val="2"/>
          </rPr>
          <t xml:space="preserve">
проверити збир!
</t>
        </r>
      </text>
    </comment>
    <comment ref="I11141" authorId="0" shapeId="0">
      <text>
        <r>
          <rPr>
            <b/>
            <sz val="9"/>
            <color indexed="81"/>
            <rFont val="Tahoma"/>
            <family val="2"/>
          </rPr>
          <t>LPA:</t>
        </r>
        <r>
          <rPr>
            <sz val="9"/>
            <color indexed="81"/>
            <rFont val="Tahoma"/>
            <family val="2"/>
          </rPr>
          <t xml:space="preserve">
проверити збир!
</t>
        </r>
      </text>
    </comment>
    <comment ref="I11142" authorId="0" shapeId="0">
      <text>
        <r>
          <rPr>
            <b/>
            <sz val="9"/>
            <color indexed="81"/>
            <rFont val="Tahoma"/>
            <family val="2"/>
          </rPr>
          <t>LPA:</t>
        </r>
        <r>
          <rPr>
            <sz val="9"/>
            <color indexed="81"/>
            <rFont val="Tahoma"/>
            <family val="2"/>
          </rPr>
          <t xml:space="preserve">
проверити збир!
</t>
        </r>
      </text>
    </comment>
    <comment ref="I11143" authorId="0" shapeId="0">
      <text>
        <r>
          <rPr>
            <b/>
            <sz val="9"/>
            <color indexed="81"/>
            <rFont val="Tahoma"/>
            <family val="2"/>
          </rPr>
          <t>LPA:</t>
        </r>
        <r>
          <rPr>
            <sz val="9"/>
            <color indexed="81"/>
            <rFont val="Tahoma"/>
            <family val="2"/>
          </rPr>
          <t xml:space="preserve">
проверити збир!
</t>
        </r>
      </text>
    </comment>
    <comment ref="I11215" authorId="0" shapeId="0">
      <text>
        <r>
          <rPr>
            <b/>
            <sz val="9"/>
            <color indexed="81"/>
            <rFont val="Tahoma"/>
            <family val="2"/>
          </rPr>
          <t>LPA:</t>
        </r>
        <r>
          <rPr>
            <sz val="9"/>
            <color indexed="81"/>
            <rFont val="Tahoma"/>
            <family val="2"/>
          </rPr>
          <t xml:space="preserve">
проверити збир!
</t>
        </r>
      </text>
    </comment>
    <comment ref="I11216" authorId="0" shapeId="0">
      <text>
        <r>
          <rPr>
            <b/>
            <sz val="9"/>
            <color indexed="81"/>
            <rFont val="Tahoma"/>
            <family val="2"/>
          </rPr>
          <t>LPA:</t>
        </r>
        <r>
          <rPr>
            <sz val="9"/>
            <color indexed="81"/>
            <rFont val="Tahoma"/>
            <family val="2"/>
          </rPr>
          <t xml:space="preserve">
проверити збир!
</t>
        </r>
      </text>
    </comment>
    <comment ref="I11217" authorId="0" shapeId="0">
      <text>
        <r>
          <rPr>
            <b/>
            <sz val="9"/>
            <color indexed="81"/>
            <rFont val="Tahoma"/>
            <family val="2"/>
          </rPr>
          <t>LPA:</t>
        </r>
        <r>
          <rPr>
            <sz val="9"/>
            <color indexed="81"/>
            <rFont val="Tahoma"/>
            <family val="2"/>
          </rPr>
          <t xml:space="preserve">
проверити збир!
</t>
        </r>
      </text>
    </comment>
    <comment ref="I11218" authorId="0" shapeId="0">
      <text>
        <r>
          <rPr>
            <b/>
            <sz val="9"/>
            <color indexed="81"/>
            <rFont val="Tahoma"/>
            <family val="2"/>
          </rPr>
          <t>LPA:</t>
        </r>
        <r>
          <rPr>
            <sz val="9"/>
            <color indexed="81"/>
            <rFont val="Tahoma"/>
            <family val="2"/>
          </rPr>
          <t xml:space="preserve">
проверити збир!
</t>
        </r>
      </text>
    </comment>
    <comment ref="I11219" authorId="0" shapeId="0">
      <text>
        <r>
          <rPr>
            <b/>
            <sz val="9"/>
            <color indexed="81"/>
            <rFont val="Tahoma"/>
            <family val="2"/>
          </rPr>
          <t>LPA:</t>
        </r>
        <r>
          <rPr>
            <sz val="9"/>
            <color indexed="81"/>
            <rFont val="Tahoma"/>
            <family val="2"/>
          </rPr>
          <t xml:space="preserve">
проверити збир!
</t>
        </r>
      </text>
    </comment>
    <comment ref="I11220" authorId="0" shapeId="0">
      <text>
        <r>
          <rPr>
            <b/>
            <sz val="9"/>
            <color indexed="81"/>
            <rFont val="Tahoma"/>
            <family val="2"/>
          </rPr>
          <t>LPA:</t>
        </r>
        <r>
          <rPr>
            <sz val="9"/>
            <color indexed="81"/>
            <rFont val="Tahoma"/>
            <family val="2"/>
          </rPr>
          <t xml:space="preserve">
проверити збир!
</t>
        </r>
      </text>
    </comment>
    <comment ref="I11221" authorId="0" shapeId="0">
      <text>
        <r>
          <rPr>
            <b/>
            <sz val="9"/>
            <color indexed="81"/>
            <rFont val="Tahoma"/>
            <family val="2"/>
          </rPr>
          <t>LPA:</t>
        </r>
        <r>
          <rPr>
            <sz val="9"/>
            <color indexed="81"/>
            <rFont val="Tahoma"/>
            <family val="2"/>
          </rPr>
          <t xml:space="preserve">
проверити збир!
</t>
        </r>
      </text>
    </comment>
    <comment ref="I11222" authorId="0" shapeId="0">
      <text>
        <r>
          <rPr>
            <b/>
            <sz val="9"/>
            <color indexed="81"/>
            <rFont val="Tahoma"/>
            <family val="2"/>
          </rPr>
          <t>LPA:</t>
        </r>
        <r>
          <rPr>
            <sz val="9"/>
            <color indexed="81"/>
            <rFont val="Tahoma"/>
            <family val="2"/>
          </rPr>
          <t xml:space="preserve">
проверити збир!
</t>
        </r>
      </text>
    </comment>
    <comment ref="I11223" authorId="0" shapeId="0">
      <text>
        <r>
          <rPr>
            <b/>
            <sz val="9"/>
            <color indexed="81"/>
            <rFont val="Tahoma"/>
            <family val="2"/>
          </rPr>
          <t>LPA:</t>
        </r>
        <r>
          <rPr>
            <sz val="9"/>
            <color indexed="81"/>
            <rFont val="Tahoma"/>
            <family val="2"/>
          </rPr>
          <t xml:space="preserve">
проверити збир!
</t>
        </r>
      </text>
    </comment>
    <comment ref="I11224" authorId="0" shapeId="0">
      <text>
        <r>
          <rPr>
            <b/>
            <sz val="9"/>
            <color indexed="81"/>
            <rFont val="Tahoma"/>
            <family val="2"/>
          </rPr>
          <t>LPA:</t>
        </r>
        <r>
          <rPr>
            <sz val="9"/>
            <color indexed="81"/>
            <rFont val="Tahoma"/>
            <family val="2"/>
          </rPr>
          <t xml:space="preserve">
проверити збир!
</t>
        </r>
      </text>
    </comment>
    <comment ref="I11225" authorId="0" shapeId="0">
      <text>
        <r>
          <rPr>
            <b/>
            <sz val="9"/>
            <color indexed="81"/>
            <rFont val="Tahoma"/>
            <family val="2"/>
          </rPr>
          <t>LPA:</t>
        </r>
        <r>
          <rPr>
            <sz val="9"/>
            <color indexed="81"/>
            <rFont val="Tahoma"/>
            <family val="2"/>
          </rPr>
          <t xml:space="preserve">
проверити збир!
</t>
        </r>
      </text>
    </comment>
    <comment ref="I11226" authorId="0" shapeId="0">
      <text>
        <r>
          <rPr>
            <b/>
            <sz val="9"/>
            <color indexed="81"/>
            <rFont val="Tahoma"/>
            <family val="2"/>
          </rPr>
          <t>LPA:</t>
        </r>
        <r>
          <rPr>
            <sz val="9"/>
            <color indexed="81"/>
            <rFont val="Tahoma"/>
            <family val="2"/>
          </rPr>
          <t xml:space="preserve">
проверити збир!
</t>
        </r>
      </text>
    </comment>
    <comment ref="I11227" authorId="0" shapeId="0">
      <text>
        <r>
          <rPr>
            <b/>
            <sz val="9"/>
            <color indexed="81"/>
            <rFont val="Tahoma"/>
            <family val="2"/>
          </rPr>
          <t>LPA:</t>
        </r>
        <r>
          <rPr>
            <sz val="9"/>
            <color indexed="81"/>
            <rFont val="Tahoma"/>
            <family val="2"/>
          </rPr>
          <t xml:space="preserve">
проверити збир!
</t>
        </r>
      </text>
    </comment>
    <comment ref="H11230" authorId="0" shapeId="0">
      <text>
        <r>
          <rPr>
            <b/>
            <sz val="9"/>
            <color indexed="81"/>
            <rFont val="Tahoma"/>
            <family val="2"/>
          </rPr>
          <t>LPA:</t>
        </r>
        <r>
          <rPr>
            <sz val="9"/>
            <color indexed="81"/>
            <rFont val="Tahoma"/>
            <family val="2"/>
          </rPr>
          <t xml:space="preserve">
проверити збир!</t>
        </r>
      </text>
    </comment>
    <comment ref="I11230" authorId="0" shapeId="0">
      <text>
        <r>
          <rPr>
            <b/>
            <sz val="9"/>
            <color indexed="81"/>
            <rFont val="Tahoma"/>
            <family val="2"/>
          </rPr>
          <t>LPA:</t>
        </r>
        <r>
          <rPr>
            <sz val="9"/>
            <color indexed="81"/>
            <rFont val="Tahoma"/>
            <family val="2"/>
          </rPr>
          <t xml:space="preserve">
проверити збир!</t>
        </r>
      </text>
    </comment>
    <comment ref="I11231" authorId="0" shapeId="0">
      <text>
        <r>
          <rPr>
            <b/>
            <sz val="9"/>
            <color indexed="81"/>
            <rFont val="Tahoma"/>
            <family val="2"/>
          </rPr>
          <t>LPA:</t>
        </r>
        <r>
          <rPr>
            <sz val="9"/>
            <color indexed="81"/>
            <rFont val="Tahoma"/>
            <family val="2"/>
          </rPr>
          <t xml:space="preserve">
проверити збир!
</t>
        </r>
      </text>
    </comment>
    <comment ref="I11232" authorId="0" shapeId="0">
      <text>
        <r>
          <rPr>
            <b/>
            <sz val="9"/>
            <color indexed="81"/>
            <rFont val="Tahoma"/>
            <family val="2"/>
          </rPr>
          <t>LPA:</t>
        </r>
        <r>
          <rPr>
            <sz val="9"/>
            <color indexed="81"/>
            <rFont val="Tahoma"/>
            <family val="2"/>
          </rPr>
          <t xml:space="preserve">
проверити збир!
</t>
        </r>
      </text>
    </comment>
    <comment ref="I11233" authorId="0" shapeId="0">
      <text>
        <r>
          <rPr>
            <b/>
            <sz val="9"/>
            <color indexed="81"/>
            <rFont val="Tahoma"/>
            <family val="2"/>
          </rPr>
          <t>LPA:</t>
        </r>
        <r>
          <rPr>
            <sz val="9"/>
            <color indexed="81"/>
            <rFont val="Tahoma"/>
            <family val="2"/>
          </rPr>
          <t xml:space="preserve">
проверити збир!
</t>
        </r>
      </text>
    </comment>
    <comment ref="I11234" authorId="0" shapeId="0">
      <text>
        <r>
          <rPr>
            <b/>
            <sz val="9"/>
            <color indexed="81"/>
            <rFont val="Tahoma"/>
            <family val="2"/>
          </rPr>
          <t>LPA:</t>
        </r>
        <r>
          <rPr>
            <sz val="9"/>
            <color indexed="81"/>
            <rFont val="Tahoma"/>
            <family val="2"/>
          </rPr>
          <t xml:space="preserve">
проверити збир!
</t>
        </r>
      </text>
    </comment>
    <comment ref="I11235" authorId="0" shapeId="0">
      <text>
        <r>
          <rPr>
            <b/>
            <sz val="9"/>
            <color indexed="81"/>
            <rFont val="Tahoma"/>
            <family val="2"/>
          </rPr>
          <t>LPA:</t>
        </r>
        <r>
          <rPr>
            <sz val="9"/>
            <color indexed="81"/>
            <rFont val="Tahoma"/>
            <family val="2"/>
          </rPr>
          <t xml:space="preserve">
проверити збир!
</t>
        </r>
      </text>
    </comment>
    <comment ref="I11236" authorId="0" shapeId="0">
      <text>
        <r>
          <rPr>
            <b/>
            <sz val="9"/>
            <color indexed="81"/>
            <rFont val="Tahoma"/>
            <family val="2"/>
          </rPr>
          <t>LPA:</t>
        </r>
        <r>
          <rPr>
            <sz val="9"/>
            <color indexed="81"/>
            <rFont val="Tahoma"/>
            <family val="2"/>
          </rPr>
          <t xml:space="preserve">
проверити збир!
</t>
        </r>
      </text>
    </comment>
    <comment ref="I11237" authorId="0" shapeId="0">
      <text>
        <r>
          <rPr>
            <b/>
            <sz val="9"/>
            <color indexed="81"/>
            <rFont val="Tahoma"/>
            <family val="2"/>
          </rPr>
          <t>LPA:</t>
        </r>
        <r>
          <rPr>
            <sz val="9"/>
            <color indexed="81"/>
            <rFont val="Tahoma"/>
            <family val="2"/>
          </rPr>
          <t xml:space="preserve">
проверити збир!
</t>
        </r>
      </text>
    </comment>
    <comment ref="I11238" authorId="0" shapeId="0">
      <text>
        <r>
          <rPr>
            <b/>
            <sz val="9"/>
            <color indexed="81"/>
            <rFont val="Tahoma"/>
            <family val="2"/>
          </rPr>
          <t>LPA:</t>
        </r>
        <r>
          <rPr>
            <sz val="9"/>
            <color indexed="81"/>
            <rFont val="Tahoma"/>
            <family val="2"/>
          </rPr>
          <t xml:space="preserve">
проверити збир!
</t>
        </r>
      </text>
    </comment>
    <comment ref="I11239" authorId="0" shapeId="0">
      <text>
        <r>
          <rPr>
            <b/>
            <sz val="9"/>
            <color indexed="81"/>
            <rFont val="Tahoma"/>
            <family val="2"/>
          </rPr>
          <t>LPA:</t>
        </r>
        <r>
          <rPr>
            <sz val="9"/>
            <color indexed="81"/>
            <rFont val="Tahoma"/>
            <family val="2"/>
          </rPr>
          <t xml:space="preserve">
проверити збир!
</t>
        </r>
      </text>
    </comment>
    <comment ref="I11240" authorId="0" shapeId="0">
      <text>
        <r>
          <rPr>
            <b/>
            <sz val="9"/>
            <color indexed="81"/>
            <rFont val="Tahoma"/>
            <family val="2"/>
          </rPr>
          <t>LPA:</t>
        </r>
        <r>
          <rPr>
            <sz val="9"/>
            <color indexed="81"/>
            <rFont val="Tahoma"/>
            <family val="2"/>
          </rPr>
          <t xml:space="preserve">
проверити збир!
</t>
        </r>
      </text>
    </comment>
    <comment ref="I11241" authorId="0" shapeId="0">
      <text>
        <r>
          <rPr>
            <b/>
            <sz val="9"/>
            <color indexed="81"/>
            <rFont val="Tahoma"/>
            <family val="2"/>
          </rPr>
          <t>LPA:</t>
        </r>
        <r>
          <rPr>
            <sz val="9"/>
            <color indexed="81"/>
            <rFont val="Tahoma"/>
            <family val="2"/>
          </rPr>
          <t xml:space="preserve">
проверити збир!
</t>
        </r>
      </text>
    </comment>
    <comment ref="I11242" authorId="0" shapeId="0">
      <text>
        <r>
          <rPr>
            <b/>
            <sz val="9"/>
            <color indexed="81"/>
            <rFont val="Tahoma"/>
            <family val="2"/>
          </rPr>
          <t>LPA:</t>
        </r>
        <r>
          <rPr>
            <sz val="9"/>
            <color indexed="81"/>
            <rFont val="Tahoma"/>
            <family val="2"/>
          </rPr>
          <t xml:space="preserve">
проверити збир!
</t>
        </r>
      </text>
    </comment>
    <comment ref="I11243" authorId="0" shapeId="0">
      <text>
        <r>
          <rPr>
            <b/>
            <sz val="9"/>
            <color indexed="81"/>
            <rFont val="Tahoma"/>
            <family val="2"/>
          </rPr>
          <t>LPA:</t>
        </r>
        <r>
          <rPr>
            <sz val="9"/>
            <color indexed="81"/>
            <rFont val="Tahoma"/>
            <family val="2"/>
          </rPr>
          <t xml:space="preserve">
проверити збир!
</t>
        </r>
      </text>
    </comment>
    <comment ref="I11244" authorId="0" shapeId="0">
      <text>
        <r>
          <rPr>
            <b/>
            <sz val="9"/>
            <color indexed="81"/>
            <rFont val="Tahoma"/>
            <family val="2"/>
          </rPr>
          <t>LPA:</t>
        </r>
        <r>
          <rPr>
            <sz val="9"/>
            <color indexed="81"/>
            <rFont val="Tahoma"/>
            <family val="2"/>
          </rPr>
          <t xml:space="preserve">
проверити збир!
</t>
        </r>
      </text>
    </comment>
    <comment ref="I11245" authorId="0" shapeId="0">
      <text>
        <r>
          <rPr>
            <b/>
            <sz val="9"/>
            <color indexed="81"/>
            <rFont val="Tahoma"/>
            <family val="2"/>
          </rPr>
          <t>LPA:</t>
        </r>
        <r>
          <rPr>
            <sz val="9"/>
            <color indexed="81"/>
            <rFont val="Tahoma"/>
            <family val="2"/>
          </rPr>
          <t xml:space="preserve">
проверити збир!
</t>
        </r>
      </text>
    </comment>
    <comment ref="I11314" authorId="0" shapeId="0">
      <text>
        <r>
          <rPr>
            <b/>
            <sz val="9"/>
            <color indexed="81"/>
            <rFont val="Tahoma"/>
            <family val="2"/>
          </rPr>
          <t>LPA:</t>
        </r>
        <r>
          <rPr>
            <sz val="9"/>
            <color indexed="81"/>
            <rFont val="Tahoma"/>
            <family val="2"/>
          </rPr>
          <t xml:space="preserve">
проверити збир!
</t>
        </r>
      </text>
    </comment>
    <comment ref="I11315" authorId="0" shapeId="0">
      <text>
        <r>
          <rPr>
            <b/>
            <sz val="9"/>
            <color indexed="81"/>
            <rFont val="Tahoma"/>
            <family val="2"/>
          </rPr>
          <t>LPA:</t>
        </r>
        <r>
          <rPr>
            <sz val="9"/>
            <color indexed="81"/>
            <rFont val="Tahoma"/>
            <family val="2"/>
          </rPr>
          <t xml:space="preserve">
проверити збир!
</t>
        </r>
      </text>
    </comment>
    <comment ref="I11316" authorId="0" shapeId="0">
      <text>
        <r>
          <rPr>
            <b/>
            <sz val="9"/>
            <color indexed="81"/>
            <rFont val="Tahoma"/>
            <family val="2"/>
          </rPr>
          <t>LPA:</t>
        </r>
        <r>
          <rPr>
            <sz val="9"/>
            <color indexed="81"/>
            <rFont val="Tahoma"/>
            <family val="2"/>
          </rPr>
          <t xml:space="preserve">
проверити збир!
</t>
        </r>
      </text>
    </comment>
    <comment ref="I11317" authorId="0" shapeId="0">
      <text>
        <r>
          <rPr>
            <b/>
            <sz val="9"/>
            <color indexed="81"/>
            <rFont val="Tahoma"/>
            <family val="2"/>
          </rPr>
          <t>LPA:</t>
        </r>
        <r>
          <rPr>
            <sz val="9"/>
            <color indexed="81"/>
            <rFont val="Tahoma"/>
            <family val="2"/>
          </rPr>
          <t xml:space="preserve">
проверити збир!
</t>
        </r>
      </text>
    </comment>
    <comment ref="I11318" authorId="0" shapeId="0">
      <text>
        <r>
          <rPr>
            <b/>
            <sz val="9"/>
            <color indexed="81"/>
            <rFont val="Tahoma"/>
            <family val="2"/>
          </rPr>
          <t>LPA:</t>
        </r>
        <r>
          <rPr>
            <sz val="9"/>
            <color indexed="81"/>
            <rFont val="Tahoma"/>
            <family val="2"/>
          </rPr>
          <t xml:space="preserve">
проверити збир!
</t>
        </r>
      </text>
    </comment>
    <comment ref="I11319" authorId="0" shapeId="0">
      <text>
        <r>
          <rPr>
            <b/>
            <sz val="9"/>
            <color indexed="81"/>
            <rFont val="Tahoma"/>
            <family val="2"/>
          </rPr>
          <t>LPA:</t>
        </r>
        <r>
          <rPr>
            <sz val="9"/>
            <color indexed="81"/>
            <rFont val="Tahoma"/>
            <family val="2"/>
          </rPr>
          <t xml:space="preserve">
проверити збир!
</t>
        </r>
      </text>
    </comment>
    <comment ref="I11320" authorId="0" shapeId="0">
      <text>
        <r>
          <rPr>
            <b/>
            <sz val="9"/>
            <color indexed="81"/>
            <rFont val="Tahoma"/>
            <family val="2"/>
          </rPr>
          <t>LPA:</t>
        </r>
        <r>
          <rPr>
            <sz val="9"/>
            <color indexed="81"/>
            <rFont val="Tahoma"/>
            <family val="2"/>
          </rPr>
          <t xml:space="preserve">
проверити збир!
</t>
        </r>
      </text>
    </comment>
    <comment ref="I11321" authorId="0" shapeId="0">
      <text>
        <r>
          <rPr>
            <b/>
            <sz val="9"/>
            <color indexed="81"/>
            <rFont val="Tahoma"/>
            <family val="2"/>
          </rPr>
          <t>LPA:</t>
        </r>
        <r>
          <rPr>
            <sz val="9"/>
            <color indexed="81"/>
            <rFont val="Tahoma"/>
            <family val="2"/>
          </rPr>
          <t xml:space="preserve">
проверити збир!
</t>
        </r>
      </text>
    </comment>
    <comment ref="I11322" authorId="0" shapeId="0">
      <text>
        <r>
          <rPr>
            <b/>
            <sz val="9"/>
            <color indexed="81"/>
            <rFont val="Tahoma"/>
            <family val="2"/>
          </rPr>
          <t>LPA:</t>
        </r>
        <r>
          <rPr>
            <sz val="9"/>
            <color indexed="81"/>
            <rFont val="Tahoma"/>
            <family val="2"/>
          </rPr>
          <t xml:space="preserve">
проверити збир!
</t>
        </r>
      </text>
    </comment>
    <comment ref="I11323" authorId="0" shapeId="0">
      <text>
        <r>
          <rPr>
            <b/>
            <sz val="9"/>
            <color indexed="81"/>
            <rFont val="Tahoma"/>
            <family val="2"/>
          </rPr>
          <t>LPA:</t>
        </r>
        <r>
          <rPr>
            <sz val="9"/>
            <color indexed="81"/>
            <rFont val="Tahoma"/>
            <family val="2"/>
          </rPr>
          <t xml:space="preserve">
проверити збир!
</t>
        </r>
      </text>
    </comment>
    <comment ref="I11324" authorId="0" shapeId="0">
      <text>
        <r>
          <rPr>
            <b/>
            <sz val="9"/>
            <color indexed="81"/>
            <rFont val="Tahoma"/>
            <family val="2"/>
          </rPr>
          <t>LPA:</t>
        </r>
        <r>
          <rPr>
            <sz val="9"/>
            <color indexed="81"/>
            <rFont val="Tahoma"/>
            <family val="2"/>
          </rPr>
          <t xml:space="preserve">
проверити збир!
</t>
        </r>
      </text>
    </comment>
    <comment ref="I11325" authorId="0" shapeId="0">
      <text>
        <r>
          <rPr>
            <b/>
            <sz val="9"/>
            <color indexed="81"/>
            <rFont val="Tahoma"/>
            <family val="2"/>
          </rPr>
          <t>LPA:</t>
        </r>
        <r>
          <rPr>
            <sz val="9"/>
            <color indexed="81"/>
            <rFont val="Tahoma"/>
            <family val="2"/>
          </rPr>
          <t xml:space="preserve">
проверити збир!
</t>
        </r>
      </text>
    </comment>
    <comment ref="I11326" authorId="0" shapeId="0">
      <text>
        <r>
          <rPr>
            <b/>
            <sz val="9"/>
            <color indexed="81"/>
            <rFont val="Tahoma"/>
            <family val="2"/>
          </rPr>
          <t>LPA:</t>
        </r>
        <r>
          <rPr>
            <sz val="9"/>
            <color indexed="81"/>
            <rFont val="Tahoma"/>
            <family val="2"/>
          </rPr>
          <t xml:space="preserve">
проверити збир!
</t>
        </r>
      </text>
    </comment>
    <comment ref="H11329" authorId="0" shapeId="0">
      <text>
        <r>
          <rPr>
            <b/>
            <sz val="9"/>
            <color indexed="81"/>
            <rFont val="Tahoma"/>
            <family val="2"/>
          </rPr>
          <t>LPA:</t>
        </r>
        <r>
          <rPr>
            <sz val="9"/>
            <color indexed="81"/>
            <rFont val="Tahoma"/>
            <family val="2"/>
          </rPr>
          <t xml:space="preserve">
проверити збир!</t>
        </r>
      </text>
    </comment>
    <comment ref="I11329" authorId="0" shapeId="0">
      <text>
        <r>
          <rPr>
            <b/>
            <sz val="9"/>
            <color indexed="81"/>
            <rFont val="Tahoma"/>
            <family val="2"/>
          </rPr>
          <t>LPA:</t>
        </r>
        <r>
          <rPr>
            <sz val="9"/>
            <color indexed="81"/>
            <rFont val="Tahoma"/>
            <family val="2"/>
          </rPr>
          <t xml:space="preserve">
проверити збир!</t>
        </r>
      </text>
    </comment>
    <comment ref="I11330" authorId="0" shapeId="0">
      <text>
        <r>
          <rPr>
            <b/>
            <sz val="9"/>
            <color indexed="81"/>
            <rFont val="Tahoma"/>
            <family val="2"/>
          </rPr>
          <t>LPA:</t>
        </r>
        <r>
          <rPr>
            <sz val="9"/>
            <color indexed="81"/>
            <rFont val="Tahoma"/>
            <family val="2"/>
          </rPr>
          <t xml:space="preserve">
проверити збир!
</t>
        </r>
      </text>
    </comment>
    <comment ref="I11331" authorId="0" shapeId="0">
      <text>
        <r>
          <rPr>
            <b/>
            <sz val="9"/>
            <color indexed="81"/>
            <rFont val="Tahoma"/>
            <family val="2"/>
          </rPr>
          <t>LPA:</t>
        </r>
        <r>
          <rPr>
            <sz val="9"/>
            <color indexed="81"/>
            <rFont val="Tahoma"/>
            <family val="2"/>
          </rPr>
          <t xml:space="preserve">
проверити збир!
</t>
        </r>
      </text>
    </comment>
    <comment ref="I11332" authorId="0" shapeId="0">
      <text>
        <r>
          <rPr>
            <b/>
            <sz val="9"/>
            <color indexed="81"/>
            <rFont val="Tahoma"/>
            <family val="2"/>
          </rPr>
          <t>LPA:</t>
        </r>
        <r>
          <rPr>
            <sz val="9"/>
            <color indexed="81"/>
            <rFont val="Tahoma"/>
            <family val="2"/>
          </rPr>
          <t xml:space="preserve">
проверити збир!
</t>
        </r>
      </text>
    </comment>
    <comment ref="I11333" authorId="0" shapeId="0">
      <text>
        <r>
          <rPr>
            <b/>
            <sz val="9"/>
            <color indexed="81"/>
            <rFont val="Tahoma"/>
            <family val="2"/>
          </rPr>
          <t>LPA:</t>
        </r>
        <r>
          <rPr>
            <sz val="9"/>
            <color indexed="81"/>
            <rFont val="Tahoma"/>
            <family val="2"/>
          </rPr>
          <t xml:space="preserve">
проверити збир!
</t>
        </r>
      </text>
    </comment>
    <comment ref="I11334" authorId="0" shapeId="0">
      <text>
        <r>
          <rPr>
            <b/>
            <sz val="9"/>
            <color indexed="81"/>
            <rFont val="Tahoma"/>
            <family val="2"/>
          </rPr>
          <t>LPA:</t>
        </r>
        <r>
          <rPr>
            <sz val="9"/>
            <color indexed="81"/>
            <rFont val="Tahoma"/>
            <family val="2"/>
          </rPr>
          <t xml:space="preserve">
проверити збир!
</t>
        </r>
      </text>
    </comment>
    <comment ref="I11335" authorId="0" shapeId="0">
      <text>
        <r>
          <rPr>
            <b/>
            <sz val="9"/>
            <color indexed="81"/>
            <rFont val="Tahoma"/>
            <family val="2"/>
          </rPr>
          <t>LPA:</t>
        </r>
        <r>
          <rPr>
            <sz val="9"/>
            <color indexed="81"/>
            <rFont val="Tahoma"/>
            <family val="2"/>
          </rPr>
          <t xml:space="preserve">
проверити збир!
</t>
        </r>
      </text>
    </comment>
    <comment ref="I11336" authorId="0" shapeId="0">
      <text>
        <r>
          <rPr>
            <b/>
            <sz val="9"/>
            <color indexed="81"/>
            <rFont val="Tahoma"/>
            <family val="2"/>
          </rPr>
          <t>LPA:</t>
        </r>
        <r>
          <rPr>
            <sz val="9"/>
            <color indexed="81"/>
            <rFont val="Tahoma"/>
            <family val="2"/>
          </rPr>
          <t xml:space="preserve">
проверити збир!
</t>
        </r>
      </text>
    </comment>
    <comment ref="I11337" authorId="0" shapeId="0">
      <text>
        <r>
          <rPr>
            <b/>
            <sz val="9"/>
            <color indexed="81"/>
            <rFont val="Tahoma"/>
            <family val="2"/>
          </rPr>
          <t>LPA:</t>
        </r>
        <r>
          <rPr>
            <sz val="9"/>
            <color indexed="81"/>
            <rFont val="Tahoma"/>
            <family val="2"/>
          </rPr>
          <t xml:space="preserve">
проверити збир!
</t>
        </r>
      </text>
    </comment>
    <comment ref="I11338" authorId="0" shapeId="0">
      <text>
        <r>
          <rPr>
            <b/>
            <sz val="9"/>
            <color indexed="81"/>
            <rFont val="Tahoma"/>
            <family val="2"/>
          </rPr>
          <t>LPA:</t>
        </r>
        <r>
          <rPr>
            <sz val="9"/>
            <color indexed="81"/>
            <rFont val="Tahoma"/>
            <family val="2"/>
          </rPr>
          <t xml:space="preserve">
проверити збир!
</t>
        </r>
      </text>
    </comment>
    <comment ref="I11339" authorId="0" shapeId="0">
      <text>
        <r>
          <rPr>
            <b/>
            <sz val="9"/>
            <color indexed="81"/>
            <rFont val="Tahoma"/>
            <family val="2"/>
          </rPr>
          <t>LPA:</t>
        </r>
        <r>
          <rPr>
            <sz val="9"/>
            <color indexed="81"/>
            <rFont val="Tahoma"/>
            <family val="2"/>
          </rPr>
          <t xml:space="preserve">
проверити збир!
</t>
        </r>
      </text>
    </comment>
    <comment ref="I11340" authorId="0" shapeId="0">
      <text>
        <r>
          <rPr>
            <b/>
            <sz val="9"/>
            <color indexed="81"/>
            <rFont val="Tahoma"/>
            <family val="2"/>
          </rPr>
          <t>LPA:</t>
        </r>
        <r>
          <rPr>
            <sz val="9"/>
            <color indexed="81"/>
            <rFont val="Tahoma"/>
            <family val="2"/>
          </rPr>
          <t xml:space="preserve">
проверити збир!
</t>
        </r>
      </text>
    </comment>
    <comment ref="I11341" authorId="0" shapeId="0">
      <text>
        <r>
          <rPr>
            <b/>
            <sz val="9"/>
            <color indexed="81"/>
            <rFont val="Tahoma"/>
            <family val="2"/>
          </rPr>
          <t>LPA:</t>
        </r>
        <r>
          <rPr>
            <sz val="9"/>
            <color indexed="81"/>
            <rFont val="Tahoma"/>
            <family val="2"/>
          </rPr>
          <t xml:space="preserve">
проверити збир!
</t>
        </r>
      </text>
    </comment>
    <comment ref="I11342" authorId="0" shapeId="0">
      <text>
        <r>
          <rPr>
            <b/>
            <sz val="9"/>
            <color indexed="81"/>
            <rFont val="Tahoma"/>
            <family val="2"/>
          </rPr>
          <t>LPA:</t>
        </r>
        <r>
          <rPr>
            <sz val="9"/>
            <color indexed="81"/>
            <rFont val="Tahoma"/>
            <family val="2"/>
          </rPr>
          <t xml:space="preserve">
проверити збир!
</t>
        </r>
      </text>
    </comment>
    <comment ref="I11343" authorId="0" shapeId="0">
      <text>
        <r>
          <rPr>
            <b/>
            <sz val="9"/>
            <color indexed="81"/>
            <rFont val="Tahoma"/>
            <family val="2"/>
          </rPr>
          <t>LPA:</t>
        </r>
        <r>
          <rPr>
            <sz val="9"/>
            <color indexed="81"/>
            <rFont val="Tahoma"/>
            <family val="2"/>
          </rPr>
          <t xml:space="preserve">
проверити збир!
</t>
        </r>
      </text>
    </comment>
    <comment ref="I11344" authorId="0" shapeId="0">
      <text>
        <r>
          <rPr>
            <b/>
            <sz val="9"/>
            <color indexed="81"/>
            <rFont val="Tahoma"/>
            <family val="2"/>
          </rPr>
          <t>LPA:</t>
        </r>
        <r>
          <rPr>
            <sz val="9"/>
            <color indexed="81"/>
            <rFont val="Tahoma"/>
            <family val="2"/>
          </rPr>
          <t xml:space="preserve">
проверити збир!
</t>
        </r>
      </text>
    </comment>
    <comment ref="H11348" authorId="0" shapeId="0">
      <text>
        <r>
          <rPr>
            <b/>
            <sz val="9"/>
            <color indexed="81"/>
            <rFont val="Tahoma"/>
            <family val="2"/>
          </rPr>
          <t>LPA:</t>
        </r>
        <r>
          <rPr>
            <sz val="9"/>
            <color indexed="81"/>
            <rFont val="Tahoma"/>
            <family val="2"/>
          </rPr>
          <t xml:space="preserve">
проверити збир!</t>
        </r>
      </text>
    </comment>
    <comment ref="I11348" authorId="0" shapeId="0">
      <text>
        <r>
          <rPr>
            <b/>
            <sz val="9"/>
            <color indexed="81"/>
            <rFont val="Tahoma"/>
            <family val="2"/>
          </rPr>
          <t>LPA:</t>
        </r>
        <r>
          <rPr>
            <sz val="9"/>
            <color indexed="81"/>
            <rFont val="Tahoma"/>
            <family val="2"/>
          </rPr>
          <t xml:space="preserve">
проверити збир!
</t>
        </r>
      </text>
    </comment>
    <comment ref="I11349" authorId="0" shapeId="0">
      <text>
        <r>
          <rPr>
            <b/>
            <sz val="9"/>
            <color indexed="81"/>
            <rFont val="Tahoma"/>
            <family val="2"/>
          </rPr>
          <t>LPA:</t>
        </r>
        <r>
          <rPr>
            <sz val="9"/>
            <color indexed="81"/>
            <rFont val="Tahoma"/>
            <family val="2"/>
          </rPr>
          <t xml:space="preserve">
проверити збир!
</t>
        </r>
      </text>
    </comment>
    <comment ref="I11350" authorId="0" shapeId="0">
      <text>
        <r>
          <rPr>
            <b/>
            <sz val="9"/>
            <color indexed="81"/>
            <rFont val="Tahoma"/>
            <family val="2"/>
          </rPr>
          <t>LPA:</t>
        </r>
        <r>
          <rPr>
            <sz val="9"/>
            <color indexed="81"/>
            <rFont val="Tahoma"/>
            <family val="2"/>
          </rPr>
          <t xml:space="preserve">
проверити збир!
</t>
        </r>
      </text>
    </comment>
    <comment ref="I11351" authorId="0" shapeId="0">
      <text>
        <r>
          <rPr>
            <b/>
            <sz val="9"/>
            <color indexed="81"/>
            <rFont val="Tahoma"/>
            <family val="2"/>
          </rPr>
          <t>LPA:</t>
        </r>
        <r>
          <rPr>
            <sz val="9"/>
            <color indexed="81"/>
            <rFont val="Tahoma"/>
            <family val="2"/>
          </rPr>
          <t xml:space="preserve">
проверити збир!
</t>
        </r>
      </text>
    </comment>
    <comment ref="I11352" authorId="0" shapeId="0">
      <text>
        <r>
          <rPr>
            <b/>
            <sz val="9"/>
            <color indexed="81"/>
            <rFont val="Tahoma"/>
            <family val="2"/>
          </rPr>
          <t>LPA:</t>
        </r>
        <r>
          <rPr>
            <sz val="9"/>
            <color indexed="81"/>
            <rFont val="Tahoma"/>
            <family val="2"/>
          </rPr>
          <t xml:space="preserve">
проверити збир!
</t>
        </r>
      </text>
    </comment>
    <comment ref="I11353" authorId="0" shapeId="0">
      <text>
        <r>
          <rPr>
            <b/>
            <sz val="9"/>
            <color indexed="81"/>
            <rFont val="Tahoma"/>
            <family val="2"/>
          </rPr>
          <t>LPA:</t>
        </r>
        <r>
          <rPr>
            <sz val="9"/>
            <color indexed="81"/>
            <rFont val="Tahoma"/>
            <family val="2"/>
          </rPr>
          <t xml:space="preserve">
проверити збир!
</t>
        </r>
      </text>
    </comment>
    <comment ref="I11354" authorId="0" shapeId="0">
      <text>
        <r>
          <rPr>
            <b/>
            <sz val="9"/>
            <color indexed="81"/>
            <rFont val="Tahoma"/>
            <family val="2"/>
          </rPr>
          <t>LPA:</t>
        </r>
        <r>
          <rPr>
            <sz val="9"/>
            <color indexed="81"/>
            <rFont val="Tahoma"/>
            <family val="2"/>
          </rPr>
          <t xml:space="preserve">
проверити збир!
</t>
        </r>
      </text>
    </comment>
    <comment ref="I11355" authorId="0" shapeId="0">
      <text>
        <r>
          <rPr>
            <b/>
            <sz val="9"/>
            <color indexed="81"/>
            <rFont val="Tahoma"/>
            <family val="2"/>
          </rPr>
          <t>LPA:</t>
        </r>
        <r>
          <rPr>
            <sz val="9"/>
            <color indexed="81"/>
            <rFont val="Tahoma"/>
            <family val="2"/>
          </rPr>
          <t xml:space="preserve">
проверити збир!
</t>
        </r>
      </text>
    </comment>
    <comment ref="I11356" authorId="0" shapeId="0">
      <text>
        <r>
          <rPr>
            <b/>
            <sz val="9"/>
            <color indexed="81"/>
            <rFont val="Tahoma"/>
            <family val="2"/>
          </rPr>
          <t>LPA:</t>
        </r>
        <r>
          <rPr>
            <sz val="9"/>
            <color indexed="81"/>
            <rFont val="Tahoma"/>
            <family val="2"/>
          </rPr>
          <t xml:space="preserve">
проверити збир!
</t>
        </r>
      </text>
    </comment>
    <comment ref="I11357" authorId="0" shapeId="0">
      <text>
        <r>
          <rPr>
            <b/>
            <sz val="9"/>
            <color indexed="81"/>
            <rFont val="Tahoma"/>
            <family val="2"/>
          </rPr>
          <t>LPA:</t>
        </r>
        <r>
          <rPr>
            <sz val="9"/>
            <color indexed="81"/>
            <rFont val="Tahoma"/>
            <family val="2"/>
          </rPr>
          <t xml:space="preserve">
проверити збир!
</t>
        </r>
      </text>
    </comment>
    <comment ref="I11358" authorId="0" shapeId="0">
      <text>
        <r>
          <rPr>
            <b/>
            <sz val="9"/>
            <color indexed="81"/>
            <rFont val="Tahoma"/>
            <family val="2"/>
          </rPr>
          <t>LPA:</t>
        </r>
        <r>
          <rPr>
            <sz val="9"/>
            <color indexed="81"/>
            <rFont val="Tahoma"/>
            <family val="2"/>
          </rPr>
          <t xml:space="preserve">
проверити збир!
</t>
        </r>
      </text>
    </comment>
    <comment ref="I11359" authorId="0" shapeId="0">
      <text>
        <r>
          <rPr>
            <b/>
            <sz val="9"/>
            <color indexed="81"/>
            <rFont val="Tahoma"/>
            <family val="2"/>
          </rPr>
          <t>LPA:</t>
        </r>
        <r>
          <rPr>
            <sz val="9"/>
            <color indexed="81"/>
            <rFont val="Tahoma"/>
            <family val="2"/>
          </rPr>
          <t xml:space="preserve">
проверити збир!
</t>
        </r>
      </text>
    </comment>
    <comment ref="I11360" authorId="0" shapeId="0">
      <text>
        <r>
          <rPr>
            <b/>
            <sz val="9"/>
            <color indexed="81"/>
            <rFont val="Tahoma"/>
            <family val="2"/>
          </rPr>
          <t>LPA:</t>
        </r>
        <r>
          <rPr>
            <sz val="9"/>
            <color indexed="81"/>
            <rFont val="Tahoma"/>
            <family val="2"/>
          </rPr>
          <t xml:space="preserve">
проверити збир!
</t>
        </r>
      </text>
    </comment>
    <comment ref="I11361" authorId="0" shapeId="0">
      <text>
        <r>
          <rPr>
            <b/>
            <sz val="9"/>
            <color indexed="81"/>
            <rFont val="Tahoma"/>
            <family val="2"/>
          </rPr>
          <t>LPA:</t>
        </r>
        <r>
          <rPr>
            <sz val="9"/>
            <color indexed="81"/>
            <rFont val="Tahoma"/>
            <family val="2"/>
          </rPr>
          <t xml:space="preserve">
проверити збир!
</t>
        </r>
      </text>
    </comment>
    <comment ref="I11362" authorId="0" shapeId="0">
      <text>
        <r>
          <rPr>
            <b/>
            <sz val="9"/>
            <color indexed="81"/>
            <rFont val="Tahoma"/>
            <family val="2"/>
          </rPr>
          <t>LPA:</t>
        </r>
        <r>
          <rPr>
            <sz val="9"/>
            <color indexed="81"/>
            <rFont val="Tahoma"/>
            <family val="2"/>
          </rPr>
          <t xml:space="preserve">
проверити збир!
</t>
        </r>
      </text>
    </comment>
    <comment ref="I11363" authorId="0" shapeId="0">
      <text>
        <r>
          <rPr>
            <b/>
            <sz val="9"/>
            <color indexed="81"/>
            <rFont val="Tahoma"/>
            <family val="2"/>
          </rPr>
          <t>LPA:</t>
        </r>
        <r>
          <rPr>
            <sz val="9"/>
            <color indexed="81"/>
            <rFont val="Tahoma"/>
            <family val="2"/>
          </rPr>
          <t xml:space="preserve">
проверити збир!
</t>
        </r>
      </text>
    </comment>
    <comment ref="H11367" authorId="0" shapeId="0">
      <text>
        <r>
          <rPr>
            <b/>
            <sz val="9"/>
            <color indexed="81"/>
            <rFont val="Tahoma"/>
            <family val="2"/>
          </rPr>
          <t>LPA:</t>
        </r>
        <r>
          <rPr>
            <sz val="9"/>
            <color indexed="81"/>
            <rFont val="Tahoma"/>
            <family val="2"/>
          </rPr>
          <t xml:space="preserve">
провери збир!</t>
        </r>
      </text>
    </comment>
    <comment ref="I11367" authorId="0" shapeId="0">
      <text>
        <r>
          <rPr>
            <b/>
            <sz val="9"/>
            <color indexed="81"/>
            <rFont val="Tahoma"/>
            <family val="2"/>
          </rPr>
          <t>LPA:</t>
        </r>
        <r>
          <rPr>
            <sz val="9"/>
            <color indexed="81"/>
            <rFont val="Tahoma"/>
            <family val="2"/>
          </rPr>
          <t xml:space="preserve">
проверити збир!
</t>
        </r>
      </text>
    </comment>
    <comment ref="I11368" authorId="0" shapeId="0">
      <text>
        <r>
          <rPr>
            <b/>
            <sz val="9"/>
            <color indexed="81"/>
            <rFont val="Tahoma"/>
            <family val="2"/>
          </rPr>
          <t>LPA:</t>
        </r>
        <r>
          <rPr>
            <sz val="9"/>
            <color indexed="81"/>
            <rFont val="Tahoma"/>
            <family val="2"/>
          </rPr>
          <t xml:space="preserve">
проверити збир!
</t>
        </r>
      </text>
    </comment>
    <comment ref="I11369" authorId="0" shapeId="0">
      <text>
        <r>
          <rPr>
            <b/>
            <sz val="9"/>
            <color indexed="81"/>
            <rFont val="Tahoma"/>
            <family val="2"/>
          </rPr>
          <t>LPA:</t>
        </r>
        <r>
          <rPr>
            <sz val="9"/>
            <color indexed="81"/>
            <rFont val="Tahoma"/>
            <family val="2"/>
          </rPr>
          <t xml:space="preserve">
проверити збир!
</t>
        </r>
      </text>
    </comment>
    <comment ref="I11370" authorId="0" shapeId="0">
      <text>
        <r>
          <rPr>
            <b/>
            <sz val="9"/>
            <color indexed="81"/>
            <rFont val="Tahoma"/>
            <family val="2"/>
          </rPr>
          <t>LPA:</t>
        </r>
        <r>
          <rPr>
            <sz val="9"/>
            <color indexed="81"/>
            <rFont val="Tahoma"/>
            <family val="2"/>
          </rPr>
          <t xml:space="preserve">
проверити збир!
</t>
        </r>
      </text>
    </comment>
    <comment ref="I11371" authorId="0" shapeId="0">
      <text>
        <r>
          <rPr>
            <b/>
            <sz val="9"/>
            <color indexed="81"/>
            <rFont val="Tahoma"/>
            <family val="2"/>
          </rPr>
          <t>LPA:</t>
        </r>
        <r>
          <rPr>
            <sz val="9"/>
            <color indexed="81"/>
            <rFont val="Tahoma"/>
            <family val="2"/>
          </rPr>
          <t xml:space="preserve">
проверити збир!
</t>
        </r>
      </text>
    </comment>
    <comment ref="I11372" authorId="0" shapeId="0">
      <text>
        <r>
          <rPr>
            <b/>
            <sz val="9"/>
            <color indexed="81"/>
            <rFont val="Tahoma"/>
            <family val="2"/>
          </rPr>
          <t>LPA:</t>
        </r>
        <r>
          <rPr>
            <sz val="9"/>
            <color indexed="81"/>
            <rFont val="Tahoma"/>
            <family val="2"/>
          </rPr>
          <t xml:space="preserve">
проверити збир!
</t>
        </r>
      </text>
    </comment>
    <comment ref="I11373" authorId="0" shapeId="0">
      <text>
        <r>
          <rPr>
            <b/>
            <sz val="9"/>
            <color indexed="81"/>
            <rFont val="Tahoma"/>
            <family val="2"/>
          </rPr>
          <t>LPA:</t>
        </r>
        <r>
          <rPr>
            <sz val="9"/>
            <color indexed="81"/>
            <rFont val="Tahoma"/>
            <family val="2"/>
          </rPr>
          <t xml:space="preserve">
проверити збир!
</t>
        </r>
      </text>
    </comment>
    <comment ref="I11374" authorId="0" shapeId="0">
      <text>
        <r>
          <rPr>
            <b/>
            <sz val="9"/>
            <color indexed="81"/>
            <rFont val="Tahoma"/>
            <family val="2"/>
          </rPr>
          <t>LPA:</t>
        </r>
        <r>
          <rPr>
            <sz val="9"/>
            <color indexed="81"/>
            <rFont val="Tahoma"/>
            <family val="2"/>
          </rPr>
          <t xml:space="preserve">
проверити збир!
</t>
        </r>
      </text>
    </comment>
    <comment ref="I11375" authorId="0" shapeId="0">
      <text>
        <r>
          <rPr>
            <b/>
            <sz val="9"/>
            <color indexed="81"/>
            <rFont val="Tahoma"/>
            <family val="2"/>
          </rPr>
          <t>LPA:</t>
        </r>
        <r>
          <rPr>
            <sz val="9"/>
            <color indexed="81"/>
            <rFont val="Tahoma"/>
            <family val="2"/>
          </rPr>
          <t xml:space="preserve">
проверити збир!
</t>
        </r>
      </text>
    </comment>
    <comment ref="I11376" authorId="0" shapeId="0">
      <text>
        <r>
          <rPr>
            <b/>
            <sz val="9"/>
            <color indexed="81"/>
            <rFont val="Tahoma"/>
            <family val="2"/>
          </rPr>
          <t>LPA:</t>
        </r>
        <r>
          <rPr>
            <sz val="9"/>
            <color indexed="81"/>
            <rFont val="Tahoma"/>
            <family val="2"/>
          </rPr>
          <t xml:space="preserve">
проверити збир!
</t>
        </r>
      </text>
    </comment>
    <comment ref="I11377" authorId="0" shapeId="0">
      <text>
        <r>
          <rPr>
            <b/>
            <sz val="9"/>
            <color indexed="81"/>
            <rFont val="Tahoma"/>
            <family val="2"/>
          </rPr>
          <t>LPA:</t>
        </r>
        <r>
          <rPr>
            <sz val="9"/>
            <color indexed="81"/>
            <rFont val="Tahoma"/>
            <family val="2"/>
          </rPr>
          <t xml:space="preserve">
проверити збир!
</t>
        </r>
      </text>
    </comment>
    <comment ref="I11378" authorId="0" shapeId="0">
      <text>
        <r>
          <rPr>
            <b/>
            <sz val="9"/>
            <color indexed="81"/>
            <rFont val="Tahoma"/>
            <family val="2"/>
          </rPr>
          <t>LPA:</t>
        </r>
        <r>
          <rPr>
            <sz val="9"/>
            <color indexed="81"/>
            <rFont val="Tahoma"/>
            <family val="2"/>
          </rPr>
          <t xml:space="preserve">
проверити збир!
</t>
        </r>
      </text>
    </comment>
    <comment ref="I11379" authorId="0" shapeId="0">
      <text>
        <r>
          <rPr>
            <b/>
            <sz val="9"/>
            <color indexed="81"/>
            <rFont val="Tahoma"/>
            <family val="2"/>
          </rPr>
          <t>LPA:</t>
        </r>
        <r>
          <rPr>
            <sz val="9"/>
            <color indexed="81"/>
            <rFont val="Tahoma"/>
            <family val="2"/>
          </rPr>
          <t xml:space="preserve">
проверити збир!
</t>
        </r>
      </text>
    </comment>
    <comment ref="I11380" authorId="0" shapeId="0">
      <text>
        <r>
          <rPr>
            <b/>
            <sz val="9"/>
            <color indexed="81"/>
            <rFont val="Tahoma"/>
            <family val="2"/>
          </rPr>
          <t>LPA:</t>
        </r>
        <r>
          <rPr>
            <sz val="9"/>
            <color indexed="81"/>
            <rFont val="Tahoma"/>
            <family val="2"/>
          </rPr>
          <t xml:space="preserve">
проверити збир!
</t>
        </r>
      </text>
    </comment>
    <comment ref="I11381" authorId="0" shapeId="0">
      <text>
        <r>
          <rPr>
            <b/>
            <sz val="9"/>
            <color indexed="81"/>
            <rFont val="Tahoma"/>
            <family val="2"/>
          </rPr>
          <t>LPA:</t>
        </r>
        <r>
          <rPr>
            <sz val="9"/>
            <color indexed="81"/>
            <rFont val="Tahoma"/>
            <family val="2"/>
          </rPr>
          <t xml:space="preserve">
проверити збир!
</t>
        </r>
      </text>
    </comment>
    <comment ref="I11382" authorId="0" shapeId="0">
      <text>
        <r>
          <rPr>
            <b/>
            <sz val="9"/>
            <color indexed="81"/>
            <rFont val="Tahoma"/>
            <family val="2"/>
          </rPr>
          <t>LPA:</t>
        </r>
        <r>
          <rPr>
            <sz val="9"/>
            <color indexed="81"/>
            <rFont val="Tahoma"/>
            <family val="2"/>
          </rPr>
          <t xml:space="preserve">
проверити збир!
</t>
        </r>
      </text>
    </comment>
    <comment ref="I11453" authorId="0" shapeId="0">
      <text>
        <r>
          <rPr>
            <b/>
            <sz val="9"/>
            <color indexed="81"/>
            <rFont val="Tahoma"/>
            <family val="2"/>
          </rPr>
          <t>LPA:</t>
        </r>
        <r>
          <rPr>
            <sz val="9"/>
            <color indexed="81"/>
            <rFont val="Tahoma"/>
            <family val="2"/>
          </rPr>
          <t xml:space="preserve">
проверити збир!
</t>
        </r>
      </text>
    </comment>
    <comment ref="I11454" authorId="0" shapeId="0">
      <text>
        <r>
          <rPr>
            <b/>
            <sz val="9"/>
            <color indexed="81"/>
            <rFont val="Tahoma"/>
            <family val="2"/>
          </rPr>
          <t>LPA:</t>
        </r>
        <r>
          <rPr>
            <sz val="9"/>
            <color indexed="81"/>
            <rFont val="Tahoma"/>
            <family val="2"/>
          </rPr>
          <t xml:space="preserve">
проверити збир!
</t>
        </r>
      </text>
    </comment>
    <comment ref="I11455" authorId="0" shapeId="0">
      <text>
        <r>
          <rPr>
            <b/>
            <sz val="9"/>
            <color indexed="81"/>
            <rFont val="Tahoma"/>
            <family val="2"/>
          </rPr>
          <t>LPA:</t>
        </r>
        <r>
          <rPr>
            <sz val="9"/>
            <color indexed="81"/>
            <rFont val="Tahoma"/>
            <family val="2"/>
          </rPr>
          <t xml:space="preserve">
проверити збир!
</t>
        </r>
      </text>
    </comment>
    <comment ref="I11456" authorId="0" shapeId="0">
      <text>
        <r>
          <rPr>
            <b/>
            <sz val="9"/>
            <color indexed="81"/>
            <rFont val="Tahoma"/>
            <family val="2"/>
          </rPr>
          <t>LPA:</t>
        </r>
        <r>
          <rPr>
            <sz val="9"/>
            <color indexed="81"/>
            <rFont val="Tahoma"/>
            <family val="2"/>
          </rPr>
          <t xml:space="preserve">
проверити збир!
</t>
        </r>
      </text>
    </comment>
    <comment ref="I11457" authorId="0" shapeId="0">
      <text>
        <r>
          <rPr>
            <b/>
            <sz val="9"/>
            <color indexed="81"/>
            <rFont val="Tahoma"/>
            <family val="2"/>
          </rPr>
          <t>LPA:</t>
        </r>
        <r>
          <rPr>
            <sz val="9"/>
            <color indexed="81"/>
            <rFont val="Tahoma"/>
            <family val="2"/>
          </rPr>
          <t xml:space="preserve">
проверити збир!
</t>
        </r>
      </text>
    </comment>
    <comment ref="I11458" authorId="0" shapeId="0">
      <text>
        <r>
          <rPr>
            <b/>
            <sz val="9"/>
            <color indexed="81"/>
            <rFont val="Tahoma"/>
            <family val="2"/>
          </rPr>
          <t>LPA:</t>
        </r>
        <r>
          <rPr>
            <sz val="9"/>
            <color indexed="81"/>
            <rFont val="Tahoma"/>
            <family val="2"/>
          </rPr>
          <t xml:space="preserve">
проверити збир!
</t>
        </r>
      </text>
    </comment>
    <comment ref="I11459" authorId="0" shapeId="0">
      <text>
        <r>
          <rPr>
            <b/>
            <sz val="9"/>
            <color indexed="81"/>
            <rFont val="Tahoma"/>
            <family val="2"/>
          </rPr>
          <t>LPA:</t>
        </r>
        <r>
          <rPr>
            <sz val="9"/>
            <color indexed="81"/>
            <rFont val="Tahoma"/>
            <family val="2"/>
          </rPr>
          <t xml:space="preserve">
проверити збир!
</t>
        </r>
      </text>
    </comment>
    <comment ref="I11460" authorId="0" shapeId="0">
      <text>
        <r>
          <rPr>
            <b/>
            <sz val="9"/>
            <color indexed="81"/>
            <rFont val="Tahoma"/>
            <family val="2"/>
          </rPr>
          <t>LPA:</t>
        </r>
        <r>
          <rPr>
            <sz val="9"/>
            <color indexed="81"/>
            <rFont val="Tahoma"/>
            <family val="2"/>
          </rPr>
          <t xml:space="preserve">
проверити збир!
</t>
        </r>
      </text>
    </comment>
    <comment ref="I11461" authorId="0" shapeId="0">
      <text>
        <r>
          <rPr>
            <b/>
            <sz val="9"/>
            <color indexed="81"/>
            <rFont val="Tahoma"/>
            <family val="2"/>
          </rPr>
          <t>LPA:</t>
        </r>
        <r>
          <rPr>
            <sz val="9"/>
            <color indexed="81"/>
            <rFont val="Tahoma"/>
            <family val="2"/>
          </rPr>
          <t xml:space="preserve">
проверити збир!
</t>
        </r>
      </text>
    </comment>
    <comment ref="I11462" authorId="0" shapeId="0">
      <text>
        <r>
          <rPr>
            <b/>
            <sz val="9"/>
            <color indexed="81"/>
            <rFont val="Tahoma"/>
            <family val="2"/>
          </rPr>
          <t>LPA:</t>
        </r>
        <r>
          <rPr>
            <sz val="9"/>
            <color indexed="81"/>
            <rFont val="Tahoma"/>
            <family val="2"/>
          </rPr>
          <t xml:space="preserve">
проверити збир!
</t>
        </r>
      </text>
    </comment>
    <comment ref="I11463" authorId="0" shapeId="0">
      <text>
        <r>
          <rPr>
            <b/>
            <sz val="9"/>
            <color indexed="81"/>
            <rFont val="Tahoma"/>
            <family val="2"/>
          </rPr>
          <t>LPA:</t>
        </r>
        <r>
          <rPr>
            <sz val="9"/>
            <color indexed="81"/>
            <rFont val="Tahoma"/>
            <family val="2"/>
          </rPr>
          <t xml:space="preserve">
проверити збир!
</t>
        </r>
      </text>
    </comment>
    <comment ref="I11464" authorId="0" shapeId="0">
      <text>
        <r>
          <rPr>
            <b/>
            <sz val="9"/>
            <color indexed="81"/>
            <rFont val="Tahoma"/>
            <family val="2"/>
          </rPr>
          <t>LPA:</t>
        </r>
        <r>
          <rPr>
            <sz val="9"/>
            <color indexed="81"/>
            <rFont val="Tahoma"/>
            <family val="2"/>
          </rPr>
          <t xml:space="preserve">
проверити збир!
</t>
        </r>
      </text>
    </comment>
    <comment ref="I11465" authorId="0" shapeId="0">
      <text>
        <r>
          <rPr>
            <b/>
            <sz val="9"/>
            <color indexed="81"/>
            <rFont val="Tahoma"/>
            <family val="2"/>
          </rPr>
          <t>LPA:</t>
        </r>
        <r>
          <rPr>
            <sz val="9"/>
            <color indexed="81"/>
            <rFont val="Tahoma"/>
            <family val="2"/>
          </rPr>
          <t xml:space="preserve">
проверити збир!
</t>
        </r>
      </text>
    </comment>
    <comment ref="H11468" authorId="0" shapeId="0">
      <text>
        <r>
          <rPr>
            <b/>
            <sz val="9"/>
            <color indexed="81"/>
            <rFont val="Tahoma"/>
            <family val="2"/>
          </rPr>
          <t>LPA:</t>
        </r>
        <r>
          <rPr>
            <sz val="9"/>
            <color indexed="81"/>
            <rFont val="Tahoma"/>
            <family val="2"/>
          </rPr>
          <t xml:space="preserve">
проверити збир!</t>
        </r>
      </text>
    </comment>
    <comment ref="I11468" authorId="0" shapeId="0">
      <text>
        <r>
          <rPr>
            <b/>
            <sz val="9"/>
            <color indexed="81"/>
            <rFont val="Tahoma"/>
            <family val="2"/>
          </rPr>
          <t>LPA:</t>
        </r>
        <r>
          <rPr>
            <sz val="9"/>
            <color indexed="81"/>
            <rFont val="Tahoma"/>
            <family val="2"/>
          </rPr>
          <t xml:space="preserve">
проверити збир!</t>
        </r>
      </text>
    </comment>
    <comment ref="I11469" authorId="0" shapeId="0">
      <text>
        <r>
          <rPr>
            <b/>
            <sz val="9"/>
            <color indexed="81"/>
            <rFont val="Tahoma"/>
            <family val="2"/>
          </rPr>
          <t>LPA:</t>
        </r>
        <r>
          <rPr>
            <sz val="9"/>
            <color indexed="81"/>
            <rFont val="Tahoma"/>
            <family val="2"/>
          </rPr>
          <t xml:space="preserve">
проверити збир!
</t>
        </r>
      </text>
    </comment>
    <comment ref="I11470" authorId="0" shapeId="0">
      <text>
        <r>
          <rPr>
            <b/>
            <sz val="9"/>
            <color indexed="81"/>
            <rFont val="Tahoma"/>
            <family val="2"/>
          </rPr>
          <t>LPA:</t>
        </r>
        <r>
          <rPr>
            <sz val="9"/>
            <color indexed="81"/>
            <rFont val="Tahoma"/>
            <family val="2"/>
          </rPr>
          <t xml:space="preserve">
проверити збир!
</t>
        </r>
      </text>
    </comment>
    <comment ref="I11471" authorId="0" shapeId="0">
      <text>
        <r>
          <rPr>
            <b/>
            <sz val="9"/>
            <color indexed="81"/>
            <rFont val="Tahoma"/>
            <family val="2"/>
          </rPr>
          <t>LPA:</t>
        </r>
        <r>
          <rPr>
            <sz val="9"/>
            <color indexed="81"/>
            <rFont val="Tahoma"/>
            <family val="2"/>
          </rPr>
          <t xml:space="preserve">
проверити збир!
</t>
        </r>
      </text>
    </comment>
    <comment ref="I11472" authorId="0" shapeId="0">
      <text>
        <r>
          <rPr>
            <b/>
            <sz val="9"/>
            <color indexed="81"/>
            <rFont val="Tahoma"/>
            <family val="2"/>
          </rPr>
          <t>LPA:</t>
        </r>
        <r>
          <rPr>
            <sz val="9"/>
            <color indexed="81"/>
            <rFont val="Tahoma"/>
            <family val="2"/>
          </rPr>
          <t xml:space="preserve">
проверити збир!
</t>
        </r>
      </text>
    </comment>
    <comment ref="I11473" authorId="0" shapeId="0">
      <text>
        <r>
          <rPr>
            <b/>
            <sz val="9"/>
            <color indexed="81"/>
            <rFont val="Tahoma"/>
            <family val="2"/>
          </rPr>
          <t>LPA:</t>
        </r>
        <r>
          <rPr>
            <sz val="9"/>
            <color indexed="81"/>
            <rFont val="Tahoma"/>
            <family val="2"/>
          </rPr>
          <t xml:space="preserve">
проверити збир!
</t>
        </r>
      </text>
    </comment>
    <comment ref="I11474" authorId="0" shapeId="0">
      <text>
        <r>
          <rPr>
            <b/>
            <sz val="9"/>
            <color indexed="81"/>
            <rFont val="Tahoma"/>
            <family val="2"/>
          </rPr>
          <t>LPA:</t>
        </r>
        <r>
          <rPr>
            <sz val="9"/>
            <color indexed="81"/>
            <rFont val="Tahoma"/>
            <family val="2"/>
          </rPr>
          <t xml:space="preserve">
проверити збир!
</t>
        </r>
      </text>
    </comment>
    <comment ref="I11475" authorId="0" shapeId="0">
      <text>
        <r>
          <rPr>
            <b/>
            <sz val="9"/>
            <color indexed="81"/>
            <rFont val="Tahoma"/>
            <family val="2"/>
          </rPr>
          <t>LPA:</t>
        </r>
        <r>
          <rPr>
            <sz val="9"/>
            <color indexed="81"/>
            <rFont val="Tahoma"/>
            <family val="2"/>
          </rPr>
          <t xml:space="preserve">
проверити збир!
</t>
        </r>
      </text>
    </comment>
    <comment ref="I11476" authorId="0" shapeId="0">
      <text>
        <r>
          <rPr>
            <b/>
            <sz val="9"/>
            <color indexed="81"/>
            <rFont val="Tahoma"/>
            <family val="2"/>
          </rPr>
          <t>LPA:</t>
        </r>
        <r>
          <rPr>
            <sz val="9"/>
            <color indexed="81"/>
            <rFont val="Tahoma"/>
            <family val="2"/>
          </rPr>
          <t xml:space="preserve">
проверити збир!
</t>
        </r>
      </text>
    </comment>
    <comment ref="I11477" authorId="0" shapeId="0">
      <text>
        <r>
          <rPr>
            <b/>
            <sz val="9"/>
            <color indexed="81"/>
            <rFont val="Tahoma"/>
            <family val="2"/>
          </rPr>
          <t>LPA:</t>
        </r>
        <r>
          <rPr>
            <sz val="9"/>
            <color indexed="81"/>
            <rFont val="Tahoma"/>
            <family val="2"/>
          </rPr>
          <t xml:space="preserve">
проверити збир!
</t>
        </r>
      </text>
    </comment>
    <comment ref="I11478" authorId="0" shapeId="0">
      <text>
        <r>
          <rPr>
            <b/>
            <sz val="9"/>
            <color indexed="81"/>
            <rFont val="Tahoma"/>
            <family val="2"/>
          </rPr>
          <t>LPA:</t>
        </r>
        <r>
          <rPr>
            <sz val="9"/>
            <color indexed="81"/>
            <rFont val="Tahoma"/>
            <family val="2"/>
          </rPr>
          <t xml:space="preserve">
проверити збир!
</t>
        </r>
      </text>
    </comment>
    <comment ref="I11479" authorId="0" shapeId="0">
      <text>
        <r>
          <rPr>
            <b/>
            <sz val="9"/>
            <color indexed="81"/>
            <rFont val="Tahoma"/>
            <family val="2"/>
          </rPr>
          <t>LPA:</t>
        </r>
        <r>
          <rPr>
            <sz val="9"/>
            <color indexed="81"/>
            <rFont val="Tahoma"/>
            <family val="2"/>
          </rPr>
          <t xml:space="preserve">
проверити збир!
</t>
        </r>
      </text>
    </comment>
    <comment ref="I11480" authorId="0" shapeId="0">
      <text>
        <r>
          <rPr>
            <b/>
            <sz val="9"/>
            <color indexed="81"/>
            <rFont val="Tahoma"/>
            <family val="2"/>
          </rPr>
          <t>LPA:</t>
        </r>
        <r>
          <rPr>
            <sz val="9"/>
            <color indexed="81"/>
            <rFont val="Tahoma"/>
            <family val="2"/>
          </rPr>
          <t xml:space="preserve">
проверити збир!
</t>
        </r>
      </text>
    </comment>
    <comment ref="I11481" authorId="0" shapeId="0">
      <text>
        <r>
          <rPr>
            <b/>
            <sz val="9"/>
            <color indexed="81"/>
            <rFont val="Tahoma"/>
            <family val="2"/>
          </rPr>
          <t>LPA:</t>
        </r>
        <r>
          <rPr>
            <sz val="9"/>
            <color indexed="81"/>
            <rFont val="Tahoma"/>
            <family val="2"/>
          </rPr>
          <t xml:space="preserve">
проверити збир!
</t>
        </r>
      </text>
    </comment>
    <comment ref="I11482" authorId="0" shapeId="0">
      <text>
        <r>
          <rPr>
            <b/>
            <sz val="9"/>
            <color indexed="81"/>
            <rFont val="Tahoma"/>
            <family val="2"/>
          </rPr>
          <t>LPA:</t>
        </r>
        <r>
          <rPr>
            <sz val="9"/>
            <color indexed="81"/>
            <rFont val="Tahoma"/>
            <family val="2"/>
          </rPr>
          <t xml:space="preserve">
проверити збир!
</t>
        </r>
      </text>
    </comment>
    <comment ref="I11483" authorId="0" shapeId="0">
      <text>
        <r>
          <rPr>
            <b/>
            <sz val="9"/>
            <color indexed="81"/>
            <rFont val="Tahoma"/>
            <family val="2"/>
          </rPr>
          <t>LPA:</t>
        </r>
        <r>
          <rPr>
            <sz val="9"/>
            <color indexed="81"/>
            <rFont val="Tahoma"/>
            <family val="2"/>
          </rPr>
          <t xml:space="preserve">
проверити збир!
</t>
        </r>
      </text>
    </comment>
    <comment ref="I11552" authorId="0" shapeId="0">
      <text>
        <r>
          <rPr>
            <b/>
            <sz val="9"/>
            <color indexed="81"/>
            <rFont val="Tahoma"/>
            <family val="2"/>
          </rPr>
          <t>LPA:</t>
        </r>
        <r>
          <rPr>
            <sz val="9"/>
            <color indexed="81"/>
            <rFont val="Tahoma"/>
            <family val="2"/>
          </rPr>
          <t xml:space="preserve">
проверити збир!
</t>
        </r>
      </text>
    </comment>
    <comment ref="I11553" authorId="0" shapeId="0">
      <text>
        <r>
          <rPr>
            <b/>
            <sz val="9"/>
            <color indexed="81"/>
            <rFont val="Tahoma"/>
            <family val="2"/>
          </rPr>
          <t>LPA:</t>
        </r>
        <r>
          <rPr>
            <sz val="9"/>
            <color indexed="81"/>
            <rFont val="Tahoma"/>
            <family val="2"/>
          </rPr>
          <t xml:space="preserve">
проверити збир!
</t>
        </r>
      </text>
    </comment>
    <comment ref="I11554" authorId="0" shapeId="0">
      <text>
        <r>
          <rPr>
            <b/>
            <sz val="9"/>
            <color indexed="81"/>
            <rFont val="Tahoma"/>
            <family val="2"/>
          </rPr>
          <t>LPA:</t>
        </r>
        <r>
          <rPr>
            <sz val="9"/>
            <color indexed="81"/>
            <rFont val="Tahoma"/>
            <family val="2"/>
          </rPr>
          <t xml:space="preserve">
проверити збир!
</t>
        </r>
      </text>
    </comment>
    <comment ref="I11555" authorId="0" shapeId="0">
      <text>
        <r>
          <rPr>
            <b/>
            <sz val="9"/>
            <color indexed="81"/>
            <rFont val="Tahoma"/>
            <family val="2"/>
          </rPr>
          <t>LPA:</t>
        </r>
        <r>
          <rPr>
            <sz val="9"/>
            <color indexed="81"/>
            <rFont val="Tahoma"/>
            <family val="2"/>
          </rPr>
          <t xml:space="preserve">
проверити збир!
</t>
        </r>
      </text>
    </comment>
    <comment ref="I11556" authorId="0" shapeId="0">
      <text>
        <r>
          <rPr>
            <b/>
            <sz val="9"/>
            <color indexed="81"/>
            <rFont val="Tahoma"/>
            <family val="2"/>
          </rPr>
          <t>LPA:</t>
        </r>
        <r>
          <rPr>
            <sz val="9"/>
            <color indexed="81"/>
            <rFont val="Tahoma"/>
            <family val="2"/>
          </rPr>
          <t xml:space="preserve">
проверити збир!
</t>
        </r>
      </text>
    </comment>
    <comment ref="I11557" authorId="0" shapeId="0">
      <text>
        <r>
          <rPr>
            <b/>
            <sz val="9"/>
            <color indexed="81"/>
            <rFont val="Tahoma"/>
            <family val="2"/>
          </rPr>
          <t>LPA:</t>
        </r>
        <r>
          <rPr>
            <sz val="9"/>
            <color indexed="81"/>
            <rFont val="Tahoma"/>
            <family val="2"/>
          </rPr>
          <t xml:space="preserve">
проверити збир!
</t>
        </r>
      </text>
    </comment>
    <comment ref="I11558" authorId="0" shapeId="0">
      <text>
        <r>
          <rPr>
            <b/>
            <sz val="9"/>
            <color indexed="81"/>
            <rFont val="Tahoma"/>
            <family val="2"/>
          </rPr>
          <t>LPA:</t>
        </r>
        <r>
          <rPr>
            <sz val="9"/>
            <color indexed="81"/>
            <rFont val="Tahoma"/>
            <family val="2"/>
          </rPr>
          <t xml:space="preserve">
проверити збир!
</t>
        </r>
      </text>
    </comment>
    <comment ref="I11559" authorId="0" shapeId="0">
      <text>
        <r>
          <rPr>
            <b/>
            <sz val="9"/>
            <color indexed="81"/>
            <rFont val="Tahoma"/>
            <family val="2"/>
          </rPr>
          <t>LPA:</t>
        </r>
        <r>
          <rPr>
            <sz val="9"/>
            <color indexed="81"/>
            <rFont val="Tahoma"/>
            <family val="2"/>
          </rPr>
          <t xml:space="preserve">
проверити збир!
</t>
        </r>
      </text>
    </comment>
    <comment ref="I11560" authorId="0" shapeId="0">
      <text>
        <r>
          <rPr>
            <b/>
            <sz val="9"/>
            <color indexed="81"/>
            <rFont val="Tahoma"/>
            <family val="2"/>
          </rPr>
          <t>LPA:</t>
        </r>
        <r>
          <rPr>
            <sz val="9"/>
            <color indexed="81"/>
            <rFont val="Tahoma"/>
            <family val="2"/>
          </rPr>
          <t xml:space="preserve">
проверити збир!
</t>
        </r>
      </text>
    </comment>
    <comment ref="I11561" authorId="0" shapeId="0">
      <text>
        <r>
          <rPr>
            <b/>
            <sz val="9"/>
            <color indexed="81"/>
            <rFont val="Tahoma"/>
            <family val="2"/>
          </rPr>
          <t>LPA:</t>
        </r>
        <r>
          <rPr>
            <sz val="9"/>
            <color indexed="81"/>
            <rFont val="Tahoma"/>
            <family val="2"/>
          </rPr>
          <t xml:space="preserve">
проверити збир!
</t>
        </r>
      </text>
    </comment>
    <comment ref="I11562" authorId="0" shapeId="0">
      <text>
        <r>
          <rPr>
            <b/>
            <sz val="9"/>
            <color indexed="81"/>
            <rFont val="Tahoma"/>
            <family val="2"/>
          </rPr>
          <t>LPA:</t>
        </r>
        <r>
          <rPr>
            <sz val="9"/>
            <color indexed="81"/>
            <rFont val="Tahoma"/>
            <family val="2"/>
          </rPr>
          <t xml:space="preserve">
проверити збир!
</t>
        </r>
      </text>
    </comment>
    <comment ref="I11563" authorId="0" shapeId="0">
      <text>
        <r>
          <rPr>
            <b/>
            <sz val="9"/>
            <color indexed="81"/>
            <rFont val="Tahoma"/>
            <family val="2"/>
          </rPr>
          <t>LPA:</t>
        </r>
        <r>
          <rPr>
            <sz val="9"/>
            <color indexed="81"/>
            <rFont val="Tahoma"/>
            <family val="2"/>
          </rPr>
          <t xml:space="preserve">
проверити збир!
</t>
        </r>
      </text>
    </comment>
    <comment ref="I11564" authorId="0" shapeId="0">
      <text>
        <r>
          <rPr>
            <b/>
            <sz val="9"/>
            <color indexed="81"/>
            <rFont val="Tahoma"/>
            <family val="2"/>
          </rPr>
          <t>LPA:</t>
        </r>
        <r>
          <rPr>
            <sz val="9"/>
            <color indexed="81"/>
            <rFont val="Tahoma"/>
            <family val="2"/>
          </rPr>
          <t xml:space="preserve">
проверити збир!
</t>
        </r>
      </text>
    </comment>
    <comment ref="H11567" authorId="0" shapeId="0">
      <text>
        <r>
          <rPr>
            <b/>
            <sz val="9"/>
            <color indexed="81"/>
            <rFont val="Tahoma"/>
            <family val="2"/>
          </rPr>
          <t>LPA:</t>
        </r>
        <r>
          <rPr>
            <sz val="9"/>
            <color indexed="81"/>
            <rFont val="Tahoma"/>
            <family val="2"/>
          </rPr>
          <t xml:space="preserve">
проверити збир!</t>
        </r>
      </text>
    </comment>
    <comment ref="I11567" authorId="0" shapeId="0">
      <text>
        <r>
          <rPr>
            <b/>
            <sz val="9"/>
            <color indexed="81"/>
            <rFont val="Tahoma"/>
            <family val="2"/>
          </rPr>
          <t>LPA:</t>
        </r>
        <r>
          <rPr>
            <sz val="9"/>
            <color indexed="81"/>
            <rFont val="Tahoma"/>
            <family val="2"/>
          </rPr>
          <t xml:space="preserve">
проверити збир!</t>
        </r>
      </text>
    </comment>
    <comment ref="I11568" authorId="0" shapeId="0">
      <text>
        <r>
          <rPr>
            <b/>
            <sz val="9"/>
            <color indexed="81"/>
            <rFont val="Tahoma"/>
            <family val="2"/>
          </rPr>
          <t>LPA:</t>
        </r>
        <r>
          <rPr>
            <sz val="9"/>
            <color indexed="81"/>
            <rFont val="Tahoma"/>
            <family val="2"/>
          </rPr>
          <t xml:space="preserve">
проверити збир!
</t>
        </r>
      </text>
    </comment>
    <comment ref="I11569" authorId="0" shapeId="0">
      <text>
        <r>
          <rPr>
            <b/>
            <sz val="9"/>
            <color indexed="81"/>
            <rFont val="Tahoma"/>
            <family val="2"/>
          </rPr>
          <t>LPA:</t>
        </r>
        <r>
          <rPr>
            <sz val="9"/>
            <color indexed="81"/>
            <rFont val="Tahoma"/>
            <family val="2"/>
          </rPr>
          <t xml:space="preserve">
проверити збир!
</t>
        </r>
      </text>
    </comment>
    <comment ref="I11570" authorId="0" shapeId="0">
      <text>
        <r>
          <rPr>
            <b/>
            <sz val="9"/>
            <color indexed="81"/>
            <rFont val="Tahoma"/>
            <family val="2"/>
          </rPr>
          <t>LPA:</t>
        </r>
        <r>
          <rPr>
            <sz val="9"/>
            <color indexed="81"/>
            <rFont val="Tahoma"/>
            <family val="2"/>
          </rPr>
          <t xml:space="preserve">
проверити збир!
</t>
        </r>
      </text>
    </comment>
    <comment ref="I11571" authorId="0" shapeId="0">
      <text>
        <r>
          <rPr>
            <b/>
            <sz val="9"/>
            <color indexed="81"/>
            <rFont val="Tahoma"/>
            <family val="2"/>
          </rPr>
          <t>LPA:</t>
        </r>
        <r>
          <rPr>
            <sz val="9"/>
            <color indexed="81"/>
            <rFont val="Tahoma"/>
            <family val="2"/>
          </rPr>
          <t xml:space="preserve">
проверити збир!
</t>
        </r>
      </text>
    </comment>
    <comment ref="I11572" authorId="0" shapeId="0">
      <text>
        <r>
          <rPr>
            <b/>
            <sz val="9"/>
            <color indexed="81"/>
            <rFont val="Tahoma"/>
            <family val="2"/>
          </rPr>
          <t>LPA:</t>
        </r>
        <r>
          <rPr>
            <sz val="9"/>
            <color indexed="81"/>
            <rFont val="Tahoma"/>
            <family val="2"/>
          </rPr>
          <t xml:space="preserve">
проверити збир!
</t>
        </r>
      </text>
    </comment>
    <comment ref="I11573" authorId="0" shapeId="0">
      <text>
        <r>
          <rPr>
            <b/>
            <sz val="9"/>
            <color indexed="81"/>
            <rFont val="Tahoma"/>
            <family val="2"/>
          </rPr>
          <t>LPA:</t>
        </r>
        <r>
          <rPr>
            <sz val="9"/>
            <color indexed="81"/>
            <rFont val="Tahoma"/>
            <family val="2"/>
          </rPr>
          <t xml:space="preserve">
проверити збир!
</t>
        </r>
      </text>
    </comment>
    <comment ref="I11574" authorId="0" shapeId="0">
      <text>
        <r>
          <rPr>
            <b/>
            <sz val="9"/>
            <color indexed="81"/>
            <rFont val="Tahoma"/>
            <family val="2"/>
          </rPr>
          <t>LPA:</t>
        </r>
        <r>
          <rPr>
            <sz val="9"/>
            <color indexed="81"/>
            <rFont val="Tahoma"/>
            <family val="2"/>
          </rPr>
          <t xml:space="preserve">
проверити збир!
</t>
        </r>
      </text>
    </comment>
    <comment ref="I11575" authorId="0" shapeId="0">
      <text>
        <r>
          <rPr>
            <b/>
            <sz val="9"/>
            <color indexed="81"/>
            <rFont val="Tahoma"/>
            <family val="2"/>
          </rPr>
          <t>LPA:</t>
        </r>
        <r>
          <rPr>
            <sz val="9"/>
            <color indexed="81"/>
            <rFont val="Tahoma"/>
            <family val="2"/>
          </rPr>
          <t xml:space="preserve">
проверити збир!
</t>
        </r>
      </text>
    </comment>
    <comment ref="I11576" authorId="0" shapeId="0">
      <text>
        <r>
          <rPr>
            <b/>
            <sz val="9"/>
            <color indexed="81"/>
            <rFont val="Tahoma"/>
            <family val="2"/>
          </rPr>
          <t>LPA:</t>
        </r>
        <r>
          <rPr>
            <sz val="9"/>
            <color indexed="81"/>
            <rFont val="Tahoma"/>
            <family val="2"/>
          </rPr>
          <t xml:space="preserve">
проверити збир!
</t>
        </r>
      </text>
    </comment>
    <comment ref="I11577" authorId="0" shapeId="0">
      <text>
        <r>
          <rPr>
            <b/>
            <sz val="9"/>
            <color indexed="81"/>
            <rFont val="Tahoma"/>
            <family val="2"/>
          </rPr>
          <t>LPA:</t>
        </r>
        <r>
          <rPr>
            <sz val="9"/>
            <color indexed="81"/>
            <rFont val="Tahoma"/>
            <family val="2"/>
          </rPr>
          <t xml:space="preserve">
проверити збир!
</t>
        </r>
      </text>
    </comment>
    <comment ref="I11578" authorId="0" shapeId="0">
      <text>
        <r>
          <rPr>
            <b/>
            <sz val="9"/>
            <color indexed="81"/>
            <rFont val="Tahoma"/>
            <family val="2"/>
          </rPr>
          <t>LPA:</t>
        </r>
        <r>
          <rPr>
            <sz val="9"/>
            <color indexed="81"/>
            <rFont val="Tahoma"/>
            <family val="2"/>
          </rPr>
          <t xml:space="preserve">
проверити збир!
</t>
        </r>
      </text>
    </comment>
    <comment ref="I11579" authorId="0" shapeId="0">
      <text>
        <r>
          <rPr>
            <b/>
            <sz val="9"/>
            <color indexed="81"/>
            <rFont val="Tahoma"/>
            <family val="2"/>
          </rPr>
          <t>LPA:</t>
        </r>
        <r>
          <rPr>
            <sz val="9"/>
            <color indexed="81"/>
            <rFont val="Tahoma"/>
            <family val="2"/>
          </rPr>
          <t xml:space="preserve">
проверити збир!
</t>
        </r>
      </text>
    </comment>
    <comment ref="I11580" authorId="0" shapeId="0">
      <text>
        <r>
          <rPr>
            <b/>
            <sz val="9"/>
            <color indexed="81"/>
            <rFont val="Tahoma"/>
            <family val="2"/>
          </rPr>
          <t>LPA:</t>
        </r>
        <r>
          <rPr>
            <sz val="9"/>
            <color indexed="81"/>
            <rFont val="Tahoma"/>
            <family val="2"/>
          </rPr>
          <t xml:space="preserve">
проверити збир!
</t>
        </r>
      </text>
    </comment>
    <comment ref="I11581" authorId="0" shapeId="0">
      <text>
        <r>
          <rPr>
            <b/>
            <sz val="9"/>
            <color indexed="81"/>
            <rFont val="Tahoma"/>
            <family val="2"/>
          </rPr>
          <t>LPA:</t>
        </r>
        <r>
          <rPr>
            <sz val="9"/>
            <color indexed="81"/>
            <rFont val="Tahoma"/>
            <family val="2"/>
          </rPr>
          <t xml:space="preserve">
проверити збир!
</t>
        </r>
      </text>
    </comment>
    <comment ref="I11582" authorId="0" shapeId="0">
      <text>
        <r>
          <rPr>
            <b/>
            <sz val="9"/>
            <color indexed="81"/>
            <rFont val="Tahoma"/>
            <family val="2"/>
          </rPr>
          <t>LPA:</t>
        </r>
        <r>
          <rPr>
            <sz val="9"/>
            <color indexed="81"/>
            <rFont val="Tahoma"/>
            <family val="2"/>
          </rPr>
          <t xml:space="preserve">
проверити збир!
</t>
        </r>
      </text>
    </comment>
    <comment ref="H11586" authorId="0" shapeId="0">
      <text>
        <r>
          <rPr>
            <b/>
            <sz val="9"/>
            <color indexed="81"/>
            <rFont val="Tahoma"/>
            <family val="2"/>
          </rPr>
          <t>LPA:</t>
        </r>
        <r>
          <rPr>
            <sz val="9"/>
            <color indexed="81"/>
            <rFont val="Tahoma"/>
            <family val="2"/>
          </rPr>
          <t xml:space="preserve">
проверити збир!</t>
        </r>
      </text>
    </comment>
    <comment ref="I11586" authorId="0" shapeId="0">
      <text>
        <r>
          <rPr>
            <b/>
            <sz val="9"/>
            <color indexed="81"/>
            <rFont val="Tahoma"/>
            <family val="2"/>
          </rPr>
          <t>LPA:</t>
        </r>
        <r>
          <rPr>
            <sz val="9"/>
            <color indexed="81"/>
            <rFont val="Tahoma"/>
            <family val="2"/>
          </rPr>
          <t xml:space="preserve">
проверити збир!
</t>
        </r>
      </text>
    </comment>
    <comment ref="I11587" authorId="0" shapeId="0">
      <text>
        <r>
          <rPr>
            <b/>
            <sz val="9"/>
            <color indexed="81"/>
            <rFont val="Tahoma"/>
            <family val="2"/>
          </rPr>
          <t>LPA:</t>
        </r>
        <r>
          <rPr>
            <sz val="9"/>
            <color indexed="81"/>
            <rFont val="Tahoma"/>
            <family val="2"/>
          </rPr>
          <t xml:space="preserve">
проверити збир!
</t>
        </r>
      </text>
    </comment>
    <comment ref="I11588" authorId="0" shapeId="0">
      <text>
        <r>
          <rPr>
            <b/>
            <sz val="9"/>
            <color indexed="81"/>
            <rFont val="Tahoma"/>
            <family val="2"/>
          </rPr>
          <t>LPA:</t>
        </r>
        <r>
          <rPr>
            <sz val="9"/>
            <color indexed="81"/>
            <rFont val="Tahoma"/>
            <family val="2"/>
          </rPr>
          <t xml:space="preserve">
проверити збир!
</t>
        </r>
      </text>
    </comment>
    <comment ref="I11589" authorId="0" shapeId="0">
      <text>
        <r>
          <rPr>
            <b/>
            <sz val="9"/>
            <color indexed="81"/>
            <rFont val="Tahoma"/>
            <family val="2"/>
          </rPr>
          <t>LPA:</t>
        </r>
        <r>
          <rPr>
            <sz val="9"/>
            <color indexed="81"/>
            <rFont val="Tahoma"/>
            <family val="2"/>
          </rPr>
          <t xml:space="preserve">
проверити збир!
</t>
        </r>
      </text>
    </comment>
    <comment ref="I11590" authorId="0" shapeId="0">
      <text>
        <r>
          <rPr>
            <b/>
            <sz val="9"/>
            <color indexed="81"/>
            <rFont val="Tahoma"/>
            <family val="2"/>
          </rPr>
          <t>LPA:</t>
        </r>
        <r>
          <rPr>
            <sz val="9"/>
            <color indexed="81"/>
            <rFont val="Tahoma"/>
            <family val="2"/>
          </rPr>
          <t xml:space="preserve">
проверити збир!
</t>
        </r>
      </text>
    </comment>
    <comment ref="I11591" authorId="0" shapeId="0">
      <text>
        <r>
          <rPr>
            <b/>
            <sz val="9"/>
            <color indexed="81"/>
            <rFont val="Tahoma"/>
            <family val="2"/>
          </rPr>
          <t>LPA:</t>
        </r>
        <r>
          <rPr>
            <sz val="9"/>
            <color indexed="81"/>
            <rFont val="Tahoma"/>
            <family val="2"/>
          </rPr>
          <t xml:space="preserve">
проверити збир!
</t>
        </r>
      </text>
    </comment>
    <comment ref="I11592" authorId="0" shapeId="0">
      <text>
        <r>
          <rPr>
            <b/>
            <sz val="9"/>
            <color indexed="81"/>
            <rFont val="Tahoma"/>
            <family val="2"/>
          </rPr>
          <t>LPA:</t>
        </r>
        <r>
          <rPr>
            <sz val="9"/>
            <color indexed="81"/>
            <rFont val="Tahoma"/>
            <family val="2"/>
          </rPr>
          <t xml:space="preserve">
проверити збир!
</t>
        </r>
      </text>
    </comment>
    <comment ref="I11593" authorId="0" shapeId="0">
      <text>
        <r>
          <rPr>
            <b/>
            <sz val="9"/>
            <color indexed="81"/>
            <rFont val="Tahoma"/>
            <family val="2"/>
          </rPr>
          <t>LPA:</t>
        </r>
        <r>
          <rPr>
            <sz val="9"/>
            <color indexed="81"/>
            <rFont val="Tahoma"/>
            <family val="2"/>
          </rPr>
          <t xml:space="preserve">
проверити збир!
</t>
        </r>
      </text>
    </comment>
    <comment ref="I11594" authorId="0" shapeId="0">
      <text>
        <r>
          <rPr>
            <b/>
            <sz val="9"/>
            <color indexed="81"/>
            <rFont val="Tahoma"/>
            <family val="2"/>
          </rPr>
          <t>LPA:</t>
        </r>
        <r>
          <rPr>
            <sz val="9"/>
            <color indexed="81"/>
            <rFont val="Tahoma"/>
            <family val="2"/>
          </rPr>
          <t xml:space="preserve">
проверити збир!
</t>
        </r>
      </text>
    </comment>
    <comment ref="I11595" authorId="0" shapeId="0">
      <text>
        <r>
          <rPr>
            <b/>
            <sz val="9"/>
            <color indexed="81"/>
            <rFont val="Tahoma"/>
            <family val="2"/>
          </rPr>
          <t>LPA:</t>
        </r>
        <r>
          <rPr>
            <sz val="9"/>
            <color indexed="81"/>
            <rFont val="Tahoma"/>
            <family val="2"/>
          </rPr>
          <t xml:space="preserve">
проверити збир!
</t>
        </r>
      </text>
    </comment>
    <comment ref="I11596" authorId="0" shapeId="0">
      <text>
        <r>
          <rPr>
            <b/>
            <sz val="9"/>
            <color indexed="81"/>
            <rFont val="Tahoma"/>
            <family val="2"/>
          </rPr>
          <t>LPA:</t>
        </r>
        <r>
          <rPr>
            <sz val="9"/>
            <color indexed="81"/>
            <rFont val="Tahoma"/>
            <family val="2"/>
          </rPr>
          <t xml:space="preserve">
проверити збир!
</t>
        </r>
      </text>
    </comment>
    <comment ref="I11597" authorId="0" shapeId="0">
      <text>
        <r>
          <rPr>
            <b/>
            <sz val="9"/>
            <color indexed="81"/>
            <rFont val="Tahoma"/>
            <family val="2"/>
          </rPr>
          <t>LPA:</t>
        </r>
        <r>
          <rPr>
            <sz val="9"/>
            <color indexed="81"/>
            <rFont val="Tahoma"/>
            <family val="2"/>
          </rPr>
          <t xml:space="preserve">
проверити збир!
</t>
        </r>
      </text>
    </comment>
    <comment ref="I11598" authorId="0" shapeId="0">
      <text>
        <r>
          <rPr>
            <b/>
            <sz val="9"/>
            <color indexed="81"/>
            <rFont val="Tahoma"/>
            <family val="2"/>
          </rPr>
          <t>LPA:</t>
        </r>
        <r>
          <rPr>
            <sz val="9"/>
            <color indexed="81"/>
            <rFont val="Tahoma"/>
            <family val="2"/>
          </rPr>
          <t xml:space="preserve">
проверити збир!
</t>
        </r>
      </text>
    </comment>
    <comment ref="I11599" authorId="0" shapeId="0">
      <text>
        <r>
          <rPr>
            <b/>
            <sz val="9"/>
            <color indexed="81"/>
            <rFont val="Tahoma"/>
            <family val="2"/>
          </rPr>
          <t>LPA:</t>
        </r>
        <r>
          <rPr>
            <sz val="9"/>
            <color indexed="81"/>
            <rFont val="Tahoma"/>
            <family val="2"/>
          </rPr>
          <t xml:space="preserve">
проверити збир!
</t>
        </r>
      </text>
    </comment>
    <comment ref="I11600" authorId="0" shapeId="0">
      <text>
        <r>
          <rPr>
            <b/>
            <sz val="9"/>
            <color indexed="81"/>
            <rFont val="Tahoma"/>
            <family val="2"/>
          </rPr>
          <t>LPA:</t>
        </r>
        <r>
          <rPr>
            <sz val="9"/>
            <color indexed="81"/>
            <rFont val="Tahoma"/>
            <family val="2"/>
          </rPr>
          <t xml:space="preserve">
проверити збир!
</t>
        </r>
      </text>
    </comment>
    <comment ref="I11601" authorId="0" shapeId="0">
      <text>
        <r>
          <rPr>
            <b/>
            <sz val="9"/>
            <color indexed="81"/>
            <rFont val="Tahoma"/>
            <family val="2"/>
          </rPr>
          <t>LPA:</t>
        </r>
        <r>
          <rPr>
            <sz val="9"/>
            <color indexed="81"/>
            <rFont val="Tahoma"/>
            <family val="2"/>
          </rPr>
          <t xml:space="preserve">
проверити збир!
</t>
        </r>
      </text>
    </comment>
    <comment ref="H11605" authorId="0" shapeId="0">
      <text>
        <r>
          <rPr>
            <b/>
            <sz val="9"/>
            <color indexed="81"/>
            <rFont val="Tahoma"/>
            <family val="2"/>
          </rPr>
          <t>LPA:</t>
        </r>
        <r>
          <rPr>
            <sz val="9"/>
            <color indexed="81"/>
            <rFont val="Tahoma"/>
            <family val="2"/>
          </rPr>
          <t xml:space="preserve">
провери збир!</t>
        </r>
      </text>
    </comment>
    <comment ref="I11605" authorId="0" shapeId="0">
      <text>
        <r>
          <rPr>
            <b/>
            <sz val="9"/>
            <color indexed="81"/>
            <rFont val="Tahoma"/>
            <family val="2"/>
          </rPr>
          <t>LPA:</t>
        </r>
        <r>
          <rPr>
            <sz val="9"/>
            <color indexed="81"/>
            <rFont val="Tahoma"/>
            <family val="2"/>
          </rPr>
          <t xml:space="preserve">
проверити збир!
</t>
        </r>
      </text>
    </comment>
    <comment ref="I11606" authorId="0" shapeId="0">
      <text>
        <r>
          <rPr>
            <b/>
            <sz val="9"/>
            <color indexed="81"/>
            <rFont val="Tahoma"/>
            <family val="2"/>
          </rPr>
          <t>LPA:</t>
        </r>
        <r>
          <rPr>
            <sz val="9"/>
            <color indexed="81"/>
            <rFont val="Tahoma"/>
            <family val="2"/>
          </rPr>
          <t xml:space="preserve">
проверити збир!
</t>
        </r>
      </text>
    </comment>
    <comment ref="I11607" authorId="0" shapeId="0">
      <text>
        <r>
          <rPr>
            <b/>
            <sz val="9"/>
            <color indexed="81"/>
            <rFont val="Tahoma"/>
            <family val="2"/>
          </rPr>
          <t>LPA:</t>
        </r>
        <r>
          <rPr>
            <sz val="9"/>
            <color indexed="81"/>
            <rFont val="Tahoma"/>
            <family val="2"/>
          </rPr>
          <t xml:space="preserve">
проверити збир!
</t>
        </r>
      </text>
    </comment>
    <comment ref="I11608" authorId="0" shapeId="0">
      <text>
        <r>
          <rPr>
            <b/>
            <sz val="9"/>
            <color indexed="81"/>
            <rFont val="Tahoma"/>
            <family val="2"/>
          </rPr>
          <t>LPA:</t>
        </r>
        <r>
          <rPr>
            <sz val="9"/>
            <color indexed="81"/>
            <rFont val="Tahoma"/>
            <family val="2"/>
          </rPr>
          <t xml:space="preserve">
проверити збир!
</t>
        </r>
      </text>
    </comment>
    <comment ref="I11609" authorId="0" shapeId="0">
      <text>
        <r>
          <rPr>
            <b/>
            <sz val="9"/>
            <color indexed="81"/>
            <rFont val="Tahoma"/>
            <family val="2"/>
          </rPr>
          <t>LPA:</t>
        </r>
        <r>
          <rPr>
            <sz val="9"/>
            <color indexed="81"/>
            <rFont val="Tahoma"/>
            <family val="2"/>
          </rPr>
          <t xml:space="preserve">
проверити збир!
</t>
        </r>
      </text>
    </comment>
    <comment ref="I11610" authorId="0" shapeId="0">
      <text>
        <r>
          <rPr>
            <b/>
            <sz val="9"/>
            <color indexed="81"/>
            <rFont val="Tahoma"/>
            <family val="2"/>
          </rPr>
          <t>LPA:</t>
        </r>
        <r>
          <rPr>
            <sz val="9"/>
            <color indexed="81"/>
            <rFont val="Tahoma"/>
            <family val="2"/>
          </rPr>
          <t xml:space="preserve">
проверити збир!
</t>
        </r>
      </text>
    </comment>
    <comment ref="I11611" authorId="0" shapeId="0">
      <text>
        <r>
          <rPr>
            <b/>
            <sz val="9"/>
            <color indexed="81"/>
            <rFont val="Tahoma"/>
            <family val="2"/>
          </rPr>
          <t>LPA:</t>
        </r>
        <r>
          <rPr>
            <sz val="9"/>
            <color indexed="81"/>
            <rFont val="Tahoma"/>
            <family val="2"/>
          </rPr>
          <t xml:space="preserve">
проверити збир!
</t>
        </r>
      </text>
    </comment>
    <comment ref="I11612" authorId="0" shapeId="0">
      <text>
        <r>
          <rPr>
            <b/>
            <sz val="9"/>
            <color indexed="81"/>
            <rFont val="Tahoma"/>
            <family val="2"/>
          </rPr>
          <t>LPA:</t>
        </r>
        <r>
          <rPr>
            <sz val="9"/>
            <color indexed="81"/>
            <rFont val="Tahoma"/>
            <family val="2"/>
          </rPr>
          <t xml:space="preserve">
проверити збир!
</t>
        </r>
      </text>
    </comment>
    <comment ref="I11613" authorId="0" shapeId="0">
      <text>
        <r>
          <rPr>
            <b/>
            <sz val="9"/>
            <color indexed="81"/>
            <rFont val="Tahoma"/>
            <family val="2"/>
          </rPr>
          <t>LPA:</t>
        </r>
        <r>
          <rPr>
            <sz val="9"/>
            <color indexed="81"/>
            <rFont val="Tahoma"/>
            <family val="2"/>
          </rPr>
          <t xml:space="preserve">
проверити збир!
</t>
        </r>
      </text>
    </comment>
    <comment ref="I11614" authorId="0" shapeId="0">
      <text>
        <r>
          <rPr>
            <b/>
            <sz val="9"/>
            <color indexed="81"/>
            <rFont val="Tahoma"/>
            <family val="2"/>
          </rPr>
          <t>LPA:</t>
        </r>
        <r>
          <rPr>
            <sz val="9"/>
            <color indexed="81"/>
            <rFont val="Tahoma"/>
            <family val="2"/>
          </rPr>
          <t xml:space="preserve">
проверити збир!
</t>
        </r>
      </text>
    </comment>
    <comment ref="I11615" authorId="0" shapeId="0">
      <text>
        <r>
          <rPr>
            <b/>
            <sz val="9"/>
            <color indexed="81"/>
            <rFont val="Tahoma"/>
            <family val="2"/>
          </rPr>
          <t>LPA:</t>
        </r>
        <r>
          <rPr>
            <sz val="9"/>
            <color indexed="81"/>
            <rFont val="Tahoma"/>
            <family val="2"/>
          </rPr>
          <t xml:space="preserve">
проверити збир!
</t>
        </r>
      </text>
    </comment>
    <comment ref="I11616" authorId="0" shapeId="0">
      <text>
        <r>
          <rPr>
            <b/>
            <sz val="9"/>
            <color indexed="81"/>
            <rFont val="Tahoma"/>
            <family val="2"/>
          </rPr>
          <t>LPA:</t>
        </r>
        <r>
          <rPr>
            <sz val="9"/>
            <color indexed="81"/>
            <rFont val="Tahoma"/>
            <family val="2"/>
          </rPr>
          <t xml:space="preserve">
проверити збир!
</t>
        </r>
      </text>
    </comment>
    <comment ref="I11617" authorId="0" shapeId="0">
      <text>
        <r>
          <rPr>
            <b/>
            <sz val="9"/>
            <color indexed="81"/>
            <rFont val="Tahoma"/>
            <family val="2"/>
          </rPr>
          <t>LPA:</t>
        </r>
        <r>
          <rPr>
            <sz val="9"/>
            <color indexed="81"/>
            <rFont val="Tahoma"/>
            <family val="2"/>
          </rPr>
          <t xml:space="preserve">
проверити збир!
</t>
        </r>
      </text>
    </comment>
    <comment ref="I11618" authorId="0" shapeId="0">
      <text>
        <r>
          <rPr>
            <b/>
            <sz val="9"/>
            <color indexed="81"/>
            <rFont val="Tahoma"/>
            <family val="2"/>
          </rPr>
          <t>LPA:</t>
        </r>
        <r>
          <rPr>
            <sz val="9"/>
            <color indexed="81"/>
            <rFont val="Tahoma"/>
            <family val="2"/>
          </rPr>
          <t xml:space="preserve">
проверити збир!
</t>
        </r>
      </text>
    </comment>
    <comment ref="I11619" authorId="0" shapeId="0">
      <text>
        <r>
          <rPr>
            <b/>
            <sz val="9"/>
            <color indexed="81"/>
            <rFont val="Tahoma"/>
            <family val="2"/>
          </rPr>
          <t>LPA:</t>
        </r>
        <r>
          <rPr>
            <sz val="9"/>
            <color indexed="81"/>
            <rFont val="Tahoma"/>
            <family val="2"/>
          </rPr>
          <t xml:space="preserve">
проверити збир!
</t>
        </r>
      </text>
    </comment>
    <comment ref="I11620" authorId="0" shapeId="0">
      <text>
        <r>
          <rPr>
            <b/>
            <sz val="9"/>
            <color indexed="81"/>
            <rFont val="Tahoma"/>
            <family val="2"/>
          </rPr>
          <t>LPA:</t>
        </r>
        <r>
          <rPr>
            <sz val="9"/>
            <color indexed="81"/>
            <rFont val="Tahoma"/>
            <family val="2"/>
          </rPr>
          <t xml:space="preserve">
проверити збир!
</t>
        </r>
      </text>
    </comment>
    <comment ref="I11692" authorId="0" shapeId="0">
      <text>
        <r>
          <rPr>
            <b/>
            <sz val="9"/>
            <color indexed="81"/>
            <rFont val="Tahoma"/>
            <family val="2"/>
          </rPr>
          <t>LPA:</t>
        </r>
        <r>
          <rPr>
            <sz val="9"/>
            <color indexed="81"/>
            <rFont val="Tahoma"/>
            <family val="2"/>
          </rPr>
          <t xml:space="preserve">
проверити збир!
</t>
        </r>
      </text>
    </comment>
    <comment ref="I11693" authorId="0" shapeId="0">
      <text>
        <r>
          <rPr>
            <b/>
            <sz val="9"/>
            <color indexed="81"/>
            <rFont val="Tahoma"/>
            <family val="2"/>
          </rPr>
          <t>LPA:</t>
        </r>
        <r>
          <rPr>
            <sz val="9"/>
            <color indexed="81"/>
            <rFont val="Tahoma"/>
            <family val="2"/>
          </rPr>
          <t xml:space="preserve">
проверити збир!
</t>
        </r>
      </text>
    </comment>
    <comment ref="I11694" authorId="0" shapeId="0">
      <text>
        <r>
          <rPr>
            <b/>
            <sz val="9"/>
            <color indexed="81"/>
            <rFont val="Tahoma"/>
            <family val="2"/>
          </rPr>
          <t>LPA:</t>
        </r>
        <r>
          <rPr>
            <sz val="9"/>
            <color indexed="81"/>
            <rFont val="Tahoma"/>
            <family val="2"/>
          </rPr>
          <t xml:space="preserve">
проверити збир!
</t>
        </r>
      </text>
    </comment>
    <comment ref="I11695" authorId="0" shapeId="0">
      <text>
        <r>
          <rPr>
            <b/>
            <sz val="9"/>
            <color indexed="81"/>
            <rFont val="Tahoma"/>
            <family val="2"/>
          </rPr>
          <t>LPA:</t>
        </r>
        <r>
          <rPr>
            <sz val="9"/>
            <color indexed="81"/>
            <rFont val="Tahoma"/>
            <family val="2"/>
          </rPr>
          <t xml:space="preserve">
проверити збир!
</t>
        </r>
      </text>
    </comment>
    <comment ref="I11696" authorId="0" shapeId="0">
      <text>
        <r>
          <rPr>
            <b/>
            <sz val="9"/>
            <color indexed="81"/>
            <rFont val="Tahoma"/>
            <family val="2"/>
          </rPr>
          <t>LPA:</t>
        </r>
        <r>
          <rPr>
            <sz val="9"/>
            <color indexed="81"/>
            <rFont val="Tahoma"/>
            <family val="2"/>
          </rPr>
          <t xml:space="preserve">
проверити збир!
</t>
        </r>
      </text>
    </comment>
    <comment ref="I11697" authorId="0" shapeId="0">
      <text>
        <r>
          <rPr>
            <b/>
            <sz val="9"/>
            <color indexed="81"/>
            <rFont val="Tahoma"/>
            <family val="2"/>
          </rPr>
          <t>LPA:</t>
        </r>
        <r>
          <rPr>
            <sz val="9"/>
            <color indexed="81"/>
            <rFont val="Tahoma"/>
            <family val="2"/>
          </rPr>
          <t xml:space="preserve">
проверити збир!
</t>
        </r>
      </text>
    </comment>
    <comment ref="I11698" authorId="0" shapeId="0">
      <text>
        <r>
          <rPr>
            <b/>
            <sz val="9"/>
            <color indexed="81"/>
            <rFont val="Tahoma"/>
            <family val="2"/>
          </rPr>
          <t>LPA:</t>
        </r>
        <r>
          <rPr>
            <sz val="9"/>
            <color indexed="81"/>
            <rFont val="Tahoma"/>
            <family val="2"/>
          </rPr>
          <t xml:space="preserve">
проверити збир!
</t>
        </r>
      </text>
    </comment>
    <comment ref="I11699" authorId="0" shapeId="0">
      <text>
        <r>
          <rPr>
            <b/>
            <sz val="9"/>
            <color indexed="81"/>
            <rFont val="Tahoma"/>
            <family val="2"/>
          </rPr>
          <t>LPA:</t>
        </r>
        <r>
          <rPr>
            <sz val="9"/>
            <color indexed="81"/>
            <rFont val="Tahoma"/>
            <family val="2"/>
          </rPr>
          <t xml:space="preserve">
проверити збир!
</t>
        </r>
      </text>
    </comment>
    <comment ref="I11700" authorId="0" shapeId="0">
      <text>
        <r>
          <rPr>
            <b/>
            <sz val="9"/>
            <color indexed="81"/>
            <rFont val="Tahoma"/>
            <family val="2"/>
          </rPr>
          <t>LPA:</t>
        </r>
        <r>
          <rPr>
            <sz val="9"/>
            <color indexed="81"/>
            <rFont val="Tahoma"/>
            <family val="2"/>
          </rPr>
          <t xml:space="preserve">
проверити збир!
</t>
        </r>
      </text>
    </comment>
    <comment ref="I11701" authorId="0" shapeId="0">
      <text>
        <r>
          <rPr>
            <b/>
            <sz val="9"/>
            <color indexed="81"/>
            <rFont val="Tahoma"/>
            <family val="2"/>
          </rPr>
          <t>LPA:</t>
        </r>
        <r>
          <rPr>
            <sz val="9"/>
            <color indexed="81"/>
            <rFont val="Tahoma"/>
            <family val="2"/>
          </rPr>
          <t xml:space="preserve">
проверити збир!
</t>
        </r>
      </text>
    </comment>
    <comment ref="I11702" authorId="0" shapeId="0">
      <text>
        <r>
          <rPr>
            <b/>
            <sz val="9"/>
            <color indexed="81"/>
            <rFont val="Tahoma"/>
            <family val="2"/>
          </rPr>
          <t>LPA:</t>
        </r>
        <r>
          <rPr>
            <sz val="9"/>
            <color indexed="81"/>
            <rFont val="Tahoma"/>
            <family val="2"/>
          </rPr>
          <t xml:space="preserve">
проверити збир!
</t>
        </r>
      </text>
    </comment>
    <comment ref="I11703" authorId="0" shapeId="0">
      <text>
        <r>
          <rPr>
            <b/>
            <sz val="9"/>
            <color indexed="81"/>
            <rFont val="Tahoma"/>
            <family val="2"/>
          </rPr>
          <t>LPA:</t>
        </r>
        <r>
          <rPr>
            <sz val="9"/>
            <color indexed="81"/>
            <rFont val="Tahoma"/>
            <family val="2"/>
          </rPr>
          <t xml:space="preserve">
проверити збир!
</t>
        </r>
      </text>
    </comment>
    <comment ref="I11704" authorId="0" shapeId="0">
      <text>
        <r>
          <rPr>
            <b/>
            <sz val="9"/>
            <color indexed="81"/>
            <rFont val="Tahoma"/>
            <family val="2"/>
          </rPr>
          <t>LPA:</t>
        </r>
        <r>
          <rPr>
            <sz val="9"/>
            <color indexed="81"/>
            <rFont val="Tahoma"/>
            <family val="2"/>
          </rPr>
          <t xml:space="preserve">
проверити збир!
</t>
        </r>
      </text>
    </comment>
    <comment ref="H11707" authorId="0" shapeId="0">
      <text>
        <r>
          <rPr>
            <b/>
            <sz val="9"/>
            <color indexed="81"/>
            <rFont val="Tahoma"/>
            <family val="2"/>
          </rPr>
          <t>LPA:</t>
        </r>
        <r>
          <rPr>
            <sz val="9"/>
            <color indexed="81"/>
            <rFont val="Tahoma"/>
            <family val="2"/>
          </rPr>
          <t xml:space="preserve">
проверити збир!</t>
        </r>
      </text>
    </comment>
    <comment ref="I11707" authorId="0" shapeId="0">
      <text>
        <r>
          <rPr>
            <b/>
            <sz val="9"/>
            <color indexed="81"/>
            <rFont val="Tahoma"/>
            <family val="2"/>
          </rPr>
          <t>LPA:</t>
        </r>
        <r>
          <rPr>
            <sz val="9"/>
            <color indexed="81"/>
            <rFont val="Tahoma"/>
            <family val="2"/>
          </rPr>
          <t xml:space="preserve">
проверити збир!</t>
        </r>
      </text>
    </comment>
    <comment ref="I11708" authorId="0" shapeId="0">
      <text>
        <r>
          <rPr>
            <b/>
            <sz val="9"/>
            <color indexed="81"/>
            <rFont val="Tahoma"/>
            <family val="2"/>
          </rPr>
          <t>LPA:</t>
        </r>
        <r>
          <rPr>
            <sz val="9"/>
            <color indexed="81"/>
            <rFont val="Tahoma"/>
            <family val="2"/>
          </rPr>
          <t xml:space="preserve">
проверити збир!
</t>
        </r>
      </text>
    </comment>
    <comment ref="I11709" authorId="0" shapeId="0">
      <text>
        <r>
          <rPr>
            <b/>
            <sz val="9"/>
            <color indexed="81"/>
            <rFont val="Tahoma"/>
            <family val="2"/>
          </rPr>
          <t>LPA:</t>
        </r>
        <r>
          <rPr>
            <sz val="9"/>
            <color indexed="81"/>
            <rFont val="Tahoma"/>
            <family val="2"/>
          </rPr>
          <t xml:space="preserve">
проверити збир!
</t>
        </r>
      </text>
    </comment>
    <comment ref="I11710" authorId="0" shapeId="0">
      <text>
        <r>
          <rPr>
            <b/>
            <sz val="9"/>
            <color indexed="81"/>
            <rFont val="Tahoma"/>
            <family val="2"/>
          </rPr>
          <t>LPA:</t>
        </r>
        <r>
          <rPr>
            <sz val="9"/>
            <color indexed="81"/>
            <rFont val="Tahoma"/>
            <family val="2"/>
          </rPr>
          <t xml:space="preserve">
проверити збир!
</t>
        </r>
      </text>
    </comment>
    <comment ref="I11711" authorId="0" shapeId="0">
      <text>
        <r>
          <rPr>
            <b/>
            <sz val="9"/>
            <color indexed="81"/>
            <rFont val="Tahoma"/>
            <family val="2"/>
          </rPr>
          <t>LPA:</t>
        </r>
        <r>
          <rPr>
            <sz val="9"/>
            <color indexed="81"/>
            <rFont val="Tahoma"/>
            <family val="2"/>
          </rPr>
          <t xml:space="preserve">
проверити збир!
</t>
        </r>
      </text>
    </comment>
    <comment ref="I11712" authorId="0" shapeId="0">
      <text>
        <r>
          <rPr>
            <b/>
            <sz val="9"/>
            <color indexed="81"/>
            <rFont val="Tahoma"/>
            <family val="2"/>
          </rPr>
          <t>LPA:</t>
        </r>
        <r>
          <rPr>
            <sz val="9"/>
            <color indexed="81"/>
            <rFont val="Tahoma"/>
            <family val="2"/>
          </rPr>
          <t xml:space="preserve">
проверити збир!
</t>
        </r>
      </text>
    </comment>
    <comment ref="I11713" authorId="0" shapeId="0">
      <text>
        <r>
          <rPr>
            <b/>
            <sz val="9"/>
            <color indexed="81"/>
            <rFont val="Tahoma"/>
            <family val="2"/>
          </rPr>
          <t>LPA:</t>
        </r>
        <r>
          <rPr>
            <sz val="9"/>
            <color indexed="81"/>
            <rFont val="Tahoma"/>
            <family val="2"/>
          </rPr>
          <t xml:space="preserve">
проверити збир!
</t>
        </r>
      </text>
    </comment>
    <comment ref="I11714" authorId="0" shapeId="0">
      <text>
        <r>
          <rPr>
            <b/>
            <sz val="9"/>
            <color indexed="81"/>
            <rFont val="Tahoma"/>
            <family val="2"/>
          </rPr>
          <t>LPA:</t>
        </r>
        <r>
          <rPr>
            <sz val="9"/>
            <color indexed="81"/>
            <rFont val="Tahoma"/>
            <family val="2"/>
          </rPr>
          <t xml:space="preserve">
проверити збир!
</t>
        </r>
      </text>
    </comment>
    <comment ref="I11715" authorId="0" shapeId="0">
      <text>
        <r>
          <rPr>
            <b/>
            <sz val="9"/>
            <color indexed="81"/>
            <rFont val="Tahoma"/>
            <family val="2"/>
          </rPr>
          <t>LPA:</t>
        </r>
        <r>
          <rPr>
            <sz val="9"/>
            <color indexed="81"/>
            <rFont val="Tahoma"/>
            <family val="2"/>
          </rPr>
          <t xml:space="preserve">
проверити збир!
</t>
        </r>
      </text>
    </comment>
    <comment ref="I11716" authorId="0" shapeId="0">
      <text>
        <r>
          <rPr>
            <b/>
            <sz val="9"/>
            <color indexed="81"/>
            <rFont val="Tahoma"/>
            <family val="2"/>
          </rPr>
          <t>LPA:</t>
        </r>
        <r>
          <rPr>
            <sz val="9"/>
            <color indexed="81"/>
            <rFont val="Tahoma"/>
            <family val="2"/>
          </rPr>
          <t xml:space="preserve">
проверити збир!
</t>
        </r>
      </text>
    </comment>
    <comment ref="I11717" authorId="0" shapeId="0">
      <text>
        <r>
          <rPr>
            <b/>
            <sz val="9"/>
            <color indexed="81"/>
            <rFont val="Tahoma"/>
            <family val="2"/>
          </rPr>
          <t>LPA:</t>
        </r>
        <r>
          <rPr>
            <sz val="9"/>
            <color indexed="81"/>
            <rFont val="Tahoma"/>
            <family val="2"/>
          </rPr>
          <t xml:space="preserve">
проверити збир!
</t>
        </r>
      </text>
    </comment>
    <comment ref="I11718" authorId="0" shapeId="0">
      <text>
        <r>
          <rPr>
            <b/>
            <sz val="9"/>
            <color indexed="81"/>
            <rFont val="Tahoma"/>
            <family val="2"/>
          </rPr>
          <t>LPA:</t>
        </r>
        <r>
          <rPr>
            <sz val="9"/>
            <color indexed="81"/>
            <rFont val="Tahoma"/>
            <family val="2"/>
          </rPr>
          <t xml:space="preserve">
проверити збир!
</t>
        </r>
      </text>
    </comment>
    <comment ref="I11719" authorId="0" shapeId="0">
      <text>
        <r>
          <rPr>
            <b/>
            <sz val="9"/>
            <color indexed="81"/>
            <rFont val="Tahoma"/>
            <family val="2"/>
          </rPr>
          <t>LPA:</t>
        </r>
        <r>
          <rPr>
            <sz val="9"/>
            <color indexed="81"/>
            <rFont val="Tahoma"/>
            <family val="2"/>
          </rPr>
          <t xml:space="preserve">
проверити збир!
</t>
        </r>
      </text>
    </comment>
    <comment ref="I11720" authorId="0" shapeId="0">
      <text>
        <r>
          <rPr>
            <b/>
            <sz val="9"/>
            <color indexed="81"/>
            <rFont val="Tahoma"/>
            <family val="2"/>
          </rPr>
          <t>LPA:</t>
        </r>
        <r>
          <rPr>
            <sz val="9"/>
            <color indexed="81"/>
            <rFont val="Tahoma"/>
            <family val="2"/>
          </rPr>
          <t xml:space="preserve">
проверити збир!
</t>
        </r>
      </text>
    </comment>
    <comment ref="I11721" authorId="0" shapeId="0">
      <text>
        <r>
          <rPr>
            <b/>
            <sz val="9"/>
            <color indexed="81"/>
            <rFont val="Tahoma"/>
            <family val="2"/>
          </rPr>
          <t>LPA:</t>
        </r>
        <r>
          <rPr>
            <sz val="9"/>
            <color indexed="81"/>
            <rFont val="Tahoma"/>
            <family val="2"/>
          </rPr>
          <t xml:space="preserve">
проверити збир!
</t>
        </r>
      </text>
    </comment>
    <comment ref="I11722" authorId="0" shapeId="0">
      <text>
        <r>
          <rPr>
            <b/>
            <sz val="9"/>
            <color indexed="81"/>
            <rFont val="Tahoma"/>
            <family val="2"/>
          </rPr>
          <t>LPA:</t>
        </r>
        <r>
          <rPr>
            <sz val="9"/>
            <color indexed="81"/>
            <rFont val="Tahoma"/>
            <family val="2"/>
          </rPr>
          <t xml:space="preserve">
проверити збир!
</t>
        </r>
      </text>
    </comment>
    <comment ref="I11791" authorId="0" shapeId="0">
      <text>
        <r>
          <rPr>
            <b/>
            <sz val="9"/>
            <color indexed="81"/>
            <rFont val="Tahoma"/>
            <family val="2"/>
          </rPr>
          <t>LPA:</t>
        </r>
        <r>
          <rPr>
            <sz val="9"/>
            <color indexed="81"/>
            <rFont val="Tahoma"/>
            <family val="2"/>
          </rPr>
          <t xml:space="preserve">
проверити збир!
</t>
        </r>
      </text>
    </comment>
    <comment ref="I11792" authorId="0" shapeId="0">
      <text>
        <r>
          <rPr>
            <b/>
            <sz val="9"/>
            <color indexed="81"/>
            <rFont val="Tahoma"/>
            <family val="2"/>
          </rPr>
          <t>LPA:</t>
        </r>
        <r>
          <rPr>
            <sz val="9"/>
            <color indexed="81"/>
            <rFont val="Tahoma"/>
            <family val="2"/>
          </rPr>
          <t xml:space="preserve">
проверити збир!
</t>
        </r>
      </text>
    </comment>
    <comment ref="I11793" authorId="0" shapeId="0">
      <text>
        <r>
          <rPr>
            <b/>
            <sz val="9"/>
            <color indexed="81"/>
            <rFont val="Tahoma"/>
            <family val="2"/>
          </rPr>
          <t>LPA:</t>
        </r>
        <r>
          <rPr>
            <sz val="9"/>
            <color indexed="81"/>
            <rFont val="Tahoma"/>
            <family val="2"/>
          </rPr>
          <t xml:space="preserve">
проверити збир!
</t>
        </r>
      </text>
    </comment>
    <comment ref="I11794" authorId="0" shapeId="0">
      <text>
        <r>
          <rPr>
            <b/>
            <sz val="9"/>
            <color indexed="81"/>
            <rFont val="Tahoma"/>
            <family val="2"/>
          </rPr>
          <t>LPA:</t>
        </r>
        <r>
          <rPr>
            <sz val="9"/>
            <color indexed="81"/>
            <rFont val="Tahoma"/>
            <family val="2"/>
          </rPr>
          <t xml:space="preserve">
проверити збир!
</t>
        </r>
      </text>
    </comment>
    <comment ref="I11795" authorId="0" shapeId="0">
      <text>
        <r>
          <rPr>
            <b/>
            <sz val="9"/>
            <color indexed="81"/>
            <rFont val="Tahoma"/>
            <family val="2"/>
          </rPr>
          <t>LPA:</t>
        </r>
        <r>
          <rPr>
            <sz val="9"/>
            <color indexed="81"/>
            <rFont val="Tahoma"/>
            <family val="2"/>
          </rPr>
          <t xml:space="preserve">
проверити збир!
</t>
        </r>
      </text>
    </comment>
    <comment ref="I11796" authorId="0" shapeId="0">
      <text>
        <r>
          <rPr>
            <b/>
            <sz val="9"/>
            <color indexed="81"/>
            <rFont val="Tahoma"/>
            <family val="2"/>
          </rPr>
          <t>LPA:</t>
        </r>
        <r>
          <rPr>
            <sz val="9"/>
            <color indexed="81"/>
            <rFont val="Tahoma"/>
            <family val="2"/>
          </rPr>
          <t xml:space="preserve">
проверити збир!
</t>
        </r>
      </text>
    </comment>
    <comment ref="I11797" authorId="0" shapeId="0">
      <text>
        <r>
          <rPr>
            <b/>
            <sz val="9"/>
            <color indexed="81"/>
            <rFont val="Tahoma"/>
            <family val="2"/>
          </rPr>
          <t>LPA:</t>
        </r>
        <r>
          <rPr>
            <sz val="9"/>
            <color indexed="81"/>
            <rFont val="Tahoma"/>
            <family val="2"/>
          </rPr>
          <t xml:space="preserve">
проверити збир!
</t>
        </r>
      </text>
    </comment>
    <comment ref="I11798" authorId="0" shapeId="0">
      <text>
        <r>
          <rPr>
            <b/>
            <sz val="9"/>
            <color indexed="81"/>
            <rFont val="Tahoma"/>
            <family val="2"/>
          </rPr>
          <t>LPA:</t>
        </r>
        <r>
          <rPr>
            <sz val="9"/>
            <color indexed="81"/>
            <rFont val="Tahoma"/>
            <family val="2"/>
          </rPr>
          <t xml:space="preserve">
проверити збир!
</t>
        </r>
      </text>
    </comment>
    <comment ref="I11799" authorId="0" shapeId="0">
      <text>
        <r>
          <rPr>
            <b/>
            <sz val="9"/>
            <color indexed="81"/>
            <rFont val="Tahoma"/>
            <family val="2"/>
          </rPr>
          <t>LPA:</t>
        </r>
        <r>
          <rPr>
            <sz val="9"/>
            <color indexed="81"/>
            <rFont val="Tahoma"/>
            <family val="2"/>
          </rPr>
          <t xml:space="preserve">
проверити збир!
</t>
        </r>
      </text>
    </comment>
    <comment ref="I11800" authorId="0" shapeId="0">
      <text>
        <r>
          <rPr>
            <b/>
            <sz val="9"/>
            <color indexed="81"/>
            <rFont val="Tahoma"/>
            <family val="2"/>
          </rPr>
          <t>LPA:</t>
        </r>
        <r>
          <rPr>
            <sz val="9"/>
            <color indexed="81"/>
            <rFont val="Tahoma"/>
            <family val="2"/>
          </rPr>
          <t xml:space="preserve">
проверити збир!
</t>
        </r>
      </text>
    </comment>
    <comment ref="I11801" authorId="0" shapeId="0">
      <text>
        <r>
          <rPr>
            <b/>
            <sz val="9"/>
            <color indexed="81"/>
            <rFont val="Tahoma"/>
            <family val="2"/>
          </rPr>
          <t>LPA:</t>
        </r>
        <r>
          <rPr>
            <sz val="9"/>
            <color indexed="81"/>
            <rFont val="Tahoma"/>
            <family val="2"/>
          </rPr>
          <t xml:space="preserve">
проверити збир!
</t>
        </r>
      </text>
    </comment>
    <comment ref="I11802" authorId="0" shapeId="0">
      <text>
        <r>
          <rPr>
            <b/>
            <sz val="9"/>
            <color indexed="81"/>
            <rFont val="Tahoma"/>
            <family val="2"/>
          </rPr>
          <t>LPA:</t>
        </r>
        <r>
          <rPr>
            <sz val="9"/>
            <color indexed="81"/>
            <rFont val="Tahoma"/>
            <family val="2"/>
          </rPr>
          <t xml:space="preserve">
проверити збир!
</t>
        </r>
      </text>
    </comment>
    <comment ref="I11803" authorId="0" shapeId="0">
      <text>
        <r>
          <rPr>
            <b/>
            <sz val="9"/>
            <color indexed="81"/>
            <rFont val="Tahoma"/>
            <family val="2"/>
          </rPr>
          <t>LPA:</t>
        </r>
        <r>
          <rPr>
            <sz val="9"/>
            <color indexed="81"/>
            <rFont val="Tahoma"/>
            <family val="2"/>
          </rPr>
          <t xml:space="preserve">
проверити збир!
</t>
        </r>
      </text>
    </comment>
    <comment ref="H11806" authorId="0" shapeId="0">
      <text>
        <r>
          <rPr>
            <b/>
            <sz val="9"/>
            <color indexed="81"/>
            <rFont val="Tahoma"/>
            <family val="2"/>
          </rPr>
          <t>LPA:</t>
        </r>
        <r>
          <rPr>
            <sz val="9"/>
            <color indexed="81"/>
            <rFont val="Tahoma"/>
            <family val="2"/>
          </rPr>
          <t xml:space="preserve">
проверити збир!</t>
        </r>
      </text>
    </comment>
    <comment ref="I11806" authorId="0" shapeId="0">
      <text>
        <r>
          <rPr>
            <b/>
            <sz val="9"/>
            <color indexed="81"/>
            <rFont val="Tahoma"/>
            <family val="2"/>
          </rPr>
          <t>LPA:</t>
        </r>
        <r>
          <rPr>
            <sz val="9"/>
            <color indexed="81"/>
            <rFont val="Tahoma"/>
            <family val="2"/>
          </rPr>
          <t xml:space="preserve">
проверити збир!</t>
        </r>
      </text>
    </comment>
    <comment ref="I11807" authorId="0" shapeId="0">
      <text>
        <r>
          <rPr>
            <b/>
            <sz val="9"/>
            <color indexed="81"/>
            <rFont val="Tahoma"/>
            <family val="2"/>
          </rPr>
          <t>LPA:</t>
        </r>
        <r>
          <rPr>
            <sz val="9"/>
            <color indexed="81"/>
            <rFont val="Tahoma"/>
            <family val="2"/>
          </rPr>
          <t xml:space="preserve">
проверити збир!
</t>
        </r>
      </text>
    </comment>
    <comment ref="I11808" authorId="0" shapeId="0">
      <text>
        <r>
          <rPr>
            <b/>
            <sz val="9"/>
            <color indexed="81"/>
            <rFont val="Tahoma"/>
            <family val="2"/>
          </rPr>
          <t>LPA:</t>
        </r>
        <r>
          <rPr>
            <sz val="9"/>
            <color indexed="81"/>
            <rFont val="Tahoma"/>
            <family val="2"/>
          </rPr>
          <t xml:space="preserve">
проверити збир!
</t>
        </r>
      </text>
    </comment>
    <comment ref="I11809" authorId="0" shapeId="0">
      <text>
        <r>
          <rPr>
            <b/>
            <sz val="9"/>
            <color indexed="81"/>
            <rFont val="Tahoma"/>
            <family val="2"/>
          </rPr>
          <t>LPA:</t>
        </r>
        <r>
          <rPr>
            <sz val="9"/>
            <color indexed="81"/>
            <rFont val="Tahoma"/>
            <family val="2"/>
          </rPr>
          <t xml:space="preserve">
проверити збир!
</t>
        </r>
      </text>
    </comment>
    <comment ref="I11810" authorId="0" shapeId="0">
      <text>
        <r>
          <rPr>
            <b/>
            <sz val="9"/>
            <color indexed="81"/>
            <rFont val="Tahoma"/>
            <family val="2"/>
          </rPr>
          <t>LPA:</t>
        </r>
        <r>
          <rPr>
            <sz val="9"/>
            <color indexed="81"/>
            <rFont val="Tahoma"/>
            <family val="2"/>
          </rPr>
          <t xml:space="preserve">
проверити збир!
</t>
        </r>
      </text>
    </comment>
    <comment ref="I11811" authorId="0" shapeId="0">
      <text>
        <r>
          <rPr>
            <b/>
            <sz val="9"/>
            <color indexed="81"/>
            <rFont val="Tahoma"/>
            <family val="2"/>
          </rPr>
          <t>LPA:</t>
        </r>
        <r>
          <rPr>
            <sz val="9"/>
            <color indexed="81"/>
            <rFont val="Tahoma"/>
            <family val="2"/>
          </rPr>
          <t xml:space="preserve">
проверити збир!
</t>
        </r>
      </text>
    </comment>
    <comment ref="I11812" authorId="0" shapeId="0">
      <text>
        <r>
          <rPr>
            <b/>
            <sz val="9"/>
            <color indexed="81"/>
            <rFont val="Tahoma"/>
            <family val="2"/>
          </rPr>
          <t>LPA:</t>
        </r>
        <r>
          <rPr>
            <sz val="9"/>
            <color indexed="81"/>
            <rFont val="Tahoma"/>
            <family val="2"/>
          </rPr>
          <t xml:space="preserve">
проверити збир!
</t>
        </r>
      </text>
    </comment>
    <comment ref="I11813" authorId="0" shapeId="0">
      <text>
        <r>
          <rPr>
            <b/>
            <sz val="9"/>
            <color indexed="81"/>
            <rFont val="Tahoma"/>
            <family val="2"/>
          </rPr>
          <t>LPA:</t>
        </r>
        <r>
          <rPr>
            <sz val="9"/>
            <color indexed="81"/>
            <rFont val="Tahoma"/>
            <family val="2"/>
          </rPr>
          <t xml:space="preserve">
проверити збир!
</t>
        </r>
      </text>
    </comment>
    <comment ref="I11814" authorId="0" shapeId="0">
      <text>
        <r>
          <rPr>
            <b/>
            <sz val="9"/>
            <color indexed="81"/>
            <rFont val="Tahoma"/>
            <family val="2"/>
          </rPr>
          <t>LPA:</t>
        </r>
        <r>
          <rPr>
            <sz val="9"/>
            <color indexed="81"/>
            <rFont val="Tahoma"/>
            <family val="2"/>
          </rPr>
          <t xml:space="preserve">
проверити збир!
</t>
        </r>
      </text>
    </comment>
    <comment ref="I11815" authorId="0" shapeId="0">
      <text>
        <r>
          <rPr>
            <b/>
            <sz val="9"/>
            <color indexed="81"/>
            <rFont val="Tahoma"/>
            <family val="2"/>
          </rPr>
          <t>LPA:</t>
        </r>
        <r>
          <rPr>
            <sz val="9"/>
            <color indexed="81"/>
            <rFont val="Tahoma"/>
            <family val="2"/>
          </rPr>
          <t xml:space="preserve">
проверити збир!
</t>
        </r>
      </text>
    </comment>
    <comment ref="I11816" authorId="0" shapeId="0">
      <text>
        <r>
          <rPr>
            <b/>
            <sz val="9"/>
            <color indexed="81"/>
            <rFont val="Tahoma"/>
            <family val="2"/>
          </rPr>
          <t>LPA:</t>
        </r>
        <r>
          <rPr>
            <sz val="9"/>
            <color indexed="81"/>
            <rFont val="Tahoma"/>
            <family val="2"/>
          </rPr>
          <t xml:space="preserve">
проверити збир!
</t>
        </r>
      </text>
    </comment>
    <comment ref="I11817" authorId="0" shapeId="0">
      <text>
        <r>
          <rPr>
            <b/>
            <sz val="9"/>
            <color indexed="81"/>
            <rFont val="Tahoma"/>
            <family val="2"/>
          </rPr>
          <t>LPA:</t>
        </r>
        <r>
          <rPr>
            <sz val="9"/>
            <color indexed="81"/>
            <rFont val="Tahoma"/>
            <family val="2"/>
          </rPr>
          <t xml:space="preserve">
проверити збир!
</t>
        </r>
      </text>
    </comment>
    <comment ref="I11818" authorId="0" shapeId="0">
      <text>
        <r>
          <rPr>
            <b/>
            <sz val="9"/>
            <color indexed="81"/>
            <rFont val="Tahoma"/>
            <family val="2"/>
          </rPr>
          <t>LPA:</t>
        </r>
        <r>
          <rPr>
            <sz val="9"/>
            <color indexed="81"/>
            <rFont val="Tahoma"/>
            <family val="2"/>
          </rPr>
          <t xml:space="preserve">
проверити збир!
</t>
        </r>
      </text>
    </comment>
    <comment ref="I11819" authorId="0" shapeId="0">
      <text>
        <r>
          <rPr>
            <b/>
            <sz val="9"/>
            <color indexed="81"/>
            <rFont val="Tahoma"/>
            <family val="2"/>
          </rPr>
          <t>LPA:</t>
        </r>
        <r>
          <rPr>
            <sz val="9"/>
            <color indexed="81"/>
            <rFont val="Tahoma"/>
            <family val="2"/>
          </rPr>
          <t xml:space="preserve">
проверити збир!
</t>
        </r>
      </text>
    </comment>
    <comment ref="I11820" authorId="0" shapeId="0">
      <text>
        <r>
          <rPr>
            <b/>
            <sz val="9"/>
            <color indexed="81"/>
            <rFont val="Tahoma"/>
            <family val="2"/>
          </rPr>
          <t>LPA:</t>
        </r>
        <r>
          <rPr>
            <sz val="9"/>
            <color indexed="81"/>
            <rFont val="Tahoma"/>
            <family val="2"/>
          </rPr>
          <t xml:space="preserve">
проверити збир!
</t>
        </r>
      </text>
    </comment>
    <comment ref="I11821" authorId="0" shapeId="0">
      <text>
        <r>
          <rPr>
            <b/>
            <sz val="9"/>
            <color indexed="81"/>
            <rFont val="Tahoma"/>
            <family val="2"/>
          </rPr>
          <t>LPA:</t>
        </r>
        <r>
          <rPr>
            <sz val="9"/>
            <color indexed="81"/>
            <rFont val="Tahoma"/>
            <family val="2"/>
          </rPr>
          <t xml:space="preserve">
проверити збир!
</t>
        </r>
      </text>
    </comment>
    <comment ref="H11825" authorId="0" shapeId="0">
      <text>
        <r>
          <rPr>
            <b/>
            <sz val="9"/>
            <color indexed="81"/>
            <rFont val="Tahoma"/>
            <family val="2"/>
          </rPr>
          <t>LPA:</t>
        </r>
        <r>
          <rPr>
            <sz val="9"/>
            <color indexed="81"/>
            <rFont val="Tahoma"/>
            <family val="2"/>
          </rPr>
          <t xml:space="preserve">
проверити збир!</t>
        </r>
      </text>
    </comment>
    <comment ref="I11825" authorId="0" shapeId="0">
      <text>
        <r>
          <rPr>
            <b/>
            <sz val="9"/>
            <color indexed="81"/>
            <rFont val="Tahoma"/>
            <family val="2"/>
          </rPr>
          <t>LPA:</t>
        </r>
        <r>
          <rPr>
            <sz val="9"/>
            <color indexed="81"/>
            <rFont val="Tahoma"/>
            <family val="2"/>
          </rPr>
          <t xml:space="preserve">
проверити збир!
</t>
        </r>
      </text>
    </comment>
    <comment ref="I11826" authorId="0" shapeId="0">
      <text>
        <r>
          <rPr>
            <b/>
            <sz val="9"/>
            <color indexed="81"/>
            <rFont val="Tahoma"/>
            <family val="2"/>
          </rPr>
          <t>LPA:</t>
        </r>
        <r>
          <rPr>
            <sz val="9"/>
            <color indexed="81"/>
            <rFont val="Tahoma"/>
            <family val="2"/>
          </rPr>
          <t xml:space="preserve">
проверити збир!
</t>
        </r>
      </text>
    </comment>
    <comment ref="I11827" authorId="0" shapeId="0">
      <text>
        <r>
          <rPr>
            <b/>
            <sz val="9"/>
            <color indexed="81"/>
            <rFont val="Tahoma"/>
            <family val="2"/>
          </rPr>
          <t>LPA:</t>
        </r>
        <r>
          <rPr>
            <sz val="9"/>
            <color indexed="81"/>
            <rFont val="Tahoma"/>
            <family val="2"/>
          </rPr>
          <t xml:space="preserve">
проверити збир!
</t>
        </r>
      </text>
    </comment>
    <comment ref="I11828" authorId="0" shapeId="0">
      <text>
        <r>
          <rPr>
            <b/>
            <sz val="9"/>
            <color indexed="81"/>
            <rFont val="Tahoma"/>
            <family val="2"/>
          </rPr>
          <t>LPA:</t>
        </r>
        <r>
          <rPr>
            <sz val="9"/>
            <color indexed="81"/>
            <rFont val="Tahoma"/>
            <family val="2"/>
          </rPr>
          <t xml:space="preserve">
проверити збир!
</t>
        </r>
      </text>
    </comment>
    <comment ref="I11829" authorId="0" shapeId="0">
      <text>
        <r>
          <rPr>
            <b/>
            <sz val="9"/>
            <color indexed="81"/>
            <rFont val="Tahoma"/>
            <family val="2"/>
          </rPr>
          <t>LPA:</t>
        </r>
        <r>
          <rPr>
            <sz val="9"/>
            <color indexed="81"/>
            <rFont val="Tahoma"/>
            <family val="2"/>
          </rPr>
          <t xml:space="preserve">
проверити збир!
</t>
        </r>
      </text>
    </comment>
    <comment ref="I11830" authorId="0" shapeId="0">
      <text>
        <r>
          <rPr>
            <b/>
            <sz val="9"/>
            <color indexed="81"/>
            <rFont val="Tahoma"/>
            <family val="2"/>
          </rPr>
          <t>LPA:</t>
        </r>
        <r>
          <rPr>
            <sz val="9"/>
            <color indexed="81"/>
            <rFont val="Tahoma"/>
            <family val="2"/>
          </rPr>
          <t xml:space="preserve">
проверити збир!
</t>
        </r>
      </text>
    </comment>
    <comment ref="I11831" authorId="0" shapeId="0">
      <text>
        <r>
          <rPr>
            <b/>
            <sz val="9"/>
            <color indexed="81"/>
            <rFont val="Tahoma"/>
            <family val="2"/>
          </rPr>
          <t>LPA:</t>
        </r>
        <r>
          <rPr>
            <sz val="9"/>
            <color indexed="81"/>
            <rFont val="Tahoma"/>
            <family val="2"/>
          </rPr>
          <t xml:space="preserve">
проверити збир!
</t>
        </r>
      </text>
    </comment>
    <comment ref="I11832" authorId="0" shapeId="0">
      <text>
        <r>
          <rPr>
            <b/>
            <sz val="9"/>
            <color indexed="81"/>
            <rFont val="Tahoma"/>
            <family val="2"/>
          </rPr>
          <t>LPA:</t>
        </r>
        <r>
          <rPr>
            <sz val="9"/>
            <color indexed="81"/>
            <rFont val="Tahoma"/>
            <family val="2"/>
          </rPr>
          <t xml:space="preserve">
проверити збир!
</t>
        </r>
      </text>
    </comment>
    <comment ref="I11833" authorId="0" shapeId="0">
      <text>
        <r>
          <rPr>
            <b/>
            <sz val="9"/>
            <color indexed="81"/>
            <rFont val="Tahoma"/>
            <family val="2"/>
          </rPr>
          <t>LPA:</t>
        </r>
        <r>
          <rPr>
            <sz val="9"/>
            <color indexed="81"/>
            <rFont val="Tahoma"/>
            <family val="2"/>
          </rPr>
          <t xml:space="preserve">
проверити збир!
</t>
        </r>
      </text>
    </comment>
    <comment ref="I11834" authorId="0" shapeId="0">
      <text>
        <r>
          <rPr>
            <b/>
            <sz val="9"/>
            <color indexed="81"/>
            <rFont val="Tahoma"/>
            <family val="2"/>
          </rPr>
          <t>LPA:</t>
        </r>
        <r>
          <rPr>
            <sz val="9"/>
            <color indexed="81"/>
            <rFont val="Tahoma"/>
            <family val="2"/>
          </rPr>
          <t xml:space="preserve">
проверити збир!
</t>
        </r>
      </text>
    </comment>
    <comment ref="I11835" authorId="0" shapeId="0">
      <text>
        <r>
          <rPr>
            <b/>
            <sz val="9"/>
            <color indexed="81"/>
            <rFont val="Tahoma"/>
            <family val="2"/>
          </rPr>
          <t>LPA:</t>
        </r>
        <r>
          <rPr>
            <sz val="9"/>
            <color indexed="81"/>
            <rFont val="Tahoma"/>
            <family val="2"/>
          </rPr>
          <t xml:space="preserve">
проверити збир!
</t>
        </r>
      </text>
    </comment>
    <comment ref="I11836" authorId="0" shapeId="0">
      <text>
        <r>
          <rPr>
            <b/>
            <sz val="9"/>
            <color indexed="81"/>
            <rFont val="Tahoma"/>
            <family val="2"/>
          </rPr>
          <t>LPA:</t>
        </r>
        <r>
          <rPr>
            <sz val="9"/>
            <color indexed="81"/>
            <rFont val="Tahoma"/>
            <family val="2"/>
          </rPr>
          <t xml:space="preserve">
проверити збир!
</t>
        </r>
      </text>
    </comment>
    <comment ref="I11837" authorId="0" shapeId="0">
      <text>
        <r>
          <rPr>
            <b/>
            <sz val="9"/>
            <color indexed="81"/>
            <rFont val="Tahoma"/>
            <family val="2"/>
          </rPr>
          <t>LPA:</t>
        </r>
        <r>
          <rPr>
            <sz val="9"/>
            <color indexed="81"/>
            <rFont val="Tahoma"/>
            <family val="2"/>
          </rPr>
          <t xml:space="preserve">
проверити збир!
</t>
        </r>
      </text>
    </comment>
    <comment ref="I11838" authorId="0" shapeId="0">
      <text>
        <r>
          <rPr>
            <b/>
            <sz val="9"/>
            <color indexed="81"/>
            <rFont val="Tahoma"/>
            <family val="2"/>
          </rPr>
          <t>LPA:</t>
        </r>
        <r>
          <rPr>
            <sz val="9"/>
            <color indexed="81"/>
            <rFont val="Tahoma"/>
            <family val="2"/>
          </rPr>
          <t xml:space="preserve">
проверити збир!
</t>
        </r>
      </text>
    </comment>
    <comment ref="I11839" authorId="0" shapeId="0">
      <text>
        <r>
          <rPr>
            <b/>
            <sz val="9"/>
            <color indexed="81"/>
            <rFont val="Tahoma"/>
            <family val="2"/>
          </rPr>
          <t>LPA:</t>
        </r>
        <r>
          <rPr>
            <sz val="9"/>
            <color indexed="81"/>
            <rFont val="Tahoma"/>
            <family val="2"/>
          </rPr>
          <t xml:space="preserve">
проверити збир!
</t>
        </r>
      </text>
    </comment>
    <comment ref="I11840" authorId="0" shapeId="0">
      <text>
        <r>
          <rPr>
            <b/>
            <sz val="9"/>
            <color indexed="81"/>
            <rFont val="Tahoma"/>
            <family val="2"/>
          </rPr>
          <t>LPA:</t>
        </r>
        <r>
          <rPr>
            <sz val="9"/>
            <color indexed="81"/>
            <rFont val="Tahoma"/>
            <family val="2"/>
          </rPr>
          <t xml:space="preserve">
проверити збир!
</t>
        </r>
      </text>
    </comment>
    <comment ref="H11844" authorId="0" shapeId="0">
      <text>
        <r>
          <rPr>
            <b/>
            <sz val="9"/>
            <color indexed="81"/>
            <rFont val="Tahoma"/>
            <family val="2"/>
          </rPr>
          <t>LPA:</t>
        </r>
        <r>
          <rPr>
            <sz val="9"/>
            <color indexed="81"/>
            <rFont val="Tahoma"/>
            <family val="2"/>
          </rPr>
          <t xml:space="preserve">
провери збир!</t>
        </r>
      </text>
    </comment>
    <comment ref="I11844" authorId="0" shapeId="0">
      <text>
        <r>
          <rPr>
            <b/>
            <sz val="9"/>
            <color indexed="81"/>
            <rFont val="Tahoma"/>
            <family val="2"/>
          </rPr>
          <t>LPA:</t>
        </r>
        <r>
          <rPr>
            <sz val="9"/>
            <color indexed="81"/>
            <rFont val="Tahoma"/>
            <family val="2"/>
          </rPr>
          <t xml:space="preserve">
проверити збир!
</t>
        </r>
      </text>
    </comment>
    <comment ref="I11845" authorId="0" shapeId="0">
      <text>
        <r>
          <rPr>
            <b/>
            <sz val="9"/>
            <color indexed="81"/>
            <rFont val="Tahoma"/>
            <family val="2"/>
          </rPr>
          <t>LPA:</t>
        </r>
        <r>
          <rPr>
            <sz val="9"/>
            <color indexed="81"/>
            <rFont val="Tahoma"/>
            <family val="2"/>
          </rPr>
          <t xml:space="preserve">
проверити збир!
</t>
        </r>
      </text>
    </comment>
    <comment ref="I11846" authorId="0" shapeId="0">
      <text>
        <r>
          <rPr>
            <b/>
            <sz val="9"/>
            <color indexed="81"/>
            <rFont val="Tahoma"/>
            <family val="2"/>
          </rPr>
          <t>LPA:</t>
        </r>
        <r>
          <rPr>
            <sz val="9"/>
            <color indexed="81"/>
            <rFont val="Tahoma"/>
            <family val="2"/>
          </rPr>
          <t xml:space="preserve">
проверити збир!
</t>
        </r>
      </text>
    </comment>
    <comment ref="I11847" authorId="0" shapeId="0">
      <text>
        <r>
          <rPr>
            <b/>
            <sz val="9"/>
            <color indexed="81"/>
            <rFont val="Tahoma"/>
            <family val="2"/>
          </rPr>
          <t>LPA:</t>
        </r>
        <r>
          <rPr>
            <sz val="9"/>
            <color indexed="81"/>
            <rFont val="Tahoma"/>
            <family val="2"/>
          </rPr>
          <t xml:space="preserve">
проверити збир!
</t>
        </r>
      </text>
    </comment>
    <comment ref="I11848" authorId="0" shapeId="0">
      <text>
        <r>
          <rPr>
            <b/>
            <sz val="9"/>
            <color indexed="81"/>
            <rFont val="Tahoma"/>
            <family val="2"/>
          </rPr>
          <t>LPA:</t>
        </r>
        <r>
          <rPr>
            <sz val="9"/>
            <color indexed="81"/>
            <rFont val="Tahoma"/>
            <family val="2"/>
          </rPr>
          <t xml:space="preserve">
проверити збир!
</t>
        </r>
      </text>
    </comment>
    <comment ref="I11849" authorId="0" shapeId="0">
      <text>
        <r>
          <rPr>
            <b/>
            <sz val="9"/>
            <color indexed="81"/>
            <rFont val="Tahoma"/>
            <family val="2"/>
          </rPr>
          <t>LPA:</t>
        </r>
        <r>
          <rPr>
            <sz val="9"/>
            <color indexed="81"/>
            <rFont val="Tahoma"/>
            <family val="2"/>
          </rPr>
          <t xml:space="preserve">
проверити збир!
</t>
        </r>
      </text>
    </comment>
    <comment ref="I11850" authorId="0" shapeId="0">
      <text>
        <r>
          <rPr>
            <b/>
            <sz val="9"/>
            <color indexed="81"/>
            <rFont val="Tahoma"/>
            <family val="2"/>
          </rPr>
          <t>LPA:</t>
        </r>
        <r>
          <rPr>
            <sz val="9"/>
            <color indexed="81"/>
            <rFont val="Tahoma"/>
            <family val="2"/>
          </rPr>
          <t xml:space="preserve">
проверити збир!
</t>
        </r>
      </text>
    </comment>
    <comment ref="I11851" authorId="0" shapeId="0">
      <text>
        <r>
          <rPr>
            <b/>
            <sz val="9"/>
            <color indexed="81"/>
            <rFont val="Tahoma"/>
            <family val="2"/>
          </rPr>
          <t>LPA:</t>
        </r>
        <r>
          <rPr>
            <sz val="9"/>
            <color indexed="81"/>
            <rFont val="Tahoma"/>
            <family val="2"/>
          </rPr>
          <t xml:space="preserve">
проверити збир!
</t>
        </r>
      </text>
    </comment>
    <comment ref="I11852" authorId="0" shapeId="0">
      <text>
        <r>
          <rPr>
            <b/>
            <sz val="9"/>
            <color indexed="81"/>
            <rFont val="Tahoma"/>
            <family val="2"/>
          </rPr>
          <t>LPA:</t>
        </r>
        <r>
          <rPr>
            <sz val="9"/>
            <color indexed="81"/>
            <rFont val="Tahoma"/>
            <family val="2"/>
          </rPr>
          <t xml:space="preserve">
проверити збир!
</t>
        </r>
      </text>
    </comment>
    <comment ref="I11853" authorId="0" shapeId="0">
      <text>
        <r>
          <rPr>
            <b/>
            <sz val="9"/>
            <color indexed="81"/>
            <rFont val="Tahoma"/>
            <family val="2"/>
          </rPr>
          <t>LPA:</t>
        </r>
        <r>
          <rPr>
            <sz val="9"/>
            <color indexed="81"/>
            <rFont val="Tahoma"/>
            <family val="2"/>
          </rPr>
          <t xml:space="preserve">
проверити збир!
</t>
        </r>
      </text>
    </comment>
    <comment ref="I11854" authorId="0" shapeId="0">
      <text>
        <r>
          <rPr>
            <b/>
            <sz val="9"/>
            <color indexed="81"/>
            <rFont val="Tahoma"/>
            <family val="2"/>
          </rPr>
          <t>LPA:</t>
        </r>
        <r>
          <rPr>
            <sz val="9"/>
            <color indexed="81"/>
            <rFont val="Tahoma"/>
            <family val="2"/>
          </rPr>
          <t xml:space="preserve">
проверити збир!
</t>
        </r>
      </text>
    </comment>
    <comment ref="I11855" authorId="0" shapeId="0">
      <text>
        <r>
          <rPr>
            <b/>
            <sz val="9"/>
            <color indexed="81"/>
            <rFont val="Tahoma"/>
            <family val="2"/>
          </rPr>
          <t>LPA:</t>
        </r>
        <r>
          <rPr>
            <sz val="9"/>
            <color indexed="81"/>
            <rFont val="Tahoma"/>
            <family val="2"/>
          </rPr>
          <t xml:space="preserve">
проверити збир!
</t>
        </r>
      </text>
    </comment>
    <comment ref="I11856" authorId="0" shapeId="0">
      <text>
        <r>
          <rPr>
            <b/>
            <sz val="9"/>
            <color indexed="81"/>
            <rFont val="Tahoma"/>
            <family val="2"/>
          </rPr>
          <t>LPA:</t>
        </r>
        <r>
          <rPr>
            <sz val="9"/>
            <color indexed="81"/>
            <rFont val="Tahoma"/>
            <family val="2"/>
          </rPr>
          <t xml:space="preserve">
проверити збир!
</t>
        </r>
      </text>
    </comment>
    <comment ref="I11857" authorId="0" shapeId="0">
      <text>
        <r>
          <rPr>
            <b/>
            <sz val="9"/>
            <color indexed="81"/>
            <rFont val="Tahoma"/>
            <family val="2"/>
          </rPr>
          <t>LPA:</t>
        </r>
        <r>
          <rPr>
            <sz val="9"/>
            <color indexed="81"/>
            <rFont val="Tahoma"/>
            <family val="2"/>
          </rPr>
          <t xml:space="preserve">
проверити збир!
</t>
        </r>
      </text>
    </comment>
    <comment ref="I11858" authorId="0" shapeId="0">
      <text>
        <r>
          <rPr>
            <b/>
            <sz val="9"/>
            <color indexed="81"/>
            <rFont val="Tahoma"/>
            <family val="2"/>
          </rPr>
          <t>LPA:</t>
        </r>
        <r>
          <rPr>
            <sz val="9"/>
            <color indexed="81"/>
            <rFont val="Tahoma"/>
            <family val="2"/>
          </rPr>
          <t xml:space="preserve">
проверити збир!
</t>
        </r>
      </text>
    </comment>
    <comment ref="I11859" authorId="0" shapeId="0">
      <text>
        <r>
          <rPr>
            <b/>
            <sz val="9"/>
            <color indexed="81"/>
            <rFont val="Tahoma"/>
            <family val="2"/>
          </rPr>
          <t>LPA:</t>
        </r>
        <r>
          <rPr>
            <sz val="9"/>
            <color indexed="81"/>
            <rFont val="Tahoma"/>
            <family val="2"/>
          </rPr>
          <t xml:space="preserve">
проверити збир!
</t>
        </r>
      </text>
    </comment>
    <comment ref="I11930" authorId="0" shapeId="0">
      <text>
        <r>
          <rPr>
            <b/>
            <sz val="9"/>
            <color indexed="81"/>
            <rFont val="Tahoma"/>
            <family val="2"/>
          </rPr>
          <t>LPA:</t>
        </r>
        <r>
          <rPr>
            <sz val="9"/>
            <color indexed="81"/>
            <rFont val="Tahoma"/>
            <family val="2"/>
          </rPr>
          <t xml:space="preserve">
проверити збир!
</t>
        </r>
      </text>
    </comment>
    <comment ref="I11931" authorId="0" shapeId="0">
      <text>
        <r>
          <rPr>
            <b/>
            <sz val="9"/>
            <color indexed="81"/>
            <rFont val="Tahoma"/>
            <family val="2"/>
          </rPr>
          <t>LPA:</t>
        </r>
        <r>
          <rPr>
            <sz val="9"/>
            <color indexed="81"/>
            <rFont val="Tahoma"/>
            <family val="2"/>
          </rPr>
          <t xml:space="preserve">
проверити збир!
</t>
        </r>
      </text>
    </comment>
    <comment ref="I11932" authorId="0" shapeId="0">
      <text>
        <r>
          <rPr>
            <b/>
            <sz val="9"/>
            <color indexed="81"/>
            <rFont val="Tahoma"/>
            <family val="2"/>
          </rPr>
          <t>LPA:</t>
        </r>
        <r>
          <rPr>
            <sz val="9"/>
            <color indexed="81"/>
            <rFont val="Tahoma"/>
            <family val="2"/>
          </rPr>
          <t xml:space="preserve">
проверити збир!
</t>
        </r>
      </text>
    </comment>
    <comment ref="I11933" authorId="0" shapeId="0">
      <text>
        <r>
          <rPr>
            <b/>
            <sz val="9"/>
            <color indexed="81"/>
            <rFont val="Tahoma"/>
            <family val="2"/>
          </rPr>
          <t>LPA:</t>
        </r>
        <r>
          <rPr>
            <sz val="9"/>
            <color indexed="81"/>
            <rFont val="Tahoma"/>
            <family val="2"/>
          </rPr>
          <t xml:space="preserve">
проверити збир!
</t>
        </r>
      </text>
    </comment>
    <comment ref="I11934" authorId="0" shapeId="0">
      <text>
        <r>
          <rPr>
            <b/>
            <sz val="9"/>
            <color indexed="81"/>
            <rFont val="Tahoma"/>
            <family val="2"/>
          </rPr>
          <t>LPA:</t>
        </r>
        <r>
          <rPr>
            <sz val="9"/>
            <color indexed="81"/>
            <rFont val="Tahoma"/>
            <family val="2"/>
          </rPr>
          <t xml:space="preserve">
проверити збир!
</t>
        </r>
      </text>
    </comment>
    <comment ref="I11935" authorId="0" shapeId="0">
      <text>
        <r>
          <rPr>
            <b/>
            <sz val="9"/>
            <color indexed="81"/>
            <rFont val="Tahoma"/>
            <family val="2"/>
          </rPr>
          <t>LPA:</t>
        </r>
        <r>
          <rPr>
            <sz val="9"/>
            <color indexed="81"/>
            <rFont val="Tahoma"/>
            <family val="2"/>
          </rPr>
          <t xml:space="preserve">
проверити збир!
</t>
        </r>
      </text>
    </comment>
    <comment ref="I11936" authorId="0" shapeId="0">
      <text>
        <r>
          <rPr>
            <b/>
            <sz val="9"/>
            <color indexed="81"/>
            <rFont val="Tahoma"/>
            <family val="2"/>
          </rPr>
          <t>LPA:</t>
        </r>
        <r>
          <rPr>
            <sz val="9"/>
            <color indexed="81"/>
            <rFont val="Tahoma"/>
            <family val="2"/>
          </rPr>
          <t xml:space="preserve">
проверити збир!
</t>
        </r>
      </text>
    </comment>
    <comment ref="I11937" authorId="0" shapeId="0">
      <text>
        <r>
          <rPr>
            <b/>
            <sz val="9"/>
            <color indexed="81"/>
            <rFont val="Tahoma"/>
            <family val="2"/>
          </rPr>
          <t>LPA:</t>
        </r>
        <r>
          <rPr>
            <sz val="9"/>
            <color indexed="81"/>
            <rFont val="Tahoma"/>
            <family val="2"/>
          </rPr>
          <t xml:space="preserve">
проверити збир!
</t>
        </r>
      </text>
    </comment>
    <comment ref="I11938" authorId="0" shapeId="0">
      <text>
        <r>
          <rPr>
            <b/>
            <sz val="9"/>
            <color indexed="81"/>
            <rFont val="Tahoma"/>
            <family val="2"/>
          </rPr>
          <t>LPA:</t>
        </r>
        <r>
          <rPr>
            <sz val="9"/>
            <color indexed="81"/>
            <rFont val="Tahoma"/>
            <family val="2"/>
          </rPr>
          <t xml:space="preserve">
проверити збир!
</t>
        </r>
      </text>
    </comment>
    <comment ref="I11939" authorId="0" shapeId="0">
      <text>
        <r>
          <rPr>
            <b/>
            <sz val="9"/>
            <color indexed="81"/>
            <rFont val="Tahoma"/>
            <family val="2"/>
          </rPr>
          <t>LPA:</t>
        </r>
        <r>
          <rPr>
            <sz val="9"/>
            <color indexed="81"/>
            <rFont val="Tahoma"/>
            <family val="2"/>
          </rPr>
          <t xml:space="preserve">
проверити збир!
</t>
        </r>
      </text>
    </comment>
    <comment ref="I11940" authorId="0" shapeId="0">
      <text>
        <r>
          <rPr>
            <b/>
            <sz val="9"/>
            <color indexed="81"/>
            <rFont val="Tahoma"/>
            <family val="2"/>
          </rPr>
          <t>LPA:</t>
        </r>
        <r>
          <rPr>
            <sz val="9"/>
            <color indexed="81"/>
            <rFont val="Tahoma"/>
            <family val="2"/>
          </rPr>
          <t xml:space="preserve">
проверити збир!
</t>
        </r>
      </text>
    </comment>
    <comment ref="I11941" authorId="0" shapeId="0">
      <text>
        <r>
          <rPr>
            <b/>
            <sz val="9"/>
            <color indexed="81"/>
            <rFont val="Tahoma"/>
            <family val="2"/>
          </rPr>
          <t>LPA:</t>
        </r>
        <r>
          <rPr>
            <sz val="9"/>
            <color indexed="81"/>
            <rFont val="Tahoma"/>
            <family val="2"/>
          </rPr>
          <t xml:space="preserve">
проверити збир!
</t>
        </r>
      </text>
    </comment>
    <comment ref="I11942" authorId="0" shapeId="0">
      <text>
        <r>
          <rPr>
            <b/>
            <sz val="9"/>
            <color indexed="81"/>
            <rFont val="Tahoma"/>
            <family val="2"/>
          </rPr>
          <t>LPA:</t>
        </r>
        <r>
          <rPr>
            <sz val="9"/>
            <color indexed="81"/>
            <rFont val="Tahoma"/>
            <family val="2"/>
          </rPr>
          <t xml:space="preserve">
проверити збир!
</t>
        </r>
      </text>
    </comment>
    <comment ref="H11945" authorId="0" shapeId="0">
      <text>
        <r>
          <rPr>
            <b/>
            <sz val="9"/>
            <color indexed="81"/>
            <rFont val="Tahoma"/>
            <family val="2"/>
          </rPr>
          <t>LPA:</t>
        </r>
        <r>
          <rPr>
            <sz val="9"/>
            <color indexed="81"/>
            <rFont val="Tahoma"/>
            <family val="2"/>
          </rPr>
          <t xml:space="preserve">
проверити збир!</t>
        </r>
      </text>
    </comment>
    <comment ref="I11945" authorId="0" shapeId="0">
      <text>
        <r>
          <rPr>
            <b/>
            <sz val="9"/>
            <color indexed="81"/>
            <rFont val="Tahoma"/>
            <family val="2"/>
          </rPr>
          <t>LPA:</t>
        </r>
        <r>
          <rPr>
            <sz val="9"/>
            <color indexed="81"/>
            <rFont val="Tahoma"/>
            <family val="2"/>
          </rPr>
          <t xml:space="preserve">
проверити збир!</t>
        </r>
      </text>
    </comment>
    <comment ref="I11946" authorId="0" shapeId="0">
      <text>
        <r>
          <rPr>
            <b/>
            <sz val="9"/>
            <color indexed="81"/>
            <rFont val="Tahoma"/>
            <family val="2"/>
          </rPr>
          <t>LPA:</t>
        </r>
        <r>
          <rPr>
            <sz val="9"/>
            <color indexed="81"/>
            <rFont val="Tahoma"/>
            <family val="2"/>
          </rPr>
          <t xml:space="preserve">
проверити збир!
</t>
        </r>
      </text>
    </comment>
    <comment ref="I11947" authorId="0" shapeId="0">
      <text>
        <r>
          <rPr>
            <b/>
            <sz val="9"/>
            <color indexed="81"/>
            <rFont val="Tahoma"/>
            <family val="2"/>
          </rPr>
          <t>LPA:</t>
        </r>
        <r>
          <rPr>
            <sz val="9"/>
            <color indexed="81"/>
            <rFont val="Tahoma"/>
            <family val="2"/>
          </rPr>
          <t xml:space="preserve">
проверити збир!
</t>
        </r>
      </text>
    </comment>
    <comment ref="I11948" authorId="0" shapeId="0">
      <text>
        <r>
          <rPr>
            <b/>
            <sz val="9"/>
            <color indexed="81"/>
            <rFont val="Tahoma"/>
            <family val="2"/>
          </rPr>
          <t>LPA:</t>
        </r>
        <r>
          <rPr>
            <sz val="9"/>
            <color indexed="81"/>
            <rFont val="Tahoma"/>
            <family val="2"/>
          </rPr>
          <t xml:space="preserve">
проверити збир!
</t>
        </r>
      </text>
    </comment>
    <comment ref="I11949" authorId="0" shapeId="0">
      <text>
        <r>
          <rPr>
            <b/>
            <sz val="9"/>
            <color indexed="81"/>
            <rFont val="Tahoma"/>
            <family val="2"/>
          </rPr>
          <t>LPA:</t>
        </r>
        <r>
          <rPr>
            <sz val="9"/>
            <color indexed="81"/>
            <rFont val="Tahoma"/>
            <family val="2"/>
          </rPr>
          <t xml:space="preserve">
проверити збир!
</t>
        </r>
      </text>
    </comment>
    <comment ref="I11950" authorId="0" shapeId="0">
      <text>
        <r>
          <rPr>
            <b/>
            <sz val="9"/>
            <color indexed="81"/>
            <rFont val="Tahoma"/>
            <family val="2"/>
          </rPr>
          <t>LPA:</t>
        </r>
        <r>
          <rPr>
            <sz val="9"/>
            <color indexed="81"/>
            <rFont val="Tahoma"/>
            <family val="2"/>
          </rPr>
          <t xml:space="preserve">
проверити збир!
</t>
        </r>
      </text>
    </comment>
    <comment ref="I11951" authorId="0" shapeId="0">
      <text>
        <r>
          <rPr>
            <b/>
            <sz val="9"/>
            <color indexed="81"/>
            <rFont val="Tahoma"/>
            <family val="2"/>
          </rPr>
          <t>LPA:</t>
        </r>
        <r>
          <rPr>
            <sz val="9"/>
            <color indexed="81"/>
            <rFont val="Tahoma"/>
            <family val="2"/>
          </rPr>
          <t xml:space="preserve">
проверити збир!
</t>
        </r>
      </text>
    </comment>
    <comment ref="I11952" authorId="0" shapeId="0">
      <text>
        <r>
          <rPr>
            <b/>
            <sz val="9"/>
            <color indexed="81"/>
            <rFont val="Tahoma"/>
            <family val="2"/>
          </rPr>
          <t>LPA:</t>
        </r>
        <r>
          <rPr>
            <sz val="9"/>
            <color indexed="81"/>
            <rFont val="Tahoma"/>
            <family val="2"/>
          </rPr>
          <t xml:space="preserve">
проверити збир!
</t>
        </r>
      </text>
    </comment>
    <comment ref="I11953" authorId="0" shapeId="0">
      <text>
        <r>
          <rPr>
            <b/>
            <sz val="9"/>
            <color indexed="81"/>
            <rFont val="Tahoma"/>
            <family val="2"/>
          </rPr>
          <t>LPA:</t>
        </r>
        <r>
          <rPr>
            <sz val="9"/>
            <color indexed="81"/>
            <rFont val="Tahoma"/>
            <family val="2"/>
          </rPr>
          <t xml:space="preserve">
проверити збир!
</t>
        </r>
      </text>
    </comment>
    <comment ref="I11954" authorId="0" shapeId="0">
      <text>
        <r>
          <rPr>
            <b/>
            <sz val="9"/>
            <color indexed="81"/>
            <rFont val="Tahoma"/>
            <family val="2"/>
          </rPr>
          <t>LPA:</t>
        </r>
        <r>
          <rPr>
            <sz val="9"/>
            <color indexed="81"/>
            <rFont val="Tahoma"/>
            <family val="2"/>
          </rPr>
          <t xml:space="preserve">
проверити збир!
</t>
        </r>
      </text>
    </comment>
    <comment ref="I11955" authorId="0" shapeId="0">
      <text>
        <r>
          <rPr>
            <b/>
            <sz val="9"/>
            <color indexed="81"/>
            <rFont val="Tahoma"/>
            <family val="2"/>
          </rPr>
          <t>LPA:</t>
        </r>
        <r>
          <rPr>
            <sz val="9"/>
            <color indexed="81"/>
            <rFont val="Tahoma"/>
            <family val="2"/>
          </rPr>
          <t xml:space="preserve">
проверити збир!
</t>
        </r>
      </text>
    </comment>
    <comment ref="I11956" authorId="0" shapeId="0">
      <text>
        <r>
          <rPr>
            <b/>
            <sz val="9"/>
            <color indexed="81"/>
            <rFont val="Tahoma"/>
            <family val="2"/>
          </rPr>
          <t>LPA:</t>
        </r>
        <r>
          <rPr>
            <sz val="9"/>
            <color indexed="81"/>
            <rFont val="Tahoma"/>
            <family val="2"/>
          </rPr>
          <t xml:space="preserve">
проверити збир!
</t>
        </r>
      </text>
    </comment>
    <comment ref="I11957" authorId="0" shapeId="0">
      <text>
        <r>
          <rPr>
            <b/>
            <sz val="9"/>
            <color indexed="81"/>
            <rFont val="Tahoma"/>
            <family val="2"/>
          </rPr>
          <t>LPA:</t>
        </r>
        <r>
          <rPr>
            <sz val="9"/>
            <color indexed="81"/>
            <rFont val="Tahoma"/>
            <family val="2"/>
          </rPr>
          <t xml:space="preserve">
проверити збир!
</t>
        </r>
      </text>
    </comment>
    <comment ref="I11958" authorId="0" shapeId="0">
      <text>
        <r>
          <rPr>
            <b/>
            <sz val="9"/>
            <color indexed="81"/>
            <rFont val="Tahoma"/>
            <family val="2"/>
          </rPr>
          <t>LPA:</t>
        </r>
        <r>
          <rPr>
            <sz val="9"/>
            <color indexed="81"/>
            <rFont val="Tahoma"/>
            <family val="2"/>
          </rPr>
          <t xml:space="preserve">
проверити збир!
</t>
        </r>
      </text>
    </comment>
    <comment ref="I11959" authorId="0" shapeId="0">
      <text>
        <r>
          <rPr>
            <b/>
            <sz val="9"/>
            <color indexed="81"/>
            <rFont val="Tahoma"/>
            <family val="2"/>
          </rPr>
          <t>LPA:</t>
        </r>
        <r>
          <rPr>
            <sz val="9"/>
            <color indexed="81"/>
            <rFont val="Tahoma"/>
            <family val="2"/>
          </rPr>
          <t xml:space="preserve">
проверити збир!
</t>
        </r>
      </text>
    </comment>
    <comment ref="I11960" authorId="0" shapeId="0">
      <text>
        <r>
          <rPr>
            <b/>
            <sz val="9"/>
            <color indexed="81"/>
            <rFont val="Tahoma"/>
            <family val="2"/>
          </rPr>
          <t>LPA:</t>
        </r>
        <r>
          <rPr>
            <sz val="9"/>
            <color indexed="81"/>
            <rFont val="Tahoma"/>
            <family val="2"/>
          </rPr>
          <t xml:space="preserve">
проверити збир!
</t>
        </r>
      </text>
    </comment>
    <comment ref="I12029" authorId="0" shapeId="0">
      <text>
        <r>
          <rPr>
            <b/>
            <sz val="9"/>
            <color indexed="81"/>
            <rFont val="Tahoma"/>
            <family val="2"/>
          </rPr>
          <t>LPA:</t>
        </r>
        <r>
          <rPr>
            <sz val="9"/>
            <color indexed="81"/>
            <rFont val="Tahoma"/>
            <family val="2"/>
          </rPr>
          <t xml:space="preserve">
проверити збир!
</t>
        </r>
      </text>
    </comment>
    <comment ref="I12030" authorId="0" shapeId="0">
      <text>
        <r>
          <rPr>
            <b/>
            <sz val="9"/>
            <color indexed="81"/>
            <rFont val="Tahoma"/>
            <family val="2"/>
          </rPr>
          <t>LPA:</t>
        </r>
        <r>
          <rPr>
            <sz val="9"/>
            <color indexed="81"/>
            <rFont val="Tahoma"/>
            <family val="2"/>
          </rPr>
          <t xml:space="preserve">
проверити збир!
</t>
        </r>
      </text>
    </comment>
    <comment ref="I12031" authorId="0" shapeId="0">
      <text>
        <r>
          <rPr>
            <b/>
            <sz val="9"/>
            <color indexed="81"/>
            <rFont val="Tahoma"/>
            <family val="2"/>
          </rPr>
          <t>LPA:</t>
        </r>
        <r>
          <rPr>
            <sz val="9"/>
            <color indexed="81"/>
            <rFont val="Tahoma"/>
            <family val="2"/>
          </rPr>
          <t xml:space="preserve">
проверити збир!
</t>
        </r>
      </text>
    </comment>
    <comment ref="I12032" authorId="0" shapeId="0">
      <text>
        <r>
          <rPr>
            <b/>
            <sz val="9"/>
            <color indexed="81"/>
            <rFont val="Tahoma"/>
            <family val="2"/>
          </rPr>
          <t>LPA:</t>
        </r>
        <r>
          <rPr>
            <sz val="9"/>
            <color indexed="81"/>
            <rFont val="Tahoma"/>
            <family val="2"/>
          </rPr>
          <t xml:space="preserve">
проверити збир!
</t>
        </r>
      </text>
    </comment>
    <comment ref="I12033" authorId="0" shapeId="0">
      <text>
        <r>
          <rPr>
            <b/>
            <sz val="9"/>
            <color indexed="81"/>
            <rFont val="Tahoma"/>
            <family val="2"/>
          </rPr>
          <t>LPA:</t>
        </r>
        <r>
          <rPr>
            <sz val="9"/>
            <color indexed="81"/>
            <rFont val="Tahoma"/>
            <family val="2"/>
          </rPr>
          <t xml:space="preserve">
проверити збир!
</t>
        </r>
      </text>
    </comment>
    <comment ref="I12034" authorId="0" shapeId="0">
      <text>
        <r>
          <rPr>
            <b/>
            <sz val="9"/>
            <color indexed="81"/>
            <rFont val="Tahoma"/>
            <family val="2"/>
          </rPr>
          <t>LPA:</t>
        </r>
        <r>
          <rPr>
            <sz val="9"/>
            <color indexed="81"/>
            <rFont val="Tahoma"/>
            <family val="2"/>
          </rPr>
          <t xml:space="preserve">
проверити збир!
</t>
        </r>
      </text>
    </comment>
    <comment ref="I12035" authorId="0" shapeId="0">
      <text>
        <r>
          <rPr>
            <b/>
            <sz val="9"/>
            <color indexed="81"/>
            <rFont val="Tahoma"/>
            <family val="2"/>
          </rPr>
          <t>LPA:</t>
        </r>
        <r>
          <rPr>
            <sz val="9"/>
            <color indexed="81"/>
            <rFont val="Tahoma"/>
            <family val="2"/>
          </rPr>
          <t xml:space="preserve">
проверити збир!
</t>
        </r>
      </text>
    </comment>
    <comment ref="I12036" authorId="0" shapeId="0">
      <text>
        <r>
          <rPr>
            <b/>
            <sz val="9"/>
            <color indexed="81"/>
            <rFont val="Tahoma"/>
            <family val="2"/>
          </rPr>
          <t>LPA:</t>
        </r>
        <r>
          <rPr>
            <sz val="9"/>
            <color indexed="81"/>
            <rFont val="Tahoma"/>
            <family val="2"/>
          </rPr>
          <t xml:space="preserve">
проверити збир!
</t>
        </r>
      </text>
    </comment>
    <comment ref="I12037" authorId="0" shapeId="0">
      <text>
        <r>
          <rPr>
            <b/>
            <sz val="9"/>
            <color indexed="81"/>
            <rFont val="Tahoma"/>
            <family val="2"/>
          </rPr>
          <t>LPA:</t>
        </r>
        <r>
          <rPr>
            <sz val="9"/>
            <color indexed="81"/>
            <rFont val="Tahoma"/>
            <family val="2"/>
          </rPr>
          <t xml:space="preserve">
проверити збир!
</t>
        </r>
      </text>
    </comment>
    <comment ref="I12038" authorId="0" shapeId="0">
      <text>
        <r>
          <rPr>
            <b/>
            <sz val="9"/>
            <color indexed="81"/>
            <rFont val="Tahoma"/>
            <family val="2"/>
          </rPr>
          <t>LPA:</t>
        </r>
        <r>
          <rPr>
            <sz val="9"/>
            <color indexed="81"/>
            <rFont val="Tahoma"/>
            <family val="2"/>
          </rPr>
          <t xml:space="preserve">
проверити збир!
</t>
        </r>
      </text>
    </comment>
    <comment ref="I12039" authorId="0" shapeId="0">
      <text>
        <r>
          <rPr>
            <b/>
            <sz val="9"/>
            <color indexed="81"/>
            <rFont val="Tahoma"/>
            <family val="2"/>
          </rPr>
          <t>LPA:</t>
        </r>
        <r>
          <rPr>
            <sz val="9"/>
            <color indexed="81"/>
            <rFont val="Tahoma"/>
            <family val="2"/>
          </rPr>
          <t xml:space="preserve">
проверити збир!
</t>
        </r>
      </text>
    </comment>
    <comment ref="I12040" authorId="0" shapeId="0">
      <text>
        <r>
          <rPr>
            <b/>
            <sz val="9"/>
            <color indexed="81"/>
            <rFont val="Tahoma"/>
            <family val="2"/>
          </rPr>
          <t>LPA:</t>
        </r>
        <r>
          <rPr>
            <sz val="9"/>
            <color indexed="81"/>
            <rFont val="Tahoma"/>
            <family val="2"/>
          </rPr>
          <t xml:space="preserve">
проверити збир!
</t>
        </r>
      </text>
    </comment>
    <comment ref="I12041" authorId="0" shapeId="0">
      <text>
        <r>
          <rPr>
            <b/>
            <sz val="9"/>
            <color indexed="81"/>
            <rFont val="Tahoma"/>
            <family val="2"/>
          </rPr>
          <t>LPA:</t>
        </r>
        <r>
          <rPr>
            <sz val="9"/>
            <color indexed="81"/>
            <rFont val="Tahoma"/>
            <family val="2"/>
          </rPr>
          <t xml:space="preserve">
проверити збир!
</t>
        </r>
      </text>
    </comment>
    <comment ref="H12044" authorId="0" shapeId="0">
      <text>
        <r>
          <rPr>
            <b/>
            <sz val="9"/>
            <color indexed="81"/>
            <rFont val="Tahoma"/>
            <family val="2"/>
          </rPr>
          <t>LPA:</t>
        </r>
        <r>
          <rPr>
            <sz val="9"/>
            <color indexed="81"/>
            <rFont val="Tahoma"/>
            <family val="2"/>
          </rPr>
          <t xml:space="preserve">
проверити збир!</t>
        </r>
      </text>
    </comment>
    <comment ref="I12044" authorId="0" shapeId="0">
      <text>
        <r>
          <rPr>
            <b/>
            <sz val="9"/>
            <color indexed="81"/>
            <rFont val="Tahoma"/>
            <family val="2"/>
          </rPr>
          <t>LPA:</t>
        </r>
        <r>
          <rPr>
            <sz val="9"/>
            <color indexed="81"/>
            <rFont val="Tahoma"/>
            <family val="2"/>
          </rPr>
          <t xml:space="preserve">
проверити збир!</t>
        </r>
      </text>
    </comment>
    <comment ref="I12045" authorId="0" shapeId="0">
      <text>
        <r>
          <rPr>
            <b/>
            <sz val="9"/>
            <color indexed="81"/>
            <rFont val="Tahoma"/>
            <family val="2"/>
          </rPr>
          <t>LPA:</t>
        </r>
        <r>
          <rPr>
            <sz val="9"/>
            <color indexed="81"/>
            <rFont val="Tahoma"/>
            <family val="2"/>
          </rPr>
          <t xml:space="preserve">
проверити збир!
</t>
        </r>
      </text>
    </comment>
    <comment ref="I12046" authorId="0" shapeId="0">
      <text>
        <r>
          <rPr>
            <b/>
            <sz val="9"/>
            <color indexed="81"/>
            <rFont val="Tahoma"/>
            <family val="2"/>
          </rPr>
          <t>LPA:</t>
        </r>
        <r>
          <rPr>
            <sz val="9"/>
            <color indexed="81"/>
            <rFont val="Tahoma"/>
            <family val="2"/>
          </rPr>
          <t xml:space="preserve">
проверити збир!
</t>
        </r>
      </text>
    </comment>
    <comment ref="I12047" authorId="0" shapeId="0">
      <text>
        <r>
          <rPr>
            <b/>
            <sz val="9"/>
            <color indexed="81"/>
            <rFont val="Tahoma"/>
            <family val="2"/>
          </rPr>
          <t>LPA:</t>
        </r>
        <r>
          <rPr>
            <sz val="9"/>
            <color indexed="81"/>
            <rFont val="Tahoma"/>
            <family val="2"/>
          </rPr>
          <t xml:space="preserve">
проверити збир!
</t>
        </r>
      </text>
    </comment>
    <comment ref="I12048" authorId="0" shapeId="0">
      <text>
        <r>
          <rPr>
            <b/>
            <sz val="9"/>
            <color indexed="81"/>
            <rFont val="Tahoma"/>
            <family val="2"/>
          </rPr>
          <t>LPA:</t>
        </r>
        <r>
          <rPr>
            <sz val="9"/>
            <color indexed="81"/>
            <rFont val="Tahoma"/>
            <family val="2"/>
          </rPr>
          <t xml:space="preserve">
проверити збир!
</t>
        </r>
      </text>
    </comment>
    <comment ref="I12049" authorId="0" shapeId="0">
      <text>
        <r>
          <rPr>
            <b/>
            <sz val="9"/>
            <color indexed="81"/>
            <rFont val="Tahoma"/>
            <family val="2"/>
          </rPr>
          <t>LPA:</t>
        </r>
        <r>
          <rPr>
            <sz val="9"/>
            <color indexed="81"/>
            <rFont val="Tahoma"/>
            <family val="2"/>
          </rPr>
          <t xml:space="preserve">
проверити збир!
</t>
        </r>
      </text>
    </comment>
    <comment ref="I12050" authorId="0" shapeId="0">
      <text>
        <r>
          <rPr>
            <b/>
            <sz val="9"/>
            <color indexed="81"/>
            <rFont val="Tahoma"/>
            <family val="2"/>
          </rPr>
          <t>LPA:</t>
        </r>
        <r>
          <rPr>
            <sz val="9"/>
            <color indexed="81"/>
            <rFont val="Tahoma"/>
            <family val="2"/>
          </rPr>
          <t xml:space="preserve">
проверити збир!
</t>
        </r>
      </text>
    </comment>
    <comment ref="I12051" authorId="0" shapeId="0">
      <text>
        <r>
          <rPr>
            <b/>
            <sz val="9"/>
            <color indexed="81"/>
            <rFont val="Tahoma"/>
            <family val="2"/>
          </rPr>
          <t>LPA:</t>
        </r>
        <r>
          <rPr>
            <sz val="9"/>
            <color indexed="81"/>
            <rFont val="Tahoma"/>
            <family val="2"/>
          </rPr>
          <t xml:space="preserve">
проверити збир!
</t>
        </r>
      </text>
    </comment>
    <comment ref="I12052" authorId="0" shapeId="0">
      <text>
        <r>
          <rPr>
            <b/>
            <sz val="9"/>
            <color indexed="81"/>
            <rFont val="Tahoma"/>
            <family val="2"/>
          </rPr>
          <t>LPA:</t>
        </r>
        <r>
          <rPr>
            <sz val="9"/>
            <color indexed="81"/>
            <rFont val="Tahoma"/>
            <family val="2"/>
          </rPr>
          <t xml:space="preserve">
проверити збир!
</t>
        </r>
      </text>
    </comment>
    <comment ref="I12053" authorId="0" shapeId="0">
      <text>
        <r>
          <rPr>
            <b/>
            <sz val="9"/>
            <color indexed="81"/>
            <rFont val="Tahoma"/>
            <family val="2"/>
          </rPr>
          <t>LPA:</t>
        </r>
        <r>
          <rPr>
            <sz val="9"/>
            <color indexed="81"/>
            <rFont val="Tahoma"/>
            <family val="2"/>
          </rPr>
          <t xml:space="preserve">
проверити збир!
</t>
        </r>
      </text>
    </comment>
    <comment ref="I12054" authorId="0" shapeId="0">
      <text>
        <r>
          <rPr>
            <b/>
            <sz val="9"/>
            <color indexed="81"/>
            <rFont val="Tahoma"/>
            <family val="2"/>
          </rPr>
          <t>LPA:</t>
        </r>
        <r>
          <rPr>
            <sz val="9"/>
            <color indexed="81"/>
            <rFont val="Tahoma"/>
            <family val="2"/>
          </rPr>
          <t xml:space="preserve">
проверити збир!
</t>
        </r>
      </text>
    </comment>
    <comment ref="I12055" authorId="0" shapeId="0">
      <text>
        <r>
          <rPr>
            <b/>
            <sz val="9"/>
            <color indexed="81"/>
            <rFont val="Tahoma"/>
            <family val="2"/>
          </rPr>
          <t>LPA:</t>
        </r>
        <r>
          <rPr>
            <sz val="9"/>
            <color indexed="81"/>
            <rFont val="Tahoma"/>
            <family val="2"/>
          </rPr>
          <t xml:space="preserve">
проверити збир!
</t>
        </r>
      </text>
    </comment>
    <comment ref="I12056" authorId="0" shapeId="0">
      <text>
        <r>
          <rPr>
            <b/>
            <sz val="9"/>
            <color indexed="81"/>
            <rFont val="Tahoma"/>
            <family val="2"/>
          </rPr>
          <t>LPA:</t>
        </r>
        <r>
          <rPr>
            <sz val="9"/>
            <color indexed="81"/>
            <rFont val="Tahoma"/>
            <family val="2"/>
          </rPr>
          <t xml:space="preserve">
проверити збир!
</t>
        </r>
      </text>
    </comment>
    <comment ref="I12057" authorId="0" shapeId="0">
      <text>
        <r>
          <rPr>
            <b/>
            <sz val="9"/>
            <color indexed="81"/>
            <rFont val="Tahoma"/>
            <family val="2"/>
          </rPr>
          <t>LPA:</t>
        </r>
        <r>
          <rPr>
            <sz val="9"/>
            <color indexed="81"/>
            <rFont val="Tahoma"/>
            <family val="2"/>
          </rPr>
          <t xml:space="preserve">
проверити збир!
</t>
        </r>
      </text>
    </comment>
    <comment ref="I12058" authorId="0" shapeId="0">
      <text>
        <r>
          <rPr>
            <b/>
            <sz val="9"/>
            <color indexed="81"/>
            <rFont val="Tahoma"/>
            <family val="2"/>
          </rPr>
          <t>LPA:</t>
        </r>
        <r>
          <rPr>
            <sz val="9"/>
            <color indexed="81"/>
            <rFont val="Tahoma"/>
            <family val="2"/>
          </rPr>
          <t xml:space="preserve">
проверити збир!
</t>
        </r>
      </text>
    </comment>
    <comment ref="I12059" authorId="0" shapeId="0">
      <text>
        <r>
          <rPr>
            <b/>
            <sz val="9"/>
            <color indexed="81"/>
            <rFont val="Tahoma"/>
            <family val="2"/>
          </rPr>
          <t>LPA:</t>
        </r>
        <r>
          <rPr>
            <sz val="9"/>
            <color indexed="81"/>
            <rFont val="Tahoma"/>
            <family val="2"/>
          </rPr>
          <t xml:space="preserve">
проверити збир!
</t>
        </r>
      </text>
    </comment>
    <comment ref="H12063" authorId="0" shapeId="0">
      <text>
        <r>
          <rPr>
            <b/>
            <sz val="9"/>
            <color indexed="81"/>
            <rFont val="Tahoma"/>
            <family val="2"/>
          </rPr>
          <t>LPA:</t>
        </r>
        <r>
          <rPr>
            <sz val="9"/>
            <color indexed="81"/>
            <rFont val="Tahoma"/>
            <family val="2"/>
          </rPr>
          <t xml:space="preserve">
проверити збир!</t>
        </r>
      </text>
    </comment>
    <comment ref="I12063" authorId="0" shapeId="0">
      <text>
        <r>
          <rPr>
            <b/>
            <sz val="9"/>
            <color indexed="81"/>
            <rFont val="Tahoma"/>
            <family val="2"/>
          </rPr>
          <t>LPA:</t>
        </r>
        <r>
          <rPr>
            <sz val="9"/>
            <color indexed="81"/>
            <rFont val="Tahoma"/>
            <family val="2"/>
          </rPr>
          <t xml:space="preserve">
проверити збир!
</t>
        </r>
      </text>
    </comment>
    <comment ref="I12064" authorId="0" shapeId="0">
      <text>
        <r>
          <rPr>
            <b/>
            <sz val="9"/>
            <color indexed="81"/>
            <rFont val="Tahoma"/>
            <family val="2"/>
          </rPr>
          <t>LPA:</t>
        </r>
        <r>
          <rPr>
            <sz val="9"/>
            <color indexed="81"/>
            <rFont val="Tahoma"/>
            <family val="2"/>
          </rPr>
          <t xml:space="preserve">
проверити збир!
</t>
        </r>
      </text>
    </comment>
    <comment ref="I12065" authorId="0" shapeId="0">
      <text>
        <r>
          <rPr>
            <b/>
            <sz val="9"/>
            <color indexed="81"/>
            <rFont val="Tahoma"/>
            <family val="2"/>
          </rPr>
          <t>LPA:</t>
        </r>
        <r>
          <rPr>
            <sz val="9"/>
            <color indexed="81"/>
            <rFont val="Tahoma"/>
            <family val="2"/>
          </rPr>
          <t xml:space="preserve">
проверити збир!
</t>
        </r>
      </text>
    </comment>
    <comment ref="I12066" authorId="0" shapeId="0">
      <text>
        <r>
          <rPr>
            <b/>
            <sz val="9"/>
            <color indexed="81"/>
            <rFont val="Tahoma"/>
            <family val="2"/>
          </rPr>
          <t>LPA:</t>
        </r>
        <r>
          <rPr>
            <sz val="9"/>
            <color indexed="81"/>
            <rFont val="Tahoma"/>
            <family val="2"/>
          </rPr>
          <t xml:space="preserve">
проверити збир!
</t>
        </r>
      </text>
    </comment>
    <comment ref="I12067" authorId="0" shapeId="0">
      <text>
        <r>
          <rPr>
            <b/>
            <sz val="9"/>
            <color indexed="81"/>
            <rFont val="Tahoma"/>
            <family val="2"/>
          </rPr>
          <t>LPA:</t>
        </r>
        <r>
          <rPr>
            <sz val="9"/>
            <color indexed="81"/>
            <rFont val="Tahoma"/>
            <family val="2"/>
          </rPr>
          <t xml:space="preserve">
проверити збир!
</t>
        </r>
      </text>
    </comment>
    <comment ref="I12068" authorId="0" shapeId="0">
      <text>
        <r>
          <rPr>
            <b/>
            <sz val="9"/>
            <color indexed="81"/>
            <rFont val="Tahoma"/>
            <family val="2"/>
          </rPr>
          <t>LPA:</t>
        </r>
        <r>
          <rPr>
            <sz val="9"/>
            <color indexed="81"/>
            <rFont val="Tahoma"/>
            <family val="2"/>
          </rPr>
          <t xml:space="preserve">
проверити збир!
</t>
        </r>
      </text>
    </comment>
    <comment ref="I12069" authorId="0" shapeId="0">
      <text>
        <r>
          <rPr>
            <b/>
            <sz val="9"/>
            <color indexed="81"/>
            <rFont val="Tahoma"/>
            <family val="2"/>
          </rPr>
          <t>LPA:</t>
        </r>
        <r>
          <rPr>
            <sz val="9"/>
            <color indexed="81"/>
            <rFont val="Tahoma"/>
            <family val="2"/>
          </rPr>
          <t xml:space="preserve">
проверити збир!
</t>
        </r>
      </text>
    </comment>
    <comment ref="I12070" authorId="0" shapeId="0">
      <text>
        <r>
          <rPr>
            <b/>
            <sz val="9"/>
            <color indexed="81"/>
            <rFont val="Tahoma"/>
            <family val="2"/>
          </rPr>
          <t>LPA:</t>
        </r>
        <r>
          <rPr>
            <sz val="9"/>
            <color indexed="81"/>
            <rFont val="Tahoma"/>
            <family val="2"/>
          </rPr>
          <t xml:space="preserve">
проверити збир!
</t>
        </r>
      </text>
    </comment>
    <comment ref="I12071" authorId="0" shapeId="0">
      <text>
        <r>
          <rPr>
            <b/>
            <sz val="9"/>
            <color indexed="81"/>
            <rFont val="Tahoma"/>
            <family val="2"/>
          </rPr>
          <t>LPA:</t>
        </r>
        <r>
          <rPr>
            <sz val="9"/>
            <color indexed="81"/>
            <rFont val="Tahoma"/>
            <family val="2"/>
          </rPr>
          <t xml:space="preserve">
проверити збир!
</t>
        </r>
      </text>
    </comment>
    <comment ref="I12072" authorId="0" shapeId="0">
      <text>
        <r>
          <rPr>
            <b/>
            <sz val="9"/>
            <color indexed="81"/>
            <rFont val="Tahoma"/>
            <family val="2"/>
          </rPr>
          <t>LPA:</t>
        </r>
        <r>
          <rPr>
            <sz val="9"/>
            <color indexed="81"/>
            <rFont val="Tahoma"/>
            <family val="2"/>
          </rPr>
          <t xml:space="preserve">
проверити збир!
</t>
        </r>
      </text>
    </comment>
    <comment ref="I12073" authorId="0" shapeId="0">
      <text>
        <r>
          <rPr>
            <b/>
            <sz val="9"/>
            <color indexed="81"/>
            <rFont val="Tahoma"/>
            <family val="2"/>
          </rPr>
          <t>LPA:</t>
        </r>
        <r>
          <rPr>
            <sz val="9"/>
            <color indexed="81"/>
            <rFont val="Tahoma"/>
            <family val="2"/>
          </rPr>
          <t xml:space="preserve">
проверити збир!
</t>
        </r>
      </text>
    </comment>
    <comment ref="I12074" authorId="0" shapeId="0">
      <text>
        <r>
          <rPr>
            <b/>
            <sz val="9"/>
            <color indexed="81"/>
            <rFont val="Tahoma"/>
            <family val="2"/>
          </rPr>
          <t>LPA:</t>
        </r>
        <r>
          <rPr>
            <sz val="9"/>
            <color indexed="81"/>
            <rFont val="Tahoma"/>
            <family val="2"/>
          </rPr>
          <t xml:space="preserve">
проверити збир!
</t>
        </r>
      </text>
    </comment>
    <comment ref="I12075" authorId="0" shapeId="0">
      <text>
        <r>
          <rPr>
            <b/>
            <sz val="9"/>
            <color indexed="81"/>
            <rFont val="Tahoma"/>
            <family val="2"/>
          </rPr>
          <t>LPA:</t>
        </r>
        <r>
          <rPr>
            <sz val="9"/>
            <color indexed="81"/>
            <rFont val="Tahoma"/>
            <family val="2"/>
          </rPr>
          <t xml:space="preserve">
проверити збир!
</t>
        </r>
      </text>
    </comment>
    <comment ref="I12076" authorId="0" shapeId="0">
      <text>
        <r>
          <rPr>
            <b/>
            <sz val="9"/>
            <color indexed="81"/>
            <rFont val="Tahoma"/>
            <family val="2"/>
          </rPr>
          <t>LPA:</t>
        </r>
        <r>
          <rPr>
            <sz val="9"/>
            <color indexed="81"/>
            <rFont val="Tahoma"/>
            <family val="2"/>
          </rPr>
          <t xml:space="preserve">
проверити збир!
</t>
        </r>
      </text>
    </comment>
    <comment ref="I12077" authorId="0" shapeId="0">
      <text>
        <r>
          <rPr>
            <b/>
            <sz val="9"/>
            <color indexed="81"/>
            <rFont val="Tahoma"/>
            <family val="2"/>
          </rPr>
          <t>LPA:</t>
        </r>
        <r>
          <rPr>
            <sz val="9"/>
            <color indexed="81"/>
            <rFont val="Tahoma"/>
            <family val="2"/>
          </rPr>
          <t xml:space="preserve">
проверити збир!
</t>
        </r>
      </text>
    </comment>
    <comment ref="I12078" authorId="0" shapeId="0">
      <text>
        <r>
          <rPr>
            <b/>
            <sz val="9"/>
            <color indexed="81"/>
            <rFont val="Tahoma"/>
            <family val="2"/>
          </rPr>
          <t>LPA:</t>
        </r>
        <r>
          <rPr>
            <sz val="9"/>
            <color indexed="81"/>
            <rFont val="Tahoma"/>
            <family val="2"/>
          </rPr>
          <t xml:space="preserve">
проверити збир!
</t>
        </r>
      </text>
    </comment>
    <comment ref="H12082" authorId="0" shapeId="0">
      <text>
        <r>
          <rPr>
            <b/>
            <sz val="9"/>
            <color indexed="81"/>
            <rFont val="Tahoma"/>
            <family val="2"/>
          </rPr>
          <t>LPA:</t>
        </r>
        <r>
          <rPr>
            <sz val="9"/>
            <color indexed="81"/>
            <rFont val="Tahoma"/>
            <family val="2"/>
          </rPr>
          <t xml:space="preserve">
провери збир!</t>
        </r>
      </text>
    </comment>
    <comment ref="I12082" authorId="0" shapeId="0">
      <text>
        <r>
          <rPr>
            <b/>
            <sz val="9"/>
            <color indexed="81"/>
            <rFont val="Tahoma"/>
            <family val="2"/>
          </rPr>
          <t>LPA:</t>
        </r>
        <r>
          <rPr>
            <sz val="9"/>
            <color indexed="81"/>
            <rFont val="Tahoma"/>
            <family val="2"/>
          </rPr>
          <t xml:space="preserve">
проверити збир!
</t>
        </r>
      </text>
    </comment>
    <comment ref="I12083" authorId="0" shapeId="0">
      <text>
        <r>
          <rPr>
            <b/>
            <sz val="9"/>
            <color indexed="81"/>
            <rFont val="Tahoma"/>
            <family val="2"/>
          </rPr>
          <t>LPA:</t>
        </r>
        <r>
          <rPr>
            <sz val="9"/>
            <color indexed="81"/>
            <rFont val="Tahoma"/>
            <family val="2"/>
          </rPr>
          <t xml:space="preserve">
проверити збир!
</t>
        </r>
      </text>
    </comment>
    <comment ref="I12084" authorId="0" shapeId="0">
      <text>
        <r>
          <rPr>
            <b/>
            <sz val="9"/>
            <color indexed="81"/>
            <rFont val="Tahoma"/>
            <family val="2"/>
          </rPr>
          <t>LPA:</t>
        </r>
        <r>
          <rPr>
            <sz val="9"/>
            <color indexed="81"/>
            <rFont val="Tahoma"/>
            <family val="2"/>
          </rPr>
          <t xml:space="preserve">
проверити збир!
</t>
        </r>
      </text>
    </comment>
    <comment ref="I12085" authorId="0" shapeId="0">
      <text>
        <r>
          <rPr>
            <b/>
            <sz val="9"/>
            <color indexed="81"/>
            <rFont val="Tahoma"/>
            <family val="2"/>
          </rPr>
          <t>LPA:</t>
        </r>
        <r>
          <rPr>
            <sz val="9"/>
            <color indexed="81"/>
            <rFont val="Tahoma"/>
            <family val="2"/>
          </rPr>
          <t xml:space="preserve">
проверити збир!
</t>
        </r>
      </text>
    </comment>
    <comment ref="I12086" authorId="0" shapeId="0">
      <text>
        <r>
          <rPr>
            <b/>
            <sz val="9"/>
            <color indexed="81"/>
            <rFont val="Tahoma"/>
            <family val="2"/>
          </rPr>
          <t>LPA:</t>
        </r>
        <r>
          <rPr>
            <sz val="9"/>
            <color indexed="81"/>
            <rFont val="Tahoma"/>
            <family val="2"/>
          </rPr>
          <t xml:space="preserve">
проверити збир!
</t>
        </r>
      </text>
    </comment>
    <comment ref="I12087" authorId="0" shapeId="0">
      <text>
        <r>
          <rPr>
            <b/>
            <sz val="9"/>
            <color indexed="81"/>
            <rFont val="Tahoma"/>
            <family val="2"/>
          </rPr>
          <t>LPA:</t>
        </r>
        <r>
          <rPr>
            <sz val="9"/>
            <color indexed="81"/>
            <rFont val="Tahoma"/>
            <family val="2"/>
          </rPr>
          <t xml:space="preserve">
проверити збир!
</t>
        </r>
      </text>
    </comment>
    <comment ref="I12088" authorId="0" shapeId="0">
      <text>
        <r>
          <rPr>
            <b/>
            <sz val="9"/>
            <color indexed="81"/>
            <rFont val="Tahoma"/>
            <family val="2"/>
          </rPr>
          <t>LPA:</t>
        </r>
        <r>
          <rPr>
            <sz val="9"/>
            <color indexed="81"/>
            <rFont val="Tahoma"/>
            <family val="2"/>
          </rPr>
          <t xml:space="preserve">
проверити збир!
</t>
        </r>
      </text>
    </comment>
    <comment ref="I12089" authorId="0" shapeId="0">
      <text>
        <r>
          <rPr>
            <b/>
            <sz val="9"/>
            <color indexed="81"/>
            <rFont val="Tahoma"/>
            <family val="2"/>
          </rPr>
          <t>LPA:</t>
        </r>
        <r>
          <rPr>
            <sz val="9"/>
            <color indexed="81"/>
            <rFont val="Tahoma"/>
            <family val="2"/>
          </rPr>
          <t xml:space="preserve">
проверити збир!
</t>
        </r>
      </text>
    </comment>
    <comment ref="I12090" authorId="0" shapeId="0">
      <text>
        <r>
          <rPr>
            <b/>
            <sz val="9"/>
            <color indexed="81"/>
            <rFont val="Tahoma"/>
            <family val="2"/>
          </rPr>
          <t>LPA:</t>
        </r>
        <r>
          <rPr>
            <sz val="9"/>
            <color indexed="81"/>
            <rFont val="Tahoma"/>
            <family val="2"/>
          </rPr>
          <t xml:space="preserve">
проверити збир!
</t>
        </r>
      </text>
    </comment>
    <comment ref="I12091" authorId="0" shapeId="0">
      <text>
        <r>
          <rPr>
            <b/>
            <sz val="9"/>
            <color indexed="81"/>
            <rFont val="Tahoma"/>
            <family val="2"/>
          </rPr>
          <t>LPA:</t>
        </r>
        <r>
          <rPr>
            <sz val="9"/>
            <color indexed="81"/>
            <rFont val="Tahoma"/>
            <family val="2"/>
          </rPr>
          <t xml:space="preserve">
проверити збир!
</t>
        </r>
      </text>
    </comment>
    <comment ref="I12092" authorId="0" shapeId="0">
      <text>
        <r>
          <rPr>
            <b/>
            <sz val="9"/>
            <color indexed="81"/>
            <rFont val="Tahoma"/>
            <family val="2"/>
          </rPr>
          <t>LPA:</t>
        </r>
        <r>
          <rPr>
            <sz val="9"/>
            <color indexed="81"/>
            <rFont val="Tahoma"/>
            <family val="2"/>
          </rPr>
          <t xml:space="preserve">
проверити збир!
</t>
        </r>
      </text>
    </comment>
    <comment ref="I12093" authorId="0" shapeId="0">
      <text>
        <r>
          <rPr>
            <b/>
            <sz val="9"/>
            <color indexed="81"/>
            <rFont val="Tahoma"/>
            <family val="2"/>
          </rPr>
          <t>LPA:</t>
        </r>
        <r>
          <rPr>
            <sz val="9"/>
            <color indexed="81"/>
            <rFont val="Tahoma"/>
            <family val="2"/>
          </rPr>
          <t xml:space="preserve">
проверити збир!
</t>
        </r>
      </text>
    </comment>
    <comment ref="I12094" authorId="0" shapeId="0">
      <text>
        <r>
          <rPr>
            <b/>
            <sz val="9"/>
            <color indexed="81"/>
            <rFont val="Tahoma"/>
            <family val="2"/>
          </rPr>
          <t>LPA:</t>
        </r>
        <r>
          <rPr>
            <sz val="9"/>
            <color indexed="81"/>
            <rFont val="Tahoma"/>
            <family val="2"/>
          </rPr>
          <t xml:space="preserve">
проверити збир!
</t>
        </r>
      </text>
    </comment>
    <comment ref="I12095" authorId="0" shapeId="0">
      <text>
        <r>
          <rPr>
            <b/>
            <sz val="9"/>
            <color indexed="81"/>
            <rFont val="Tahoma"/>
            <family val="2"/>
          </rPr>
          <t>LPA:</t>
        </r>
        <r>
          <rPr>
            <sz val="9"/>
            <color indexed="81"/>
            <rFont val="Tahoma"/>
            <family val="2"/>
          </rPr>
          <t xml:space="preserve">
проверити збир!
</t>
        </r>
      </text>
    </comment>
    <comment ref="I12096" authorId="0" shapeId="0">
      <text>
        <r>
          <rPr>
            <b/>
            <sz val="9"/>
            <color indexed="81"/>
            <rFont val="Tahoma"/>
            <family val="2"/>
          </rPr>
          <t>LPA:</t>
        </r>
        <r>
          <rPr>
            <sz val="9"/>
            <color indexed="81"/>
            <rFont val="Tahoma"/>
            <family val="2"/>
          </rPr>
          <t xml:space="preserve">
проверити збир!
</t>
        </r>
      </text>
    </comment>
    <comment ref="I12097" authorId="0" shapeId="0">
      <text>
        <r>
          <rPr>
            <b/>
            <sz val="9"/>
            <color indexed="81"/>
            <rFont val="Tahoma"/>
            <family val="2"/>
          </rPr>
          <t>LPA:</t>
        </r>
        <r>
          <rPr>
            <sz val="9"/>
            <color indexed="81"/>
            <rFont val="Tahoma"/>
            <family val="2"/>
          </rPr>
          <t xml:space="preserve">
проверити збир!
</t>
        </r>
      </text>
    </comment>
    <comment ref="I12168" authorId="0" shapeId="0">
      <text>
        <r>
          <rPr>
            <b/>
            <sz val="9"/>
            <color indexed="81"/>
            <rFont val="Tahoma"/>
            <family val="2"/>
          </rPr>
          <t>LPA:</t>
        </r>
        <r>
          <rPr>
            <sz val="9"/>
            <color indexed="81"/>
            <rFont val="Tahoma"/>
            <family val="2"/>
          </rPr>
          <t xml:space="preserve">
проверити збир!
</t>
        </r>
      </text>
    </comment>
    <comment ref="I12169" authorId="0" shapeId="0">
      <text>
        <r>
          <rPr>
            <b/>
            <sz val="9"/>
            <color indexed="81"/>
            <rFont val="Tahoma"/>
            <family val="2"/>
          </rPr>
          <t>LPA:</t>
        </r>
        <r>
          <rPr>
            <sz val="9"/>
            <color indexed="81"/>
            <rFont val="Tahoma"/>
            <family val="2"/>
          </rPr>
          <t xml:space="preserve">
проверити збир!
</t>
        </r>
      </text>
    </comment>
    <comment ref="I12170" authorId="0" shapeId="0">
      <text>
        <r>
          <rPr>
            <b/>
            <sz val="9"/>
            <color indexed="81"/>
            <rFont val="Tahoma"/>
            <family val="2"/>
          </rPr>
          <t>LPA:</t>
        </r>
        <r>
          <rPr>
            <sz val="9"/>
            <color indexed="81"/>
            <rFont val="Tahoma"/>
            <family val="2"/>
          </rPr>
          <t xml:space="preserve">
проверити збир!
</t>
        </r>
      </text>
    </comment>
    <comment ref="I12171" authorId="0" shapeId="0">
      <text>
        <r>
          <rPr>
            <b/>
            <sz val="9"/>
            <color indexed="81"/>
            <rFont val="Tahoma"/>
            <family val="2"/>
          </rPr>
          <t>LPA:</t>
        </r>
        <r>
          <rPr>
            <sz val="9"/>
            <color indexed="81"/>
            <rFont val="Tahoma"/>
            <family val="2"/>
          </rPr>
          <t xml:space="preserve">
проверити збир!
</t>
        </r>
      </text>
    </comment>
    <comment ref="I12172" authorId="0" shapeId="0">
      <text>
        <r>
          <rPr>
            <b/>
            <sz val="9"/>
            <color indexed="81"/>
            <rFont val="Tahoma"/>
            <family val="2"/>
          </rPr>
          <t>LPA:</t>
        </r>
        <r>
          <rPr>
            <sz val="9"/>
            <color indexed="81"/>
            <rFont val="Tahoma"/>
            <family val="2"/>
          </rPr>
          <t xml:space="preserve">
проверити збир!
</t>
        </r>
      </text>
    </comment>
    <comment ref="I12173" authorId="0" shapeId="0">
      <text>
        <r>
          <rPr>
            <b/>
            <sz val="9"/>
            <color indexed="81"/>
            <rFont val="Tahoma"/>
            <family val="2"/>
          </rPr>
          <t>LPA:</t>
        </r>
        <r>
          <rPr>
            <sz val="9"/>
            <color indexed="81"/>
            <rFont val="Tahoma"/>
            <family val="2"/>
          </rPr>
          <t xml:space="preserve">
проверити збир!
</t>
        </r>
      </text>
    </comment>
    <comment ref="I12174" authorId="0" shapeId="0">
      <text>
        <r>
          <rPr>
            <b/>
            <sz val="9"/>
            <color indexed="81"/>
            <rFont val="Tahoma"/>
            <family val="2"/>
          </rPr>
          <t>LPA:</t>
        </r>
        <r>
          <rPr>
            <sz val="9"/>
            <color indexed="81"/>
            <rFont val="Tahoma"/>
            <family val="2"/>
          </rPr>
          <t xml:space="preserve">
проверити збир!
</t>
        </r>
      </text>
    </comment>
    <comment ref="I12175" authorId="0" shapeId="0">
      <text>
        <r>
          <rPr>
            <b/>
            <sz val="9"/>
            <color indexed="81"/>
            <rFont val="Tahoma"/>
            <family val="2"/>
          </rPr>
          <t>LPA:</t>
        </r>
        <r>
          <rPr>
            <sz val="9"/>
            <color indexed="81"/>
            <rFont val="Tahoma"/>
            <family val="2"/>
          </rPr>
          <t xml:space="preserve">
проверити збир!
</t>
        </r>
      </text>
    </comment>
    <comment ref="I12176" authorId="0" shapeId="0">
      <text>
        <r>
          <rPr>
            <b/>
            <sz val="9"/>
            <color indexed="81"/>
            <rFont val="Tahoma"/>
            <family val="2"/>
          </rPr>
          <t>LPA:</t>
        </r>
        <r>
          <rPr>
            <sz val="9"/>
            <color indexed="81"/>
            <rFont val="Tahoma"/>
            <family val="2"/>
          </rPr>
          <t xml:space="preserve">
проверити збир!
</t>
        </r>
      </text>
    </comment>
    <comment ref="I12177" authorId="0" shapeId="0">
      <text>
        <r>
          <rPr>
            <b/>
            <sz val="9"/>
            <color indexed="81"/>
            <rFont val="Tahoma"/>
            <family val="2"/>
          </rPr>
          <t>LPA:</t>
        </r>
        <r>
          <rPr>
            <sz val="9"/>
            <color indexed="81"/>
            <rFont val="Tahoma"/>
            <family val="2"/>
          </rPr>
          <t xml:space="preserve">
проверити збир!
</t>
        </r>
      </text>
    </comment>
    <comment ref="I12178" authorId="0" shapeId="0">
      <text>
        <r>
          <rPr>
            <b/>
            <sz val="9"/>
            <color indexed="81"/>
            <rFont val="Tahoma"/>
            <family val="2"/>
          </rPr>
          <t>LPA:</t>
        </r>
        <r>
          <rPr>
            <sz val="9"/>
            <color indexed="81"/>
            <rFont val="Tahoma"/>
            <family val="2"/>
          </rPr>
          <t xml:space="preserve">
проверити збир!
</t>
        </r>
      </text>
    </comment>
    <comment ref="I12179" authorId="0" shapeId="0">
      <text>
        <r>
          <rPr>
            <b/>
            <sz val="9"/>
            <color indexed="81"/>
            <rFont val="Tahoma"/>
            <family val="2"/>
          </rPr>
          <t>LPA:</t>
        </r>
        <r>
          <rPr>
            <sz val="9"/>
            <color indexed="81"/>
            <rFont val="Tahoma"/>
            <family val="2"/>
          </rPr>
          <t xml:space="preserve">
проверити збир!
</t>
        </r>
      </text>
    </comment>
    <comment ref="I12180" authorId="0" shapeId="0">
      <text>
        <r>
          <rPr>
            <b/>
            <sz val="9"/>
            <color indexed="81"/>
            <rFont val="Tahoma"/>
            <family val="2"/>
          </rPr>
          <t>LPA:</t>
        </r>
        <r>
          <rPr>
            <sz val="9"/>
            <color indexed="81"/>
            <rFont val="Tahoma"/>
            <family val="2"/>
          </rPr>
          <t xml:space="preserve">
проверити збир!
</t>
        </r>
      </text>
    </comment>
    <comment ref="H12183" authorId="0" shapeId="0">
      <text>
        <r>
          <rPr>
            <b/>
            <sz val="9"/>
            <color indexed="81"/>
            <rFont val="Tahoma"/>
            <family val="2"/>
          </rPr>
          <t>LPA:</t>
        </r>
        <r>
          <rPr>
            <sz val="9"/>
            <color indexed="81"/>
            <rFont val="Tahoma"/>
            <family val="2"/>
          </rPr>
          <t xml:space="preserve">
проверити збир!</t>
        </r>
      </text>
    </comment>
    <comment ref="I12183" authorId="0" shapeId="0">
      <text>
        <r>
          <rPr>
            <b/>
            <sz val="9"/>
            <color indexed="81"/>
            <rFont val="Tahoma"/>
            <family val="2"/>
          </rPr>
          <t>LPA:</t>
        </r>
        <r>
          <rPr>
            <sz val="9"/>
            <color indexed="81"/>
            <rFont val="Tahoma"/>
            <family val="2"/>
          </rPr>
          <t xml:space="preserve">
проверити збир!</t>
        </r>
      </text>
    </comment>
    <comment ref="I12184" authorId="0" shapeId="0">
      <text>
        <r>
          <rPr>
            <b/>
            <sz val="9"/>
            <color indexed="81"/>
            <rFont val="Tahoma"/>
            <family val="2"/>
          </rPr>
          <t>LPA:</t>
        </r>
        <r>
          <rPr>
            <sz val="9"/>
            <color indexed="81"/>
            <rFont val="Tahoma"/>
            <family val="2"/>
          </rPr>
          <t xml:space="preserve">
проверити збир!
</t>
        </r>
      </text>
    </comment>
    <comment ref="I12185" authorId="0" shapeId="0">
      <text>
        <r>
          <rPr>
            <b/>
            <sz val="9"/>
            <color indexed="81"/>
            <rFont val="Tahoma"/>
            <family val="2"/>
          </rPr>
          <t>LPA:</t>
        </r>
        <r>
          <rPr>
            <sz val="9"/>
            <color indexed="81"/>
            <rFont val="Tahoma"/>
            <family val="2"/>
          </rPr>
          <t xml:space="preserve">
проверити збир!
</t>
        </r>
      </text>
    </comment>
    <comment ref="I12186" authorId="0" shapeId="0">
      <text>
        <r>
          <rPr>
            <b/>
            <sz val="9"/>
            <color indexed="81"/>
            <rFont val="Tahoma"/>
            <family val="2"/>
          </rPr>
          <t>LPA:</t>
        </r>
        <r>
          <rPr>
            <sz val="9"/>
            <color indexed="81"/>
            <rFont val="Tahoma"/>
            <family val="2"/>
          </rPr>
          <t xml:space="preserve">
проверити збир!
</t>
        </r>
      </text>
    </comment>
    <comment ref="I12187" authorId="0" shapeId="0">
      <text>
        <r>
          <rPr>
            <b/>
            <sz val="9"/>
            <color indexed="81"/>
            <rFont val="Tahoma"/>
            <family val="2"/>
          </rPr>
          <t>LPA:</t>
        </r>
        <r>
          <rPr>
            <sz val="9"/>
            <color indexed="81"/>
            <rFont val="Tahoma"/>
            <family val="2"/>
          </rPr>
          <t xml:space="preserve">
проверити збир!
</t>
        </r>
      </text>
    </comment>
    <comment ref="I12188" authorId="0" shapeId="0">
      <text>
        <r>
          <rPr>
            <b/>
            <sz val="9"/>
            <color indexed="81"/>
            <rFont val="Tahoma"/>
            <family val="2"/>
          </rPr>
          <t>LPA:</t>
        </r>
        <r>
          <rPr>
            <sz val="9"/>
            <color indexed="81"/>
            <rFont val="Tahoma"/>
            <family val="2"/>
          </rPr>
          <t xml:space="preserve">
проверити збир!
</t>
        </r>
      </text>
    </comment>
    <comment ref="I12189" authorId="0" shapeId="0">
      <text>
        <r>
          <rPr>
            <b/>
            <sz val="9"/>
            <color indexed="81"/>
            <rFont val="Tahoma"/>
            <family val="2"/>
          </rPr>
          <t>LPA:</t>
        </r>
        <r>
          <rPr>
            <sz val="9"/>
            <color indexed="81"/>
            <rFont val="Tahoma"/>
            <family val="2"/>
          </rPr>
          <t xml:space="preserve">
проверити збир!
</t>
        </r>
      </text>
    </comment>
    <comment ref="I12190" authorId="0" shapeId="0">
      <text>
        <r>
          <rPr>
            <b/>
            <sz val="9"/>
            <color indexed="81"/>
            <rFont val="Tahoma"/>
            <family val="2"/>
          </rPr>
          <t>LPA:</t>
        </r>
        <r>
          <rPr>
            <sz val="9"/>
            <color indexed="81"/>
            <rFont val="Tahoma"/>
            <family val="2"/>
          </rPr>
          <t xml:space="preserve">
проверити збир!
</t>
        </r>
      </text>
    </comment>
    <comment ref="I12191" authorId="0" shapeId="0">
      <text>
        <r>
          <rPr>
            <b/>
            <sz val="9"/>
            <color indexed="81"/>
            <rFont val="Tahoma"/>
            <family val="2"/>
          </rPr>
          <t>LPA:</t>
        </r>
        <r>
          <rPr>
            <sz val="9"/>
            <color indexed="81"/>
            <rFont val="Tahoma"/>
            <family val="2"/>
          </rPr>
          <t xml:space="preserve">
проверити збир!
</t>
        </r>
      </text>
    </comment>
    <comment ref="I12192" authorId="0" shapeId="0">
      <text>
        <r>
          <rPr>
            <b/>
            <sz val="9"/>
            <color indexed="81"/>
            <rFont val="Tahoma"/>
            <family val="2"/>
          </rPr>
          <t>LPA:</t>
        </r>
        <r>
          <rPr>
            <sz val="9"/>
            <color indexed="81"/>
            <rFont val="Tahoma"/>
            <family val="2"/>
          </rPr>
          <t xml:space="preserve">
проверити збир!
</t>
        </r>
      </text>
    </comment>
    <comment ref="I12193" authorId="0" shapeId="0">
      <text>
        <r>
          <rPr>
            <b/>
            <sz val="9"/>
            <color indexed="81"/>
            <rFont val="Tahoma"/>
            <family val="2"/>
          </rPr>
          <t>LPA:</t>
        </r>
        <r>
          <rPr>
            <sz val="9"/>
            <color indexed="81"/>
            <rFont val="Tahoma"/>
            <family val="2"/>
          </rPr>
          <t xml:space="preserve">
проверити збир!
</t>
        </r>
      </text>
    </comment>
    <comment ref="I12194" authorId="0" shapeId="0">
      <text>
        <r>
          <rPr>
            <b/>
            <sz val="9"/>
            <color indexed="81"/>
            <rFont val="Tahoma"/>
            <family val="2"/>
          </rPr>
          <t>LPA:</t>
        </r>
        <r>
          <rPr>
            <sz val="9"/>
            <color indexed="81"/>
            <rFont val="Tahoma"/>
            <family val="2"/>
          </rPr>
          <t xml:space="preserve">
проверити збир!
</t>
        </r>
      </text>
    </comment>
    <comment ref="I12195" authorId="0" shapeId="0">
      <text>
        <r>
          <rPr>
            <b/>
            <sz val="9"/>
            <color indexed="81"/>
            <rFont val="Tahoma"/>
            <family val="2"/>
          </rPr>
          <t>LPA:</t>
        </r>
        <r>
          <rPr>
            <sz val="9"/>
            <color indexed="81"/>
            <rFont val="Tahoma"/>
            <family val="2"/>
          </rPr>
          <t xml:space="preserve">
проверити збир!
</t>
        </r>
      </text>
    </comment>
    <comment ref="I12196" authorId="0" shapeId="0">
      <text>
        <r>
          <rPr>
            <b/>
            <sz val="9"/>
            <color indexed="81"/>
            <rFont val="Tahoma"/>
            <family val="2"/>
          </rPr>
          <t>LPA:</t>
        </r>
        <r>
          <rPr>
            <sz val="9"/>
            <color indexed="81"/>
            <rFont val="Tahoma"/>
            <family val="2"/>
          </rPr>
          <t xml:space="preserve">
проверити збир!
</t>
        </r>
      </text>
    </comment>
    <comment ref="I12197" authorId="0" shapeId="0">
      <text>
        <r>
          <rPr>
            <b/>
            <sz val="9"/>
            <color indexed="81"/>
            <rFont val="Tahoma"/>
            <family val="2"/>
          </rPr>
          <t>LPA:</t>
        </r>
        <r>
          <rPr>
            <sz val="9"/>
            <color indexed="81"/>
            <rFont val="Tahoma"/>
            <family val="2"/>
          </rPr>
          <t xml:space="preserve">
проверити збир!
</t>
        </r>
      </text>
    </comment>
    <comment ref="I12198" authorId="0" shapeId="0">
      <text>
        <r>
          <rPr>
            <b/>
            <sz val="9"/>
            <color indexed="81"/>
            <rFont val="Tahoma"/>
            <family val="2"/>
          </rPr>
          <t>LPA:</t>
        </r>
        <r>
          <rPr>
            <sz val="9"/>
            <color indexed="81"/>
            <rFont val="Tahoma"/>
            <family val="2"/>
          </rPr>
          <t xml:space="preserve">
проверити збир!
</t>
        </r>
      </text>
    </comment>
    <comment ref="I12267" authorId="0" shapeId="0">
      <text>
        <r>
          <rPr>
            <b/>
            <sz val="9"/>
            <color indexed="81"/>
            <rFont val="Tahoma"/>
            <family val="2"/>
          </rPr>
          <t>LPA:</t>
        </r>
        <r>
          <rPr>
            <sz val="9"/>
            <color indexed="81"/>
            <rFont val="Tahoma"/>
            <family val="2"/>
          </rPr>
          <t xml:space="preserve">
проверити збир!
</t>
        </r>
      </text>
    </comment>
    <comment ref="I12268" authorId="0" shapeId="0">
      <text>
        <r>
          <rPr>
            <b/>
            <sz val="9"/>
            <color indexed="81"/>
            <rFont val="Tahoma"/>
            <family val="2"/>
          </rPr>
          <t>LPA:</t>
        </r>
        <r>
          <rPr>
            <sz val="9"/>
            <color indexed="81"/>
            <rFont val="Tahoma"/>
            <family val="2"/>
          </rPr>
          <t xml:space="preserve">
проверити збир!
</t>
        </r>
      </text>
    </comment>
    <comment ref="I12269" authorId="0" shapeId="0">
      <text>
        <r>
          <rPr>
            <b/>
            <sz val="9"/>
            <color indexed="81"/>
            <rFont val="Tahoma"/>
            <family val="2"/>
          </rPr>
          <t>LPA:</t>
        </r>
        <r>
          <rPr>
            <sz val="9"/>
            <color indexed="81"/>
            <rFont val="Tahoma"/>
            <family val="2"/>
          </rPr>
          <t xml:space="preserve">
проверити збир!
</t>
        </r>
      </text>
    </comment>
    <comment ref="I12270" authorId="0" shapeId="0">
      <text>
        <r>
          <rPr>
            <b/>
            <sz val="9"/>
            <color indexed="81"/>
            <rFont val="Tahoma"/>
            <family val="2"/>
          </rPr>
          <t>LPA:</t>
        </r>
        <r>
          <rPr>
            <sz val="9"/>
            <color indexed="81"/>
            <rFont val="Tahoma"/>
            <family val="2"/>
          </rPr>
          <t xml:space="preserve">
проверити збир!
</t>
        </r>
      </text>
    </comment>
    <comment ref="I12271" authorId="0" shapeId="0">
      <text>
        <r>
          <rPr>
            <b/>
            <sz val="9"/>
            <color indexed="81"/>
            <rFont val="Tahoma"/>
            <family val="2"/>
          </rPr>
          <t>LPA:</t>
        </r>
        <r>
          <rPr>
            <sz val="9"/>
            <color indexed="81"/>
            <rFont val="Tahoma"/>
            <family val="2"/>
          </rPr>
          <t xml:space="preserve">
проверити збир!
</t>
        </r>
      </text>
    </comment>
    <comment ref="I12272" authorId="0" shapeId="0">
      <text>
        <r>
          <rPr>
            <b/>
            <sz val="9"/>
            <color indexed="81"/>
            <rFont val="Tahoma"/>
            <family val="2"/>
          </rPr>
          <t>LPA:</t>
        </r>
        <r>
          <rPr>
            <sz val="9"/>
            <color indexed="81"/>
            <rFont val="Tahoma"/>
            <family val="2"/>
          </rPr>
          <t xml:space="preserve">
проверити збир!
</t>
        </r>
      </text>
    </comment>
    <comment ref="I12273" authorId="0" shapeId="0">
      <text>
        <r>
          <rPr>
            <b/>
            <sz val="9"/>
            <color indexed="81"/>
            <rFont val="Tahoma"/>
            <family val="2"/>
          </rPr>
          <t>LPA:</t>
        </r>
        <r>
          <rPr>
            <sz val="9"/>
            <color indexed="81"/>
            <rFont val="Tahoma"/>
            <family val="2"/>
          </rPr>
          <t xml:space="preserve">
проверити збир!
</t>
        </r>
      </text>
    </comment>
    <comment ref="I12274" authorId="0" shapeId="0">
      <text>
        <r>
          <rPr>
            <b/>
            <sz val="9"/>
            <color indexed="81"/>
            <rFont val="Tahoma"/>
            <family val="2"/>
          </rPr>
          <t>LPA:</t>
        </r>
        <r>
          <rPr>
            <sz val="9"/>
            <color indexed="81"/>
            <rFont val="Tahoma"/>
            <family val="2"/>
          </rPr>
          <t xml:space="preserve">
проверити збир!
</t>
        </r>
      </text>
    </comment>
    <comment ref="I12275" authorId="0" shapeId="0">
      <text>
        <r>
          <rPr>
            <b/>
            <sz val="9"/>
            <color indexed="81"/>
            <rFont val="Tahoma"/>
            <family val="2"/>
          </rPr>
          <t>LPA:</t>
        </r>
        <r>
          <rPr>
            <sz val="9"/>
            <color indexed="81"/>
            <rFont val="Tahoma"/>
            <family val="2"/>
          </rPr>
          <t xml:space="preserve">
проверити збир!
</t>
        </r>
      </text>
    </comment>
    <comment ref="I12276" authorId="0" shapeId="0">
      <text>
        <r>
          <rPr>
            <b/>
            <sz val="9"/>
            <color indexed="81"/>
            <rFont val="Tahoma"/>
            <family val="2"/>
          </rPr>
          <t>LPA:</t>
        </r>
        <r>
          <rPr>
            <sz val="9"/>
            <color indexed="81"/>
            <rFont val="Tahoma"/>
            <family val="2"/>
          </rPr>
          <t xml:space="preserve">
проверити збир!
</t>
        </r>
      </text>
    </comment>
    <comment ref="I12277" authorId="0" shapeId="0">
      <text>
        <r>
          <rPr>
            <b/>
            <sz val="9"/>
            <color indexed="81"/>
            <rFont val="Tahoma"/>
            <family val="2"/>
          </rPr>
          <t>LPA:</t>
        </r>
        <r>
          <rPr>
            <sz val="9"/>
            <color indexed="81"/>
            <rFont val="Tahoma"/>
            <family val="2"/>
          </rPr>
          <t xml:space="preserve">
проверити збир!
</t>
        </r>
      </text>
    </comment>
    <comment ref="I12278" authorId="0" shapeId="0">
      <text>
        <r>
          <rPr>
            <b/>
            <sz val="9"/>
            <color indexed="81"/>
            <rFont val="Tahoma"/>
            <family val="2"/>
          </rPr>
          <t>LPA:</t>
        </r>
        <r>
          <rPr>
            <sz val="9"/>
            <color indexed="81"/>
            <rFont val="Tahoma"/>
            <family val="2"/>
          </rPr>
          <t xml:space="preserve">
проверити збир!
</t>
        </r>
      </text>
    </comment>
    <comment ref="I12279" authorId="0" shapeId="0">
      <text>
        <r>
          <rPr>
            <b/>
            <sz val="9"/>
            <color indexed="81"/>
            <rFont val="Tahoma"/>
            <family val="2"/>
          </rPr>
          <t>LPA:</t>
        </r>
        <r>
          <rPr>
            <sz val="9"/>
            <color indexed="81"/>
            <rFont val="Tahoma"/>
            <family val="2"/>
          </rPr>
          <t xml:space="preserve">
проверити збир!
</t>
        </r>
      </text>
    </comment>
    <comment ref="H12282" authorId="0" shapeId="0">
      <text>
        <r>
          <rPr>
            <b/>
            <sz val="9"/>
            <color indexed="81"/>
            <rFont val="Tahoma"/>
            <family val="2"/>
          </rPr>
          <t>LPA:</t>
        </r>
        <r>
          <rPr>
            <sz val="9"/>
            <color indexed="81"/>
            <rFont val="Tahoma"/>
            <family val="2"/>
          </rPr>
          <t xml:space="preserve">
проверити збир!</t>
        </r>
      </text>
    </comment>
    <comment ref="I12282" authorId="0" shapeId="0">
      <text>
        <r>
          <rPr>
            <b/>
            <sz val="9"/>
            <color indexed="81"/>
            <rFont val="Tahoma"/>
            <family val="2"/>
          </rPr>
          <t>LPA:</t>
        </r>
        <r>
          <rPr>
            <sz val="9"/>
            <color indexed="81"/>
            <rFont val="Tahoma"/>
            <family val="2"/>
          </rPr>
          <t xml:space="preserve">
проверити збир!</t>
        </r>
      </text>
    </comment>
    <comment ref="I12283" authorId="0" shapeId="0">
      <text>
        <r>
          <rPr>
            <b/>
            <sz val="9"/>
            <color indexed="81"/>
            <rFont val="Tahoma"/>
            <family val="2"/>
          </rPr>
          <t>LPA:</t>
        </r>
        <r>
          <rPr>
            <sz val="9"/>
            <color indexed="81"/>
            <rFont val="Tahoma"/>
            <family val="2"/>
          </rPr>
          <t xml:space="preserve">
проверити збир!
</t>
        </r>
      </text>
    </comment>
    <comment ref="I12284" authorId="0" shapeId="0">
      <text>
        <r>
          <rPr>
            <b/>
            <sz val="9"/>
            <color indexed="81"/>
            <rFont val="Tahoma"/>
            <family val="2"/>
          </rPr>
          <t>LPA:</t>
        </r>
        <r>
          <rPr>
            <sz val="9"/>
            <color indexed="81"/>
            <rFont val="Tahoma"/>
            <family val="2"/>
          </rPr>
          <t xml:space="preserve">
проверити збир!
</t>
        </r>
      </text>
    </comment>
    <comment ref="I12285" authorId="0" shapeId="0">
      <text>
        <r>
          <rPr>
            <b/>
            <sz val="9"/>
            <color indexed="81"/>
            <rFont val="Tahoma"/>
            <family val="2"/>
          </rPr>
          <t>LPA:</t>
        </r>
        <r>
          <rPr>
            <sz val="9"/>
            <color indexed="81"/>
            <rFont val="Tahoma"/>
            <family val="2"/>
          </rPr>
          <t xml:space="preserve">
проверити збир!
</t>
        </r>
      </text>
    </comment>
    <comment ref="I12286" authorId="0" shapeId="0">
      <text>
        <r>
          <rPr>
            <b/>
            <sz val="9"/>
            <color indexed="81"/>
            <rFont val="Tahoma"/>
            <family val="2"/>
          </rPr>
          <t>LPA:</t>
        </r>
        <r>
          <rPr>
            <sz val="9"/>
            <color indexed="81"/>
            <rFont val="Tahoma"/>
            <family val="2"/>
          </rPr>
          <t xml:space="preserve">
проверити збир!
</t>
        </r>
      </text>
    </comment>
    <comment ref="I12287" authorId="0" shapeId="0">
      <text>
        <r>
          <rPr>
            <b/>
            <sz val="9"/>
            <color indexed="81"/>
            <rFont val="Tahoma"/>
            <family val="2"/>
          </rPr>
          <t>LPA:</t>
        </r>
        <r>
          <rPr>
            <sz val="9"/>
            <color indexed="81"/>
            <rFont val="Tahoma"/>
            <family val="2"/>
          </rPr>
          <t xml:space="preserve">
проверити збир!
</t>
        </r>
      </text>
    </comment>
    <comment ref="I12288" authorId="0" shapeId="0">
      <text>
        <r>
          <rPr>
            <b/>
            <sz val="9"/>
            <color indexed="81"/>
            <rFont val="Tahoma"/>
            <family val="2"/>
          </rPr>
          <t>LPA:</t>
        </r>
        <r>
          <rPr>
            <sz val="9"/>
            <color indexed="81"/>
            <rFont val="Tahoma"/>
            <family val="2"/>
          </rPr>
          <t xml:space="preserve">
проверити збир!
</t>
        </r>
      </text>
    </comment>
    <comment ref="I12289" authorId="0" shapeId="0">
      <text>
        <r>
          <rPr>
            <b/>
            <sz val="9"/>
            <color indexed="81"/>
            <rFont val="Tahoma"/>
            <family val="2"/>
          </rPr>
          <t>LPA:</t>
        </r>
        <r>
          <rPr>
            <sz val="9"/>
            <color indexed="81"/>
            <rFont val="Tahoma"/>
            <family val="2"/>
          </rPr>
          <t xml:space="preserve">
проверити збир!
</t>
        </r>
      </text>
    </comment>
    <comment ref="I12290" authorId="0" shapeId="0">
      <text>
        <r>
          <rPr>
            <b/>
            <sz val="9"/>
            <color indexed="81"/>
            <rFont val="Tahoma"/>
            <family val="2"/>
          </rPr>
          <t>LPA:</t>
        </r>
        <r>
          <rPr>
            <sz val="9"/>
            <color indexed="81"/>
            <rFont val="Tahoma"/>
            <family val="2"/>
          </rPr>
          <t xml:space="preserve">
проверити збир!
</t>
        </r>
      </text>
    </comment>
    <comment ref="I12291" authorId="0" shapeId="0">
      <text>
        <r>
          <rPr>
            <b/>
            <sz val="9"/>
            <color indexed="81"/>
            <rFont val="Tahoma"/>
            <family val="2"/>
          </rPr>
          <t>LPA:</t>
        </r>
        <r>
          <rPr>
            <sz val="9"/>
            <color indexed="81"/>
            <rFont val="Tahoma"/>
            <family val="2"/>
          </rPr>
          <t xml:space="preserve">
проверити збир!
</t>
        </r>
      </text>
    </comment>
    <comment ref="I12292" authorId="0" shapeId="0">
      <text>
        <r>
          <rPr>
            <b/>
            <sz val="9"/>
            <color indexed="81"/>
            <rFont val="Tahoma"/>
            <family val="2"/>
          </rPr>
          <t>LPA:</t>
        </r>
        <r>
          <rPr>
            <sz val="9"/>
            <color indexed="81"/>
            <rFont val="Tahoma"/>
            <family val="2"/>
          </rPr>
          <t xml:space="preserve">
проверити збир!
</t>
        </r>
      </text>
    </comment>
    <comment ref="I12293" authorId="0" shapeId="0">
      <text>
        <r>
          <rPr>
            <b/>
            <sz val="9"/>
            <color indexed="81"/>
            <rFont val="Tahoma"/>
            <family val="2"/>
          </rPr>
          <t>LPA:</t>
        </r>
        <r>
          <rPr>
            <sz val="9"/>
            <color indexed="81"/>
            <rFont val="Tahoma"/>
            <family val="2"/>
          </rPr>
          <t xml:space="preserve">
проверити збир!
</t>
        </r>
      </text>
    </comment>
    <comment ref="I12294" authorId="0" shapeId="0">
      <text>
        <r>
          <rPr>
            <b/>
            <sz val="9"/>
            <color indexed="81"/>
            <rFont val="Tahoma"/>
            <family val="2"/>
          </rPr>
          <t>LPA:</t>
        </r>
        <r>
          <rPr>
            <sz val="9"/>
            <color indexed="81"/>
            <rFont val="Tahoma"/>
            <family val="2"/>
          </rPr>
          <t xml:space="preserve">
проверити збир!
</t>
        </r>
      </text>
    </comment>
    <comment ref="I12295" authorId="0" shapeId="0">
      <text>
        <r>
          <rPr>
            <b/>
            <sz val="9"/>
            <color indexed="81"/>
            <rFont val="Tahoma"/>
            <family val="2"/>
          </rPr>
          <t>LPA:</t>
        </r>
        <r>
          <rPr>
            <sz val="9"/>
            <color indexed="81"/>
            <rFont val="Tahoma"/>
            <family val="2"/>
          </rPr>
          <t xml:space="preserve">
проверити збир!
</t>
        </r>
      </text>
    </comment>
    <comment ref="I12296" authorId="0" shapeId="0">
      <text>
        <r>
          <rPr>
            <b/>
            <sz val="9"/>
            <color indexed="81"/>
            <rFont val="Tahoma"/>
            <family val="2"/>
          </rPr>
          <t>LPA:</t>
        </r>
        <r>
          <rPr>
            <sz val="9"/>
            <color indexed="81"/>
            <rFont val="Tahoma"/>
            <family val="2"/>
          </rPr>
          <t xml:space="preserve">
проверити збир!
</t>
        </r>
      </text>
    </comment>
    <comment ref="I12297" authorId="0" shapeId="0">
      <text>
        <r>
          <rPr>
            <b/>
            <sz val="9"/>
            <color indexed="81"/>
            <rFont val="Tahoma"/>
            <family val="2"/>
          </rPr>
          <t>LPA:</t>
        </r>
        <r>
          <rPr>
            <sz val="9"/>
            <color indexed="81"/>
            <rFont val="Tahoma"/>
            <family val="2"/>
          </rPr>
          <t xml:space="preserve">
проверити збир!
</t>
        </r>
      </text>
    </comment>
    <comment ref="I12366" authorId="0" shapeId="0">
      <text>
        <r>
          <rPr>
            <b/>
            <sz val="9"/>
            <color indexed="81"/>
            <rFont val="Tahoma"/>
            <family val="2"/>
          </rPr>
          <t>LPA:</t>
        </r>
        <r>
          <rPr>
            <sz val="9"/>
            <color indexed="81"/>
            <rFont val="Tahoma"/>
            <family val="2"/>
          </rPr>
          <t xml:space="preserve">
проверити збир!
</t>
        </r>
      </text>
    </comment>
    <comment ref="I12367" authorId="0" shapeId="0">
      <text>
        <r>
          <rPr>
            <b/>
            <sz val="9"/>
            <color indexed="81"/>
            <rFont val="Tahoma"/>
            <family val="2"/>
          </rPr>
          <t>LPA:</t>
        </r>
        <r>
          <rPr>
            <sz val="9"/>
            <color indexed="81"/>
            <rFont val="Tahoma"/>
            <family val="2"/>
          </rPr>
          <t xml:space="preserve">
проверити збир!
</t>
        </r>
      </text>
    </comment>
    <comment ref="I12368" authorId="0" shapeId="0">
      <text>
        <r>
          <rPr>
            <b/>
            <sz val="9"/>
            <color indexed="81"/>
            <rFont val="Tahoma"/>
            <family val="2"/>
          </rPr>
          <t>LPA:</t>
        </r>
        <r>
          <rPr>
            <sz val="9"/>
            <color indexed="81"/>
            <rFont val="Tahoma"/>
            <family val="2"/>
          </rPr>
          <t xml:space="preserve">
проверити збир!
</t>
        </r>
      </text>
    </comment>
    <comment ref="I12369" authorId="0" shapeId="0">
      <text>
        <r>
          <rPr>
            <b/>
            <sz val="9"/>
            <color indexed="81"/>
            <rFont val="Tahoma"/>
            <family val="2"/>
          </rPr>
          <t>LPA:</t>
        </r>
        <r>
          <rPr>
            <sz val="9"/>
            <color indexed="81"/>
            <rFont val="Tahoma"/>
            <family val="2"/>
          </rPr>
          <t xml:space="preserve">
проверити збир!
</t>
        </r>
      </text>
    </comment>
    <comment ref="I12370" authorId="0" shapeId="0">
      <text>
        <r>
          <rPr>
            <b/>
            <sz val="9"/>
            <color indexed="81"/>
            <rFont val="Tahoma"/>
            <family val="2"/>
          </rPr>
          <t>LPA:</t>
        </r>
        <r>
          <rPr>
            <sz val="9"/>
            <color indexed="81"/>
            <rFont val="Tahoma"/>
            <family val="2"/>
          </rPr>
          <t xml:space="preserve">
проверити збир!
</t>
        </r>
      </text>
    </comment>
    <comment ref="I12371" authorId="0" shapeId="0">
      <text>
        <r>
          <rPr>
            <b/>
            <sz val="9"/>
            <color indexed="81"/>
            <rFont val="Tahoma"/>
            <family val="2"/>
          </rPr>
          <t>LPA:</t>
        </r>
        <r>
          <rPr>
            <sz val="9"/>
            <color indexed="81"/>
            <rFont val="Tahoma"/>
            <family val="2"/>
          </rPr>
          <t xml:space="preserve">
проверити збир!
</t>
        </r>
      </text>
    </comment>
    <comment ref="I12372" authorId="0" shapeId="0">
      <text>
        <r>
          <rPr>
            <b/>
            <sz val="9"/>
            <color indexed="81"/>
            <rFont val="Tahoma"/>
            <family val="2"/>
          </rPr>
          <t>LPA:</t>
        </r>
        <r>
          <rPr>
            <sz val="9"/>
            <color indexed="81"/>
            <rFont val="Tahoma"/>
            <family val="2"/>
          </rPr>
          <t xml:space="preserve">
проверити збир!
</t>
        </r>
      </text>
    </comment>
    <comment ref="I12373" authorId="0" shapeId="0">
      <text>
        <r>
          <rPr>
            <b/>
            <sz val="9"/>
            <color indexed="81"/>
            <rFont val="Tahoma"/>
            <family val="2"/>
          </rPr>
          <t>LPA:</t>
        </r>
        <r>
          <rPr>
            <sz val="9"/>
            <color indexed="81"/>
            <rFont val="Tahoma"/>
            <family val="2"/>
          </rPr>
          <t xml:space="preserve">
проверити збир!
</t>
        </r>
      </text>
    </comment>
    <comment ref="I12374" authorId="0" shapeId="0">
      <text>
        <r>
          <rPr>
            <b/>
            <sz val="9"/>
            <color indexed="81"/>
            <rFont val="Tahoma"/>
            <family val="2"/>
          </rPr>
          <t>LPA:</t>
        </r>
        <r>
          <rPr>
            <sz val="9"/>
            <color indexed="81"/>
            <rFont val="Tahoma"/>
            <family val="2"/>
          </rPr>
          <t xml:space="preserve">
проверити збир!
</t>
        </r>
      </text>
    </comment>
    <comment ref="I12375" authorId="0" shapeId="0">
      <text>
        <r>
          <rPr>
            <b/>
            <sz val="9"/>
            <color indexed="81"/>
            <rFont val="Tahoma"/>
            <family val="2"/>
          </rPr>
          <t>LPA:</t>
        </r>
        <r>
          <rPr>
            <sz val="9"/>
            <color indexed="81"/>
            <rFont val="Tahoma"/>
            <family val="2"/>
          </rPr>
          <t xml:space="preserve">
проверити збир!
</t>
        </r>
      </text>
    </comment>
    <comment ref="I12376" authorId="0" shapeId="0">
      <text>
        <r>
          <rPr>
            <b/>
            <sz val="9"/>
            <color indexed="81"/>
            <rFont val="Tahoma"/>
            <family val="2"/>
          </rPr>
          <t>LPA:</t>
        </r>
        <r>
          <rPr>
            <sz val="9"/>
            <color indexed="81"/>
            <rFont val="Tahoma"/>
            <family val="2"/>
          </rPr>
          <t xml:space="preserve">
проверити збир!
</t>
        </r>
      </text>
    </comment>
    <comment ref="I12377" authorId="0" shapeId="0">
      <text>
        <r>
          <rPr>
            <b/>
            <sz val="9"/>
            <color indexed="81"/>
            <rFont val="Tahoma"/>
            <family val="2"/>
          </rPr>
          <t>LPA:</t>
        </r>
        <r>
          <rPr>
            <sz val="9"/>
            <color indexed="81"/>
            <rFont val="Tahoma"/>
            <family val="2"/>
          </rPr>
          <t xml:space="preserve">
проверити збир!
</t>
        </r>
      </text>
    </comment>
    <comment ref="I12378" authorId="0" shapeId="0">
      <text>
        <r>
          <rPr>
            <b/>
            <sz val="9"/>
            <color indexed="81"/>
            <rFont val="Tahoma"/>
            <family val="2"/>
          </rPr>
          <t>LPA:</t>
        </r>
        <r>
          <rPr>
            <sz val="9"/>
            <color indexed="81"/>
            <rFont val="Tahoma"/>
            <family val="2"/>
          </rPr>
          <t xml:space="preserve">
проверити збир!
</t>
        </r>
      </text>
    </comment>
    <comment ref="H12381" authorId="0" shapeId="0">
      <text>
        <r>
          <rPr>
            <b/>
            <sz val="9"/>
            <color indexed="81"/>
            <rFont val="Tahoma"/>
            <family val="2"/>
          </rPr>
          <t>LPA:</t>
        </r>
        <r>
          <rPr>
            <sz val="9"/>
            <color indexed="81"/>
            <rFont val="Tahoma"/>
            <family val="2"/>
          </rPr>
          <t xml:space="preserve">
проверити збир!</t>
        </r>
      </text>
    </comment>
    <comment ref="I12381" authorId="0" shapeId="0">
      <text>
        <r>
          <rPr>
            <b/>
            <sz val="9"/>
            <color indexed="81"/>
            <rFont val="Tahoma"/>
            <family val="2"/>
          </rPr>
          <t>LPA:</t>
        </r>
        <r>
          <rPr>
            <sz val="9"/>
            <color indexed="81"/>
            <rFont val="Tahoma"/>
            <family val="2"/>
          </rPr>
          <t xml:space="preserve">
проверити збир!</t>
        </r>
      </text>
    </comment>
    <comment ref="I12382" authorId="0" shapeId="0">
      <text>
        <r>
          <rPr>
            <b/>
            <sz val="9"/>
            <color indexed="81"/>
            <rFont val="Tahoma"/>
            <family val="2"/>
          </rPr>
          <t>LPA:</t>
        </r>
        <r>
          <rPr>
            <sz val="9"/>
            <color indexed="81"/>
            <rFont val="Tahoma"/>
            <family val="2"/>
          </rPr>
          <t xml:space="preserve">
проверити збир!
</t>
        </r>
      </text>
    </comment>
    <comment ref="I12383" authorId="0" shapeId="0">
      <text>
        <r>
          <rPr>
            <b/>
            <sz val="9"/>
            <color indexed="81"/>
            <rFont val="Tahoma"/>
            <family val="2"/>
          </rPr>
          <t>LPA:</t>
        </r>
        <r>
          <rPr>
            <sz val="9"/>
            <color indexed="81"/>
            <rFont val="Tahoma"/>
            <family val="2"/>
          </rPr>
          <t xml:space="preserve">
проверити збир!
</t>
        </r>
      </text>
    </comment>
    <comment ref="I12384" authorId="0" shapeId="0">
      <text>
        <r>
          <rPr>
            <b/>
            <sz val="9"/>
            <color indexed="81"/>
            <rFont val="Tahoma"/>
            <family val="2"/>
          </rPr>
          <t>LPA:</t>
        </r>
        <r>
          <rPr>
            <sz val="9"/>
            <color indexed="81"/>
            <rFont val="Tahoma"/>
            <family val="2"/>
          </rPr>
          <t xml:space="preserve">
проверити збир!
</t>
        </r>
      </text>
    </comment>
    <comment ref="I12385" authorId="0" shapeId="0">
      <text>
        <r>
          <rPr>
            <b/>
            <sz val="9"/>
            <color indexed="81"/>
            <rFont val="Tahoma"/>
            <family val="2"/>
          </rPr>
          <t>LPA:</t>
        </r>
        <r>
          <rPr>
            <sz val="9"/>
            <color indexed="81"/>
            <rFont val="Tahoma"/>
            <family val="2"/>
          </rPr>
          <t xml:space="preserve">
проверити збир!
</t>
        </r>
      </text>
    </comment>
    <comment ref="I12386" authorId="0" shapeId="0">
      <text>
        <r>
          <rPr>
            <b/>
            <sz val="9"/>
            <color indexed="81"/>
            <rFont val="Tahoma"/>
            <family val="2"/>
          </rPr>
          <t>LPA:</t>
        </r>
        <r>
          <rPr>
            <sz val="9"/>
            <color indexed="81"/>
            <rFont val="Tahoma"/>
            <family val="2"/>
          </rPr>
          <t xml:space="preserve">
проверити збир!
</t>
        </r>
      </text>
    </comment>
    <comment ref="I12387" authorId="0" shapeId="0">
      <text>
        <r>
          <rPr>
            <b/>
            <sz val="9"/>
            <color indexed="81"/>
            <rFont val="Tahoma"/>
            <family val="2"/>
          </rPr>
          <t>LPA:</t>
        </r>
        <r>
          <rPr>
            <sz val="9"/>
            <color indexed="81"/>
            <rFont val="Tahoma"/>
            <family val="2"/>
          </rPr>
          <t xml:space="preserve">
проверити збир!
</t>
        </r>
      </text>
    </comment>
    <comment ref="I12388" authorId="0" shapeId="0">
      <text>
        <r>
          <rPr>
            <b/>
            <sz val="9"/>
            <color indexed="81"/>
            <rFont val="Tahoma"/>
            <family val="2"/>
          </rPr>
          <t>LPA:</t>
        </r>
        <r>
          <rPr>
            <sz val="9"/>
            <color indexed="81"/>
            <rFont val="Tahoma"/>
            <family val="2"/>
          </rPr>
          <t xml:space="preserve">
проверити збир!
</t>
        </r>
      </text>
    </comment>
    <comment ref="I12389" authorId="0" shapeId="0">
      <text>
        <r>
          <rPr>
            <b/>
            <sz val="9"/>
            <color indexed="81"/>
            <rFont val="Tahoma"/>
            <family val="2"/>
          </rPr>
          <t>LPA:</t>
        </r>
        <r>
          <rPr>
            <sz val="9"/>
            <color indexed="81"/>
            <rFont val="Tahoma"/>
            <family val="2"/>
          </rPr>
          <t xml:space="preserve">
проверити збир!
</t>
        </r>
      </text>
    </comment>
    <comment ref="I12390" authorId="0" shapeId="0">
      <text>
        <r>
          <rPr>
            <b/>
            <sz val="9"/>
            <color indexed="81"/>
            <rFont val="Tahoma"/>
            <family val="2"/>
          </rPr>
          <t>LPA:</t>
        </r>
        <r>
          <rPr>
            <sz val="9"/>
            <color indexed="81"/>
            <rFont val="Tahoma"/>
            <family val="2"/>
          </rPr>
          <t xml:space="preserve">
проверити збир!
</t>
        </r>
      </text>
    </comment>
    <comment ref="I12391" authorId="0" shapeId="0">
      <text>
        <r>
          <rPr>
            <b/>
            <sz val="9"/>
            <color indexed="81"/>
            <rFont val="Tahoma"/>
            <family val="2"/>
          </rPr>
          <t>LPA:</t>
        </r>
        <r>
          <rPr>
            <sz val="9"/>
            <color indexed="81"/>
            <rFont val="Tahoma"/>
            <family val="2"/>
          </rPr>
          <t xml:space="preserve">
проверити збир!
</t>
        </r>
      </text>
    </comment>
    <comment ref="I12392" authorId="0" shapeId="0">
      <text>
        <r>
          <rPr>
            <b/>
            <sz val="9"/>
            <color indexed="81"/>
            <rFont val="Tahoma"/>
            <family val="2"/>
          </rPr>
          <t>LPA:</t>
        </r>
        <r>
          <rPr>
            <sz val="9"/>
            <color indexed="81"/>
            <rFont val="Tahoma"/>
            <family val="2"/>
          </rPr>
          <t xml:space="preserve">
проверити збир!
</t>
        </r>
      </text>
    </comment>
    <comment ref="I12393" authorId="0" shapeId="0">
      <text>
        <r>
          <rPr>
            <b/>
            <sz val="9"/>
            <color indexed="81"/>
            <rFont val="Tahoma"/>
            <family val="2"/>
          </rPr>
          <t>LPA:</t>
        </r>
        <r>
          <rPr>
            <sz val="9"/>
            <color indexed="81"/>
            <rFont val="Tahoma"/>
            <family val="2"/>
          </rPr>
          <t xml:space="preserve">
проверити збир!
</t>
        </r>
      </text>
    </comment>
    <comment ref="I12394" authorId="0" shapeId="0">
      <text>
        <r>
          <rPr>
            <b/>
            <sz val="9"/>
            <color indexed="81"/>
            <rFont val="Tahoma"/>
            <family val="2"/>
          </rPr>
          <t>LPA:</t>
        </r>
        <r>
          <rPr>
            <sz val="9"/>
            <color indexed="81"/>
            <rFont val="Tahoma"/>
            <family val="2"/>
          </rPr>
          <t xml:space="preserve">
проверити збир!
</t>
        </r>
      </text>
    </comment>
    <comment ref="I12395" authorId="0" shapeId="0">
      <text>
        <r>
          <rPr>
            <b/>
            <sz val="9"/>
            <color indexed="81"/>
            <rFont val="Tahoma"/>
            <family val="2"/>
          </rPr>
          <t>LPA:</t>
        </r>
        <r>
          <rPr>
            <sz val="9"/>
            <color indexed="81"/>
            <rFont val="Tahoma"/>
            <family val="2"/>
          </rPr>
          <t xml:space="preserve">
проверити збир!
</t>
        </r>
      </text>
    </comment>
    <comment ref="I12396" authorId="0" shapeId="0">
      <text>
        <r>
          <rPr>
            <b/>
            <sz val="9"/>
            <color indexed="81"/>
            <rFont val="Tahoma"/>
            <family val="2"/>
          </rPr>
          <t>LPA:</t>
        </r>
        <r>
          <rPr>
            <sz val="9"/>
            <color indexed="81"/>
            <rFont val="Tahoma"/>
            <family val="2"/>
          </rPr>
          <t xml:space="preserve">
проверити збир!
</t>
        </r>
      </text>
    </comment>
    <comment ref="I12465" authorId="0" shapeId="0">
      <text>
        <r>
          <rPr>
            <b/>
            <sz val="9"/>
            <color indexed="81"/>
            <rFont val="Tahoma"/>
            <family val="2"/>
          </rPr>
          <t>LPA:</t>
        </r>
        <r>
          <rPr>
            <sz val="9"/>
            <color indexed="81"/>
            <rFont val="Tahoma"/>
            <family val="2"/>
          </rPr>
          <t xml:space="preserve">
проверити збир!
</t>
        </r>
      </text>
    </comment>
    <comment ref="I12466" authorId="0" shapeId="0">
      <text>
        <r>
          <rPr>
            <b/>
            <sz val="9"/>
            <color indexed="81"/>
            <rFont val="Tahoma"/>
            <family val="2"/>
          </rPr>
          <t>LPA:</t>
        </r>
        <r>
          <rPr>
            <sz val="9"/>
            <color indexed="81"/>
            <rFont val="Tahoma"/>
            <family val="2"/>
          </rPr>
          <t xml:space="preserve">
проверити збир!
</t>
        </r>
      </text>
    </comment>
    <comment ref="I12467" authorId="0" shapeId="0">
      <text>
        <r>
          <rPr>
            <b/>
            <sz val="9"/>
            <color indexed="81"/>
            <rFont val="Tahoma"/>
            <family val="2"/>
          </rPr>
          <t>LPA:</t>
        </r>
        <r>
          <rPr>
            <sz val="9"/>
            <color indexed="81"/>
            <rFont val="Tahoma"/>
            <family val="2"/>
          </rPr>
          <t xml:space="preserve">
проверити збир!
</t>
        </r>
      </text>
    </comment>
    <comment ref="I12468" authorId="0" shapeId="0">
      <text>
        <r>
          <rPr>
            <b/>
            <sz val="9"/>
            <color indexed="81"/>
            <rFont val="Tahoma"/>
            <family val="2"/>
          </rPr>
          <t>LPA:</t>
        </r>
        <r>
          <rPr>
            <sz val="9"/>
            <color indexed="81"/>
            <rFont val="Tahoma"/>
            <family val="2"/>
          </rPr>
          <t xml:space="preserve">
проверити збир!
</t>
        </r>
      </text>
    </comment>
    <comment ref="I12469" authorId="0" shapeId="0">
      <text>
        <r>
          <rPr>
            <b/>
            <sz val="9"/>
            <color indexed="81"/>
            <rFont val="Tahoma"/>
            <family val="2"/>
          </rPr>
          <t>LPA:</t>
        </r>
        <r>
          <rPr>
            <sz val="9"/>
            <color indexed="81"/>
            <rFont val="Tahoma"/>
            <family val="2"/>
          </rPr>
          <t xml:space="preserve">
проверити збир!
</t>
        </r>
      </text>
    </comment>
    <comment ref="I12470" authorId="0" shapeId="0">
      <text>
        <r>
          <rPr>
            <b/>
            <sz val="9"/>
            <color indexed="81"/>
            <rFont val="Tahoma"/>
            <family val="2"/>
          </rPr>
          <t>LPA:</t>
        </r>
        <r>
          <rPr>
            <sz val="9"/>
            <color indexed="81"/>
            <rFont val="Tahoma"/>
            <family val="2"/>
          </rPr>
          <t xml:space="preserve">
проверити збир!
</t>
        </r>
      </text>
    </comment>
    <comment ref="I12471" authorId="0" shapeId="0">
      <text>
        <r>
          <rPr>
            <b/>
            <sz val="9"/>
            <color indexed="81"/>
            <rFont val="Tahoma"/>
            <family val="2"/>
          </rPr>
          <t>LPA:</t>
        </r>
        <r>
          <rPr>
            <sz val="9"/>
            <color indexed="81"/>
            <rFont val="Tahoma"/>
            <family val="2"/>
          </rPr>
          <t xml:space="preserve">
проверити збир!
</t>
        </r>
      </text>
    </comment>
    <comment ref="I12472" authorId="0" shapeId="0">
      <text>
        <r>
          <rPr>
            <b/>
            <sz val="9"/>
            <color indexed="81"/>
            <rFont val="Tahoma"/>
            <family val="2"/>
          </rPr>
          <t>LPA:</t>
        </r>
        <r>
          <rPr>
            <sz val="9"/>
            <color indexed="81"/>
            <rFont val="Tahoma"/>
            <family val="2"/>
          </rPr>
          <t xml:space="preserve">
проверити збир!
</t>
        </r>
      </text>
    </comment>
    <comment ref="I12473" authorId="0" shapeId="0">
      <text>
        <r>
          <rPr>
            <b/>
            <sz val="9"/>
            <color indexed="81"/>
            <rFont val="Tahoma"/>
            <family val="2"/>
          </rPr>
          <t>LPA:</t>
        </r>
        <r>
          <rPr>
            <sz val="9"/>
            <color indexed="81"/>
            <rFont val="Tahoma"/>
            <family val="2"/>
          </rPr>
          <t xml:space="preserve">
проверити збир!
</t>
        </r>
      </text>
    </comment>
    <comment ref="I12474" authorId="0" shapeId="0">
      <text>
        <r>
          <rPr>
            <b/>
            <sz val="9"/>
            <color indexed="81"/>
            <rFont val="Tahoma"/>
            <family val="2"/>
          </rPr>
          <t>LPA:</t>
        </r>
        <r>
          <rPr>
            <sz val="9"/>
            <color indexed="81"/>
            <rFont val="Tahoma"/>
            <family val="2"/>
          </rPr>
          <t xml:space="preserve">
проверити збир!
</t>
        </r>
      </text>
    </comment>
    <comment ref="I12475" authorId="0" shapeId="0">
      <text>
        <r>
          <rPr>
            <b/>
            <sz val="9"/>
            <color indexed="81"/>
            <rFont val="Tahoma"/>
            <family val="2"/>
          </rPr>
          <t>LPA:</t>
        </r>
        <r>
          <rPr>
            <sz val="9"/>
            <color indexed="81"/>
            <rFont val="Tahoma"/>
            <family val="2"/>
          </rPr>
          <t xml:space="preserve">
проверити збир!
</t>
        </r>
      </text>
    </comment>
    <comment ref="I12476" authorId="0" shapeId="0">
      <text>
        <r>
          <rPr>
            <b/>
            <sz val="9"/>
            <color indexed="81"/>
            <rFont val="Tahoma"/>
            <family val="2"/>
          </rPr>
          <t>LPA:</t>
        </r>
        <r>
          <rPr>
            <sz val="9"/>
            <color indexed="81"/>
            <rFont val="Tahoma"/>
            <family val="2"/>
          </rPr>
          <t xml:space="preserve">
проверити збир!
</t>
        </r>
      </text>
    </comment>
    <comment ref="I12477" authorId="0" shapeId="0">
      <text>
        <r>
          <rPr>
            <b/>
            <sz val="9"/>
            <color indexed="81"/>
            <rFont val="Tahoma"/>
            <family val="2"/>
          </rPr>
          <t>LPA:</t>
        </r>
        <r>
          <rPr>
            <sz val="9"/>
            <color indexed="81"/>
            <rFont val="Tahoma"/>
            <family val="2"/>
          </rPr>
          <t xml:space="preserve">
проверити збир!
</t>
        </r>
      </text>
    </comment>
    <comment ref="H12480" authorId="0" shapeId="0">
      <text>
        <r>
          <rPr>
            <b/>
            <sz val="9"/>
            <color indexed="81"/>
            <rFont val="Tahoma"/>
            <family val="2"/>
          </rPr>
          <t>LPA:</t>
        </r>
        <r>
          <rPr>
            <sz val="9"/>
            <color indexed="81"/>
            <rFont val="Tahoma"/>
            <family val="2"/>
          </rPr>
          <t xml:space="preserve">
проверити збир!</t>
        </r>
      </text>
    </comment>
    <comment ref="I12480" authorId="0" shapeId="0">
      <text>
        <r>
          <rPr>
            <b/>
            <sz val="9"/>
            <color indexed="81"/>
            <rFont val="Tahoma"/>
            <family val="2"/>
          </rPr>
          <t>LPA:</t>
        </r>
        <r>
          <rPr>
            <sz val="9"/>
            <color indexed="81"/>
            <rFont val="Tahoma"/>
            <family val="2"/>
          </rPr>
          <t xml:space="preserve">
проверити збир!</t>
        </r>
      </text>
    </comment>
    <comment ref="I12481" authorId="0" shapeId="0">
      <text>
        <r>
          <rPr>
            <b/>
            <sz val="9"/>
            <color indexed="81"/>
            <rFont val="Tahoma"/>
            <family val="2"/>
          </rPr>
          <t>LPA:</t>
        </r>
        <r>
          <rPr>
            <sz val="9"/>
            <color indexed="81"/>
            <rFont val="Tahoma"/>
            <family val="2"/>
          </rPr>
          <t xml:space="preserve">
проверити збир!
</t>
        </r>
      </text>
    </comment>
    <comment ref="I12482" authorId="0" shapeId="0">
      <text>
        <r>
          <rPr>
            <b/>
            <sz val="9"/>
            <color indexed="81"/>
            <rFont val="Tahoma"/>
            <family val="2"/>
          </rPr>
          <t>LPA:</t>
        </r>
        <r>
          <rPr>
            <sz val="9"/>
            <color indexed="81"/>
            <rFont val="Tahoma"/>
            <family val="2"/>
          </rPr>
          <t xml:space="preserve">
проверити збир!
</t>
        </r>
      </text>
    </comment>
    <comment ref="I12483" authorId="0" shapeId="0">
      <text>
        <r>
          <rPr>
            <b/>
            <sz val="9"/>
            <color indexed="81"/>
            <rFont val="Tahoma"/>
            <family val="2"/>
          </rPr>
          <t>LPA:</t>
        </r>
        <r>
          <rPr>
            <sz val="9"/>
            <color indexed="81"/>
            <rFont val="Tahoma"/>
            <family val="2"/>
          </rPr>
          <t xml:space="preserve">
проверити збир!
</t>
        </r>
      </text>
    </comment>
    <comment ref="I12484" authorId="0" shapeId="0">
      <text>
        <r>
          <rPr>
            <b/>
            <sz val="9"/>
            <color indexed="81"/>
            <rFont val="Tahoma"/>
            <family val="2"/>
          </rPr>
          <t>LPA:</t>
        </r>
        <r>
          <rPr>
            <sz val="9"/>
            <color indexed="81"/>
            <rFont val="Tahoma"/>
            <family val="2"/>
          </rPr>
          <t xml:space="preserve">
проверити збир!
</t>
        </r>
      </text>
    </comment>
    <comment ref="I12485" authorId="0" shapeId="0">
      <text>
        <r>
          <rPr>
            <b/>
            <sz val="9"/>
            <color indexed="81"/>
            <rFont val="Tahoma"/>
            <family val="2"/>
          </rPr>
          <t>LPA:</t>
        </r>
        <r>
          <rPr>
            <sz val="9"/>
            <color indexed="81"/>
            <rFont val="Tahoma"/>
            <family val="2"/>
          </rPr>
          <t xml:space="preserve">
проверити збир!
</t>
        </r>
      </text>
    </comment>
    <comment ref="I12486" authorId="0" shapeId="0">
      <text>
        <r>
          <rPr>
            <b/>
            <sz val="9"/>
            <color indexed="81"/>
            <rFont val="Tahoma"/>
            <family val="2"/>
          </rPr>
          <t>LPA:</t>
        </r>
        <r>
          <rPr>
            <sz val="9"/>
            <color indexed="81"/>
            <rFont val="Tahoma"/>
            <family val="2"/>
          </rPr>
          <t xml:space="preserve">
проверити збир!
</t>
        </r>
      </text>
    </comment>
    <comment ref="I12487" authorId="0" shapeId="0">
      <text>
        <r>
          <rPr>
            <b/>
            <sz val="9"/>
            <color indexed="81"/>
            <rFont val="Tahoma"/>
            <family val="2"/>
          </rPr>
          <t>LPA:</t>
        </r>
        <r>
          <rPr>
            <sz val="9"/>
            <color indexed="81"/>
            <rFont val="Tahoma"/>
            <family val="2"/>
          </rPr>
          <t xml:space="preserve">
проверити збир!
</t>
        </r>
      </text>
    </comment>
    <comment ref="I12488" authorId="0" shapeId="0">
      <text>
        <r>
          <rPr>
            <b/>
            <sz val="9"/>
            <color indexed="81"/>
            <rFont val="Tahoma"/>
            <family val="2"/>
          </rPr>
          <t>LPA:</t>
        </r>
        <r>
          <rPr>
            <sz val="9"/>
            <color indexed="81"/>
            <rFont val="Tahoma"/>
            <family val="2"/>
          </rPr>
          <t xml:space="preserve">
проверити збир!
</t>
        </r>
      </text>
    </comment>
    <comment ref="I12489" authorId="0" shapeId="0">
      <text>
        <r>
          <rPr>
            <b/>
            <sz val="9"/>
            <color indexed="81"/>
            <rFont val="Tahoma"/>
            <family val="2"/>
          </rPr>
          <t>LPA:</t>
        </r>
        <r>
          <rPr>
            <sz val="9"/>
            <color indexed="81"/>
            <rFont val="Tahoma"/>
            <family val="2"/>
          </rPr>
          <t xml:space="preserve">
проверити збир!
</t>
        </r>
      </text>
    </comment>
    <comment ref="I12490" authorId="0" shapeId="0">
      <text>
        <r>
          <rPr>
            <b/>
            <sz val="9"/>
            <color indexed="81"/>
            <rFont val="Tahoma"/>
            <family val="2"/>
          </rPr>
          <t>LPA:</t>
        </r>
        <r>
          <rPr>
            <sz val="9"/>
            <color indexed="81"/>
            <rFont val="Tahoma"/>
            <family val="2"/>
          </rPr>
          <t xml:space="preserve">
проверити збир!
</t>
        </r>
      </text>
    </comment>
    <comment ref="I12491" authorId="0" shapeId="0">
      <text>
        <r>
          <rPr>
            <b/>
            <sz val="9"/>
            <color indexed="81"/>
            <rFont val="Tahoma"/>
            <family val="2"/>
          </rPr>
          <t>LPA:</t>
        </r>
        <r>
          <rPr>
            <sz val="9"/>
            <color indexed="81"/>
            <rFont val="Tahoma"/>
            <family val="2"/>
          </rPr>
          <t xml:space="preserve">
проверити збир!
</t>
        </r>
      </text>
    </comment>
    <comment ref="I12492" authorId="0" shapeId="0">
      <text>
        <r>
          <rPr>
            <b/>
            <sz val="9"/>
            <color indexed="81"/>
            <rFont val="Tahoma"/>
            <family val="2"/>
          </rPr>
          <t>LPA:</t>
        </r>
        <r>
          <rPr>
            <sz val="9"/>
            <color indexed="81"/>
            <rFont val="Tahoma"/>
            <family val="2"/>
          </rPr>
          <t xml:space="preserve">
проверити збир!
</t>
        </r>
      </text>
    </comment>
    <comment ref="I12493" authorId="0" shapeId="0">
      <text>
        <r>
          <rPr>
            <b/>
            <sz val="9"/>
            <color indexed="81"/>
            <rFont val="Tahoma"/>
            <family val="2"/>
          </rPr>
          <t>LPA:</t>
        </r>
        <r>
          <rPr>
            <sz val="9"/>
            <color indexed="81"/>
            <rFont val="Tahoma"/>
            <family val="2"/>
          </rPr>
          <t xml:space="preserve">
проверити збир!
</t>
        </r>
      </text>
    </comment>
    <comment ref="I12494" authorId="0" shapeId="0">
      <text>
        <r>
          <rPr>
            <b/>
            <sz val="9"/>
            <color indexed="81"/>
            <rFont val="Tahoma"/>
            <family val="2"/>
          </rPr>
          <t>LPA:</t>
        </r>
        <r>
          <rPr>
            <sz val="9"/>
            <color indexed="81"/>
            <rFont val="Tahoma"/>
            <family val="2"/>
          </rPr>
          <t xml:space="preserve">
проверити збир!
</t>
        </r>
      </text>
    </comment>
    <comment ref="I12495" authorId="0" shapeId="0">
      <text>
        <r>
          <rPr>
            <b/>
            <sz val="9"/>
            <color indexed="81"/>
            <rFont val="Tahoma"/>
            <family val="2"/>
          </rPr>
          <t>LPA:</t>
        </r>
        <r>
          <rPr>
            <sz val="9"/>
            <color indexed="81"/>
            <rFont val="Tahoma"/>
            <family val="2"/>
          </rPr>
          <t xml:space="preserve">
проверити збир!
</t>
        </r>
      </text>
    </comment>
    <comment ref="I12564" authorId="0" shapeId="0">
      <text>
        <r>
          <rPr>
            <b/>
            <sz val="9"/>
            <color indexed="81"/>
            <rFont val="Tahoma"/>
            <family val="2"/>
          </rPr>
          <t>LPA:</t>
        </r>
        <r>
          <rPr>
            <sz val="9"/>
            <color indexed="81"/>
            <rFont val="Tahoma"/>
            <family val="2"/>
          </rPr>
          <t xml:space="preserve">
проверити збир!
</t>
        </r>
      </text>
    </comment>
    <comment ref="I12565" authorId="0" shapeId="0">
      <text>
        <r>
          <rPr>
            <b/>
            <sz val="9"/>
            <color indexed="81"/>
            <rFont val="Tahoma"/>
            <family val="2"/>
          </rPr>
          <t>LPA:</t>
        </r>
        <r>
          <rPr>
            <sz val="9"/>
            <color indexed="81"/>
            <rFont val="Tahoma"/>
            <family val="2"/>
          </rPr>
          <t xml:space="preserve">
проверити збир!
</t>
        </r>
      </text>
    </comment>
    <comment ref="I12566" authorId="0" shapeId="0">
      <text>
        <r>
          <rPr>
            <b/>
            <sz val="9"/>
            <color indexed="81"/>
            <rFont val="Tahoma"/>
            <family val="2"/>
          </rPr>
          <t>LPA:</t>
        </r>
        <r>
          <rPr>
            <sz val="9"/>
            <color indexed="81"/>
            <rFont val="Tahoma"/>
            <family val="2"/>
          </rPr>
          <t xml:space="preserve">
проверити збир!
</t>
        </r>
      </text>
    </comment>
    <comment ref="I12567" authorId="0" shapeId="0">
      <text>
        <r>
          <rPr>
            <b/>
            <sz val="9"/>
            <color indexed="81"/>
            <rFont val="Tahoma"/>
            <family val="2"/>
          </rPr>
          <t>LPA:</t>
        </r>
        <r>
          <rPr>
            <sz val="9"/>
            <color indexed="81"/>
            <rFont val="Tahoma"/>
            <family val="2"/>
          </rPr>
          <t xml:space="preserve">
проверити збир!
</t>
        </r>
      </text>
    </comment>
    <comment ref="I12568" authorId="0" shapeId="0">
      <text>
        <r>
          <rPr>
            <b/>
            <sz val="9"/>
            <color indexed="81"/>
            <rFont val="Tahoma"/>
            <family val="2"/>
          </rPr>
          <t>LPA:</t>
        </r>
        <r>
          <rPr>
            <sz val="9"/>
            <color indexed="81"/>
            <rFont val="Tahoma"/>
            <family val="2"/>
          </rPr>
          <t xml:space="preserve">
проверити збир!
</t>
        </r>
      </text>
    </comment>
    <comment ref="I12569" authorId="0" shapeId="0">
      <text>
        <r>
          <rPr>
            <b/>
            <sz val="9"/>
            <color indexed="81"/>
            <rFont val="Tahoma"/>
            <family val="2"/>
          </rPr>
          <t>LPA:</t>
        </r>
        <r>
          <rPr>
            <sz val="9"/>
            <color indexed="81"/>
            <rFont val="Tahoma"/>
            <family val="2"/>
          </rPr>
          <t xml:space="preserve">
проверити збир!
</t>
        </r>
      </text>
    </comment>
    <comment ref="I12570" authorId="0" shapeId="0">
      <text>
        <r>
          <rPr>
            <b/>
            <sz val="9"/>
            <color indexed="81"/>
            <rFont val="Tahoma"/>
            <family val="2"/>
          </rPr>
          <t>LPA:</t>
        </r>
        <r>
          <rPr>
            <sz val="9"/>
            <color indexed="81"/>
            <rFont val="Tahoma"/>
            <family val="2"/>
          </rPr>
          <t xml:space="preserve">
проверити збир!
</t>
        </r>
      </text>
    </comment>
    <comment ref="I12571" authorId="0" shapeId="0">
      <text>
        <r>
          <rPr>
            <b/>
            <sz val="9"/>
            <color indexed="81"/>
            <rFont val="Tahoma"/>
            <family val="2"/>
          </rPr>
          <t>LPA:</t>
        </r>
        <r>
          <rPr>
            <sz val="9"/>
            <color indexed="81"/>
            <rFont val="Tahoma"/>
            <family val="2"/>
          </rPr>
          <t xml:space="preserve">
проверити збир!
</t>
        </r>
      </text>
    </comment>
    <comment ref="I12572" authorId="0" shapeId="0">
      <text>
        <r>
          <rPr>
            <b/>
            <sz val="9"/>
            <color indexed="81"/>
            <rFont val="Tahoma"/>
            <family val="2"/>
          </rPr>
          <t>LPA:</t>
        </r>
        <r>
          <rPr>
            <sz val="9"/>
            <color indexed="81"/>
            <rFont val="Tahoma"/>
            <family val="2"/>
          </rPr>
          <t xml:space="preserve">
проверити збир!
</t>
        </r>
      </text>
    </comment>
    <comment ref="I12573" authorId="0" shapeId="0">
      <text>
        <r>
          <rPr>
            <b/>
            <sz val="9"/>
            <color indexed="81"/>
            <rFont val="Tahoma"/>
            <family val="2"/>
          </rPr>
          <t>LPA:</t>
        </r>
        <r>
          <rPr>
            <sz val="9"/>
            <color indexed="81"/>
            <rFont val="Tahoma"/>
            <family val="2"/>
          </rPr>
          <t xml:space="preserve">
проверити збир!
</t>
        </r>
      </text>
    </comment>
    <comment ref="I12574" authorId="0" shapeId="0">
      <text>
        <r>
          <rPr>
            <b/>
            <sz val="9"/>
            <color indexed="81"/>
            <rFont val="Tahoma"/>
            <family val="2"/>
          </rPr>
          <t>LPA:</t>
        </r>
        <r>
          <rPr>
            <sz val="9"/>
            <color indexed="81"/>
            <rFont val="Tahoma"/>
            <family val="2"/>
          </rPr>
          <t xml:space="preserve">
проверити збир!
</t>
        </r>
      </text>
    </comment>
    <comment ref="I12575" authorId="0" shapeId="0">
      <text>
        <r>
          <rPr>
            <b/>
            <sz val="9"/>
            <color indexed="81"/>
            <rFont val="Tahoma"/>
            <family val="2"/>
          </rPr>
          <t>LPA:</t>
        </r>
        <r>
          <rPr>
            <sz val="9"/>
            <color indexed="81"/>
            <rFont val="Tahoma"/>
            <family val="2"/>
          </rPr>
          <t xml:space="preserve">
проверити збир!
</t>
        </r>
      </text>
    </comment>
    <comment ref="I12576" authorId="0" shapeId="0">
      <text>
        <r>
          <rPr>
            <b/>
            <sz val="9"/>
            <color indexed="81"/>
            <rFont val="Tahoma"/>
            <family val="2"/>
          </rPr>
          <t>LPA:</t>
        </r>
        <r>
          <rPr>
            <sz val="9"/>
            <color indexed="81"/>
            <rFont val="Tahoma"/>
            <family val="2"/>
          </rPr>
          <t xml:space="preserve">
проверити збир!
</t>
        </r>
      </text>
    </comment>
    <comment ref="H12579" authorId="0" shapeId="0">
      <text>
        <r>
          <rPr>
            <b/>
            <sz val="9"/>
            <color indexed="81"/>
            <rFont val="Tahoma"/>
            <family val="2"/>
          </rPr>
          <t>LPA:</t>
        </r>
        <r>
          <rPr>
            <sz val="9"/>
            <color indexed="81"/>
            <rFont val="Tahoma"/>
            <family val="2"/>
          </rPr>
          <t xml:space="preserve">
проверити збир!</t>
        </r>
      </text>
    </comment>
    <comment ref="I12579" authorId="0" shapeId="0">
      <text>
        <r>
          <rPr>
            <b/>
            <sz val="9"/>
            <color indexed="81"/>
            <rFont val="Tahoma"/>
            <family val="2"/>
          </rPr>
          <t>LPA:</t>
        </r>
        <r>
          <rPr>
            <sz val="9"/>
            <color indexed="81"/>
            <rFont val="Tahoma"/>
            <family val="2"/>
          </rPr>
          <t xml:space="preserve">
проверити збир!</t>
        </r>
      </text>
    </comment>
    <comment ref="I12580" authorId="0" shapeId="0">
      <text>
        <r>
          <rPr>
            <b/>
            <sz val="9"/>
            <color indexed="81"/>
            <rFont val="Tahoma"/>
            <family val="2"/>
          </rPr>
          <t>LPA:</t>
        </r>
        <r>
          <rPr>
            <sz val="9"/>
            <color indexed="81"/>
            <rFont val="Tahoma"/>
            <family val="2"/>
          </rPr>
          <t xml:space="preserve">
проверити збир!
</t>
        </r>
      </text>
    </comment>
    <comment ref="I12581" authorId="0" shapeId="0">
      <text>
        <r>
          <rPr>
            <b/>
            <sz val="9"/>
            <color indexed="81"/>
            <rFont val="Tahoma"/>
            <family val="2"/>
          </rPr>
          <t>LPA:</t>
        </r>
        <r>
          <rPr>
            <sz val="9"/>
            <color indexed="81"/>
            <rFont val="Tahoma"/>
            <family val="2"/>
          </rPr>
          <t xml:space="preserve">
проверити збир!
</t>
        </r>
      </text>
    </comment>
    <comment ref="I12582" authorId="0" shapeId="0">
      <text>
        <r>
          <rPr>
            <b/>
            <sz val="9"/>
            <color indexed="81"/>
            <rFont val="Tahoma"/>
            <family val="2"/>
          </rPr>
          <t>LPA:</t>
        </r>
        <r>
          <rPr>
            <sz val="9"/>
            <color indexed="81"/>
            <rFont val="Tahoma"/>
            <family val="2"/>
          </rPr>
          <t xml:space="preserve">
проверити збир!
</t>
        </r>
      </text>
    </comment>
    <comment ref="I12583" authorId="0" shapeId="0">
      <text>
        <r>
          <rPr>
            <b/>
            <sz val="9"/>
            <color indexed="81"/>
            <rFont val="Tahoma"/>
            <family val="2"/>
          </rPr>
          <t>LPA:</t>
        </r>
        <r>
          <rPr>
            <sz val="9"/>
            <color indexed="81"/>
            <rFont val="Tahoma"/>
            <family val="2"/>
          </rPr>
          <t xml:space="preserve">
проверити збир!
</t>
        </r>
      </text>
    </comment>
    <comment ref="I12584" authorId="0" shapeId="0">
      <text>
        <r>
          <rPr>
            <b/>
            <sz val="9"/>
            <color indexed="81"/>
            <rFont val="Tahoma"/>
            <family val="2"/>
          </rPr>
          <t>LPA:</t>
        </r>
        <r>
          <rPr>
            <sz val="9"/>
            <color indexed="81"/>
            <rFont val="Tahoma"/>
            <family val="2"/>
          </rPr>
          <t xml:space="preserve">
проверити збир!
</t>
        </r>
      </text>
    </comment>
    <comment ref="I12585" authorId="0" shapeId="0">
      <text>
        <r>
          <rPr>
            <b/>
            <sz val="9"/>
            <color indexed="81"/>
            <rFont val="Tahoma"/>
            <family val="2"/>
          </rPr>
          <t>LPA:</t>
        </r>
        <r>
          <rPr>
            <sz val="9"/>
            <color indexed="81"/>
            <rFont val="Tahoma"/>
            <family val="2"/>
          </rPr>
          <t xml:space="preserve">
проверити збир!
</t>
        </r>
      </text>
    </comment>
    <comment ref="I12586" authorId="0" shapeId="0">
      <text>
        <r>
          <rPr>
            <b/>
            <sz val="9"/>
            <color indexed="81"/>
            <rFont val="Tahoma"/>
            <family val="2"/>
          </rPr>
          <t>LPA:</t>
        </r>
        <r>
          <rPr>
            <sz val="9"/>
            <color indexed="81"/>
            <rFont val="Tahoma"/>
            <family val="2"/>
          </rPr>
          <t xml:space="preserve">
проверити збир!
</t>
        </r>
      </text>
    </comment>
    <comment ref="I12587" authorId="0" shapeId="0">
      <text>
        <r>
          <rPr>
            <b/>
            <sz val="9"/>
            <color indexed="81"/>
            <rFont val="Tahoma"/>
            <family val="2"/>
          </rPr>
          <t>LPA:</t>
        </r>
        <r>
          <rPr>
            <sz val="9"/>
            <color indexed="81"/>
            <rFont val="Tahoma"/>
            <family val="2"/>
          </rPr>
          <t xml:space="preserve">
проверити збир!
</t>
        </r>
      </text>
    </comment>
    <comment ref="I12588" authorId="0" shapeId="0">
      <text>
        <r>
          <rPr>
            <b/>
            <sz val="9"/>
            <color indexed="81"/>
            <rFont val="Tahoma"/>
            <family val="2"/>
          </rPr>
          <t>LPA:</t>
        </r>
        <r>
          <rPr>
            <sz val="9"/>
            <color indexed="81"/>
            <rFont val="Tahoma"/>
            <family val="2"/>
          </rPr>
          <t xml:space="preserve">
проверити збир!
</t>
        </r>
      </text>
    </comment>
    <comment ref="I12589" authorId="0" shapeId="0">
      <text>
        <r>
          <rPr>
            <b/>
            <sz val="9"/>
            <color indexed="81"/>
            <rFont val="Tahoma"/>
            <family val="2"/>
          </rPr>
          <t>LPA:</t>
        </r>
        <r>
          <rPr>
            <sz val="9"/>
            <color indexed="81"/>
            <rFont val="Tahoma"/>
            <family val="2"/>
          </rPr>
          <t xml:space="preserve">
проверити збир!
</t>
        </r>
      </text>
    </comment>
    <comment ref="I12590" authorId="0" shapeId="0">
      <text>
        <r>
          <rPr>
            <b/>
            <sz val="9"/>
            <color indexed="81"/>
            <rFont val="Tahoma"/>
            <family val="2"/>
          </rPr>
          <t>LPA:</t>
        </r>
        <r>
          <rPr>
            <sz val="9"/>
            <color indexed="81"/>
            <rFont val="Tahoma"/>
            <family val="2"/>
          </rPr>
          <t xml:space="preserve">
проверити збир!
</t>
        </r>
      </text>
    </comment>
    <comment ref="I12591" authorId="0" shapeId="0">
      <text>
        <r>
          <rPr>
            <b/>
            <sz val="9"/>
            <color indexed="81"/>
            <rFont val="Tahoma"/>
            <family val="2"/>
          </rPr>
          <t>LPA:</t>
        </r>
        <r>
          <rPr>
            <sz val="9"/>
            <color indexed="81"/>
            <rFont val="Tahoma"/>
            <family val="2"/>
          </rPr>
          <t xml:space="preserve">
проверити збир!
</t>
        </r>
      </text>
    </comment>
    <comment ref="I12592" authorId="0" shapeId="0">
      <text>
        <r>
          <rPr>
            <b/>
            <sz val="9"/>
            <color indexed="81"/>
            <rFont val="Tahoma"/>
            <family val="2"/>
          </rPr>
          <t>LPA:</t>
        </r>
        <r>
          <rPr>
            <sz val="9"/>
            <color indexed="81"/>
            <rFont val="Tahoma"/>
            <family val="2"/>
          </rPr>
          <t xml:space="preserve">
проверити збир!
</t>
        </r>
      </text>
    </comment>
    <comment ref="I12593" authorId="0" shapeId="0">
      <text>
        <r>
          <rPr>
            <b/>
            <sz val="9"/>
            <color indexed="81"/>
            <rFont val="Tahoma"/>
            <family val="2"/>
          </rPr>
          <t>LPA:</t>
        </r>
        <r>
          <rPr>
            <sz val="9"/>
            <color indexed="81"/>
            <rFont val="Tahoma"/>
            <family val="2"/>
          </rPr>
          <t xml:space="preserve">
проверити збир!
</t>
        </r>
      </text>
    </comment>
    <comment ref="I12594" authorId="0" shapeId="0">
      <text>
        <r>
          <rPr>
            <b/>
            <sz val="9"/>
            <color indexed="81"/>
            <rFont val="Tahoma"/>
            <family val="2"/>
          </rPr>
          <t>LPA:</t>
        </r>
        <r>
          <rPr>
            <sz val="9"/>
            <color indexed="81"/>
            <rFont val="Tahoma"/>
            <family val="2"/>
          </rPr>
          <t xml:space="preserve">
проверити збир!
</t>
        </r>
      </text>
    </comment>
    <comment ref="I12663" authorId="0" shapeId="0">
      <text>
        <r>
          <rPr>
            <b/>
            <sz val="9"/>
            <color indexed="81"/>
            <rFont val="Tahoma"/>
            <family val="2"/>
          </rPr>
          <t>LPA:</t>
        </r>
        <r>
          <rPr>
            <sz val="9"/>
            <color indexed="81"/>
            <rFont val="Tahoma"/>
            <family val="2"/>
          </rPr>
          <t xml:space="preserve">
проверити збир!
</t>
        </r>
      </text>
    </comment>
    <comment ref="I12664" authorId="0" shapeId="0">
      <text>
        <r>
          <rPr>
            <b/>
            <sz val="9"/>
            <color indexed="81"/>
            <rFont val="Tahoma"/>
            <family val="2"/>
          </rPr>
          <t>LPA:</t>
        </r>
        <r>
          <rPr>
            <sz val="9"/>
            <color indexed="81"/>
            <rFont val="Tahoma"/>
            <family val="2"/>
          </rPr>
          <t xml:space="preserve">
проверити збир!
</t>
        </r>
      </text>
    </comment>
    <comment ref="I12665" authorId="0" shapeId="0">
      <text>
        <r>
          <rPr>
            <b/>
            <sz val="9"/>
            <color indexed="81"/>
            <rFont val="Tahoma"/>
            <family val="2"/>
          </rPr>
          <t>LPA:</t>
        </r>
        <r>
          <rPr>
            <sz val="9"/>
            <color indexed="81"/>
            <rFont val="Tahoma"/>
            <family val="2"/>
          </rPr>
          <t xml:space="preserve">
проверити збир!
</t>
        </r>
      </text>
    </comment>
    <comment ref="I12666" authorId="0" shapeId="0">
      <text>
        <r>
          <rPr>
            <b/>
            <sz val="9"/>
            <color indexed="81"/>
            <rFont val="Tahoma"/>
            <family val="2"/>
          </rPr>
          <t>LPA:</t>
        </r>
        <r>
          <rPr>
            <sz val="9"/>
            <color indexed="81"/>
            <rFont val="Tahoma"/>
            <family val="2"/>
          </rPr>
          <t xml:space="preserve">
проверити збир!
</t>
        </r>
      </text>
    </comment>
    <comment ref="I12667" authorId="0" shapeId="0">
      <text>
        <r>
          <rPr>
            <b/>
            <sz val="9"/>
            <color indexed="81"/>
            <rFont val="Tahoma"/>
            <family val="2"/>
          </rPr>
          <t>LPA:</t>
        </r>
        <r>
          <rPr>
            <sz val="9"/>
            <color indexed="81"/>
            <rFont val="Tahoma"/>
            <family val="2"/>
          </rPr>
          <t xml:space="preserve">
проверити збир!
</t>
        </r>
      </text>
    </comment>
    <comment ref="I12668" authorId="0" shapeId="0">
      <text>
        <r>
          <rPr>
            <b/>
            <sz val="9"/>
            <color indexed="81"/>
            <rFont val="Tahoma"/>
            <family val="2"/>
          </rPr>
          <t>LPA:</t>
        </r>
        <r>
          <rPr>
            <sz val="9"/>
            <color indexed="81"/>
            <rFont val="Tahoma"/>
            <family val="2"/>
          </rPr>
          <t xml:space="preserve">
проверити збир!
</t>
        </r>
      </text>
    </comment>
    <comment ref="I12669" authorId="0" shapeId="0">
      <text>
        <r>
          <rPr>
            <b/>
            <sz val="9"/>
            <color indexed="81"/>
            <rFont val="Tahoma"/>
            <family val="2"/>
          </rPr>
          <t>LPA:</t>
        </r>
        <r>
          <rPr>
            <sz val="9"/>
            <color indexed="81"/>
            <rFont val="Tahoma"/>
            <family val="2"/>
          </rPr>
          <t xml:space="preserve">
проверити збир!
</t>
        </r>
      </text>
    </comment>
    <comment ref="I12670" authorId="0" shapeId="0">
      <text>
        <r>
          <rPr>
            <b/>
            <sz val="9"/>
            <color indexed="81"/>
            <rFont val="Tahoma"/>
            <family val="2"/>
          </rPr>
          <t>LPA:</t>
        </r>
        <r>
          <rPr>
            <sz val="9"/>
            <color indexed="81"/>
            <rFont val="Tahoma"/>
            <family val="2"/>
          </rPr>
          <t xml:space="preserve">
проверити збир!
</t>
        </r>
      </text>
    </comment>
    <comment ref="I12671" authorId="0" shapeId="0">
      <text>
        <r>
          <rPr>
            <b/>
            <sz val="9"/>
            <color indexed="81"/>
            <rFont val="Tahoma"/>
            <family val="2"/>
          </rPr>
          <t>LPA:</t>
        </r>
        <r>
          <rPr>
            <sz val="9"/>
            <color indexed="81"/>
            <rFont val="Tahoma"/>
            <family val="2"/>
          </rPr>
          <t xml:space="preserve">
проверити збир!
</t>
        </r>
      </text>
    </comment>
    <comment ref="I12672" authorId="0" shapeId="0">
      <text>
        <r>
          <rPr>
            <b/>
            <sz val="9"/>
            <color indexed="81"/>
            <rFont val="Tahoma"/>
            <family val="2"/>
          </rPr>
          <t>LPA:</t>
        </r>
        <r>
          <rPr>
            <sz val="9"/>
            <color indexed="81"/>
            <rFont val="Tahoma"/>
            <family val="2"/>
          </rPr>
          <t xml:space="preserve">
проверити збир!
</t>
        </r>
      </text>
    </comment>
    <comment ref="I12673" authorId="0" shapeId="0">
      <text>
        <r>
          <rPr>
            <b/>
            <sz val="9"/>
            <color indexed="81"/>
            <rFont val="Tahoma"/>
            <family val="2"/>
          </rPr>
          <t>LPA:</t>
        </r>
        <r>
          <rPr>
            <sz val="9"/>
            <color indexed="81"/>
            <rFont val="Tahoma"/>
            <family val="2"/>
          </rPr>
          <t xml:space="preserve">
проверити збир!
</t>
        </r>
      </text>
    </comment>
    <comment ref="I12674" authorId="0" shapeId="0">
      <text>
        <r>
          <rPr>
            <b/>
            <sz val="9"/>
            <color indexed="81"/>
            <rFont val="Tahoma"/>
            <family val="2"/>
          </rPr>
          <t>LPA:</t>
        </r>
        <r>
          <rPr>
            <sz val="9"/>
            <color indexed="81"/>
            <rFont val="Tahoma"/>
            <family val="2"/>
          </rPr>
          <t xml:space="preserve">
проверити збир!
</t>
        </r>
      </text>
    </comment>
    <comment ref="I12675" authorId="0" shapeId="0">
      <text>
        <r>
          <rPr>
            <b/>
            <sz val="9"/>
            <color indexed="81"/>
            <rFont val="Tahoma"/>
            <family val="2"/>
          </rPr>
          <t>LPA:</t>
        </r>
        <r>
          <rPr>
            <sz val="9"/>
            <color indexed="81"/>
            <rFont val="Tahoma"/>
            <family val="2"/>
          </rPr>
          <t xml:space="preserve">
проверити збир!
</t>
        </r>
      </text>
    </comment>
    <comment ref="H12678" authorId="0" shapeId="0">
      <text>
        <r>
          <rPr>
            <b/>
            <sz val="9"/>
            <color indexed="81"/>
            <rFont val="Tahoma"/>
            <family val="2"/>
          </rPr>
          <t>LPA:</t>
        </r>
        <r>
          <rPr>
            <sz val="9"/>
            <color indexed="81"/>
            <rFont val="Tahoma"/>
            <family val="2"/>
          </rPr>
          <t xml:space="preserve">
проверити збир!</t>
        </r>
      </text>
    </comment>
    <comment ref="I12678" authorId="0" shapeId="0">
      <text>
        <r>
          <rPr>
            <b/>
            <sz val="9"/>
            <color indexed="81"/>
            <rFont val="Tahoma"/>
            <family val="2"/>
          </rPr>
          <t>LPA:</t>
        </r>
        <r>
          <rPr>
            <sz val="9"/>
            <color indexed="81"/>
            <rFont val="Tahoma"/>
            <family val="2"/>
          </rPr>
          <t xml:space="preserve">
проверити збир!</t>
        </r>
      </text>
    </comment>
    <comment ref="I12679" authorId="0" shapeId="0">
      <text>
        <r>
          <rPr>
            <b/>
            <sz val="9"/>
            <color indexed="81"/>
            <rFont val="Tahoma"/>
            <family val="2"/>
          </rPr>
          <t>LPA:</t>
        </r>
        <r>
          <rPr>
            <sz val="9"/>
            <color indexed="81"/>
            <rFont val="Tahoma"/>
            <family val="2"/>
          </rPr>
          <t xml:space="preserve">
проверити збир!
</t>
        </r>
      </text>
    </comment>
    <comment ref="I12680" authorId="0" shapeId="0">
      <text>
        <r>
          <rPr>
            <b/>
            <sz val="9"/>
            <color indexed="81"/>
            <rFont val="Tahoma"/>
            <family val="2"/>
          </rPr>
          <t>LPA:</t>
        </r>
        <r>
          <rPr>
            <sz val="9"/>
            <color indexed="81"/>
            <rFont val="Tahoma"/>
            <family val="2"/>
          </rPr>
          <t xml:space="preserve">
проверити збир!
</t>
        </r>
      </text>
    </comment>
    <comment ref="I12681" authorId="0" shapeId="0">
      <text>
        <r>
          <rPr>
            <b/>
            <sz val="9"/>
            <color indexed="81"/>
            <rFont val="Tahoma"/>
            <family val="2"/>
          </rPr>
          <t>LPA:</t>
        </r>
        <r>
          <rPr>
            <sz val="9"/>
            <color indexed="81"/>
            <rFont val="Tahoma"/>
            <family val="2"/>
          </rPr>
          <t xml:space="preserve">
проверити збир!
</t>
        </r>
      </text>
    </comment>
    <comment ref="I12682" authorId="0" shapeId="0">
      <text>
        <r>
          <rPr>
            <b/>
            <sz val="9"/>
            <color indexed="81"/>
            <rFont val="Tahoma"/>
            <family val="2"/>
          </rPr>
          <t>LPA:</t>
        </r>
        <r>
          <rPr>
            <sz val="9"/>
            <color indexed="81"/>
            <rFont val="Tahoma"/>
            <family val="2"/>
          </rPr>
          <t xml:space="preserve">
проверити збир!
</t>
        </r>
      </text>
    </comment>
    <comment ref="I12683" authorId="0" shapeId="0">
      <text>
        <r>
          <rPr>
            <b/>
            <sz val="9"/>
            <color indexed="81"/>
            <rFont val="Tahoma"/>
            <family val="2"/>
          </rPr>
          <t>LPA:</t>
        </r>
        <r>
          <rPr>
            <sz val="9"/>
            <color indexed="81"/>
            <rFont val="Tahoma"/>
            <family val="2"/>
          </rPr>
          <t xml:space="preserve">
проверити збир!
</t>
        </r>
      </text>
    </comment>
    <comment ref="I12684" authorId="0" shapeId="0">
      <text>
        <r>
          <rPr>
            <b/>
            <sz val="9"/>
            <color indexed="81"/>
            <rFont val="Tahoma"/>
            <family val="2"/>
          </rPr>
          <t>LPA:</t>
        </r>
        <r>
          <rPr>
            <sz val="9"/>
            <color indexed="81"/>
            <rFont val="Tahoma"/>
            <family val="2"/>
          </rPr>
          <t xml:space="preserve">
проверити збир!
</t>
        </r>
      </text>
    </comment>
    <comment ref="I12685" authorId="0" shapeId="0">
      <text>
        <r>
          <rPr>
            <b/>
            <sz val="9"/>
            <color indexed="81"/>
            <rFont val="Tahoma"/>
            <family val="2"/>
          </rPr>
          <t>LPA:</t>
        </r>
        <r>
          <rPr>
            <sz val="9"/>
            <color indexed="81"/>
            <rFont val="Tahoma"/>
            <family val="2"/>
          </rPr>
          <t xml:space="preserve">
проверити збир!
</t>
        </r>
      </text>
    </comment>
    <comment ref="I12686" authorId="0" shapeId="0">
      <text>
        <r>
          <rPr>
            <b/>
            <sz val="9"/>
            <color indexed="81"/>
            <rFont val="Tahoma"/>
            <family val="2"/>
          </rPr>
          <t>LPA:</t>
        </r>
        <r>
          <rPr>
            <sz val="9"/>
            <color indexed="81"/>
            <rFont val="Tahoma"/>
            <family val="2"/>
          </rPr>
          <t xml:space="preserve">
проверити збир!
</t>
        </r>
      </text>
    </comment>
    <comment ref="I12687" authorId="0" shapeId="0">
      <text>
        <r>
          <rPr>
            <b/>
            <sz val="9"/>
            <color indexed="81"/>
            <rFont val="Tahoma"/>
            <family val="2"/>
          </rPr>
          <t>LPA:</t>
        </r>
        <r>
          <rPr>
            <sz val="9"/>
            <color indexed="81"/>
            <rFont val="Tahoma"/>
            <family val="2"/>
          </rPr>
          <t xml:space="preserve">
проверити збир!
</t>
        </r>
      </text>
    </comment>
    <comment ref="I12688" authorId="0" shapeId="0">
      <text>
        <r>
          <rPr>
            <b/>
            <sz val="9"/>
            <color indexed="81"/>
            <rFont val="Tahoma"/>
            <family val="2"/>
          </rPr>
          <t>LPA:</t>
        </r>
        <r>
          <rPr>
            <sz val="9"/>
            <color indexed="81"/>
            <rFont val="Tahoma"/>
            <family val="2"/>
          </rPr>
          <t xml:space="preserve">
проверити збир!
</t>
        </r>
      </text>
    </comment>
    <comment ref="I12689" authorId="0" shapeId="0">
      <text>
        <r>
          <rPr>
            <b/>
            <sz val="9"/>
            <color indexed="81"/>
            <rFont val="Tahoma"/>
            <family val="2"/>
          </rPr>
          <t>LPA:</t>
        </r>
        <r>
          <rPr>
            <sz val="9"/>
            <color indexed="81"/>
            <rFont val="Tahoma"/>
            <family val="2"/>
          </rPr>
          <t xml:space="preserve">
проверити збир!
</t>
        </r>
      </text>
    </comment>
    <comment ref="I12690" authorId="0" shapeId="0">
      <text>
        <r>
          <rPr>
            <b/>
            <sz val="9"/>
            <color indexed="81"/>
            <rFont val="Tahoma"/>
            <family val="2"/>
          </rPr>
          <t>LPA:</t>
        </r>
        <r>
          <rPr>
            <sz val="9"/>
            <color indexed="81"/>
            <rFont val="Tahoma"/>
            <family val="2"/>
          </rPr>
          <t xml:space="preserve">
проверити збир!
</t>
        </r>
      </text>
    </comment>
    <comment ref="I12691" authorId="0" shapeId="0">
      <text>
        <r>
          <rPr>
            <b/>
            <sz val="9"/>
            <color indexed="81"/>
            <rFont val="Tahoma"/>
            <family val="2"/>
          </rPr>
          <t>LPA:</t>
        </r>
        <r>
          <rPr>
            <sz val="9"/>
            <color indexed="81"/>
            <rFont val="Tahoma"/>
            <family val="2"/>
          </rPr>
          <t xml:space="preserve">
проверити збир!
</t>
        </r>
      </text>
    </comment>
    <comment ref="I12692" authorId="0" shapeId="0">
      <text>
        <r>
          <rPr>
            <b/>
            <sz val="9"/>
            <color indexed="81"/>
            <rFont val="Tahoma"/>
            <family val="2"/>
          </rPr>
          <t>LPA:</t>
        </r>
        <r>
          <rPr>
            <sz val="9"/>
            <color indexed="81"/>
            <rFont val="Tahoma"/>
            <family val="2"/>
          </rPr>
          <t xml:space="preserve">
проверити збир!
</t>
        </r>
      </text>
    </comment>
    <comment ref="I12693" authorId="0" shapeId="0">
      <text>
        <r>
          <rPr>
            <b/>
            <sz val="9"/>
            <color indexed="81"/>
            <rFont val="Tahoma"/>
            <family val="2"/>
          </rPr>
          <t>LPA:</t>
        </r>
        <r>
          <rPr>
            <sz val="9"/>
            <color indexed="81"/>
            <rFont val="Tahoma"/>
            <family val="2"/>
          </rPr>
          <t xml:space="preserve">
проверити збир!
</t>
        </r>
      </text>
    </comment>
    <comment ref="I12762" authorId="0" shapeId="0">
      <text>
        <r>
          <rPr>
            <b/>
            <sz val="9"/>
            <color indexed="81"/>
            <rFont val="Tahoma"/>
            <family val="2"/>
          </rPr>
          <t>LPA:</t>
        </r>
        <r>
          <rPr>
            <sz val="9"/>
            <color indexed="81"/>
            <rFont val="Tahoma"/>
            <family val="2"/>
          </rPr>
          <t xml:space="preserve">
проверити збир!
</t>
        </r>
      </text>
    </comment>
    <comment ref="I12763" authorId="0" shapeId="0">
      <text>
        <r>
          <rPr>
            <b/>
            <sz val="9"/>
            <color indexed="81"/>
            <rFont val="Tahoma"/>
            <family val="2"/>
          </rPr>
          <t>LPA:</t>
        </r>
        <r>
          <rPr>
            <sz val="9"/>
            <color indexed="81"/>
            <rFont val="Tahoma"/>
            <family val="2"/>
          </rPr>
          <t xml:space="preserve">
проверити збир!
</t>
        </r>
      </text>
    </comment>
    <comment ref="I12764" authorId="0" shapeId="0">
      <text>
        <r>
          <rPr>
            <b/>
            <sz val="9"/>
            <color indexed="81"/>
            <rFont val="Tahoma"/>
            <family val="2"/>
          </rPr>
          <t>LPA:</t>
        </r>
        <r>
          <rPr>
            <sz val="9"/>
            <color indexed="81"/>
            <rFont val="Tahoma"/>
            <family val="2"/>
          </rPr>
          <t xml:space="preserve">
проверити збир!
</t>
        </r>
      </text>
    </comment>
    <comment ref="I12765" authorId="0" shapeId="0">
      <text>
        <r>
          <rPr>
            <b/>
            <sz val="9"/>
            <color indexed="81"/>
            <rFont val="Tahoma"/>
            <family val="2"/>
          </rPr>
          <t>LPA:</t>
        </r>
        <r>
          <rPr>
            <sz val="9"/>
            <color indexed="81"/>
            <rFont val="Tahoma"/>
            <family val="2"/>
          </rPr>
          <t xml:space="preserve">
проверити збир!
</t>
        </r>
      </text>
    </comment>
    <comment ref="I12766" authorId="0" shapeId="0">
      <text>
        <r>
          <rPr>
            <b/>
            <sz val="9"/>
            <color indexed="81"/>
            <rFont val="Tahoma"/>
            <family val="2"/>
          </rPr>
          <t>LPA:</t>
        </r>
        <r>
          <rPr>
            <sz val="9"/>
            <color indexed="81"/>
            <rFont val="Tahoma"/>
            <family val="2"/>
          </rPr>
          <t xml:space="preserve">
проверити збир!
</t>
        </r>
      </text>
    </comment>
    <comment ref="I12767" authorId="0" shapeId="0">
      <text>
        <r>
          <rPr>
            <b/>
            <sz val="9"/>
            <color indexed="81"/>
            <rFont val="Tahoma"/>
            <family val="2"/>
          </rPr>
          <t>LPA:</t>
        </r>
        <r>
          <rPr>
            <sz val="9"/>
            <color indexed="81"/>
            <rFont val="Tahoma"/>
            <family val="2"/>
          </rPr>
          <t xml:space="preserve">
проверити збир!
</t>
        </r>
      </text>
    </comment>
    <comment ref="I12768" authorId="0" shapeId="0">
      <text>
        <r>
          <rPr>
            <b/>
            <sz val="9"/>
            <color indexed="81"/>
            <rFont val="Tahoma"/>
            <family val="2"/>
          </rPr>
          <t>LPA:</t>
        </r>
        <r>
          <rPr>
            <sz val="9"/>
            <color indexed="81"/>
            <rFont val="Tahoma"/>
            <family val="2"/>
          </rPr>
          <t xml:space="preserve">
проверити збир!
</t>
        </r>
      </text>
    </comment>
    <comment ref="I12769" authorId="0" shapeId="0">
      <text>
        <r>
          <rPr>
            <b/>
            <sz val="9"/>
            <color indexed="81"/>
            <rFont val="Tahoma"/>
            <family val="2"/>
          </rPr>
          <t>LPA:</t>
        </r>
        <r>
          <rPr>
            <sz val="9"/>
            <color indexed="81"/>
            <rFont val="Tahoma"/>
            <family val="2"/>
          </rPr>
          <t xml:space="preserve">
проверити збир!
</t>
        </r>
      </text>
    </comment>
    <comment ref="I12770" authorId="0" shapeId="0">
      <text>
        <r>
          <rPr>
            <b/>
            <sz val="9"/>
            <color indexed="81"/>
            <rFont val="Tahoma"/>
            <family val="2"/>
          </rPr>
          <t>LPA:</t>
        </r>
        <r>
          <rPr>
            <sz val="9"/>
            <color indexed="81"/>
            <rFont val="Tahoma"/>
            <family val="2"/>
          </rPr>
          <t xml:space="preserve">
проверити збир!
</t>
        </r>
      </text>
    </comment>
    <comment ref="I12771" authorId="0" shapeId="0">
      <text>
        <r>
          <rPr>
            <b/>
            <sz val="9"/>
            <color indexed="81"/>
            <rFont val="Tahoma"/>
            <family val="2"/>
          </rPr>
          <t>LPA:</t>
        </r>
        <r>
          <rPr>
            <sz val="9"/>
            <color indexed="81"/>
            <rFont val="Tahoma"/>
            <family val="2"/>
          </rPr>
          <t xml:space="preserve">
проверити збир!
</t>
        </r>
      </text>
    </comment>
    <comment ref="I12772" authorId="0" shapeId="0">
      <text>
        <r>
          <rPr>
            <b/>
            <sz val="9"/>
            <color indexed="81"/>
            <rFont val="Tahoma"/>
            <family val="2"/>
          </rPr>
          <t>LPA:</t>
        </r>
        <r>
          <rPr>
            <sz val="9"/>
            <color indexed="81"/>
            <rFont val="Tahoma"/>
            <family val="2"/>
          </rPr>
          <t xml:space="preserve">
проверити збир!
</t>
        </r>
      </text>
    </comment>
    <comment ref="I12773" authorId="0" shapeId="0">
      <text>
        <r>
          <rPr>
            <b/>
            <sz val="9"/>
            <color indexed="81"/>
            <rFont val="Tahoma"/>
            <family val="2"/>
          </rPr>
          <t>LPA:</t>
        </r>
        <r>
          <rPr>
            <sz val="9"/>
            <color indexed="81"/>
            <rFont val="Tahoma"/>
            <family val="2"/>
          </rPr>
          <t xml:space="preserve">
проверити збир!
</t>
        </r>
      </text>
    </comment>
    <comment ref="I12774" authorId="0" shapeId="0">
      <text>
        <r>
          <rPr>
            <b/>
            <sz val="9"/>
            <color indexed="81"/>
            <rFont val="Tahoma"/>
            <family val="2"/>
          </rPr>
          <t>LPA:</t>
        </r>
        <r>
          <rPr>
            <sz val="9"/>
            <color indexed="81"/>
            <rFont val="Tahoma"/>
            <family val="2"/>
          </rPr>
          <t xml:space="preserve">
проверити збир!
</t>
        </r>
      </text>
    </comment>
    <comment ref="H12777" authorId="0" shapeId="0">
      <text>
        <r>
          <rPr>
            <b/>
            <sz val="9"/>
            <color indexed="81"/>
            <rFont val="Tahoma"/>
            <family val="2"/>
          </rPr>
          <t>LPA:</t>
        </r>
        <r>
          <rPr>
            <sz val="9"/>
            <color indexed="81"/>
            <rFont val="Tahoma"/>
            <family val="2"/>
          </rPr>
          <t xml:space="preserve">
проверити збир!</t>
        </r>
      </text>
    </comment>
    <comment ref="I12777" authorId="0" shapeId="0">
      <text>
        <r>
          <rPr>
            <b/>
            <sz val="9"/>
            <color indexed="81"/>
            <rFont val="Tahoma"/>
            <family val="2"/>
          </rPr>
          <t>LPA:</t>
        </r>
        <r>
          <rPr>
            <sz val="9"/>
            <color indexed="81"/>
            <rFont val="Tahoma"/>
            <family val="2"/>
          </rPr>
          <t xml:space="preserve">
проверити збир!</t>
        </r>
      </text>
    </comment>
    <comment ref="I12778" authorId="0" shapeId="0">
      <text>
        <r>
          <rPr>
            <b/>
            <sz val="9"/>
            <color indexed="81"/>
            <rFont val="Tahoma"/>
            <family val="2"/>
          </rPr>
          <t>LPA:</t>
        </r>
        <r>
          <rPr>
            <sz val="9"/>
            <color indexed="81"/>
            <rFont val="Tahoma"/>
            <family val="2"/>
          </rPr>
          <t xml:space="preserve">
проверити збир!
</t>
        </r>
      </text>
    </comment>
    <comment ref="I12779" authorId="0" shapeId="0">
      <text>
        <r>
          <rPr>
            <b/>
            <sz val="9"/>
            <color indexed="81"/>
            <rFont val="Tahoma"/>
            <family val="2"/>
          </rPr>
          <t>LPA:</t>
        </r>
        <r>
          <rPr>
            <sz val="9"/>
            <color indexed="81"/>
            <rFont val="Tahoma"/>
            <family val="2"/>
          </rPr>
          <t xml:space="preserve">
проверити збир!
</t>
        </r>
      </text>
    </comment>
    <comment ref="I12780" authorId="0" shapeId="0">
      <text>
        <r>
          <rPr>
            <b/>
            <sz val="9"/>
            <color indexed="81"/>
            <rFont val="Tahoma"/>
            <family val="2"/>
          </rPr>
          <t>LPA:</t>
        </r>
        <r>
          <rPr>
            <sz val="9"/>
            <color indexed="81"/>
            <rFont val="Tahoma"/>
            <family val="2"/>
          </rPr>
          <t xml:space="preserve">
проверити збир!
</t>
        </r>
      </text>
    </comment>
    <comment ref="I12781" authorId="0" shapeId="0">
      <text>
        <r>
          <rPr>
            <b/>
            <sz val="9"/>
            <color indexed="81"/>
            <rFont val="Tahoma"/>
            <family val="2"/>
          </rPr>
          <t>LPA:</t>
        </r>
        <r>
          <rPr>
            <sz val="9"/>
            <color indexed="81"/>
            <rFont val="Tahoma"/>
            <family val="2"/>
          </rPr>
          <t xml:space="preserve">
проверити збир!
</t>
        </r>
      </text>
    </comment>
    <comment ref="I12782" authorId="0" shapeId="0">
      <text>
        <r>
          <rPr>
            <b/>
            <sz val="9"/>
            <color indexed="81"/>
            <rFont val="Tahoma"/>
            <family val="2"/>
          </rPr>
          <t>LPA:</t>
        </r>
        <r>
          <rPr>
            <sz val="9"/>
            <color indexed="81"/>
            <rFont val="Tahoma"/>
            <family val="2"/>
          </rPr>
          <t xml:space="preserve">
проверити збир!
</t>
        </r>
      </text>
    </comment>
    <comment ref="I12783" authorId="0" shapeId="0">
      <text>
        <r>
          <rPr>
            <b/>
            <sz val="9"/>
            <color indexed="81"/>
            <rFont val="Tahoma"/>
            <family val="2"/>
          </rPr>
          <t>LPA:</t>
        </r>
        <r>
          <rPr>
            <sz val="9"/>
            <color indexed="81"/>
            <rFont val="Tahoma"/>
            <family val="2"/>
          </rPr>
          <t xml:space="preserve">
проверити збир!
</t>
        </r>
      </text>
    </comment>
    <comment ref="I12784" authorId="0" shapeId="0">
      <text>
        <r>
          <rPr>
            <b/>
            <sz val="9"/>
            <color indexed="81"/>
            <rFont val="Tahoma"/>
            <family val="2"/>
          </rPr>
          <t>LPA:</t>
        </r>
        <r>
          <rPr>
            <sz val="9"/>
            <color indexed="81"/>
            <rFont val="Tahoma"/>
            <family val="2"/>
          </rPr>
          <t xml:space="preserve">
проверити збир!
</t>
        </r>
      </text>
    </comment>
    <comment ref="I12785" authorId="0" shapeId="0">
      <text>
        <r>
          <rPr>
            <b/>
            <sz val="9"/>
            <color indexed="81"/>
            <rFont val="Tahoma"/>
            <family val="2"/>
          </rPr>
          <t>LPA:</t>
        </r>
        <r>
          <rPr>
            <sz val="9"/>
            <color indexed="81"/>
            <rFont val="Tahoma"/>
            <family val="2"/>
          </rPr>
          <t xml:space="preserve">
проверити збир!
</t>
        </r>
      </text>
    </comment>
    <comment ref="I12786" authorId="0" shapeId="0">
      <text>
        <r>
          <rPr>
            <b/>
            <sz val="9"/>
            <color indexed="81"/>
            <rFont val="Tahoma"/>
            <family val="2"/>
          </rPr>
          <t>LPA:</t>
        </r>
        <r>
          <rPr>
            <sz val="9"/>
            <color indexed="81"/>
            <rFont val="Tahoma"/>
            <family val="2"/>
          </rPr>
          <t xml:space="preserve">
проверити збир!
</t>
        </r>
      </text>
    </comment>
    <comment ref="I12787" authorId="0" shapeId="0">
      <text>
        <r>
          <rPr>
            <b/>
            <sz val="9"/>
            <color indexed="81"/>
            <rFont val="Tahoma"/>
            <family val="2"/>
          </rPr>
          <t>LPA:</t>
        </r>
        <r>
          <rPr>
            <sz val="9"/>
            <color indexed="81"/>
            <rFont val="Tahoma"/>
            <family val="2"/>
          </rPr>
          <t xml:space="preserve">
проверити збир!
</t>
        </r>
      </text>
    </comment>
    <comment ref="I12788" authorId="0" shapeId="0">
      <text>
        <r>
          <rPr>
            <b/>
            <sz val="9"/>
            <color indexed="81"/>
            <rFont val="Tahoma"/>
            <family val="2"/>
          </rPr>
          <t>LPA:</t>
        </r>
        <r>
          <rPr>
            <sz val="9"/>
            <color indexed="81"/>
            <rFont val="Tahoma"/>
            <family val="2"/>
          </rPr>
          <t xml:space="preserve">
проверити збир!
</t>
        </r>
      </text>
    </comment>
    <comment ref="I12789" authorId="0" shapeId="0">
      <text>
        <r>
          <rPr>
            <b/>
            <sz val="9"/>
            <color indexed="81"/>
            <rFont val="Tahoma"/>
            <family val="2"/>
          </rPr>
          <t>LPA:</t>
        </r>
        <r>
          <rPr>
            <sz val="9"/>
            <color indexed="81"/>
            <rFont val="Tahoma"/>
            <family val="2"/>
          </rPr>
          <t xml:space="preserve">
проверити збир!
</t>
        </r>
      </text>
    </comment>
    <comment ref="I12790" authorId="0" shapeId="0">
      <text>
        <r>
          <rPr>
            <b/>
            <sz val="9"/>
            <color indexed="81"/>
            <rFont val="Tahoma"/>
            <family val="2"/>
          </rPr>
          <t>LPA:</t>
        </r>
        <r>
          <rPr>
            <sz val="9"/>
            <color indexed="81"/>
            <rFont val="Tahoma"/>
            <family val="2"/>
          </rPr>
          <t xml:space="preserve">
проверити збир!
</t>
        </r>
      </text>
    </comment>
    <comment ref="I12791" authorId="0" shapeId="0">
      <text>
        <r>
          <rPr>
            <b/>
            <sz val="9"/>
            <color indexed="81"/>
            <rFont val="Tahoma"/>
            <family val="2"/>
          </rPr>
          <t>LPA:</t>
        </r>
        <r>
          <rPr>
            <sz val="9"/>
            <color indexed="81"/>
            <rFont val="Tahoma"/>
            <family val="2"/>
          </rPr>
          <t xml:space="preserve">
проверити збир!
</t>
        </r>
      </text>
    </comment>
    <comment ref="I12792" authorId="0" shapeId="0">
      <text>
        <r>
          <rPr>
            <b/>
            <sz val="9"/>
            <color indexed="81"/>
            <rFont val="Tahoma"/>
            <family val="2"/>
          </rPr>
          <t>LPA:</t>
        </r>
        <r>
          <rPr>
            <sz val="9"/>
            <color indexed="81"/>
            <rFont val="Tahoma"/>
            <family val="2"/>
          </rPr>
          <t xml:space="preserve">
проверити збир!
</t>
        </r>
      </text>
    </comment>
    <comment ref="I12861" authorId="0" shapeId="0">
      <text>
        <r>
          <rPr>
            <b/>
            <sz val="9"/>
            <color indexed="81"/>
            <rFont val="Tahoma"/>
            <family val="2"/>
          </rPr>
          <t>LPA:</t>
        </r>
        <r>
          <rPr>
            <sz val="9"/>
            <color indexed="81"/>
            <rFont val="Tahoma"/>
            <family val="2"/>
          </rPr>
          <t xml:space="preserve">
проверити збир!
</t>
        </r>
      </text>
    </comment>
    <comment ref="I12862" authorId="0" shapeId="0">
      <text>
        <r>
          <rPr>
            <b/>
            <sz val="9"/>
            <color indexed="81"/>
            <rFont val="Tahoma"/>
            <family val="2"/>
          </rPr>
          <t>LPA:</t>
        </r>
        <r>
          <rPr>
            <sz val="9"/>
            <color indexed="81"/>
            <rFont val="Tahoma"/>
            <family val="2"/>
          </rPr>
          <t xml:space="preserve">
проверити збир!
</t>
        </r>
      </text>
    </comment>
    <comment ref="I12863" authorId="0" shapeId="0">
      <text>
        <r>
          <rPr>
            <b/>
            <sz val="9"/>
            <color indexed="81"/>
            <rFont val="Tahoma"/>
            <family val="2"/>
          </rPr>
          <t>LPA:</t>
        </r>
        <r>
          <rPr>
            <sz val="9"/>
            <color indexed="81"/>
            <rFont val="Tahoma"/>
            <family val="2"/>
          </rPr>
          <t xml:space="preserve">
проверити збир!
</t>
        </r>
      </text>
    </comment>
    <comment ref="I12864" authorId="0" shapeId="0">
      <text>
        <r>
          <rPr>
            <b/>
            <sz val="9"/>
            <color indexed="81"/>
            <rFont val="Tahoma"/>
            <family val="2"/>
          </rPr>
          <t>LPA:</t>
        </r>
        <r>
          <rPr>
            <sz val="9"/>
            <color indexed="81"/>
            <rFont val="Tahoma"/>
            <family val="2"/>
          </rPr>
          <t xml:space="preserve">
проверити збир!
</t>
        </r>
      </text>
    </comment>
    <comment ref="I12865" authorId="0" shapeId="0">
      <text>
        <r>
          <rPr>
            <b/>
            <sz val="9"/>
            <color indexed="81"/>
            <rFont val="Tahoma"/>
            <family val="2"/>
          </rPr>
          <t>LPA:</t>
        </r>
        <r>
          <rPr>
            <sz val="9"/>
            <color indexed="81"/>
            <rFont val="Tahoma"/>
            <family val="2"/>
          </rPr>
          <t xml:space="preserve">
проверити збир!
</t>
        </r>
      </text>
    </comment>
    <comment ref="I12866" authorId="0" shapeId="0">
      <text>
        <r>
          <rPr>
            <b/>
            <sz val="9"/>
            <color indexed="81"/>
            <rFont val="Tahoma"/>
            <family val="2"/>
          </rPr>
          <t>LPA:</t>
        </r>
        <r>
          <rPr>
            <sz val="9"/>
            <color indexed="81"/>
            <rFont val="Tahoma"/>
            <family val="2"/>
          </rPr>
          <t xml:space="preserve">
проверити збир!
</t>
        </r>
      </text>
    </comment>
    <comment ref="I12867" authorId="0" shapeId="0">
      <text>
        <r>
          <rPr>
            <b/>
            <sz val="9"/>
            <color indexed="81"/>
            <rFont val="Tahoma"/>
            <family val="2"/>
          </rPr>
          <t>LPA:</t>
        </r>
        <r>
          <rPr>
            <sz val="9"/>
            <color indexed="81"/>
            <rFont val="Tahoma"/>
            <family val="2"/>
          </rPr>
          <t xml:space="preserve">
проверити збир!
</t>
        </r>
      </text>
    </comment>
    <comment ref="I12868" authorId="0" shapeId="0">
      <text>
        <r>
          <rPr>
            <b/>
            <sz val="9"/>
            <color indexed="81"/>
            <rFont val="Tahoma"/>
            <family val="2"/>
          </rPr>
          <t>LPA:</t>
        </r>
        <r>
          <rPr>
            <sz val="9"/>
            <color indexed="81"/>
            <rFont val="Tahoma"/>
            <family val="2"/>
          </rPr>
          <t xml:space="preserve">
проверити збир!
</t>
        </r>
      </text>
    </comment>
    <comment ref="I12869" authorId="0" shapeId="0">
      <text>
        <r>
          <rPr>
            <b/>
            <sz val="9"/>
            <color indexed="81"/>
            <rFont val="Tahoma"/>
            <family val="2"/>
          </rPr>
          <t>LPA:</t>
        </r>
        <r>
          <rPr>
            <sz val="9"/>
            <color indexed="81"/>
            <rFont val="Tahoma"/>
            <family val="2"/>
          </rPr>
          <t xml:space="preserve">
проверити збир!
</t>
        </r>
      </text>
    </comment>
    <comment ref="I12870" authorId="0" shapeId="0">
      <text>
        <r>
          <rPr>
            <b/>
            <sz val="9"/>
            <color indexed="81"/>
            <rFont val="Tahoma"/>
            <family val="2"/>
          </rPr>
          <t>LPA:</t>
        </r>
        <r>
          <rPr>
            <sz val="9"/>
            <color indexed="81"/>
            <rFont val="Tahoma"/>
            <family val="2"/>
          </rPr>
          <t xml:space="preserve">
проверити збир!
</t>
        </r>
      </text>
    </comment>
    <comment ref="I12871" authorId="0" shapeId="0">
      <text>
        <r>
          <rPr>
            <b/>
            <sz val="9"/>
            <color indexed="81"/>
            <rFont val="Tahoma"/>
            <family val="2"/>
          </rPr>
          <t>LPA:</t>
        </r>
        <r>
          <rPr>
            <sz val="9"/>
            <color indexed="81"/>
            <rFont val="Tahoma"/>
            <family val="2"/>
          </rPr>
          <t xml:space="preserve">
проверити збир!
</t>
        </r>
      </text>
    </comment>
    <comment ref="I12872" authorId="0" shapeId="0">
      <text>
        <r>
          <rPr>
            <b/>
            <sz val="9"/>
            <color indexed="81"/>
            <rFont val="Tahoma"/>
            <family val="2"/>
          </rPr>
          <t>LPA:</t>
        </r>
        <r>
          <rPr>
            <sz val="9"/>
            <color indexed="81"/>
            <rFont val="Tahoma"/>
            <family val="2"/>
          </rPr>
          <t xml:space="preserve">
проверити збир!
</t>
        </r>
      </text>
    </comment>
    <comment ref="I12873" authorId="0" shapeId="0">
      <text>
        <r>
          <rPr>
            <b/>
            <sz val="9"/>
            <color indexed="81"/>
            <rFont val="Tahoma"/>
            <family val="2"/>
          </rPr>
          <t>LPA:</t>
        </r>
        <r>
          <rPr>
            <sz val="9"/>
            <color indexed="81"/>
            <rFont val="Tahoma"/>
            <family val="2"/>
          </rPr>
          <t xml:space="preserve">
проверити збир!
</t>
        </r>
      </text>
    </comment>
    <comment ref="H12876" authorId="0" shapeId="0">
      <text>
        <r>
          <rPr>
            <b/>
            <sz val="9"/>
            <color indexed="81"/>
            <rFont val="Tahoma"/>
            <family val="2"/>
          </rPr>
          <t>LPA:</t>
        </r>
        <r>
          <rPr>
            <sz val="9"/>
            <color indexed="81"/>
            <rFont val="Tahoma"/>
            <family val="2"/>
          </rPr>
          <t xml:space="preserve">
проверити збир!</t>
        </r>
      </text>
    </comment>
    <comment ref="I12876" authorId="0" shapeId="0">
      <text>
        <r>
          <rPr>
            <b/>
            <sz val="9"/>
            <color indexed="81"/>
            <rFont val="Tahoma"/>
            <family val="2"/>
          </rPr>
          <t>LPA:</t>
        </r>
        <r>
          <rPr>
            <sz val="9"/>
            <color indexed="81"/>
            <rFont val="Tahoma"/>
            <family val="2"/>
          </rPr>
          <t xml:space="preserve">
проверити збир!</t>
        </r>
      </text>
    </comment>
    <comment ref="I12877" authorId="0" shapeId="0">
      <text>
        <r>
          <rPr>
            <b/>
            <sz val="9"/>
            <color indexed="81"/>
            <rFont val="Tahoma"/>
            <family val="2"/>
          </rPr>
          <t>LPA:</t>
        </r>
        <r>
          <rPr>
            <sz val="9"/>
            <color indexed="81"/>
            <rFont val="Tahoma"/>
            <family val="2"/>
          </rPr>
          <t xml:space="preserve">
проверити збир!
</t>
        </r>
      </text>
    </comment>
    <comment ref="I12878" authorId="0" shapeId="0">
      <text>
        <r>
          <rPr>
            <b/>
            <sz val="9"/>
            <color indexed="81"/>
            <rFont val="Tahoma"/>
            <family val="2"/>
          </rPr>
          <t>LPA:</t>
        </r>
        <r>
          <rPr>
            <sz val="9"/>
            <color indexed="81"/>
            <rFont val="Tahoma"/>
            <family val="2"/>
          </rPr>
          <t xml:space="preserve">
проверити збир!
</t>
        </r>
      </text>
    </comment>
    <comment ref="I12879" authorId="0" shapeId="0">
      <text>
        <r>
          <rPr>
            <b/>
            <sz val="9"/>
            <color indexed="81"/>
            <rFont val="Tahoma"/>
            <family val="2"/>
          </rPr>
          <t>LPA:</t>
        </r>
        <r>
          <rPr>
            <sz val="9"/>
            <color indexed="81"/>
            <rFont val="Tahoma"/>
            <family val="2"/>
          </rPr>
          <t xml:space="preserve">
проверити збир!
</t>
        </r>
      </text>
    </comment>
    <comment ref="I12880" authorId="0" shapeId="0">
      <text>
        <r>
          <rPr>
            <b/>
            <sz val="9"/>
            <color indexed="81"/>
            <rFont val="Tahoma"/>
            <family val="2"/>
          </rPr>
          <t>LPA:</t>
        </r>
        <r>
          <rPr>
            <sz val="9"/>
            <color indexed="81"/>
            <rFont val="Tahoma"/>
            <family val="2"/>
          </rPr>
          <t xml:space="preserve">
проверити збир!
</t>
        </r>
      </text>
    </comment>
    <comment ref="I12881" authorId="0" shapeId="0">
      <text>
        <r>
          <rPr>
            <b/>
            <sz val="9"/>
            <color indexed="81"/>
            <rFont val="Tahoma"/>
            <family val="2"/>
          </rPr>
          <t>LPA:</t>
        </r>
        <r>
          <rPr>
            <sz val="9"/>
            <color indexed="81"/>
            <rFont val="Tahoma"/>
            <family val="2"/>
          </rPr>
          <t xml:space="preserve">
проверити збир!
</t>
        </r>
      </text>
    </comment>
    <comment ref="I12882" authorId="0" shapeId="0">
      <text>
        <r>
          <rPr>
            <b/>
            <sz val="9"/>
            <color indexed="81"/>
            <rFont val="Tahoma"/>
            <family val="2"/>
          </rPr>
          <t>LPA:</t>
        </r>
        <r>
          <rPr>
            <sz val="9"/>
            <color indexed="81"/>
            <rFont val="Tahoma"/>
            <family val="2"/>
          </rPr>
          <t xml:space="preserve">
проверити збир!
</t>
        </r>
      </text>
    </comment>
    <comment ref="I12883" authorId="0" shapeId="0">
      <text>
        <r>
          <rPr>
            <b/>
            <sz val="9"/>
            <color indexed="81"/>
            <rFont val="Tahoma"/>
            <family val="2"/>
          </rPr>
          <t>LPA:</t>
        </r>
        <r>
          <rPr>
            <sz val="9"/>
            <color indexed="81"/>
            <rFont val="Tahoma"/>
            <family val="2"/>
          </rPr>
          <t xml:space="preserve">
проверити збир!
</t>
        </r>
      </text>
    </comment>
    <comment ref="I12884" authorId="0" shapeId="0">
      <text>
        <r>
          <rPr>
            <b/>
            <sz val="9"/>
            <color indexed="81"/>
            <rFont val="Tahoma"/>
            <family val="2"/>
          </rPr>
          <t>LPA:</t>
        </r>
        <r>
          <rPr>
            <sz val="9"/>
            <color indexed="81"/>
            <rFont val="Tahoma"/>
            <family val="2"/>
          </rPr>
          <t xml:space="preserve">
проверити збир!
</t>
        </r>
      </text>
    </comment>
    <comment ref="I12885" authorId="0" shapeId="0">
      <text>
        <r>
          <rPr>
            <b/>
            <sz val="9"/>
            <color indexed="81"/>
            <rFont val="Tahoma"/>
            <family val="2"/>
          </rPr>
          <t>LPA:</t>
        </r>
        <r>
          <rPr>
            <sz val="9"/>
            <color indexed="81"/>
            <rFont val="Tahoma"/>
            <family val="2"/>
          </rPr>
          <t xml:space="preserve">
проверити збир!
</t>
        </r>
      </text>
    </comment>
    <comment ref="I12886" authorId="0" shapeId="0">
      <text>
        <r>
          <rPr>
            <b/>
            <sz val="9"/>
            <color indexed="81"/>
            <rFont val="Tahoma"/>
            <family val="2"/>
          </rPr>
          <t>LPA:</t>
        </r>
        <r>
          <rPr>
            <sz val="9"/>
            <color indexed="81"/>
            <rFont val="Tahoma"/>
            <family val="2"/>
          </rPr>
          <t xml:space="preserve">
проверити збир!
</t>
        </r>
      </text>
    </comment>
    <comment ref="I12887" authorId="0" shapeId="0">
      <text>
        <r>
          <rPr>
            <b/>
            <sz val="9"/>
            <color indexed="81"/>
            <rFont val="Tahoma"/>
            <family val="2"/>
          </rPr>
          <t>LPA:</t>
        </r>
        <r>
          <rPr>
            <sz val="9"/>
            <color indexed="81"/>
            <rFont val="Tahoma"/>
            <family val="2"/>
          </rPr>
          <t xml:space="preserve">
проверити збир!
</t>
        </r>
      </text>
    </comment>
    <comment ref="I12888" authorId="0" shapeId="0">
      <text>
        <r>
          <rPr>
            <b/>
            <sz val="9"/>
            <color indexed="81"/>
            <rFont val="Tahoma"/>
            <family val="2"/>
          </rPr>
          <t>LPA:</t>
        </r>
        <r>
          <rPr>
            <sz val="9"/>
            <color indexed="81"/>
            <rFont val="Tahoma"/>
            <family val="2"/>
          </rPr>
          <t xml:space="preserve">
проверити збир!
</t>
        </r>
      </text>
    </comment>
    <comment ref="I12889" authorId="0" shapeId="0">
      <text>
        <r>
          <rPr>
            <b/>
            <sz val="9"/>
            <color indexed="81"/>
            <rFont val="Tahoma"/>
            <family val="2"/>
          </rPr>
          <t>LPA:</t>
        </r>
        <r>
          <rPr>
            <sz val="9"/>
            <color indexed="81"/>
            <rFont val="Tahoma"/>
            <family val="2"/>
          </rPr>
          <t xml:space="preserve">
проверити збир!
</t>
        </r>
      </text>
    </comment>
    <comment ref="I12890" authorId="0" shapeId="0">
      <text>
        <r>
          <rPr>
            <b/>
            <sz val="9"/>
            <color indexed="81"/>
            <rFont val="Tahoma"/>
            <family val="2"/>
          </rPr>
          <t>LPA:</t>
        </r>
        <r>
          <rPr>
            <sz val="9"/>
            <color indexed="81"/>
            <rFont val="Tahoma"/>
            <family val="2"/>
          </rPr>
          <t xml:space="preserve">
проверити збир!
</t>
        </r>
      </text>
    </comment>
    <comment ref="I12891" authorId="0" shapeId="0">
      <text>
        <r>
          <rPr>
            <b/>
            <sz val="9"/>
            <color indexed="81"/>
            <rFont val="Tahoma"/>
            <family val="2"/>
          </rPr>
          <t>LPA:</t>
        </r>
        <r>
          <rPr>
            <sz val="9"/>
            <color indexed="81"/>
            <rFont val="Tahoma"/>
            <family val="2"/>
          </rPr>
          <t xml:space="preserve">
проверити збир!
</t>
        </r>
      </text>
    </comment>
    <comment ref="I12960" authorId="0" shapeId="0">
      <text>
        <r>
          <rPr>
            <b/>
            <sz val="9"/>
            <color indexed="81"/>
            <rFont val="Tahoma"/>
            <family val="2"/>
          </rPr>
          <t>LPA:</t>
        </r>
        <r>
          <rPr>
            <sz val="9"/>
            <color indexed="81"/>
            <rFont val="Tahoma"/>
            <family val="2"/>
          </rPr>
          <t xml:space="preserve">
проверити збир!
</t>
        </r>
      </text>
    </comment>
    <comment ref="I12961" authorId="0" shapeId="0">
      <text>
        <r>
          <rPr>
            <b/>
            <sz val="9"/>
            <color indexed="81"/>
            <rFont val="Tahoma"/>
            <family val="2"/>
          </rPr>
          <t>LPA:</t>
        </r>
        <r>
          <rPr>
            <sz val="9"/>
            <color indexed="81"/>
            <rFont val="Tahoma"/>
            <family val="2"/>
          </rPr>
          <t xml:space="preserve">
проверити збир!
</t>
        </r>
      </text>
    </comment>
    <comment ref="I12962" authorId="0" shapeId="0">
      <text>
        <r>
          <rPr>
            <b/>
            <sz val="9"/>
            <color indexed="81"/>
            <rFont val="Tahoma"/>
            <family val="2"/>
          </rPr>
          <t>LPA:</t>
        </r>
        <r>
          <rPr>
            <sz val="9"/>
            <color indexed="81"/>
            <rFont val="Tahoma"/>
            <family val="2"/>
          </rPr>
          <t xml:space="preserve">
проверити збир!
</t>
        </r>
      </text>
    </comment>
    <comment ref="I12963" authorId="0" shapeId="0">
      <text>
        <r>
          <rPr>
            <b/>
            <sz val="9"/>
            <color indexed="81"/>
            <rFont val="Tahoma"/>
            <family val="2"/>
          </rPr>
          <t>LPA:</t>
        </r>
        <r>
          <rPr>
            <sz val="9"/>
            <color indexed="81"/>
            <rFont val="Tahoma"/>
            <family val="2"/>
          </rPr>
          <t xml:space="preserve">
проверити збир!
</t>
        </r>
      </text>
    </comment>
    <comment ref="I12964" authorId="0" shapeId="0">
      <text>
        <r>
          <rPr>
            <b/>
            <sz val="9"/>
            <color indexed="81"/>
            <rFont val="Tahoma"/>
            <family val="2"/>
          </rPr>
          <t>LPA:</t>
        </r>
        <r>
          <rPr>
            <sz val="9"/>
            <color indexed="81"/>
            <rFont val="Tahoma"/>
            <family val="2"/>
          </rPr>
          <t xml:space="preserve">
проверити збир!
</t>
        </r>
      </text>
    </comment>
    <comment ref="I12965" authorId="0" shapeId="0">
      <text>
        <r>
          <rPr>
            <b/>
            <sz val="9"/>
            <color indexed="81"/>
            <rFont val="Tahoma"/>
            <family val="2"/>
          </rPr>
          <t>LPA:</t>
        </r>
        <r>
          <rPr>
            <sz val="9"/>
            <color indexed="81"/>
            <rFont val="Tahoma"/>
            <family val="2"/>
          </rPr>
          <t xml:space="preserve">
проверити збир!
</t>
        </r>
      </text>
    </comment>
    <comment ref="I12966" authorId="0" shapeId="0">
      <text>
        <r>
          <rPr>
            <b/>
            <sz val="9"/>
            <color indexed="81"/>
            <rFont val="Tahoma"/>
            <family val="2"/>
          </rPr>
          <t>LPA:</t>
        </r>
        <r>
          <rPr>
            <sz val="9"/>
            <color indexed="81"/>
            <rFont val="Tahoma"/>
            <family val="2"/>
          </rPr>
          <t xml:space="preserve">
проверити збир!
</t>
        </r>
      </text>
    </comment>
    <comment ref="I12967" authorId="0" shapeId="0">
      <text>
        <r>
          <rPr>
            <b/>
            <sz val="9"/>
            <color indexed="81"/>
            <rFont val="Tahoma"/>
            <family val="2"/>
          </rPr>
          <t>LPA:</t>
        </r>
        <r>
          <rPr>
            <sz val="9"/>
            <color indexed="81"/>
            <rFont val="Tahoma"/>
            <family val="2"/>
          </rPr>
          <t xml:space="preserve">
проверити збир!
</t>
        </r>
      </text>
    </comment>
    <comment ref="I12968" authorId="0" shapeId="0">
      <text>
        <r>
          <rPr>
            <b/>
            <sz val="9"/>
            <color indexed="81"/>
            <rFont val="Tahoma"/>
            <family val="2"/>
          </rPr>
          <t>LPA:</t>
        </r>
        <r>
          <rPr>
            <sz val="9"/>
            <color indexed="81"/>
            <rFont val="Tahoma"/>
            <family val="2"/>
          </rPr>
          <t xml:space="preserve">
проверити збир!
</t>
        </r>
      </text>
    </comment>
    <comment ref="I12969" authorId="0" shapeId="0">
      <text>
        <r>
          <rPr>
            <b/>
            <sz val="9"/>
            <color indexed="81"/>
            <rFont val="Tahoma"/>
            <family val="2"/>
          </rPr>
          <t>LPA:</t>
        </r>
        <r>
          <rPr>
            <sz val="9"/>
            <color indexed="81"/>
            <rFont val="Tahoma"/>
            <family val="2"/>
          </rPr>
          <t xml:space="preserve">
проверити збир!
</t>
        </r>
      </text>
    </comment>
    <comment ref="I12970" authorId="0" shapeId="0">
      <text>
        <r>
          <rPr>
            <b/>
            <sz val="9"/>
            <color indexed="81"/>
            <rFont val="Tahoma"/>
            <family val="2"/>
          </rPr>
          <t>LPA:</t>
        </r>
        <r>
          <rPr>
            <sz val="9"/>
            <color indexed="81"/>
            <rFont val="Tahoma"/>
            <family val="2"/>
          </rPr>
          <t xml:space="preserve">
проверити збир!
</t>
        </r>
      </text>
    </comment>
    <comment ref="I12971" authorId="0" shapeId="0">
      <text>
        <r>
          <rPr>
            <b/>
            <sz val="9"/>
            <color indexed="81"/>
            <rFont val="Tahoma"/>
            <family val="2"/>
          </rPr>
          <t>LPA:</t>
        </r>
        <r>
          <rPr>
            <sz val="9"/>
            <color indexed="81"/>
            <rFont val="Tahoma"/>
            <family val="2"/>
          </rPr>
          <t xml:space="preserve">
проверити збир!
</t>
        </r>
      </text>
    </comment>
    <comment ref="I12972" authorId="0" shapeId="0">
      <text>
        <r>
          <rPr>
            <b/>
            <sz val="9"/>
            <color indexed="81"/>
            <rFont val="Tahoma"/>
            <family val="2"/>
          </rPr>
          <t>LPA:</t>
        </r>
        <r>
          <rPr>
            <sz val="9"/>
            <color indexed="81"/>
            <rFont val="Tahoma"/>
            <family val="2"/>
          </rPr>
          <t xml:space="preserve">
проверити збир!
</t>
        </r>
      </text>
    </comment>
    <comment ref="H12975" authorId="0" shapeId="0">
      <text>
        <r>
          <rPr>
            <b/>
            <sz val="9"/>
            <color indexed="81"/>
            <rFont val="Tahoma"/>
            <family val="2"/>
          </rPr>
          <t>LPA:</t>
        </r>
        <r>
          <rPr>
            <sz val="9"/>
            <color indexed="81"/>
            <rFont val="Tahoma"/>
            <family val="2"/>
          </rPr>
          <t xml:space="preserve">
проверити збир!</t>
        </r>
      </text>
    </comment>
    <comment ref="I12975" authorId="0" shapeId="0">
      <text>
        <r>
          <rPr>
            <b/>
            <sz val="9"/>
            <color indexed="81"/>
            <rFont val="Tahoma"/>
            <family val="2"/>
          </rPr>
          <t>LPA:</t>
        </r>
        <r>
          <rPr>
            <sz val="9"/>
            <color indexed="81"/>
            <rFont val="Tahoma"/>
            <family val="2"/>
          </rPr>
          <t xml:space="preserve">
проверити збир!</t>
        </r>
      </text>
    </comment>
    <comment ref="I12976" authorId="0" shapeId="0">
      <text>
        <r>
          <rPr>
            <b/>
            <sz val="9"/>
            <color indexed="81"/>
            <rFont val="Tahoma"/>
            <family val="2"/>
          </rPr>
          <t>LPA:</t>
        </r>
        <r>
          <rPr>
            <sz val="9"/>
            <color indexed="81"/>
            <rFont val="Tahoma"/>
            <family val="2"/>
          </rPr>
          <t xml:space="preserve">
проверити збир!
</t>
        </r>
      </text>
    </comment>
    <comment ref="I12977" authorId="0" shapeId="0">
      <text>
        <r>
          <rPr>
            <b/>
            <sz val="9"/>
            <color indexed="81"/>
            <rFont val="Tahoma"/>
            <family val="2"/>
          </rPr>
          <t>LPA:</t>
        </r>
        <r>
          <rPr>
            <sz val="9"/>
            <color indexed="81"/>
            <rFont val="Tahoma"/>
            <family val="2"/>
          </rPr>
          <t xml:space="preserve">
проверити збир!
</t>
        </r>
      </text>
    </comment>
    <comment ref="I12978" authorId="0" shapeId="0">
      <text>
        <r>
          <rPr>
            <b/>
            <sz val="9"/>
            <color indexed="81"/>
            <rFont val="Tahoma"/>
            <family val="2"/>
          </rPr>
          <t>LPA:</t>
        </r>
        <r>
          <rPr>
            <sz val="9"/>
            <color indexed="81"/>
            <rFont val="Tahoma"/>
            <family val="2"/>
          </rPr>
          <t xml:space="preserve">
проверити збир!
</t>
        </r>
      </text>
    </comment>
    <comment ref="I12979" authorId="0" shapeId="0">
      <text>
        <r>
          <rPr>
            <b/>
            <sz val="9"/>
            <color indexed="81"/>
            <rFont val="Tahoma"/>
            <family val="2"/>
          </rPr>
          <t>LPA:</t>
        </r>
        <r>
          <rPr>
            <sz val="9"/>
            <color indexed="81"/>
            <rFont val="Tahoma"/>
            <family val="2"/>
          </rPr>
          <t xml:space="preserve">
проверити збир!
</t>
        </r>
      </text>
    </comment>
    <comment ref="I12980" authorId="0" shapeId="0">
      <text>
        <r>
          <rPr>
            <b/>
            <sz val="9"/>
            <color indexed="81"/>
            <rFont val="Tahoma"/>
            <family val="2"/>
          </rPr>
          <t>LPA:</t>
        </r>
        <r>
          <rPr>
            <sz val="9"/>
            <color indexed="81"/>
            <rFont val="Tahoma"/>
            <family val="2"/>
          </rPr>
          <t xml:space="preserve">
проверити збир!
</t>
        </r>
      </text>
    </comment>
    <comment ref="I12981" authorId="0" shapeId="0">
      <text>
        <r>
          <rPr>
            <b/>
            <sz val="9"/>
            <color indexed="81"/>
            <rFont val="Tahoma"/>
            <family val="2"/>
          </rPr>
          <t>LPA:</t>
        </r>
        <r>
          <rPr>
            <sz val="9"/>
            <color indexed="81"/>
            <rFont val="Tahoma"/>
            <family val="2"/>
          </rPr>
          <t xml:space="preserve">
проверити збир!
</t>
        </r>
      </text>
    </comment>
    <comment ref="I12982" authorId="0" shapeId="0">
      <text>
        <r>
          <rPr>
            <b/>
            <sz val="9"/>
            <color indexed="81"/>
            <rFont val="Tahoma"/>
            <family val="2"/>
          </rPr>
          <t>LPA:</t>
        </r>
        <r>
          <rPr>
            <sz val="9"/>
            <color indexed="81"/>
            <rFont val="Tahoma"/>
            <family val="2"/>
          </rPr>
          <t xml:space="preserve">
проверити збир!
</t>
        </r>
      </text>
    </comment>
    <comment ref="I12983" authorId="0" shapeId="0">
      <text>
        <r>
          <rPr>
            <b/>
            <sz val="9"/>
            <color indexed="81"/>
            <rFont val="Tahoma"/>
            <family val="2"/>
          </rPr>
          <t>LPA:</t>
        </r>
        <r>
          <rPr>
            <sz val="9"/>
            <color indexed="81"/>
            <rFont val="Tahoma"/>
            <family val="2"/>
          </rPr>
          <t xml:space="preserve">
проверити збир!
</t>
        </r>
      </text>
    </comment>
    <comment ref="I12984" authorId="0" shapeId="0">
      <text>
        <r>
          <rPr>
            <b/>
            <sz val="9"/>
            <color indexed="81"/>
            <rFont val="Tahoma"/>
            <family val="2"/>
          </rPr>
          <t>LPA:</t>
        </r>
        <r>
          <rPr>
            <sz val="9"/>
            <color indexed="81"/>
            <rFont val="Tahoma"/>
            <family val="2"/>
          </rPr>
          <t xml:space="preserve">
проверити збир!
</t>
        </r>
      </text>
    </comment>
    <comment ref="I12985" authorId="0" shapeId="0">
      <text>
        <r>
          <rPr>
            <b/>
            <sz val="9"/>
            <color indexed="81"/>
            <rFont val="Tahoma"/>
            <family val="2"/>
          </rPr>
          <t>LPA:</t>
        </r>
        <r>
          <rPr>
            <sz val="9"/>
            <color indexed="81"/>
            <rFont val="Tahoma"/>
            <family val="2"/>
          </rPr>
          <t xml:space="preserve">
проверити збир!
</t>
        </r>
      </text>
    </comment>
    <comment ref="I12986" authorId="0" shapeId="0">
      <text>
        <r>
          <rPr>
            <b/>
            <sz val="9"/>
            <color indexed="81"/>
            <rFont val="Tahoma"/>
            <family val="2"/>
          </rPr>
          <t>LPA:</t>
        </r>
        <r>
          <rPr>
            <sz val="9"/>
            <color indexed="81"/>
            <rFont val="Tahoma"/>
            <family val="2"/>
          </rPr>
          <t xml:space="preserve">
проверити збир!
</t>
        </r>
      </text>
    </comment>
    <comment ref="I12987" authorId="0" shapeId="0">
      <text>
        <r>
          <rPr>
            <b/>
            <sz val="9"/>
            <color indexed="81"/>
            <rFont val="Tahoma"/>
            <family val="2"/>
          </rPr>
          <t>LPA:</t>
        </r>
        <r>
          <rPr>
            <sz val="9"/>
            <color indexed="81"/>
            <rFont val="Tahoma"/>
            <family val="2"/>
          </rPr>
          <t xml:space="preserve">
проверити збир!
</t>
        </r>
      </text>
    </comment>
    <comment ref="I12988" authorId="0" shapeId="0">
      <text>
        <r>
          <rPr>
            <b/>
            <sz val="9"/>
            <color indexed="81"/>
            <rFont val="Tahoma"/>
            <family val="2"/>
          </rPr>
          <t>LPA:</t>
        </r>
        <r>
          <rPr>
            <sz val="9"/>
            <color indexed="81"/>
            <rFont val="Tahoma"/>
            <family val="2"/>
          </rPr>
          <t xml:space="preserve">
проверити збир!
</t>
        </r>
      </text>
    </comment>
    <comment ref="I12989" authorId="0" shapeId="0">
      <text>
        <r>
          <rPr>
            <b/>
            <sz val="9"/>
            <color indexed="81"/>
            <rFont val="Tahoma"/>
            <family val="2"/>
          </rPr>
          <t>LPA:</t>
        </r>
        <r>
          <rPr>
            <sz val="9"/>
            <color indexed="81"/>
            <rFont val="Tahoma"/>
            <family val="2"/>
          </rPr>
          <t xml:space="preserve">
проверити збир!
</t>
        </r>
      </text>
    </comment>
    <comment ref="I12990" authorId="0" shapeId="0">
      <text>
        <r>
          <rPr>
            <b/>
            <sz val="9"/>
            <color indexed="81"/>
            <rFont val="Tahoma"/>
            <family val="2"/>
          </rPr>
          <t>LPA:</t>
        </r>
        <r>
          <rPr>
            <sz val="9"/>
            <color indexed="81"/>
            <rFont val="Tahoma"/>
            <family val="2"/>
          </rPr>
          <t xml:space="preserve">
проверити збир!
</t>
        </r>
      </text>
    </comment>
    <comment ref="H12995" authorId="0" shapeId="0">
      <text>
        <r>
          <rPr>
            <b/>
            <sz val="9"/>
            <color indexed="81"/>
            <rFont val="Tahoma"/>
            <family val="2"/>
          </rPr>
          <t>LPA:</t>
        </r>
        <r>
          <rPr>
            <sz val="9"/>
            <color indexed="81"/>
            <rFont val="Tahoma"/>
            <family val="2"/>
          </rPr>
          <t xml:space="preserve">
проверити збир!</t>
        </r>
      </text>
    </comment>
    <comment ref="I12995" authorId="0" shapeId="0">
      <text>
        <r>
          <rPr>
            <b/>
            <sz val="9"/>
            <color indexed="81"/>
            <rFont val="Tahoma"/>
            <family val="2"/>
          </rPr>
          <t>LPA:</t>
        </r>
        <r>
          <rPr>
            <sz val="9"/>
            <color indexed="81"/>
            <rFont val="Tahoma"/>
            <family val="2"/>
          </rPr>
          <t xml:space="preserve">
проверити збир!
</t>
        </r>
      </text>
    </comment>
    <comment ref="I12996" authorId="0" shapeId="0">
      <text>
        <r>
          <rPr>
            <b/>
            <sz val="9"/>
            <color indexed="81"/>
            <rFont val="Tahoma"/>
            <family val="2"/>
          </rPr>
          <t>LPA:</t>
        </r>
        <r>
          <rPr>
            <sz val="9"/>
            <color indexed="81"/>
            <rFont val="Tahoma"/>
            <family val="2"/>
          </rPr>
          <t xml:space="preserve">
проверити збир!
</t>
        </r>
      </text>
    </comment>
    <comment ref="I12997" authorId="0" shapeId="0">
      <text>
        <r>
          <rPr>
            <b/>
            <sz val="9"/>
            <color indexed="81"/>
            <rFont val="Tahoma"/>
            <family val="2"/>
          </rPr>
          <t>LPA:</t>
        </r>
        <r>
          <rPr>
            <sz val="9"/>
            <color indexed="81"/>
            <rFont val="Tahoma"/>
            <family val="2"/>
          </rPr>
          <t xml:space="preserve">
проверити збир!
</t>
        </r>
      </text>
    </comment>
    <comment ref="I12998" authorId="0" shapeId="0">
      <text>
        <r>
          <rPr>
            <b/>
            <sz val="9"/>
            <color indexed="81"/>
            <rFont val="Tahoma"/>
            <family val="2"/>
          </rPr>
          <t>LPA:</t>
        </r>
        <r>
          <rPr>
            <sz val="9"/>
            <color indexed="81"/>
            <rFont val="Tahoma"/>
            <family val="2"/>
          </rPr>
          <t xml:space="preserve">
проверити збир!
</t>
        </r>
      </text>
    </comment>
    <comment ref="I12999" authorId="0" shapeId="0">
      <text>
        <r>
          <rPr>
            <b/>
            <sz val="9"/>
            <color indexed="81"/>
            <rFont val="Tahoma"/>
            <family val="2"/>
          </rPr>
          <t>LPA:</t>
        </r>
        <r>
          <rPr>
            <sz val="9"/>
            <color indexed="81"/>
            <rFont val="Tahoma"/>
            <family val="2"/>
          </rPr>
          <t xml:space="preserve">
проверити збир!
</t>
        </r>
      </text>
    </comment>
    <comment ref="I13000" authorId="0" shapeId="0">
      <text>
        <r>
          <rPr>
            <b/>
            <sz val="9"/>
            <color indexed="81"/>
            <rFont val="Tahoma"/>
            <family val="2"/>
          </rPr>
          <t>LPA:</t>
        </r>
        <r>
          <rPr>
            <sz val="9"/>
            <color indexed="81"/>
            <rFont val="Tahoma"/>
            <family val="2"/>
          </rPr>
          <t xml:space="preserve">
проверити збир!
</t>
        </r>
      </text>
    </comment>
    <comment ref="I13001" authorId="0" shapeId="0">
      <text>
        <r>
          <rPr>
            <b/>
            <sz val="9"/>
            <color indexed="81"/>
            <rFont val="Tahoma"/>
            <family val="2"/>
          </rPr>
          <t>LPA:</t>
        </r>
        <r>
          <rPr>
            <sz val="9"/>
            <color indexed="81"/>
            <rFont val="Tahoma"/>
            <family val="2"/>
          </rPr>
          <t xml:space="preserve">
проверити збир!
</t>
        </r>
      </text>
    </comment>
    <comment ref="I13002" authorId="0" shapeId="0">
      <text>
        <r>
          <rPr>
            <b/>
            <sz val="9"/>
            <color indexed="81"/>
            <rFont val="Tahoma"/>
            <family val="2"/>
          </rPr>
          <t>LPA:</t>
        </r>
        <r>
          <rPr>
            <sz val="9"/>
            <color indexed="81"/>
            <rFont val="Tahoma"/>
            <family val="2"/>
          </rPr>
          <t xml:space="preserve">
проверити збир!
</t>
        </r>
      </text>
    </comment>
    <comment ref="I13003" authorId="0" shapeId="0">
      <text>
        <r>
          <rPr>
            <b/>
            <sz val="9"/>
            <color indexed="81"/>
            <rFont val="Tahoma"/>
            <family val="2"/>
          </rPr>
          <t>LPA:</t>
        </r>
        <r>
          <rPr>
            <sz val="9"/>
            <color indexed="81"/>
            <rFont val="Tahoma"/>
            <family val="2"/>
          </rPr>
          <t xml:space="preserve">
проверити збир!
</t>
        </r>
      </text>
    </comment>
    <comment ref="I13004" authorId="0" shapeId="0">
      <text>
        <r>
          <rPr>
            <b/>
            <sz val="9"/>
            <color indexed="81"/>
            <rFont val="Tahoma"/>
            <family val="2"/>
          </rPr>
          <t>LPA:</t>
        </r>
        <r>
          <rPr>
            <sz val="9"/>
            <color indexed="81"/>
            <rFont val="Tahoma"/>
            <family val="2"/>
          </rPr>
          <t xml:space="preserve">
проверити збир!
</t>
        </r>
      </text>
    </comment>
    <comment ref="I13005" authorId="0" shapeId="0">
      <text>
        <r>
          <rPr>
            <b/>
            <sz val="9"/>
            <color indexed="81"/>
            <rFont val="Tahoma"/>
            <family val="2"/>
          </rPr>
          <t>LPA:</t>
        </r>
        <r>
          <rPr>
            <sz val="9"/>
            <color indexed="81"/>
            <rFont val="Tahoma"/>
            <family val="2"/>
          </rPr>
          <t xml:space="preserve">
проверити збир!
</t>
        </r>
      </text>
    </comment>
    <comment ref="I13006" authorId="0" shapeId="0">
      <text>
        <r>
          <rPr>
            <b/>
            <sz val="9"/>
            <color indexed="81"/>
            <rFont val="Tahoma"/>
            <family val="2"/>
          </rPr>
          <t>LPA:</t>
        </r>
        <r>
          <rPr>
            <sz val="9"/>
            <color indexed="81"/>
            <rFont val="Tahoma"/>
            <family val="2"/>
          </rPr>
          <t xml:space="preserve">
проверити збир!
</t>
        </r>
      </text>
    </comment>
    <comment ref="I13007" authorId="0" shapeId="0">
      <text>
        <r>
          <rPr>
            <b/>
            <sz val="9"/>
            <color indexed="81"/>
            <rFont val="Tahoma"/>
            <family val="2"/>
          </rPr>
          <t>LPA:</t>
        </r>
        <r>
          <rPr>
            <sz val="9"/>
            <color indexed="81"/>
            <rFont val="Tahoma"/>
            <family val="2"/>
          </rPr>
          <t xml:space="preserve">
проверити збир!
</t>
        </r>
      </text>
    </comment>
    <comment ref="I13008" authorId="0" shapeId="0">
      <text>
        <r>
          <rPr>
            <b/>
            <sz val="9"/>
            <color indexed="81"/>
            <rFont val="Tahoma"/>
            <family val="2"/>
          </rPr>
          <t>LPA:</t>
        </r>
        <r>
          <rPr>
            <sz val="9"/>
            <color indexed="81"/>
            <rFont val="Tahoma"/>
            <family val="2"/>
          </rPr>
          <t xml:space="preserve">
проверити збир!
</t>
        </r>
      </text>
    </comment>
    <comment ref="I13009" authorId="0" shapeId="0">
      <text>
        <r>
          <rPr>
            <b/>
            <sz val="9"/>
            <color indexed="81"/>
            <rFont val="Tahoma"/>
            <family val="2"/>
          </rPr>
          <t>LPA:</t>
        </r>
        <r>
          <rPr>
            <sz val="9"/>
            <color indexed="81"/>
            <rFont val="Tahoma"/>
            <family val="2"/>
          </rPr>
          <t xml:space="preserve">
проверити збир!
</t>
        </r>
      </text>
    </comment>
    <comment ref="I13010" authorId="0" shapeId="0">
      <text>
        <r>
          <rPr>
            <b/>
            <sz val="9"/>
            <color indexed="81"/>
            <rFont val="Tahoma"/>
            <family val="2"/>
          </rPr>
          <t>LPA:</t>
        </r>
        <r>
          <rPr>
            <sz val="9"/>
            <color indexed="81"/>
            <rFont val="Tahoma"/>
            <family val="2"/>
          </rPr>
          <t xml:space="preserve">
проверити збир!
</t>
        </r>
      </text>
    </comment>
    <comment ref="H13014" authorId="0" shapeId="0">
      <text>
        <r>
          <rPr>
            <b/>
            <sz val="9"/>
            <color indexed="81"/>
            <rFont val="Tahoma"/>
            <family val="2"/>
          </rPr>
          <t>LPA:</t>
        </r>
        <r>
          <rPr>
            <sz val="9"/>
            <color indexed="81"/>
            <rFont val="Tahoma"/>
            <family val="2"/>
          </rPr>
          <t xml:space="preserve">
провери збир!</t>
        </r>
      </text>
    </comment>
    <comment ref="I13014" authorId="0" shapeId="0">
      <text>
        <r>
          <rPr>
            <b/>
            <sz val="9"/>
            <color indexed="81"/>
            <rFont val="Tahoma"/>
            <family val="2"/>
          </rPr>
          <t>LPA:</t>
        </r>
        <r>
          <rPr>
            <sz val="9"/>
            <color indexed="81"/>
            <rFont val="Tahoma"/>
            <family val="2"/>
          </rPr>
          <t xml:space="preserve">
проверити збир!
</t>
        </r>
      </text>
    </comment>
    <comment ref="I13015" authorId="0" shapeId="0">
      <text>
        <r>
          <rPr>
            <b/>
            <sz val="9"/>
            <color indexed="81"/>
            <rFont val="Tahoma"/>
            <family val="2"/>
          </rPr>
          <t>LPA:</t>
        </r>
        <r>
          <rPr>
            <sz val="9"/>
            <color indexed="81"/>
            <rFont val="Tahoma"/>
            <family val="2"/>
          </rPr>
          <t xml:space="preserve">
проверити збир!
</t>
        </r>
      </text>
    </comment>
    <comment ref="I13016" authorId="0" shapeId="0">
      <text>
        <r>
          <rPr>
            <b/>
            <sz val="9"/>
            <color indexed="81"/>
            <rFont val="Tahoma"/>
            <family val="2"/>
          </rPr>
          <t>LPA:</t>
        </r>
        <r>
          <rPr>
            <sz val="9"/>
            <color indexed="81"/>
            <rFont val="Tahoma"/>
            <family val="2"/>
          </rPr>
          <t xml:space="preserve">
проверити збир!
</t>
        </r>
      </text>
    </comment>
    <comment ref="I13017" authorId="0" shapeId="0">
      <text>
        <r>
          <rPr>
            <b/>
            <sz val="9"/>
            <color indexed="81"/>
            <rFont val="Tahoma"/>
            <family val="2"/>
          </rPr>
          <t>LPA:</t>
        </r>
        <r>
          <rPr>
            <sz val="9"/>
            <color indexed="81"/>
            <rFont val="Tahoma"/>
            <family val="2"/>
          </rPr>
          <t xml:space="preserve">
проверити збир!
</t>
        </r>
      </text>
    </comment>
    <comment ref="I13018" authorId="0" shapeId="0">
      <text>
        <r>
          <rPr>
            <b/>
            <sz val="9"/>
            <color indexed="81"/>
            <rFont val="Tahoma"/>
            <family val="2"/>
          </rPr>
          <t>LPA:</t>
        </r>
        <r>
          <rPr>
            <sz val="9"/>
            <color indexed="81"/>
            <rFont val="Tahoma"/>
            <family val="2"/>
          </rPr>
          <t xml:space="preserve">
проверити збир!
</t>
        </r>
      </text>
    </comment>
    <comment ref="I13019" authorId="0" shapeId="0">
      <text>
        <r>
          <rPr>
            <b/>
            <sz val="9"/>
            <color indexed="81"/>
            <rFont val="Tahoma"/>
            <family val="2"/>
          </rPr>
          <t>LPA:</t>
        </r>
        <r>
          <rPr>
            <sz val="9"/>
            <color indexed="81"/>
            <rFont val="Tahoma"/>
            <family val="2"/>
          </rPr>
          <t xml:space="preserve">
проверити збир!
</t>
        </r>
      </text>
    </comment>
    <comment ref="I13020" authorId="0" shapeId="0">
      <text>
        <r>
          <rPr>
            <b/>
            <sz val="9"/>
            <color indexed="81"/>
            <rFont val="Tahoma"/>
            <family val="2"/>
          </rPr>
          <t>LPA:</t>
        </r>
        <r>
          <rPr>
            <sz val="9"/>
            <color indexed="81"/>
            <rFont val="Tahoma"/>
            <family val="2"/>
          </rPr>
          <t xml:space="preserve">
проверити збир!
</t>
        </r>
      </text>
    </comment>
    <comment ref="I13021" authorId="0" shapeId="0">
      <text>
        <r>
          <rPr>
            <b/>
            <sz val="9"/>
            <color indexed="81"/>
            <rFont val="Tahoma"/>
            <family val="2"/>
          </rPr>
          <t>LPA:</t>
        </r>
        <r>
          <rPr>
            <sz val="9"/>
            <color indexed="81"/>
            <rFont val="Tahoma"/>
            <family val="2"/>
          </rPr>
          <t xml:space="preserve">
проверити збир!
</t>
        </r>
      </text>
    </comment>
    <comment ref="I13022" authorId="0" shapeId="0">
      <text>
        <r>
          <rPr>
            <b/>
            <sz val="9"/>
            <color indexed="81"/>
            <rFont val="Tahoma"/>
            <family val="2"/>
          </rPr>
          <t>LPA:</t>
        </r>
        <r>
          <rPr>
            <sz val="9"/>
            <color indexed="81"/>
            <rFont val="Tahoma"/>
            <family val="2"/>
          </rPr>
          <t xml:space="preserve">
проверити збир!
</t>
        </r>
      </text>
    </comment>
    <comment ref="I13023" authorId="0" shapeId="0">
      <text>
        <r>
          <rPr>
            <b/>
            <sz val="9"/>
            <color indexed="81"/>
            <rFont val="Tahoma"/>
            <family val="2"/>
          </rPr>
          <t>LPA:</t>
        </r>
        <r>
          <rPr>
            <sz val="9"/>
            <color indexed="81"/>
            <rFont val="Tahoma"/>
            <family val="2"/>
          </rPr>
          <t xml:space="preserve">
проверити збир!
</t>
        </r>
      </text>
    </comment>
    <comment ref="I13024" authorId="0" shapeId="0">
      <text>
        <r>
          <rPr>
            <b/>
            <sz val="9"/>
            <color indexed="81"/>
            <rFont val="Tahoma"/>
            <family val="2"/>
          </rPr>
          <t>LPA:</t>
        </r>
        <r>
          <rPr>
            <sz val="9"/>
            <color indexed="81"/>
            <rFont val="Tahoma"/>
            <family val="2"/>
          </rPr>
          <t xml:space="preserve">
проверити збир!
</t>
        </r>
      </text>
    </comment>
    <comment ref="I13025" authorId="0" shapeId="0">
      <text>
        <r>
          <rPr>
            <b/>
            <sz val="9"/>
            <color indexed="81"/>
            <rFont val="Tahoma"/>
            <family val="2"/>
          </rPr>
          <t>LPA:</t>
        </r>
        <r>
          <rPr>
            <sz val="9"/>
            <color indexed="81"/>
            <rFont val="Tahoma"/>
            <family val="2"/>
          </rPr>
          <t xml:space="preserve">
проверити збир!
</t>
        </r>
      </text>
    </comment>
    <comment ref="I13026" authorId="0" shapeId="0">
      <text>
        <r>
          <rPr>
            <b/>
            <sz val="9"/>
            <color indexed="81"/>
            <rFont val="Tahoma"/>
            <family val="2"/>
          </rPr>
          <t>LPA:</t>
        </r>
        <r>
          <rPr>
            <sz val="9"/>
            <color indexed="81"/>
            <rFont val="Tahoma"/>
            <family val="2"/>
          </rPr>
          <t xml:space="preserve">
проверити збир!
</t>
        </r>
      </text>
    </comment>
    <comment ref="I13027" authorId="0" shapeId="0">
      <text>
        <r>
          <rPr>
            <b/>
            <sz val="9"/>
            <color indexed="81"/>
            <rFont val="Tahoma"/>
            <family val="2"/>
          </rPr>
          <t>LPA:</t>
        </r>
        <r>
          <rPr>
            <sz val="9"/>
            <color indexed="81"/>
            <rFont val="Tahoma"/>
            <family val="2"/>
          </rPr>
          <t xml:space="preserve">
проверити збир!
</t>
        </r>
      </text>
    </comment>
    <comment ref="I13028" authorId="0" shapeId="0">
      <text>
        <r>
          <rPr>
            <b/>
            <sz val="9"/>
            <color indexed="81"/>
            <rFont val="Tahoma"/>
            <family val="2"/>
          </rPr>
          <t>LPA:</t>
        </r>
        <r>
          <rPr>
            <sz val="9"/>
            <color indexed="81"/>
            <rFont val="Tahoma"/>
            <family val="2"/>
          </rPr>
          <t xml:space="preserve">
проверити збир!
</t>
        </r>
      </text>
    </comment>
    <comment ref="I13029" authorId="0" shapeId="0">
      <text>
        <r>
          <rPr>
            <b/>
            <sz val="9"/>
            <color indexed="81"/>
            <rFont val="Tahoma"/>
            <family val="2"/>
          </rPr>
          <t>LPA:</t>
        </r>
        <r>
          <rPr>
            <sz val="9"/>
            <color indexed="81"/>
            <rFont val="Tahoma"/>
            <family val="2"/>
          </rPr>
          <t xml:space="preserve">
проверити збир!
</t>
        </r>
      </text>
    </comment>
    <comment ref="I13100" authorId="0" shapeId="0">
      <text>
        <r>
          <rPr>
            <b/>
            <sz val="9"/>
            <color indexed="81"/>
            <rFont val="Tahoma"/>
            <family val="2"/>
          </rPr>
          <t>LPA:</t>
        </r>
        <r>
          <rPr>
            <sz val="9"/>
            <color indexed="81"/>
            <rFont val="Tahoma"/>
            <family val="2"/>
          </rPr>
          <t xml:space="preserve">
проверити збир!
</t>
        </r>
      </text>
    </comment>
    <comment ref="I13101" authorId="0" shapeId="0">
      <text>
        <r>
          <rPr>
            <b/>
            <sz val="9"/>
            <color indexed="81"/>
            <rFont val="Tahoma"/>
            <family val="2"/>
          </rPr>
          <t>LPA:</t>
        </r>
        <r>
          <rPr>
            <sz val="9"/>
            <color indexed="81"/>
            <rFont val="Tahoma"/>
            <family val="2"/>
          </rPr>
          <t xml:space="preserve">
проверити збир!
</t>
        </r>
      </text>
    </comment>
    <comment ref="I13102" authorId="0" shapeId="0">
      <text>
        <r>
          <rPr>
            <b/>
            <sz val="9"/>
            <color indexed="81"/>
            <rFont val="Tahoma"/>
            <family val="2"/>
          </rPr>
          <t>LPA:</t>
        </r>
        <r>
          <rPr>
            <sz val="9"/>
            <color indexed="81"/>
            <rFont val="Tahoma"/>
            <family val="2"/>
          </rPr>
          <t xml:space="preserve">
проверити збир!
</t>
        </r>
      </text>
    </comment>
    <comment ref="I13103" authorId="0" shapeId="0">
      <text>
        <r>
          <rPr>
            <b/>
            <sz val="9"/>
            <color indexed="81"/>
            <rFont val="Tahoma"/>
            <family val="2"/>
          </rPr>
          <t>LPA:</t>
        </r>
        <r>
          <rPr>
            <sz val="9"/>
            <color indexed="81"/>
            <rFont val="Tahoma"/>
            <family val="2"/>
          </rPr>
          <t xml:space="preserve">
проверити збир!
</t>
        </r>
      </text>
    </comment>
    <comment ref="I13104" authorId="0" shapeId="0">
      <text>
        <r>
          <rPr>
            <b/>
            <sz val="9"/>
            <color indexed="81"/>
            <rFont val="Tahoma"/>
            <family val="2"/>
          </rPr>
          <t>LPA:</t>
        </r>
        <r>
          <rPr>
            <sz val="9"/>
            <color indexed="81"/>
            <rFont val="Tahoma"/>
            <family val="2"/>
          </rPr>
          <t xml:space="preserve">
проверити збир!
</t>
        </r>
      </text>
    </comment>
    <comment ref="I13105" authorId="0" shapeId="0">
      <text>
        <r>
          <rPr>
            <b/>
            <sz val="9"/>
            <color indexed="81"/>
            <rFont val="Tahoma"/>
            <family val="2"/>
          </rPr>
          <t>LPA:</t>
        </r>
        <r>
          <rPr>
            <sz val="9"/>
            <color indexed="81"/>
            <rFont val="Tahoma"/>
            <family val="2"/>
          </rPr>
          <t xml:space="preserve">
проверити збир!
</t>
        </r>
      </text>
    </comment>
    <comment ref="I13106" authorId="0" shapeId="0">
      <text>
        <r>
          <rPr>
            <b/>
            <sz val="9"/>
            <color indexed="81"/>
            <rFont val="Tahoma"/>
            <family val="2"/>
          </rPr>
          <t>LPA:</t>
        </r>
        <r>
          <rPr>
            <sz val="9"/>
            <color indexed="81"/>
            <rFont val="Tahoma"/>
            <family val="2"/>
          </rPr>
          <t xml:space="preserve">
проверити збир!
</t>
        </r>
      </text>
    </comment>
    <comment ref="I13107" authorId="0" shapeId="0">
      <text>
        <r>
          <rPr>
            <b/>
            <sz val="9"/>
            <color indexed="81"/>
            <rFont val="Tahoma"/>
            <family val="2"/>
          </rPr>
          <t>LPA:</t>
        </r>
        <r>
          <rPr>
            <sz val="9"/>
            <color indexed="81"/>
            <rFont val="Tahoma"/>
            <family val="2"/>
          </rPr>
          <t xml:space="preserve">
проверити збир!
</t>
        </r>
      </text>
    </comment>
    <comment ref="I13108" authorId="0" shapeId="0">
      <text>
        <r>
          <rPr>
            <b/>
            <sz val="9"/>
            <color indexed="81"/>
            <rFont val="Tahoma"/>
            <family val="2"/>
          </rPr>
          <t>LPA:</t>
        </r>
        <r>
          <rPr>
            <sz val="9"/>
            <color indexed="81"/>
            <rFont val="Tahoma"/>
            <family val="2"/>
          </rPr>
          <t xml:space="preserve">
проверити збир!
</t>
        </r>
      </text>
    </comment>
    <comment ref="I13109" authorId="0" shapeId="0">
      <text>
        <r>
          <rPr>
            <b/>
            <sz val="9"/>
            <color indexed="81"/>
            <rFont val="Tahoma"/>
            <family val="2"/>
          </rPr>
          <t>LPA:</t>
        </r>
        <r>
          <rPr>
            <sz val="9"/>
            <color indexed="81"/>
            <rFont val="Tahoma"/>
            <family val="2"/>
          </rPr>
          <t xml:space="preserve">
проверити збир!
</t>
        </r>
      </text>
    </comment>
    <comment ref="I13110" authorId="0" shapeId="0">
      <text>
        <r>
          <rPr>
            <b/>
            <sz val="9"/>
            <color indexed="81"/>
            <rFont val="Tahoma"/>
            <family val="2"/>
          </rPr>
          <t>LPA:</t>
        </r>
        <r>
          <rPr>
            <sz val="9"/>
            <color indexed="81"/>
            <rFont val="Tahoma"/>
            <family val="2"/>
          </rPr>
          <t xml:space="preserve">
проверити збир!
</t>
        </r>
      </text>
    </comment>
    <comment ref="I13111" authorId="0" shapeId="0">
      <text>
        <r>
          <rPr>
            <b/>
            <sz val="9"/>
            <color indexed="81"/>
            <rFont val="Tahoma"/>
            <family val="2"/>
          </rPr>
          <t>LPA:</t>
        </r>
        <r>
          <rPr>
            <sz val="9"/>
            <color indexed="81"/>
            <rFont val="Tahoma"/>
            <family val="2"/>
          </rPr>
          <t xml:space="preserve">
проверити збир!
</t>
        </r>
      </text>
    </comment>
    <comment ref="I13112" authorId="0" shapeId="0">
      <text>
        <r>
          <rPr>
            <b/>
            <sz val="9"/>
            <color indexed="81"/>
            <rFont val="Tahoma"/>
            <family val="2"/>
          </rPr>
          <t>LPA:</t>
        </r>
        <r>
          <rPr>
            <sz val="9"/>
            <color indexed="81"/>
            <rFont val="Tahoma"/>
            <family val="2"/>
          </rPr>
          <t xml:space="preserve">
проверити збир!
</t>
        </r>
      </text>
    </comment>
    <comment ref="H13115" authorId="0" shapeId="0">
      <text>
        <r>
          <rPr>
            <b/>
            <sz val="9"/>
            <color indexed="81"/>
            <rFont val="Tahoma"/>
            <family val="2"/>
          </rPr>
          <t>LPA:</t>
        </r>
        <r>
          <rPr>
            <sz val="9"/>
            <color indexed="81"/>
            <rFont val="Tahoma"/>
            <family val="2"/>
          </rPr>
          <t xml:space="preserve">
проверити збир!</t>
        </r>
      </text>
    </comment>
    <comment ref="I13115" authorId="0" shapeId="0">
      <text>
        <r>
          <rPr>
            <b/>
            <sz val="9"/>
            <color indexed="81"/>
            <rFont val="Tahoma"/>
            <family val="2"/>
          </rPr>
          <t>LPA:</t>
        </r>
        <r>
          <rPr>
            <sz val="9"/>
            <color indexed="81"/>
            <rFont val="Tahoma"/>
            <family val="2"/>
          </rPr>
          <t xml:space="preserve">
проверити збир!</t>
        </r>
      </text>
    </comment>
    <comment ref="I13116" authorId="0" shapeId="0">
      <text>
        <r>
          <rPr>
            <b/>
            <sz val="9"/>
            <color indexed="81"/>
            <rFont val="Tahoma"/>
            <family val="2"/>
          </rPr>
          <t>LPA:</t>
        </r>
        <r>
          <rPr>
            <sz val="9"/>
            <color indexed="81"/>
            <rFont val="Tahoma"/>
            <family val="2"/>
          </rPr>
          <t xml:space="preserve">
проверити збир!
</t>
        </r>
      </text>
    </comment>
    <comment ref="I13117" authorId="0" shapeId="0">
      <text>
        <r>
          <rPr>
            <b/>
            <sz val="9"/>
            <color indexed="81"/>
            <rFont val="Tahoma"/>
            <family val="2"/>
          </rPr>
          <t>LPA:</t>
        </r>
        <r>
          <rPr>
            <sz val="9"/>
            <color indexed="81"/>
            <rFont val="Tahoma"/>
            <family val="2"/>
          </rPr>
          <t xml:space="preserve">
проверити збир!
</t>
        </r>
      </text>
    </comment>
    <comment ref="I13118" authorId="0" shapeId="0">
      <text>
        <r>
          <rPr>
            <b/>
            <sz val="9"/>
            <color indexed="81"/>
            <rFont val="Tahoma"/>
            <family val="2"/>
          </rPr>
          <t>LPA:</t>
        </r>
        <r>
          <rPr>
            <sz val="9"/>
            <color indexed="81"/>
            <rFont val="Tahoma"/>
            <family val="2"/>
          </rPr>
          <t xml:space="preserve">
проверити збир!
</t>
        </r>
      </text>
    </comment>
    <comment ref="I13119" authorId="0" shapeId="0">
      <text>
        <r>
          <rPr>
            <b/>
            <sz val="9"/>
            <color indexed="81"/>
            <rFont val="Tahoma"/>
            <family val="2"/>
          </rPr>
          <t>LPA:</t>
        </r>
        <r>
          <rPr>
            <sz val="9"/>
            <color indexed="81"/>
            <rFont val="Tahoma"/>
            <family val="2"/>
          </rPr>
          <t xml:space="preserve">
проверити збир!
</t>
        </r>
      </text>
    </comment>
    <comment ref="I13120" authorId="0" shapeId="0">
      <text>
        <r>
          <rPr>
            <b/>
            <sz val="9"/>
            <color indexed="81"/>
            <rFont val="Tahoma"/>
            <family val="2"/>
          </rPr>
          <t>LPA:</t>
        </r>
        <r>
          <rPr>
            <sz val="9"/>
            <color indexed="81"/>
            <rFont val="Tahoma"/>
            <family val="2"/>
          </rPr>
          <t xml:space="preserve">
проверити збир!
</t>
        </r>
      </text>
    </comment>
    <comment ref="I13121" authorId="0" shapeId="0">
      <text>
        <r>
          <rPr>
            <b/>
            <sz val="9"/>
            <color indexed="81"/>
            <rFont val="Tahoma"/>
            <family val="2"/>
          </rPr>
          <t>LPA:</t>
        </r>
        <r>
          <rPr>
            <sz val="9"/>
            <color indexed="81"/>
            <rFont val="Tahoma"/>
            <family val="2"/>
          </rPr>
          <t xml:space="preserve">
проверити збир!
</t>
        </r>
      </text>
    </comment>
    <comment ref="I13122" authorId="0" shapeId="0">
      <text>
        <r>
          <rPr>
            <b/>
            <sz val="9"/>
            <color indexed="81"/>
            <rFont val="Tahoma"/>
            <family val="2"/>
          </rPr>
          <t>LPA:</t>
        </r>
        <r>
          <rPr>
            <sz val="9"/>
            <color indexed="81"/>
            <rFont val="Tahoma"/>
            <family val="2"/>
          </rPr>
          <t xml:space="preserve">
проверити збир!
</t>
        </r>
      </text>
    </comment>
    <comment ref="I13123" authorId="0" shapeId="0">
      <text>
        <r>
          <rPr>
            <b/>
            <sz val="9"/>
            <color indexed="81"/>
            <rFont val="Tahoma"/>
            <family val="2"/>
          </rPr>
          <t>LPA:</t>
        </r>
        <r>
          <rPr>
            <sz val="9"/>
            <color indexed="81"/>
            <rFont val="Tahoma"/>
            <family val="2"/>
          </rPr>
          <t xml:space="preserve">
проверити збир!
</t>
        </r>
      </text>
    </comment>
    <comment ref="I13124" authorId="0" shapeId="0">
      <text>
        <r>
          <rPr>
            <b/>
            <sz val="9"/>
            <color indexed="81"/>
            <rFont val="Tahoma"/>
            <family val="2"/>
          </rPr>
          <t>LPA:</t>
        </r>
        <r>
          <rPr>
            <sz val="9"/>
            <color indexed="81"/>
            <rFont val="Tahoma"/>
            <family val="2"/>
          </rPr>
          <t xml:space="preserve">
проверити збир!
</t>
        </r>
      </text>
    </comment>
    <comment ref="I13125" authorId="0" shapeId="0">
      <text>
        <r>
          <rPr>
            <b/>
            <sz val="9"/>
            <color indexed="81"/>
            <rFont val="Tahoma"/>
            <family val="2"/>
          </rPr>
          <t>LPA:</t>
        </r>
        <r>
          <rPr>
            <sz val="9"/>
            <color indexed="81"/>
            <rFont val="Tahoma"/>
            <family val="2"/>
          </rPr>
          <t xml:space="preserve">
проверити збир!
</t>
        </r>
      </text>
    </comment>
    <comment ref="I13126" authorId="0" shapeId="0">
      <text>
        <r>
          <rPr>
            <b/>
            <sz val="9"/>
            <color indexed="81"/>
            <rFont val="Tahoma"/>
            <family val="2"/>
          </rPr>
          <t>LPA:</t>
        </r>
        <r>
          <rPr>
            <sz val="9"/>
            <color indexed="81"/>
            <rFont val="Tahoma"/>
            <family val="2"/>
          </rPr>
          <t xml:space="preserve">
проверити збир!
</t>
        </r>
      </text>
    </comment>
    <comment ref="I13127" authorId="0" shapeId="0">
      <text>
        <r>
          <rPr>
            <b/>
            <sz val="9"/>
            <color indexed="81"/>
            <rFont val="Tahoma"/>
            <family val="2"/>
          </rPr>
          <t>LPA:</t>
        </r>
        <r>
          <rPr>
            <sz val="9"/>
            <color indexed="81"/>
            <rFont val="Tahoma"/>
            <family val="2"/>
          </rPr>
          <t xml:space="preserve">
проверити збир!
</t>
        </r>
      </text>
    </comment>
    <comment ref="I13128" authorId="0" shapeId="0">
      <text>
        <r>
          <rPr>
            <b/>
            <sz val="9"/>
            <color indexed="81"/>
            <rFont val="Tahoma"/>
            <family val="2"/>
          </rPr>
          <t>LPA:</t>
        </r>
        <r>
          <rPr>
            <sz val="9"/>
            <color indexed="81"/>
            <rFont val="Tahoma"/>
            <family val="2"/>
          </rPr>
          <t xml:space="preserve">
проверити збир!
</t>
        </r>
      </text>
    </comment>
    <comment ref="I13129" authorId="0" shapeId="0">
      <text>
        <r>
          <rPr>
            <b/>
            <sz val="9"/>
            <color indexed="81"/>
            <rFont val="Tahoma"/>
            <family val="2"/>
          </rPr>
          <t>LPA:</t>
        </r>
        <r>
          <rPr>
            <sz val="9"/>
            <color indexed="81"/>
            <rFont val="Tahoma"/>
            <family val="2"/>
          </rPr>
          <t xml:space="preserve">
проверити збир!
</t>
        </r>
      </text>
    </comment>
    <comment ref="I13130" authorId="0" shapeId="0">
      <text>
        <r>
          <rPr>
            <b/>
            <sz val="9"/>
            <color indexed="81"/>
            <rFont val="Tahoma"/>
            <family val="2"/>
          </rPr>
          <t>LPA:</t>
        </r>
        <r>
          <rPr>
            <sz val="9"/>
            <color indexed="81"/>
            <rFont val="Tahoma"/>
            <family val="2"/>
          </rPr>
          <t xml:space="preserve">
проверити збир!
</t>
        </r>
      </text>
    </comment>
    <comment ref="I13199" authorId="0" shapeId="0">
      <text>
        <r>
          <rPr>
            <b/>
            <sz val="9"/>
            <color indexed="81"/>
            <rFont val="Tahoma"/>
            <family val="2"/>
          </rPr>
          <t>LPA:</t>
        </r>
        <r>
          <rPr>
            <sz val="9"/>
            <color indexed="81"/>
            <rFont val="Tahoma"/>
            <family val="2"/>
          </rPr>
          <t xml:space="preserve">
проверити збир!
</t>
        </r>
      </text>
    </comment>
    <comment ref="I13200" authorId="0" shapeId="0">
      <text>
        <r>
          <rPr>
            <b/>
            <sz val="9"/>
            <color indexed="81"/>
            <rFont val="Tahoma"/>
            <family val="2"/>
          </rPr>
          <t>LPA:</t>
        </r>
        <r>
          <rPr>
            <sz val="9"/>
            <color indexed="81"/>
            <rFont val="Tahoma"/>
            <family val="2"/>
          </rPr>
          <t xml:space="preserve">
проверити збир!
</t>
        </r>
      </text>
    </comment>
    <comment ref="I13201" authorId="0" shapeId="0">
      <text>
        <r>
          <rPr>
            <b/>
            <sz val="9"/>
            <color indexed="81"/>
            <rFont val="Tahoma"/>
            <family val="2"/>
          </rPr>
          <t>LPA:</t>
        </r>
        <r>
          <rPr>
            <sz val="9"/>
            <color indexed="81"/>
            <rFont val="Tahoma"/>
            <family val="2"/>
          </rPr>
          <t xml:space="preserve">
проверити збир!
</t>
        </r>
      </text>
    </comment>
    <comment ref="I13202" authorId="0" shapeId="0">
      <text>
        <r>
          <rPr>
            <b/>
            <sz val="9"/>
            <color indexed="81"/>
            <rFont val="Tahoma"/>
            <family val="2"/>
          </rPr>
          <t>LPA:</t>
        </r>
        <r>
          <rPr>
            <sz val="9"/>
            <color indexed="81"/>
            <rFont val="Tahoma"/>
            <family val="2"/>
          </rPr>
          <t xml:space="preserve">
проверити збир!
</t>
        </r>
      </text>
    </comment>
    <comment ref="I13203" authorId="0" shapeId="0">
      <text>
        <r>
          <rPr>
            <b/>
            <sz val="9"/>
            <color indexed="81"/>
            <rFont val="Tahoma"/>
            <family val="2"/>
          </rPr>
          <t>LPA:</t>
        </r>
        <r>
          <rPr>
            <sz val="9"/>
            <color indexed="81"/>
            <rFont val="Tahoma"/>
            <family val="2"/>
          </rPr>
          <t xml:space="preserve">
проверити збир!
</t>
        </r>
      </text>
    </comment>
    <comment ref="I13204" authorId="0" shapeId="0">
      <text>
        <r>
          <rPr>
            <b/>
            <sz val="9"/>
            <color indexed="81"/>
            <rFont val="Tahoma"/>
            <family val="2"/>
          </rPr>
          <t>LPA:</t>
        </r>
        <r>
          <rPr>
            <sz val="9"/>
            <color indexed="81"/>
            <rFont val="Tahoma"/>
            <family val="2"/>
          </rPr>
          <t xml:space="preserve">
проверити збир!
</t>
        </r>
      </text>
    </comment>
    <comment ref="I13205" authorId="0" shapeId="0">
      <text>
        <r>
          <rPr>
            <b/>
            <sz val="9"/>
            <color indexed="81"/>
            <rFont val="Tahoma"/>
            <family val="2"/>
          </rPr>
          <t>LPA:</t>
        </r>
        <r>
          <rPr>
            <sz val="9"/>
            <color indexed="81"/>
            <rFont val="Tahoma"/>
            <family val="2"/>
          </rPr>
          <t xml:space="preserve">
проверити збир!
</t>
        </r>
      </text>
    </comment>
    <comment ref="I13206" authorId="0" shapeId="0">
      <text>
        <r>
          <rPr>
            <b/>
            <sz val="9"/>
            <color indexed="81"/>
            <rFont val="Tahoma"/>
            <family val="2"/>
          </rPr>
          <t>LPA:</t>
        </r>
        <r>
          <rPr>
            <sz val="9"/>
            <color indexed="81"/>
            <rFont val="Tahoma"/>
            <family val="2"/>
          </rPr>
          <t xml:space="preserve">
проверити збир!
</t>
        </r>
      </text>
    </comment>
    <comment ref="I13207" authorId="0" shapeId="0">
      <text>
        <r>
          <rPr>
            <b/>
            <sz val="9"/>
            <color indexed="81"/>
            <rFont val="Tahoma"/>
            <family val="2"/>
          </rPr>
          <t>LPA:</t>
        </r>
        <r>
          <rPr>
            <sz val="9"/>
            <color indexed="81"/>
            <rFont val="Tahoma"/>
            <family val="2"/>
          </rPr>
          <t xml:space="preserve">
проверити збир!
</t>
        </r>
      </text>
    </comment>
    <comment ref="I13208" authorId="0" shapeId="0">
      <text>
        <r>
          <rPr>
            <b/>
            <sz val="9"/>
            <color indexed="81"/>
            <rFont val="Tahoma"/>
            <family val="2"/>
          </rPr>
          <t>LPA:</t>
        </r>
        <r>
          <rPr>
            <sz val="9"/>
            <color indexed="81"/>
            <rFont val="Tahoma"/>
            <family val="2"/>
          </rPr>
          <t xml:space="preserve">
проверити збир!
</t>
        </r>
      </text>
    </comment>
    <comment ref="I13209" authorId="0" shapeId="0">
      <text>
        <r>
          <rPr>
            <b/>
            <sz val="9"/>
            <color indexed="81"/>
            <rFont val="Tahoma"/>
            <family val="2"/>
          </rPr>
          <t>LPA:</t>
        </r>
        <r>
          <rPr>
            <sz val="9"/>
            <color indexed="81"/>
            <rFont val="Tahoma"/>
            <family val="2"/>
          </rPr>
          <t xml:space="preserve">
проверити збир!
</t>
        </r>
      </text>
    </comment>
    <comment ref="I13210" authorId="0" shapeId="0">
      <text>
        <r>
          <rPr>
            <b/>
            <sz val="9"/>
            <color indexed="81"/>
            <rFont val="Tahoma"/>
            <family val="2"/>
          </rPr>
          <t>LPA:</t>
        </r>
        <r>
          <rPr>
            <sz val="9"/>
            <color indexed="81"/>
            <rFont val="Tahoma"/>
            <family val="2"/>
          </rPr>
          <t xml:space="preserve">
проверити збир!
</t>
        </r>
      </text>
    </comment>
    <comment ref="I13211" authorId="0" shapeId="0">
      <text>
        <r>
          <rPr>
            <b/>
            <sz val="9"/>
            <color indexed="81"/>
            <rFont val="Tahoma"/>
            <family val="2"/>
          </rPr>
          <t>LPA:</t>
        </r>
        <r>
          <rPr>
            <sz val="9"/>
            <color indexed="81"/>
            <rFont val="Tahoma"/>
            <family val="2"/>
          </rPr>
          <t xml:space="preserve">
проверити збир!
</t>
        </r>
      </text>
    </comment>
    <comment ref="H13214" authorId="0" shapeId="0">
      <text>
        <r>
          <rPr>
            <b/>
            <sz val="9"/>
            <color indexed="81"/>
            <rFont val="Tahoma"/>
            <family val="2"/>
          </rPr>
          <t>LPA:</t>
        </r>
        <r>
          <rPr>
            <sz val="9"/>
            <color indexed="81"/>
            <rFont val="Tahoma"/>
            <family val="2"/>
          </rPr>
          <t xml:space="preserve">
проверити збир!</t>
        </r>
      </text>
    </comment>
    <comment ref="I13214" authorId="0" shapeId="0">
      <text>
        <r>
          <rPr>
            <b/>
            <sz val="9"/>
            <color indexed="81"/>
            <rFont val="Tahoma"/>
            <family val="2"/>
          </rPr>
          <t>LPA:</t>
        </r>
        <r>
          <rPr>
            <sz val="9"/>
            <color indexed="81"/>
            <rFont val="Tahoma"/>
            <family val="2"/>
          </rPr>
          <t xml:space="preserve">
проверити збир!</t>
        </r>
      </text>
    </comment>
    <comment ref="I13215" authorId="0" shapeId="0">
      <text>
        <r>
          <rPr>
            <b/>
            <sz val="9"/>
            <color indexed="81"/>
            <rFont val="Tahoma"/>
            <family val="2"/>
          </rPr>
          <t>LPA:</t>
        </r>
        <r>
          <rPr>
            <sz val="9"/>
            <color indexed="81"/>
            <rFont val="Tahoma"/>
            <family val="2"/>
          </rPr>
          <t xml:space="preserve">
проверити збир!
</t>
        </r>
      </text>
    </comment>
    <comment ref="I13216" authorId="0" shapeId="0">
      <text>
        <r>
          <rPr>
            <b/>
            <sz val="9"/>
            <color indexed="81"/>
            <rFont val="Tahoma"/>
            <family val="2"/>
          </rPr>
          <t>LPA:</t>
        </r>
        <r>
          <rPr>
            <sz val="9"/>
            <color indexed="81"/>
            <rFont val="Tahoma"/>
            <family val="2"/>
          </rPr>
          <t xml:space="preserve">
проверити збир!
</t>
        </r>
      </text>
    </comment>
    <comment ref="I13217" authorId="0" shapeId="0">
      <text>
        <r>
          <rPr>
            <b/>
            <sz val="9"/>
            <color indexed="81"/>
            <rFont val="Tahoma"/>
            <family val="2"/>
          </rPr>
          <t>LPA:</t>
        </r>
        <r>
          <rPr>
            <sz val="9"/>
            <color indexed="81"/>
            <rFont val="Tahoma"/>
            <family val="2"/>
          </rPr>
          <t xml:space="preserve">
проверити збир!
</t>
        </r>
      </text>
    </comment>
    <comment ref="I13218" authorId="0" shapeId="0">
      <text>
        <r>
          <rPr>
            <b/>
            <sz val="9"/>
            <color indexed="81"/>
            <rFont val="Tahoma"/>
            <family val="2"/>
          </rPr>
          <t>LPA:</t>
        </r>
        <r>
          <rPr>
            <sz val="9"/>
            <color indexed="81"/>
            <rFont val="Tahoma"/>
            <family val="2"/>
          </rPr>
          <t xml:space="preserve">
проверити збир!
</t>
        </r>
      </text>
    </comment>
    <comment ref="I13219" authorId="0" shapeId="0">
      <text>
        <r>
          <rPr>
            <b/>
            <sz val="9"/>
            <color indexed="81"/>
            <rFont val="Tahoma"/>
            <family val="2"/>
          </rPr>
          <t>LPA:</t>
        </r>
        <r>
          <rPr>
            <sz val="9"/>
            <color indexed="81"/>
            <rFont val="Tahoma"/>
            <family val="2"/>
          </rPr>
          <t xml:space="preserve">
проверити збир!
</t>
        </r>
      </text>
    </comment>
    <comment ref="I13220" authorId="0" shapeId="0">
      <text>
        <r>
          <rPr>
            <b/>
            <sz val="9"/>
            <color indexed="81"/>
            <rFont val="Tahoma"/>
            <family val="2"/>
          </rPr>
          <t>LPA:</t>
        </r>
        <r>
          <rPr>
            <sz val="9"/>
            <color indexed="81"/>
            <rFont val="Tahoma"/>
            <family val="2"/>
          </rPr>
          <t xml:space="preserve">
проверити збир!
</t>
        </r>
      </text>
    </comment>
    <comment ref="I13221" authorId="0" shapeId="0">
      <text>
        <r>
          <rPr>
            <b/>
            <sz val="9"/>
            <color indexed="81"/>
            <rFont val="Tahoma"/>
            <family val="2"/>
          </rPr>
          <t>LPA:</t>
        </r>
        <r>
          <rPr>
            <sz val="9"/>
            <color indexed="81"/>
            <rFont val="Tahoma"/>
            <family val="2"/>
          </rPr>
          <t xml:space="preserve">
проверити збир!
</t>
        </r>
      </text>
    </comment>
    <comment ref="I13222" authorId="0" shapeId="0">
      <text>
        <r>
          <rPr>
            <b/>
            <sz val="9"/>
            <color indexed="81"/>
            <rFont val="Tahoma"/>
            <family val="2"/>
          </rPr>
          <t>LPA:</t>
        </r>
        <r>
          <rPr>
            <sz val="9"/>
            <color indexed="81"/>
            <rFont val="Tahoma"/>
            <family val="2"/>
          </rPr>
          <t xml:space="preserve">
проверити збир!
</t>
        </r>
      </text>
    </comment>
    <comment ref="I13223" authorId="0" shapeId="0">
      <text>
        <r>
          <rPr>
            <b/>
            <sz val="9"/>
            <color indexed="81"/>
            <rFont val="Tahoma"/>
            <family val="2"/>
          </rPr>
          <t>LPA:</t>
        </r>
        <r>
          <rPr>
            <sz val="9"/>
            <color indexed="81"/>
            <rFont val="Tahoma"/>
            <family val="2"/>
          </rPr>
          <t xml:space="preserve">
проверити збир!
</t>
        </r>
      </text>
    </comment>
    <comment ref="I13224" authorId="0" shapeId="0">
      <text>
        <r>
          <rPr>
            <b/>
            <sz val="9"/>
            <color indexed="81"/>
            <rFont val="Tahoma"/>
            <family val="2"/>
          </rPr>
          <t>LPA:</t>
        </r>
        <r>
          <rPr>
            <sz val="9"/>
            <color indexed="81"/>
            <rFont val="Tahoma"/>
            <family val="2"/>
          </rPr>
          <t xml:space="preserve">
проверити збир!
</t>
        </r>
      </text>
    </comment>
    <comment ref="I13225" authorId="0" shapeId="0">
      <text>
        <r>
          <rPr>
            <b/>
            <sz val="9"/>
            <color indexed="81"/>
            <rFont val="Tahoma"/>
            <family val="2"/>
          </rPr>
          <t>LPA:</t>
        </r>
        <r>
          <rPr>
            <sz val="9"/>
            <color indexed="81"/>
            <rFont val="Tahoma"/>
            <family val="2"/>
          </rPr>
          <t xml:space="preserve">
проверити збир!
</t>
        </r>
      </text>
    </comment>
    <comment ref="I13226" authorId="0" shapeId="0">
      <text>
        <r>
          <rPr>
            <b/>
            <sz val="9"/>
            <color indexed="81"/>
            <rFont val="Tahoma"/>
            <family val="2"/>
          </rPr>
          <t>LPA:</t>
        </r>
        <r>
          <rPr>
            <sz val="9"/>
            <color indexed="81"/>
            <rFont val="Tahoma"/>
            <family val="2"/>
          </rPr>
          <t xml:space="preserve">
проверити збир!
</t>
        </r>
      </text>
    </comment>
    <comment ref="I13227" authorId="0" shapeId="0">
      <text>
        <r>
          <rPr>
            <b/>
            <sz val="9"/>
            <color indexed="81"/>
            <rFont val="Tahoma"/>
            <family val="2"/>
          </rPr>
          <t>LPA:</t>
        </r>
        <r>
          <rPr>
            <sz val="9"/>
            <color indexed="81"/>
            <rFont val="Tahoma"/>
            <family val="2"/>
          </rPr>
          <t xml:space="preserve">
проверити збир!
</t>
        </r>
      </text>
    </comment>
    <comment ref="I13228" authorId="0" shapeId="0">
      <text>
        <r>
          <rPr>
            <b/>
            <sz val="9"/>
            <color indexed="81"/>
            <rFont val="Tahoma"/>
            <family val="2"/>
          </rPr>
          <t>LPA:</t>
        </r>
        <r>
          <rPr>
            <sz val="9"/>
            <color indexed="81"/>
            <rFont val="Tahoma"/>
            <family val="2"/>
          </rPr>
          <t xml:space="preserve">
проверити збир!
</t>
        </r>
      </text>
    </comment>
    <comment ref="I13229" authorId="0" shapeId="0">
      <text>
        <r>
          <rPr>
            <b/>
            <sz val="9"/>
            <color indexed="81"/>
            <rFont val="Tahoma"/>
            <family val="2"/>
          </rPr>
          <t>LPA:</t>
        </r>
        <r>
          <rPr>
            <sz val="9"/>
            <color indexed="81"/>
            <rFont val="Tahoma"/>
            <family val="2"/>
          </rPr>
          <t xml:space="preserve">
проверити збир!
</t>
        </r>
      </text>
    </comment>
    <comment ref="H13233" authorId="0" shapeId="0">
      <text>
        <r>
          <rPr>
            <b/>
            <sz val="9"/>
            <color indexed="81"/>
            <rFont val="Tahoma"/>
            <family val="2"/>
          </rPr>
          <t>LPA:</t>
        </r>
        <r>
          <rPr>
            <sz val="9"/>
            <color indexed="81"/>
            <rFont val="Tahoma"/>
            <family val="2"/>
          </rPr>
          <t xml:space="preserve">
проверити збир!</t>
        </r>
      </text>
    </comment>
    <comment ref="I13233" authorId="0" shapeId="0">
      <text>
        <r>
          <rPr>
            <b/>
            <sz val="9"/>
            <color indexed="81"/>
            <rFont val="Tahoma"/>
            <family val="2"/>
          </rPr>
          <t>LPA:</t>
        </r>
        <r>
          <rPr>
            <sz val="9"/>
            <color indexed="81"/>
            <rFont val="Tahoma"/>
            <family val="2"/>
          </rPr>
          <t xml:space="preserve">
проверити збир!
</t>
        </r>
      </text>
    </comment>
    <comment ref="I13234" authorId="0" shapeId="0">
      <text>
        <r>
          <rPr>
            <b/>
            <sz val="9"/>
            <color indexed="81"/>
            <rFont val="Tahoma"/>
            <family val="2"/>
          </rPr>
          <t>LPA:</t>
        </r>
        <r>
          <rPr>
            <sz val="9"/>
            <color indexed="81"/>
            <rFont val="Tahoma"/>
            <family val="2"/>
          </rPr>
          <t xml:space="preserve">
проверити збир!
</t>
        </r>
      </text>
    </comment>
    <comment ref="I13235" authorId="0" shapeId="0">
      <text>
        <r>
          <rPr>
            <b/>
            <sz val="9"/>
            <color indexed="81"/>
            <rFont val="Tahoma"/>
            <family val="2"/>
          </rPr>
          <t>LPA:</t>
        </r>
        <r>
          <rPr>
            <sz val="9"/>
            <color indexed="81"/>
            <rFont val="Tahoma"/>
            <family val="2"/>
          </rPr>
          <t xml:space="preserve">
проверити збир!
</t>
        </r>
      </text>
    </comment>
    <comment ref="I13236" authorId="0" shapeId="0">
      <text>
        <r>
          <rPr>
            <b/>
            <sz val="9"/>
            <color indexed="81"/>
            <rFont val="Tahoma"/>
            <family val="2"/>
          </rPr>
          <t>LPA:</t>
        </r>
        <r>
          <rPr>
            <sz val="9"/>
            <color indexed="81"/>
            <rFont val="Tahoma"/>
            <family val="2"/>
          </rPr>
          <t xml:space="preserve">
проверити збир!
</t>
        </r>
      </text>
    </comment>
    <comment ref="I13237" authorId="0" shapeId="0">
      <text>
        <r>
          <rPr>
            <b/>
            <sz val="9"/>
            <color indexed="81"/>
            <rFont val="Tahoma"/>
            <family val="2"/>
          </rPr>
          <t>LPA:</t>
        </r>
        <r>
          <rPr>
            <sz val="9"/>
            <color indexed="81"/>
            <rFont val="Tahoma"/>
            <family val="2"/>
          </rPr>
          <t xml:space="preserve">
проверити збир!
</t>
        </r>
      </text>
    </comment>
    <comment ref="I13238" authorId="0" shapeId="0">
      <text>
        <r>
          <rPr>
            <b/>
            <sz val="9"/>
            <color indexed="81"/>
            <rFont val="Tahoma"/>
            <family val="2"/>
          </rPr>
          <t>LPA:</t>
        </r>
        <r>
          <rPr>
            <sz val="9"/>
            <color indexed="81"/>
            <rFont val="Tahoma"/>
            <family val="2"/>
          </rPr>
          <t xml:space="preserve">
проверити збир!
</t>
        </r>
      </text>
    </comment>
    <comment ref="I13239" authorId="0" shapeId="0">
      <text>
        <r>
          <rPr>
            <b/>
            <sz val="9"/>
            <color indexed="81"/>
            <rFont val="Tahoma"/>
            <family val="2"/>
          </rPr>
          <t>LPA:</t>
        </r>
        <r>
          <rPr>
            <sz val="9"/>
            <color indexed="81"/>
            <rFont val="Tahoma"/>
            <family val="2"/>
          </rPr>
          <t xml:space="preserve">
проверити збир!
</t>
        </r>
      </text>
    </comment>
    <comment ref="I13240" authorId="0" shapeId="0">
      <text>
        <r>
          <rPr>
            <b/>
            <sz val="9"/>
            <color indexed="81"/>
            <rFont val="Tahoma"/>
            <family val="2"/>
          </rPr>
          <t>LPA:</t>
        </r>
        <r>
          <rPr>
            <sz val="9"/>
            <color indexed="81"/>
            <rFont val="Tahoma"/>
            <family val="2"/>
          </rPr>
          <t xml:space="preserve">
проверити збир!
</t>
        </r>
      </text>
    </comment>
    <comment ref="I13241" authorId="0" shapeId="0">
      <text>
        <r>
          <rPr>
            <b/>
            <sz val="9"/>
            <color indexed="81"/>
            <rFont val="Tahoma"/>
            <family val="2"/>
          </rPr>
          <t>LPA:</t>
        </r>
        <r>
          <rPr>
            <sz val="9"/>
            <color indexed="81"/>
            <rFont val="Tahoma"/>
            <family val="2"/>
          </rPr>
          <t xml:space="preserve">
проверити збир!
</t>
        </r>
      </text>
    </comment>
    <comment ref="I13242" authorId="0" shapeId="0">
      <text>
        <r>
          <rPr>
            <b/>
            <sz val="9"/>
            <color indexed="81"/>
            <rFont val="Tahoma"/>
            <family val="2"/>
          </rPr>
          <t>LPA:</t>
        </r>
        <r>
          <rPr>
            <sz val="9"/>
            <color indexed="81"/>
            <rFont val="Tahoma"/>
            <family val="2"/>
          </rPr>
          <t xml:space="preserve">
проверити збир!
</t>
        </r>
      </text>
    </comment>
    <comment ref="I13243" authorId="0" shapeId="0">
      <text>
        <r>
          <rPr>
            <b/>
            <sz val="9"/>
            <color indexed="81"/>
            <rFont val="Tahoma"/>
            <family val="2"/>
          </rPr>
          <t>LPA:</t>
        </r>
        <r>
          <rPr>
            <sz val="9"/>
            <color indexed="81"/>
            <rFont val="Tahoma"/>
            <family val="2"/>
          </rPr>
          <t xml:space="preserve">
проверити збир!
</t>
        </r>
      </text>
    </comment>
    <comment ref="I13244" authorId="0" shapeId="0">
      <text>
        <r>
          <rPr>
            <b/>
            <sz val="9"/>
            <color indexed="81"/>
            <rFont val="Tahoma"/>
            <family val="2"/>
          </rPr>
          <t>LPA:</t>
        </r>
        <r>
          <rPr>
            <sz val="9"/>
            <color indexed="81"/>
            <rFont val="Tahoma"/>
            <family val="2"/>
          </rPr>
          <t xml:space="preserve">
проверити збир!
</t>
        </r>
      </text>
    </comment>
    <comment ref="I13245" authorId="0" shapeId="0">
      <text>
        <r>
          <rPr>
            <b/>
            <sz val="9"/>
            <color indexed="81"/>
            <rFont val="Tahoma"/>
            <family val="2"/>
          </rPr>
          <t>LPA:</t>
        </r>
        <r>
          <rPr>
            <sz val="9"/>
            <color indexed="81"/>
            <rFont val="Tahoma"/>
            <family val="2"/>
          </rPr>
          <t xml:space="preserve">
проверити збир!
</t>
        </r>
      </text>
    </comment>
    <comment ref="I13246" authorId="0" shapeId="0">
      <text>
        <r>
          <rPr>
            <b/>
            <sz val="9"/>
            <color indexed="81"/>
            <rFont val="Tahoma"/>
            <family val="2"/>
          </rPr>
          <t>LPA:</t>
        </r>
        <r>
          <rPr>
            <sz val="9"/>
            <color indexed="81"/>
            <rFont val="Tahoma"/>
            <family val="2"/>
          </rPr>
          <t xml:space="preserve">
проверити збир!
</t>
        </r>
      </text>
    </comment>
    <comment ref="I13247" authorId="0" shapeId="0">
      <text>
        <r>
          <rPr>
            <b/>
            <sz val="9"/>
            <color indexed="81"/>
            <rFont val="Tahoma"/>
            <family val="2"/>
          </rPr>
          <t>LPA:</t>
        </r>
        <r>
          <rPr>
            <sz val="9"/>
            <color indexed="81"/>
            <rFont val="Tahoma"/>
            <family val="2"/>
          </rPr>
          <t xml:space="preserve">
проверити збир!
</t>
        </r>
      </text>
    </comment>
    <comment ref="I13248" authorId="0" shapeId="0">
      <text>
        <r>
          <rPr>
            <b/>
            <sz val="9"/>
            <color indexed="81"/>
            <rFont val="Tahoma"/>
            <family val="2"/>
          </rPr>
          <t>LPA:</t>
        </r>
        <r>
          <rPr>
            <sz val="9"/>
            <color indexed="81"/>
            <rFont val="Tahoma"/>
            <family val="2"/>
          </rPr>
          <t xml:space="preserve">
проверити збир!
</t>
        </r>
      </text>
    </comment>
    <comment ref="H13252" authorId="0" shapeId="0">
      <text>
        <r>
          <rPr>
            <b/>
            <sz val="9"/>
            <color indexed="81"/>
            <rFont val="Tahoma"/>
            <family val="2"/>
          </rPr>
          <t>LPA:</t>
        </r>
        <r>
          <rPr>
            <sz val="9"/>
            <color indexed="81"/>
            <rFont val="Tahoma"/>
            <family val="2"/>
          </rPr>
          <t xml:space="preserve">
провери збир!</t>
        </r>
      </text>
    </comment>
    <comment ref="I13252" authorId="0" shapeId="0">
      <text>
        <r>
          <rPr>
            <b/>
            <sz val="9"/>
            <color indexed="81"/>
            <rFont val="Tahoma"/>
            <family val="2"/>
          </rPr>
          <t>LPA:</t>
        </r>
        <r>
          <rPr>
            <sz val="9"/>
            <color indexed="81"/>
            <rFont val="Tahoma"/>
            <family val="2"/>
          </rPr>
          <t xml:space="preserve">
проверити збир!
</t>
        </r>
      </text>
    </comment>
    <comment ref="I13253" authorId="0" shapeId="0">
      <text>
        <r>
          <rPr>
            <b/>
            <sz val="9"/>
            <color indexed="81"/>
            <rFont val="Tahoma"/>
            <family val="2"/>
          </rPr>
          <t>LPA:</t>
        </r>
        <r>
          <rPr>
            <sz val="9"/>
            <color indexed="81"/>
            <rFont val="Tahoma"/>
            <family val="2"/>
          </rPr>
          <t xml:space="preserve">
проверити збир!
</t>
        </r>
      </text>
    </comment>
    <comment ref="I13254" authorId="0" shapeId="0">
      <text>
        <r>
          <rPr>
            <b/>
            <sz val="9"/>
            <color indexed="81"/>
            <rFont val="Tahoma"/>
            <family val="2"/>
          </rPr>
          <t>LPA:</t>
        </r>
        <r>
          <rPr>
            <sz val="9"/>
            <color indexed="81"/>
            <rFont val="Tahoma"/>
            <family val="2"/>
          </rPr>
          <t xml:space="preserve">
проверити збир!
</t>
        </r>
      </text>
    </comment>
    <comment ref="I13255" authorId="0" shapeId="0">
      <text>
        <r>
          <rPr>
            <b/>
            <sz val="9"/>
            <color indexed="81"/>
            <rFont val="Tahoma"/>
            <family val="2"/>
          </rPr>
          <t>LPA:</t>
        </r>
        <r>
          <rPr>
            <sz val="9"/>
            <color indexed="81"/>
            <rFont val="Tahoma"/>
            <family val="2"/>
          </rPr>
          <t xml:space="preserve">
проверити збир!
</t>
        </r>
      </text>
    </comment>
    <comment ref="I13256" authorId="0" shapeId="0">
      <text>
        <r>
          <rPr>
            <b/>
            <sz val="9"/>
            <color indexed="81"/>
            <rFont val="Tahoma"/>
            <family val="2"/>
          </rPr>
          <t>LPA:</t>
        </r>
        <r>
          <rPr>
            <sz val="9"/>
            <color indexed="81"/>
            <rFont val="Tahoma"/>
            <family val="2"/>
          </rPr>
          <t xml:space="preserve">
проверити збир!
</t>
        </r>
      </text>
    </comment>
    <comment ref="I13257" authorId="0" shapeId="0">
      <text>
        <r>
          <rPr>
            <b/>
            <sz val="9"/>
            <color indexed="81"/>
            <rFont val="Tahoma"/>
            <family val="2"/>
          </rPr>
          <t>LPA:</t>
        </r>
        <r>
          <rPr>
            <sz val="9"/>
            <color indexed="81"/>
            <rFont val="Tahoma"/>
            <family val="2"/>
          </rPr>
          <t xml:space="preserve">
проверити збир!
</t>
        </r>
      </text>
    </comment>
    <comment ref="I13258" authorId="0" shapeId="0">
      <text>
        <r>
          <rPr>
            <b/>
            <sz val="9"/>
            <color indexed="81"/>
            <rFont val="Tahoma"/>
            <family val="2"/>
          </rPr>
          <t>LPA:</t>
        </r>
        <r>
          <rPr>
            <sz val="9"/>
            <color indexed="81"/>
            <rFont val="Tahoma"/>
            <family val="2"/>
          </rPr>
          <t xml:space="preserve">
проверити збир!
</t>
        </r>
      </text>
    </comment>
    <comment ref="I13259" authorId="0" shapeId="0">
      <text>
        <r>
          <rPr>
            <b/>
            <sz val="9"/>
            <color indexed="81"/>
            <rFont val="Tahoma"/>
            <family val="2"/>
          </rPr>
          <t>LPA:</t>
        </r>
        <r>
          <rPr>
            <sz val="9"/>
            <color indexed="81"/>
            <rFont val="Tahoma"/>
            <family val="2"/>
          </rPr>
          <t xml:space="preserve">
проверити збир!
</t>
        </r>
      </text>
    </comment>
    <comment ref="I13260" authorId="0" shapeId="0">
      <text>
        <r>
          <rPr>
            <b/>
            <sz val="9"/>
            <color indexed="81"/>
            <rFont val="Tahoma"/>
            <family val="2"/>
          </rPr>
          <t>LPA:</t>
        </r>
        <r>
          <rPr>
            <sz val="9"/>
            <color indexed="81"/>
            <rFont val="Tahoma"/>
            <family val="2"/>
          </rPr>
          <t xml:space="preserve">
проверити збир!
</t>
        </r>
      </text>
    </comment>
    <comment ref="I13261" authorId="0" shapeId="0">
      <text>
        <r>
          <rPr>
            <b/>
            <sz val="9"/>
            <color indexed="81"/>
            <rFont val="Tahoma"/>
            <family val="2"/>
          </rPr>
          <t>LPA:</t>
        </r>
        <r>
          <rPr>
            <sz val="9"/>
            <color indexed="81"/>
            <rFont val="Tahoma"/>
            <family val="2"/>
          </rPr>
          <t xml:space="preserve">
проверити збир!
</t>
        </r>
      </text>
    </comment>
    <comment ref="I13262" authorId="0" shapeId="0">
      <text>
        <r>
          <rPr>
            <b/>
            <sz val="9"/>
            <color indexed="81"/>
            <rFont val="Tahoma"/>
            <family val="2"/>
          </rPr>
          <t>LPA:</t>
        </r>
        <r>
          <rPr>
            <sz val="9"/>
            <color indexed="81"/>
            <rFont val="Tahoma"/>
            <family val="2"/>
          </rPr>
          <t xml:space="preserve">
проверити збир!
</t>
        </r>
      </text>
    </comment>
    <comment ref="I13263" authorId="0" shapeId="0">
      <text>
        <r>
          <rPr>
            <b/>
            <sz val="9"/>
            <color indexed="81"/>
            <rFont val="Tahoma"/>
            <family val="2"/>
          </rPr>
          <t>LPA:</t>
        </r>
        <r>
          <rPr>
            <sz val="9"/>
            <color indexed="81"/>
            <rFont val="Tahoma"/>
            <family val="2"/>
          </rPr>
          <t xml:space="preserve">
проверити збир!
</t>
        </r>
      </text>
    </comment>
    <comment ref="I13264" authorId="0" shapeId="0">
      <text>
        <r>
          <rPr>
            <b/>
            <sz val="9"/>
            <color indexed="81"/>
            <rFont val="Tahoma"/>
            <family val="2"/>
          </rPr>
          <t>LPA:</t>
        </r>
        <r>
          <rPr>
            <sz val="9"/>
            <color indexed="81"/>
            <rFont val="Tahoma"/>
            <family val="2"/>
          </rPr>
          <t xml:space="preserve">
проверити збир!
</t>
        </r>
      </text>
    </comment>
    <comment ref="I13265" authorId="0" shapeId="0">
      <text>
        <r>
          <rPr>
            <b/>
            <sz val="9"/>
            <color indexed="81"/>
            <rFont val="Tahoma"/>
            <family val="2"/>
          </rPr>
          <t>LPA:</t>
        </r>
        <r>
          <rPr>
            <sz val="9"/>
            <color indexed="81"/>
            <rFont val="Tahoma"/>
            <family val="2"/>
          </rPr>
          <t xml:space="preserve">
проверити збир!
</t>
        </r>
      </text>
    </comment>
    <comment ref="I13266" authorId="0" shapeId="0">
      <text>
        <r>
          <rPr>
            <b/>
            <sz val="9"/>
            <color indexed="81"/>
            <rFont val="Tahoma"/>
            <family val="2"/>
          </rPr>
          <t>LPA:</t>
        </r>
        <r>
          <rPr>
            <sz val="9"/>
            <color indexed="81"/>
            <rFont val="Tahoma"/>
            <family val="2"/>
          </rPr>
          <t xml:space="preserve">
проверити збир!
</t>
        </r>
      </text>
    </comment>
    <comment ref="I13267" authorId="0" shapeId="0">
      <text>
        <r>
          <rPr>
            <b/>
            <sz val="9"/>
            <color indexed="81"/>
            <rFont val="Tahoma"/>
            <family val="2"/>
          </rPr>
          <t>LPA:</t>
        </r>
        <r>
          <rPr>
            <sz val="9"/>
            <color indexed="81"/>
            <rFont val="Tahoma"/>
            <family val="2"/>
          </rPr>
          <t xml:space="preserve">
проверити збир!
</t>
        </r>
      </text>
    </comment>
    <comment ref="I13338" authorId="0" shapeId="0">
      <text>
        <r>
          <rPr>
            <b/>
            <sz val="9"/>
            <color indexed="81"/>
            <rFont val="Tahoma"/>
            <family val="2"/>
          </rPr>
          <t>LPA:</t>
        </r>
        <r>
          <rPr>
            <sz val="9"/>
            <color indexed="81"/>
            <rFont val="Tahoma"/>
            <family val="2"/>
          </rPr>
          <t xml:space="preserve">
проверити збир!
</t>
        </r>
      </text>
    </comment>
    <comment ref="I13339" authorId="0" shapeId="0">
      <text>
        <r>
          <rPr>
            <b/>
            <sz val="9"/>
            <color indexed="81"/>
            <rFont val="Tahoma"/>
            <family val="2"/>
          </rPr>
          <t>LPA:</t>
        </r>
        <r>
          <rPr>
            <sz val="9"/>
            <color indexed="81"/>
            <rFont val="Tahoma"/>
            <family val="2"/>
          </rPr>
          <t xml:space="preserve">
проверити збир!
</t>
        </r>
      </text>
    </comment>
    <comment ref="I13340" authorId="0" shapeId="0">
      <text>
        <r>
          <rPr>
            <b/>
            <sz val="9"/>
            <color indexed="81"/>
            <rFont val="Tahoma"/>
            <family val="2"/>
          </rPr>
          <t>LPA:</t>
        </r>
        <r>
          <rPr>
            <sz val="9"/>
            <color indexed="81"/>
            <rFont val="Tahoma"/>
            <family val="2"/>
          </rPr>
          <t xml:space="preserve">
проверити збир!
</t>
        </r>
      </text>
    </comment>
    <comment ref="I13341" authorId="0" shapeId="0">
      <text>
        <r>
          <rPr>
            <b/>
            <sz val="9"/>
            <color indexed="81"/>
            <rFont val="Tahoma"/>
            <family val="2"/>
          </rPr>
          <t>LPA:</t>
        </r>
        <r>
          <rPr>
            <sz val="9"/>
            <color indexed="81"/>
            <rFont val="Tahoma"/>
            <family val="2"/>
          </rPr>
          <t xml:space="preserve">
проверити збир!
</t>
        </r>
      </text>
    </comment>
    <comment ref="I13342" authorId="0" shapeId="0">
      <text>
        <r>
          <rPr>
            <b/>
            <sz val="9"/>
            <color indexed="81"/>
            <rFont val="Tahoma"/>
            <family val="2"/>
          </rPr>
          <t>LPA:</t>
        </r>
        <r>
          <rPr>
            <sz val="9"/>
            <color indexed="81"/>
            <rFont val="Tahoma"/>
            <family val="2"/>
          </rPr>
          <t xml:space="preserve">
проверити збир!
</t>
        </r>
      </text>
    </comment>
    <comment ref="I13343" authorId="0" shapeId="0">
      <text>
        <r>
          <rPr>
            <b/>
            <sz val="9"/>
            <color indexed="81"/>
            <rFont val="Tahoma"/>
            <family val="2"/>
          </rPr>
          <t>LPA:</t>
        </r>
        <r>
          <rPr>
            <sz val="9"/>
            <color indexed="81"/>
            <rFont val="Tahoma"/>
            <family val="2"/>
          </rPr>
          <t xml:space="preserve">
проверити збир!
</t>
        </r>
      </text>
    </comment>
    <comment ref="I13344" authorId="0" shapeId="0">
      <text>
        <r>
          <rPr>
            <b/>
            <sz val="9"/>
            <color indexed="81"/>
            <rFont val="Tahoma"/>
            <family val="2"/>
          </rPr>
          <t>LPA:</t>
        </r>
        <r>
          <rPr>
            <sz val="9"/>
            <color indexed="81"/>
            <rFont val="Tahoma"/>
            <family val="2"/>
          </rPr>
          <t xml:space="preserve">
проверити збир!
</t>
        </r>
      </text>
    </comment>
    <comment ref="I13345" authorId="0" shapeId="0">
      <text>
        <r>
          <rPr>
            <b/>
            <sz val="9"/>
            <color indexed="81"/>
            <rFont val="Tahoma"/>
            <family val="2"/>
          </rPr>
          <t>LPA:</t>
        </r>
        <r>
          <rPr>
            <sz val="9"/>
            <color indexed="81"/>
            <rFont val="Tahoma"/>
            <family val="2"/>
          </rPr>
          <t xml:space="preserve">
проверити збир!
</t>
        </r>
      </text>
    </comment>
    <comment ref="I13346" authorId="0" shapeId="0">
      <text>
        <r>
          <rPr>
            <b/>
            <sz val="9"/>
            <color indexed="81"/>
            <rFont val="Tahoma"/>
            <family val="2"/>
          </rPr>
          <t>LPA:</t>
        </r>
        <r>
          <rPr>
            <sz val="9"/>
            <color indexed="81"/>
            <rFont val="Tahoma"/>
            <family val="2"/>
          </rPr>
          <t xml:space="preserve">
проверити збир!
</t>
        </r>
      </text>
    </comment>
    <comment ref="I13347" authorId="0" shapeId="0">
      <text>
        <r>
          <rPr>
            <b/>
            <sz val="9"/>
            <color indexed="81"/>
            <rFont val="Tahoma"/>
            <family val="2"/>
          </rPr>
          <t>LPA:</t>
        </r>
        <r>
          <rPr>
            <sz val="9"/>
            <color indexed="81"/>
            <rFont val="Tahoma"/>
            <family val="2"/>
          </rPr>
          <t xml:space="preserve">
проверити збир!
</t>
        </r>
      </text>
    </comment>
    <comment ref="I13348" authorId="0" shapeId="0">
      <text>
        <r>
          <rPr>
            <b/>
            <sz val="9"/>
            <color indexed="81"/>
            <rFont val="Tahoma"/>
            <family val="2"/>
          </rPr>
          <t>LPA:</t>
        </r>
        <r>
          <rPr>
            <sz val="9"/>
            <color indexed="81"/>
            <rFont val="Tahoma"/>
            <family val="2"/>
          </rPr>
          <t xml:space="preserve">
проверити збир!
</t>
        </r>
      </text>
    </comment>
    <comment ref="I13349" authorId="0" shapeId="0">
      <text>
        <r>
          <rPr>
            <b/>
            <sz val="9"/>
            <color indexed="81"/>
            <rFont val="Tahoma"/>
            <family val="2"/>
          </rPr>
          <t>LPA:</t>
        </r>
        <r>
          <rPr>
            <sz val="9"/>
            <color indexed="81"/>
            <rFont val="Tahoma"/>
            <family val="2"/>
          </rPr>
          <t xml:space="preserve">
проверити збир!
</t>
        </r>
      </text>
    </comment>
    <comment ref="I13350" authorId="0" shapeId="0">
      <text>
        <r>
          <rPr>
            <b/>
            <sz val="9"/>
            <color indexed="81"/>
            <rFont val="Tahoma"/>
            <family val="2"/>
          </rPr>
          <t>LPA:</t>
        </r>
        <r>
          <rPr>
            <sz val="9"/>
            <color indexed="81"/>
            <rFont val="Tahoma"/>
            <family val="2"/>
          </rPr>
          <t xml:space="preserve">
проверити збир!
</t>
        </r>
      </text>
    </comment>
    <comment ref="H13353" authorId="0" shapeId="0">
      <text>
        <r>
          <rPr>
            <b/>
            <sz val="9"/>
            <color indexed="81"/>
            <rFont val="Tahoma"/>
            <family val="2"/>
          </rPr>
          <t>LPA:</t>
        </r>
        <r>
          <rPr>
            <sz val="9"/>
            <color indexed="81"/>
            <rFont val="Tahoma"/>
            <family val="2"/>
          </rPr>
          <t xml:space="preserve">
проверити збир!</t>
        </r>
      </text>
    </comment>
    <comment ref="I13353" authorId="0" shapeId="0">
      <text>
        <r>
          <rPr>
            <b/>
            <sz val="9"/>
            <color indexed="81"/>
            <rFont val="Tahoma"/>
            <family val="2"/>
          </rPr>
          <t>LPA:</t>
        </r>
        <r>
          <rPr>
            <sz val="9"/>
            <color indexed="81"/>
            <rFont val="Tahoma"/>
            <family val="2"/>
          </rPr>
          <t xml:space="preserve">
проверити збир!</t>
        </r>
      </text>
    </comment>
    <comment ref="I13354" authorId="0" shapeId="0">
      <text>
        <r>
          <rPr>
            <b/>
            <sz val="9"/>
            <color indexed="81"/>
            <rFont val="Tahoma"/>
            <family val="2"/>
          </rPr>
          <t>LPA:</t>
        </r>
        <r>
          <rPr>
            <sz val="9"/>
            <color indexed="81"/>
            <rFont val="Tahoma"/>
            <family val="2"/>
          </rPr>
          <t xml:space="preserve">
проверити збир!
</t>
        </r>
      </text>
    </comment>
    <comment ref="I13355" authorId="0" shapeId="0">
      <text>
        <r>
          <rPr>
            <b/>
            <sz val="9"/>
            <color indexed="81"/>
            <rFont val="Tahoma"/>
            <family val="2"/>
          </rPr>
          <t>LPA:</t>
        </r>
        <r>
          <rPr>
            <sz val="9"/>
            <color indexed="81"/>
            <rFont val="Tahoma"/>
            <family val="2"/>
          </rPr>
          <t xml:space="preserve">
проверити збир!
</t>
        </r>
      </text>
    </comment>
    <comment ref="I13356" authorId="0" shapeId="0">
      <text>
        <r>
          <rPr>
            <b/>
            <sz val="9"/>
            <color indexed="81"/>
            <rFont val="Tahoma"/>
            <family val="2"/>
          </rPr>
          <t>LPA:</t>
        </r>
        <r>
          <rPr>
            <sz val="9"/>
            <color indexed="81"/>
            <rFont val="Tahoma"/>
            <family val="2"/>
          </rPr>
          <t xml:space="preserve">
проверити збир!
</t>
        </r>
      </text>
    </comment>
    <comment ref="I13357" authorId="0" shapeId="0">
      <text>
        <r>
          <rPr>
            <b/>
            <sz val="9"/>
            <color indexed="81"/>
            <rFont val="Tahoma"/>
            <family val="2"/>
          </rPr>
          <t>LPA:</t>
        </r>
        <r>
          <rPr>
            <sz val="9"/>
            <color indexed="81"/>
            <rFont val="Tahoma"/>
            <family val="2"/>
          </rPr>
          <t xml:space="preserve">
проверити збир!
</t>
        </r>
      </text>
    </comment>
    <comment ref="I13358" authorId="0" shapeId="0">
      <text>
        <r>
          <rPr>
            <b/>
            <sz val="9"/>
            <color indexed="81"/>
            <rFont val="Tahoma"/>
            <family val="2"/>
          </rPr>
          <t>LPA:</t>
        </r>
        <r>
          <rPr>
            <sz val="9"/>
            <color indexed="81"/>
            <rFont val="Tahoma"/>
            <family val="2"/>
          </rPr>
          <t xml:space="preserve">
проверити збир!
</t>
        </r>
      </text>
    </comment>
    <comment ref="I13359" authorId="0" shapeId="0">
      <text>
        <r>
          <rPr>
            <b/>
            <sz val="9"/>
            <color indexed="81"/>
            <rFont val="Tahoma"/>
            <family val="2"/>
          </rPr>
          <t>LPA:</t>
        </r>
        <r>
          <rPr>
            <sz val="9"/>
            <color indexed="81"/>
            <rFont val="Tahoma"/>
            <family val="2"/>
          </rPr>
          <t xml:space="preserve">
проверити збир!
</t>
        </r>
      </text>
    </comment>
    <comment ref="I13360" authorId="0" shapeId="0">
      <text>
        <r>
          <rPr>
            <b/>
            <sz val="9"/>
            <color indexed="81"/>
            <rFont val="Tahoma"/>
            <family val="2"/>
          </rPr>
          <t>LPA:</t>
        </r>
        <r>
          <rPr>
            <sz val="9"/>
            <color indexed="81"/>
            <rFont val="Tahoma"/>
            <family val="2"/>
          </rPr>
          <t xml:space="preserve">
проверити збир!
</t>
        </r>
      </text>
    </comment>
    <comment ref="I13361" authorId="0" shapeId="0">
      <text>
        <r>
          <rPr>
            <b/>
            <sz val="9"/>
            <color indexed="81"/>
            <rFont val="Tahoma"/>
            <family val="2"/>
          </rPr>
          <t>LPA:</t>
        </r>
        <r>
          <rPr>
            <sz val="9"/>
            <color indexed="81"/>
            <rFont val="Tahoma"/>
            <family val="2"/>
          </rPr>
          <t xml:space="preserve">
проверити збир!
</t>
        </r>
      </text>
    </comment>
    <comment ref="I13362" authorId="0" shapeId="0">
      <text>
        <r>
          <rPr>
            <b/>
            <sz val="9"/>
            <color indexed="81"/>
            <rFont val="Tahoma"/>
            <family val="2"/>
          </rPr>
          <t>LPA:</t>
        </r>
        <r>
          <rPr>
            <sz val="9"/>
            <color indexed="81"/>
            <rFont val="Tahoma"/>
            <family val="2"/>
          </rPr>
          <t xml:space="preserve">
проверити збир!
</t>
        </r>
      </text>
    </comment>
    <comment ref="I13363" authorId="0" shapeId="0">
      <text>
        <r>
          <rPr>
            <b/>
            <sz val="9"/>
            <color indexed="81"/>
            <rFont val="Tahoma"/>
            <family val="2"/>
          </rPr>
          <t>LPA:</t>
        </r>
        <r>
          <rPr>
            <sz val="9"/>
            <color indexed="81"/>
            <rFont val="Tahoma"/>
            <family val="2"/>
          </rPr>
          <t xml:space="preserve">
проверити збир!
</t>
        </r>
      </text>
    </comment>
    <comment ref="I13364" authorId="0" shapeId="0">
      <text>
        <r>
          <rPr>
            <b/>
            <sz val="9"/>
            <color indexed="81"/>
            <rFont val="Tahoma"/>
            <family val="2"/>
          </rPr>
          <t>LPA:</t>
        </r>
        <r>
          <rPr>
            <sz val="9"/>
            <color indexed="81"/>
            <rFont val="Tahoma"/>
            <family val="2"/>
          </rPr>
          <t xml:space="preserve">
проверити збир!
</t>
        </r>
      </text>
    </comment>
    <comment ref="I13365" authorId="0" shapeId="0">
      <text>
        <r>
          <rPr>
            <b/>
            <sz val="9"/>
            <color indexed="81"/>
            <rFont val="Tahoma"/>
            <family val="2"/>
          </rPr>
          <t>LPA:</t>
        </r>
        <r>
          <rPr>
            <sz val="9"/>
            <color indexed="81"/>
            <rFont val="Tahoma"/>
            <family val="2"/>
          </rPr>
          <t xml:space="preserve">
проверити збир!
</t>
        </r>
      </text>
    </comment>
    <comment ref="I13366" authorId="0" shapeId="0">
      <text>
        <r>
          <rPr>
            <b/>
            <sz val="9"/>
            <color indexed="81"/>
            <rFont val="Tahoma"/>
            <family val="2"/>
          </rPr>
          <t>LPA:</t>
        </r>
        <r>
          <rPr>
            <sz val="9"/>
            <color indexed="81"/>
            <rFont val="Tahoma"/>
            <family val="2"/>
          </rPr>
          <t xml:space="preserve">
проверити збир!
</t>
        </r>
      </text>
    </comment>
    <comment ref="I13367" authorId="0" shapeId="0">
      <text>
        <r>
          <rPr>
            <b/>
            <sz val="9"/>
            <color indexed="81"/>
            <rFont val="Tahoma"/>
            <family val="2"/>
          </rPr>
          <t>LPA:</t>
        </r>
        <r>
          <rPr>
            <sz val="9"/>
            <color indexed="81"/>
            <rFont val="Tahoma"/>
            <family val="2"/>
          </rPr>
          <t xml:space="preserve">
проверити збир!
</t>
        </r>
      </text>
    </comment>
    <comment ref="I13368" authorId="0" shapeId="0">
      <text>
        <r>
          <rPr>
            <b/>
            <sz val="9"/>
            <color indexed="81"/>
            <rFont val="Tahoma"/>
            <family val="2"/>
          </rPr>
          <t>LPA:</t>
        </r>
        <r>
          <rPr>
            <sz val="9"/>
            <color indexed="81"/>
            <rFont val="Tahoma"/>
            <family val="2"/>
          </rPr>
          <t xml:space="preserve">
проверити збир!
</t>
        </r>
      </text>
    </comment>
    <comment ref="I13437" authorId="0" shapeId="0">
      <text>
        <r>
          <rPr>
            <b/>
            <sz val="9"/>
            <color indexed="81"/>
            <rFont val="Tahoma"/>
            <family val="2"/>
          </rPr>
          <t>LPA:</t>
        </r>
        <r>
          <rPr>
            <sz val="9"/>
            <color indexed="81"/>
            <rFont val="Tahoma"/>
            <family val="2"/>
          </rPr>
          <t xml:space="preserve">
проверити збир!
</t>
        </r>
      </text>
    </comment>
    <comment ref="I13438" authorId="0" shapeId="0">
      <text>
        <r>
          <rPr>
            <b/>
            <sz val="9"/>
            <color indexed="81"/>
            <rFont val="Tahoma"/>
            <family val="2"/>
          </rPr>
          <t>LPA:</t>
        </r>
        <r>
          <rPr>
            <sz val="9"/>
            <color indexed="81"/>
            <rFont val="Tahoma"/>
            <family val="2"/>
          </rPr>
          <t xml:space="preserve">
проверити збир!
</t>
        </r>
      </text>
    </comment>
    <comment ref="I13439" authorId="0" shapeId="0">
      <text>
        <r>
          <rPr>
            <b/>
            <sz val="9"/>
            <color indexed="81"/>
            <rFont val="Tahoma"/>
            <family val="2"/>
          </rPr>
          <t>LPA:</t>
        </r>
        <r>
          <rPr>
            <sz val="9"/>
            <color indexed="81"/>
            <rFont val="Tahoma"/>
            <family val="2"/>
          </rPr>
          <t xml:space="preserve">
проверити збир!
</t>
        </r>
      </text>
    </comment>
    <comment ref="I13440" authorId="0" shapeId="0">
      <text>
        <r>
          <rPr>
            <b/>
            <sz val="9"/>
            <color indexed="81"/>
            <rFont val="Tahoma"/>
            <family val="2"/>
          </rPr>
          <t>LPA:</t>
        </r>
        <r>
          <rPr>
            <sz val="9"/>
            <color indexed="81"/>
            <rFont val="Tahoma"/>
            <family val="2"/>
          </rPr>
          <t xml:space="preserve">
проверити збир!
</t>
        </r>
      </text>
    </comment>
    <comment ref="I13441" authorId="0" shapeId="0">
      <text>
        <r>
          <rPr>
            <b/>
            <sz val="9"/>
            <color indexed="81"/>
            <rFont val="Tahoma"/>
            <family val="2"/>
          </rPr>
          <t>LPA:</t>
        </r>
        <r>
          <rPr>
            <sz val="9"/>
            <color indexed="81"/>
            <rFont val="Tahoma"/>
            <family val="2"/>
          </rPr>
          <t xml:space="preserve">
проверити збир!
</t>
        </r>
      </text>
    </comment>
    <comment ref="I13442" authorId="0" shapeId="0">
      <text>
        <r>
          <rPr>
            <b/>
            <sz val="9"/>
            <color indexed="81"/>
            <rFont val="Tahoma"/>
            <family val="2"/>
          </rPr>
          <t>LPA:</t>
        </r>
        <r>
          <rPr>
            <sz val="9"/>
            <color indexed="81"/>
            <rFont val="Tahoma"/>
            <family val="2"/>
          </rPr>
          <t xml:space="preserve">
проверити збир!
</t>
        </r>
      </text>
    </comment>
    <comment ref="I13443" authorId="0" shapeId="0">
      <text>
        <r>
          <rPr>
            <b/>
            <sz val="9"/>
            <color indexed="81"/>
            <rFont val="Tahoma"/>
            <family val="2"/>
          </rPr>
          <t>LPA:</t>
        </r>
        <r>
          <rPr>
            <sz val="9"/>
            <color indexed="81"/>
            <rFont val="Tahoma"/>
            <family val="2"/>
          </rPr>
          <t xml:space="preserve">
проверити збир!
</t>
        </r>
      </text>
    </comment>
    <comment ref="I13444" authorId="0" shapeId="0">
      <text>
        <r>
          <rPr>
            <b/>
            <sz val="9"/>
            <color indexed="81"/>
            <rFont val="Tahoma"/>
            <family val="2"/>
          </rPr>
          <t>LPA:</t>
        </r>
        <r>
          <rPr>
            <sz val="9"/>
            <color indexed="81"/>
            <rFont val="Tahoma"/>
            <family val="2"/>
          </rPr>
          <t xml:space="preserve">
проверити збир!
</t>
        </r>
      </text>
    </comment>
    <comment ref="I13445" authorId="0" shapeId="0">
      <text>
        <r>
          <rPr>
            <b/>
            <sz val="9"/>
            <color indexed="81"/>
            <rFont val="Tahoma"/>
            <family val="2"/>
          </rPr>
          <t>LPA:</t>
        </r>
        <r>
          <rPr>
            <sz val="9"/>
            <color indexed="81"/>
            <rFont val="Tahoma"/>
            <family val="2"/>
          </rPr>
          <t xml:space="preserve">
проверити збир!
</t>
        </r>
      </text>
    </comment>
    <comment ref="I13446" authorId="0" shapeId="0">
      <text>
        <r>
          <rPr>
            <b/>
            <sz val="9"/>
            <color indexed="81"/>
            <rFont val="Tahoma"/>
            <family val="2"/>
          </rPr>
          <t>LPA:</t>
        </r>
        <r>
          <rPr>
            <sz val="9"/>
            <color indexed="81"/>
            <rFont val="Tahoma"/>
            <family val="2"/>
          </rPr>
          <t xml:space="preserve">
проверити збир!
</t>
        </r>
      </text>
    </comment>
    <comment ref="I13447" authorId="0" shapeId="0">
      <text>
        <r>
          <rPr>
            <b/>
            <sz val="9"/>
            <color indexed="81"/>
            <rFont val="Tahoma"/>
            <family val="2"/>
          </rPr>
          <t>LPA:</t>
        </r>
        <r>
          <rPr>
            <sz val="9"/>
            <color indexed="81"/>
            <rFont val="Tahoma"/>
            <family val="2"/>
          </rPr>
          <t xml:space="preserve">
проверити збир!
</t>
        </r>
      </text>
    </comment>
    <comment ref="I13448" authorId="0" shapeId="0">
      <text>
        <r>
          <rPr>
            <b/>
            <sz val="9"/>
            <color indexed="81"/>
            <rFont val="Tahoma"/>
            <family val="2"/>
          </rPr>
          <t>LPA:</t>
        </r>
        <r>
          <rPr>
            <sz val="9"/>
            <color indexed="81"/>
            <rFont val="Tahoma"/>
            <family val="2"/>
          </rPr>
          <t xml:space="preserve">
проверити збир!
</t>
        </r>
      </text>
    </comment>
    <comment ref="I13449" authorId="0" shapeId="0">
      <text>
        <r>
          <rPr>
            <b/>
            <sz val="9"/>
            <color indexed="81"/>
            <rFont val="Tahoma"/>
            <family val="2"/>
          </rPr>
          <t>LPA:</t>
        </r>
        <r>
          <rPr>
            <sz val="9"/>
            <color indexed="81"/>
            <rFont val="Tahoma"/>
            <family val="2"/>
          </rPr>
          <t xml:space="preserve">
проверити збир!
</t>
        </r>
      </text>
    </comment>
    <comment ref="H13452" authorId="0" shapeId="0">
      <text>
        <r>
          <rPr>
            <b/>
            <sz val="9"/>
            <color indexed="81"/>
            <rFont val="Tahoma"/>
            <family val="2"/>
          </rPr>
          <t>LPA:</t>
        </r>
        <r>
          <rPr>
            <sz val="9"/>
            <color indexed="81"/>
            <rFont val="Tahoma"/>
            <family val="2"/>
          </rPr>
          <t xml:space="preserve">
проверити збир!</t>
        </r>
      </text>
    </comment>
    <comment ref="I13452" authorId="0" shapeId="0">
      <text>
        <r>
          <rPr>
            <b/>
            <sz val="9"/>
            <color indexed="81"/>
            <rFont val="Tahoma"/>
            <family val="2"/>
          </rPr>
          <t>LPA:</t>
        </r>
        <r>
          <rPr>
            <sz val="9"/>
            <color indexed="81"/>
            <rFont val="Tahoma"/>
            <family val="2"/>
          </rPr>
          <t xml:space="preserve">
проверити збир!</t>
        </r>
      </text>
    </comment>
    <comment ref="I13453" authorId="0" shapeId="0">
      <text>
        <r>
          <rPr>
            <b/>
            <sz val="9"/>
            <color indexed="81"/>
            <rFont val="Tahoma"/>
            <family val="2"/>
          </rPr>
          <t>LPA:</t>
        </r>
        <r>
          <rPr>
            <sz val="9"/>
            <color indexed="81"/>
            <rFont val="Tahoma"/>
            <family val="2"/>
          </rPr>
          <t xml:space="preserve">
проверити збир!
</t>
        </r>
      </text>
    </comment>
    <comment ref="I13454" authorId="0" shapeId="0">
      <text>
        <r>
          <rPr>
            <b/>
            <sz val="9"/>
            <color indexed="81"/>
            <rFont val="Tahoma"/>
            <family val="2"/>
          </rPr>
          <t>LPA:</t>
        </r>
        <r>
          <rPr>
            <sz val="9"/>
            <color indexed="81"/>
            <rFont val="Tahoma"/>
            <family val="2"/>
          </rPr>
          <t xml:space="preserve">
проверити збир!
</t>
        </r>
      </text>
    </comment>
    <comment ref="I13455" authorId="0" shapeId="0">
      <text>
        <r>
          <rPr>
            <b/>
            <sz val="9"/>
            <color indexed="81"/>
            <rFont val="Tahoma"/>
            <family val="2"/>
          </rPr>
          <t>LPA:</t>
        </r>
        <r>
          <rPr>
            <sz val="9"/>
            <color indexed="81"/>
            <rFont val="Tahoma"/>
            <family val="2"/>
          </rPr>
          <t xml:space="preserve">
проверити збир!
</t>
        </r>
      </text>
    </comment>
    <comment ref="I13456" authorId="0" shapeId="0">
      <text>
        <r>
          <rPr>
            <b/>
            <sz val="9"/>
            <color indexed="81"/>
            <rFont val="Tahoma"/>
            <family val="2"/>
          </rPr>
          <t>LPA:</t>
        </r>
        <r>
          <rPr>
            <sz val="9"/>
            <color indexed="81"/>
            <rFont val="Tahoma"/>
            <family val="2"/>
          </rPr>
          <t xml:space="preserve">
проверити збир!
</t>
        </r>
      </text>
    </comment>
    <comment ref="I13457" authorId="0" shapeId="0">
      <text>
        <r>
          <rPr>
            <b/>
            <sz val="9"/>
            <color indexed="81"/>
            <rFont val="Tahoma"/>
            <family val="2"/>
          </rPr>
          <t>LPA:</t>
        </r>
        <r>
          <rPr>
            <sz val="9"/>
            <color indexed="81"/>
            <rFont val="Tahoma"/>
            <family val="2"/>
          </rPr>
          <t xml:space="preserve">
проверити збир!
</t>
        </r>
      </text>
    </comment>
    <comment ref="I13458" authorId="0" shapeId="0">
      <text>
        <r>
          <rPr>
            <b/>
            <sz val="9"/>
            <color indexed="81"/>
            <rFont val="Tahoma"/>
            <family val="2"/>
          </rPr>
          <t>LPA:</t>
        </r>
        <r>
          <rPr>
            <sz val="9"/>
            <color indexed="81"/>
            <rFont val="Tahoma"/>
            <family val="2"/>
          </rPr>
          <t xml:space="preserve">
проверити збир!
</t>
        </r>
      </text>
    </comment>
    <comment ref="I13459" authorId="0" shapeId="0">
      <text>
        <r>
          <rPr>
            <b/>
            <sz val="9"/>
            <color indexed="81"/>
            <rFont val="Tahoma"/>
            <family val="2"/>
          </rPr>
          <t>LPA:</t>
        </r>
        <r>
          <rPr>
            <sz val="9"/>
            <color indexed="81"/>
            <rFont val="Tahoma"/>
            <family val="2"/>
          </rPr>
          <t xml:space="preserve">
проверити збир!
</t>
        </r>
      </text>
    </comment>
    <comment ref="I13460" authorId="0" shapeId="0">
      <text>
        <r>
          <rPr>
            <b/>
            <sz val="9"/>
            <color indexed="81"/>
            <rFont val="Tahoma"/>
            <family val="2"/>
          </rPr>
          <t>LPA:</t>
        </r>
        <r>
          <rPr>
            <sz val="9"/>
            <color indexed="81"/>
            <rFont val="Tahoma"/>
            <family val="2"/>
          </rPr>
          <t xml:space="preserve">
проверити збир!
</t>
        </r>
      </text>
    </comment>
    <comment ref="I13461" authorId="0" shapeId="0">
      <text>
        <r>
          <rPr>
            <b/>
            <sz val="9"/>
            <color indexed="81"/>
            <rFont val="Tahoma"/>
            <family val="2"/>
          </rPr>
          <t>LPA:</t>
        </r>
        <r>
          <rPr>
            <sz val="9"/>
            <color indexed="81"/>
            <rFont val="Tahoma"/>
            <family val="2"/>
          </rPr>
          <t xml:space="preserve">
проверити збир!
</t>
        </r>
      </text>
    </comment>
    <comment ref="I13462" authorId="0" shapeId="0">
      <text>
        <r>
          <rPr>
            <b/>
            <sz val="9"/>
            <color indexed="81"/>
            <rFont val="Tahoma"/>
            <family val="2"/>
          </rPr>
          <t>LPA:</t>
        </r>
        <r>
          <rPr>
            <sz val="9"/>
            <color indexed="81"/>
            <rFont val="Tahoma"/>
            <family val="2"/>
          </rPr>
          <t xml:space="preserve">
проверити збир!
</t>
        </r>
      </text>
    </comment>
    <comment ref="I13463" authorId="0" shapeId="0">
      <text>
        <r>
          <rPr>
            <b/>
            <sz val="9"/>
            <color indexed="81"/>
            <rFont val="Tahoma"/>
            <family val="2"/>
          </rPr>
          <t>LPA:</t>
        </r>
        <r>
          <rPr>
            <sz val="9"/>
            <color indexed="81"/>
            <rFont val="Tahoma"/>
            <family val="2"/>
          </rPr>
          <t xml:space="preserve">
проверити збир!
</t>
        </r>
      </text>
    </comment>
    <comment ref="I13464" authorId="0" shapeId="0">
      <text>
        <r>
          <rPr>
            <b/>
            <sz val="9"/>
            <color indexed="81"/>
            <rFont val="Tahoma"/>
            <family val="2"/>
          </rPr>
          <t>LPA:</t>
        </r>
        <r>
          <rPr>
            <sz val="9"/>
            <color indexed="81"/>
            <rFont val="Tahoma"/>
            <family val="2"/>
          </rPr>
          <t xml:space="preserve">
проверити збир!
</t>
        </r>
      </text>
    </comment>
    <comment ref="I13465" authorId="0" shapeId="0">
      <text>
        <r>
          <rPr>
            <b/>
            <sz val="9"/>
            <color indexed="81"/>
            <rFont val="Tahoma"/>
            <family val="2"/>
          </rPr>
          <t>LPA:</t>
        </r>
        <r>
          <rPr>
            <sz val="9"/>
            <color indexed="81"/>
            <rFont val="Tahoma"/>
            <family val="2"/>
          </rPr>
          <t xml:space="preserve">
проверити збир!
</t>
        </r>
      </text>
    </comment>
    <comment ref="I13466" authorId="0" shapeId="0">
      <text>
        <r>
          <rPr>
            <b/>
            <sz val="9"/>
            <color indexed="81"/>
            <rFont val="Tahoma"/>
            <family val="2"/>
          </rPr>
          <t>LPA:</t>
        </r>
        <r>
          <rPr>
            <sz val="9"/>
            <color indexed="81"/>
            <rFont val="Tahoma"/>
            <family val="2"/>
          </rPr>
          <t xml:space="preserve">
проверити збир!
</t>
        </r>
      </text>
    </comment>
    <comment ref="I13467" authorId="0" shapeId="0">
      <text>
        <r>
          <rPr>
            <b/>
            <sz val="9"/>
            <color indexed="81"/>
            <rFont val="Tahoma"/>
            <family val="2"/>
          </rPr>
          <t>LPA:</t>
        </r>
        <r>
          <rPr>
            <sz val="9"/>
            <color indexed="81"/>
            <rFont val="Tahoma"/>
            <family val="2"/>
          </rPr>
          <t xml:space="preserve">
проверити збир!
</t>
        </r>
      </text>
    </comment>
    <comment ref="H13471" authorId="0" shapeId="0">
      <text>
        <r>
          <rPr>
            <b/>
            <sz val="9"/>
            <color indexed="81"/>
            <rFont val="Tahoma"/>
            <family val="2"/>
          </rPr>
          <t>LPA:</t>
        </r>
        <r>
          <rPr>
            <sz val="9"/>
            <color indexed="81"/>
            <rFont val="Tahoma"/>
            <family val="2"/>
          </rPr>
          <t xml:space="preserve">
проверити збир!</t>
        </r>
      </text>
    </comment>
    <comment ref="I13471" authorId="0" shapeId="0">
      <text>
        <r>
          <rPr>
            <b/>
            <sz val="9"/>
            <color indexed="81"/>
            <rFont val="Tahoma"/>
            <family val="2"/>
          </rPr>
          <t>LPA:</t>
        </r>
        <r>
          <rPr>
            <sz val="9"/>
            <color indexed="81"/>
            <rFont val="Tahoma"/>
            <family val="2"/>
          </rPr>
          <t xml:space="preserve">
проверити збир!
</t>
        </r>
      </text>
    </comment>
    <comment ref="I13472" authorId="0" shapeId="0">
      <text>
        <r>
          <rPr>
            <b/>
            <sz val="9"/>
            <color indexed="81"/>
            <rFont val="Tahoma"/>
            <family val="2"/>
          </rPr>
          <t>LPA:</t>
        </r>
        <r>
          <rPr>
            <sz val="9"/>
            <color indexed="81"/>
            <rFont val="Tahoma"/>
            <family val="2"/>
          </rPr>
          <t xml:space="preserve">
проверити збир!
</t>
        </r>
      </text>
    </comment>
    <comment ref="I13473" authorId="0" shapeId="0">
      <text>
        <r>
          <rPr>
            <b/>
            <sz val="9"/>
            <color indexed="81"/>
            <rFont val="Tahoma"/>
            <family val="2"/>
          </rPr>
          <t>LPA:</t>
        </r>
        <r>
          <rPr>
            <sz val="9"/>
            <color indexed="81"/>
            <rFont val="Tahoma"/>
            <family val="2"/>
          </rPr>
          <t xml:space="preserve">
проверити збир!
</t>
        </r>
      </text>
    </comment>
    <comment ref="I13474" authorId="0" shapeId="0">
      <text>
        <r>
          <rPr>
            <b/>
            <sz val="9"/>
            <color indexed="81"/>
            <rFont val="Tahoma"/>
            <family val="2"/>
          </rPr>
          <t>LPA:</t>
        </r>
        <r>
          <rPr>
            <sz val="9"/>
            <color indexed="81"/>
            <rFont val="Tahoma"/>
            <family val="2"/>
          </rPr>
          <t xml:space="preserve">
проверити збир!
</t>
        </r>
      </text>
    </comment>
    <comment ref="I13475" authorId="0" shapeId="0">
      <text>
        <r>
          <rPr>
            <b/>
            <sz val="9"/>
            <color indexed="81"/>
            <rFont val="Tahoma"/>
            <family val="2"/>
          </rPr>
          <t>LPA:</t>
        </r>
        <r>
          <rPr>
            <sz val="9"/>
            <color indexed="81"/>
            <rFont val="Tahoma"/>
            <family val="2"/>
          </rPr>
          <t xml:space="preserve">
проверити збир!
</t>
        </r>
      </text>
    </comment>
    <comment ref="I13476" authorId="0" shapeId="0">
      <text>
        <r>
          <rPr>
            <b/>
            <sz val="9"/>
            <color indexed="81"/>
            <rFont val="Tahoma"/>
            <family val="2"/>
          </rPr>
          <t>LPA:</t>
        </r>
        <r>
          <rPr>
            <sz val="9"/>
            <color indexed="81"/>
            <rFont val="Tahoma"/>
            <family val="2"/>
          </rPr>
          <t xml:space="preserve">
проверити збир!
</t>
        </r>
      </text>
    </comment>
    <comment ref="I13477" authorId="0" shapeId="0">
      <text>
        <r>
          <rPr>
            <b/>
            <sz val="9"/>
            <color indexed="81"/>
            <rFont val="Tahoma"/>
            <family val="2"/>
          </rPr>
          <t>LPA:</t>
        </r>
        <r>
          <rPr>
            <sz val="9"/>
            <color indexed="81"/>
            <rFont val="Tahoma"/>
            <family val="2"/>
          </rPr>
          <t xml:space="preserve">
проверити збир!
</t>
        </r>
      </text>
    </comment>
    <comment ref="I13478" authorId="0" shapeId="0">
      <text>
        <r>
          <rPr>
            <b/>
            <sz val="9"/>
            <color indexed="81"/>
            <rFont val="Tahoma"/>
            <family val="2"/>
          </rPr>
          <t>LPA:</t>
        </r>
        <r>
          <rPr>
            <sz val="9"/>
            <color indexed="81"/>
            <rFont val="Tahoma"/>
            <family val="2"/>
          </rPr>
          <t xml:space="preserve">
проверити збир!
</t>
        </r>
      </text>
    </comment>
    <comment ref="I13479" authorId="0" shapeId="0">
      <text>
        <r>
          <rPr>
            <b/>
            <sz val="9"/>
            <color indexed="81"/>
            <rFont val="Tahoma"/>
            <family val="2"/>
          </rPr>
          <t>LPA:</t>
        </r>
        <r>
          <rPr>
            <sz val="9"/>
            <color indexed="81"/>
            <rFont val="Tahoma"/>
            <family val="2"/>
          </rPr>
          <t xml:space="preserve">
проверити збир!
</t>
        </r>
      </text>
    </comment>
    <comment ref="I13480" authorId="0" shapeId="0">
      <text>
        <r>
          <rPr>
            <b/>
            <sz val="9"/>
            <color indexed="81"/>
            <rFont val="Tahoma"/>
            <family val="2"/>
          </rPr>
          <t>LPA:</t>
        </r>
        <r>
          <rPr>
            <sz val="9"/>
            <color indexed="81"/>
            <rFont val="Tahoma"/>
            <family val="2"/>
          </rPr>
          <t xml:space="preserve">
проверити збир!
</t>
        </r>
      </text>
    </comment>
    <comment ref="I13481" authorId="0" shapeId="0">
      <text>
        <r>
          <rPr>
            <b/>
            <sz val="9"/>
            <color indexed="81"/>
            <rFont val="Tahoma"/>
            <family val="2"/>
          </rPr>
          <t>LPA:</t>
        </r>
        <r>
          <rPr>
            <sz val="9"/>
            <color indexed="81"/>
            <rFont val="Tahoma"/>
            <family val="2"/>
          </rPr>
          <t xml:space="preserve">
проверити збир!
</t>
        </r>
      </text>
    </comment>
    <comment ref="I13482" authorId="0" shapeId="0">
      <text>
        <r>
          <rPr>
            <b/>
            <sz val="9"/>
            <color indexed="81"/>
            <rFont val="Tahoma"/>
            <family val="2"/>
          </rPr>
          <t>LPA:</t>
        </r>
        <r>
          <rPr>
            <sz val="9"/>
            <color indexed="81"/>
            <rFont val="Tahoma"/>
            <family val="2"/>
          </rPr>
          <t xml:space="preserve">
проверити збир!
</t>
        </r>
      </text>
    </comment>
    <comment ref="I13483" authorId="0" shapeId="0">
      <text>
        <r>
          <rPr>
            <b/>
            <sz val="9"/>
            <color indexed="81"/>
            <rFont val="Tahoma"/>
            <family val="2"/>
          </rPr>
          <t>LPA:</t>
        </r>
        <r>
          <rPr>
            <sz val="9"/>
            <color indexed="81"/>
            <rFont val="Tahoma"/>
            <family val="2"/>
          </rPr>
          <t xml:space="preserve">
проверити збир!
</t>
        </r>
      </text>
    </comment>
    <comment ref="I13484" authorId="0" shapeId="0">
      <text>
        <r>
          <rPr>
            <b/>
            <sz val="9"/>
            <color indexed="81"/>
            <rFont val="Tahoma"/>
            <family val="2"/>
          </rPr>
          <t>LPA:</t>
        </r>
        <r>
          <rPr>
            <sz val="9"/>
            <color indexed="81"/>
            <rFont val="Tahoma"/>
            <family val="2"/>
          </rPr>
          <t xml:space="preserve">
проверити збир!
</t>
        </r>
      </text>
    </comment>
    <comment ref="I13485" authorId="0" shapeId="0">
      <text>
        <r>
          <rPr>
            <b/>
            <sz val="9"/>
            <color indexed="81"/>
            <rFont val="Tahoma"/>
            <family val="2"/>
          </rPr>
          <t>LPA:</t>
        </r>
        <r>
          <rPr>
            <sz val="9"/>
            <color indexed="81"/>
            <rFont val="Tahoma"/>
            <family val="2"/>
          </rPr>
          <t xml:space="preserve">
проверити збир!
</t>
        </r>
      </text>
    </comment>
    <comment ref="I13486" authorId="0" shapeId="0">
      <text>
        <r>
          <rPr>
            <b/>
            <sz val="9"/>
            <color indexed="81"/>
            <rFont val="Tahoma"/>
            <family val="2"/>
          </rPr>
          <t>LPA:</t>
        </r>
        <r>
          <rPr>
            <sz val="9"/>
            <color indexed="81"/>
            <rFont val="Tahoma"/>
            <family val="2"/>
          </rPr>
          <t xml:space="preserve">
проверити збир!
</t>
        </r>
      </text>
    </comment>
    <comment ref="H13490" authorId="0" shapeId="0">
      <text>
        <r>
          <rPr>
            <b/>
            <sz val="9"/>
            <color indexed="81"/>
            <rFont val="Tahoma"/>
            <family val="2"/>
          </rPr>
          <t>LPA:</t>
        </r>
        <r>
          <rPr>
            <sz val="9"/>
            <color indexed="81"/>
            <rFont val="Tahoma"/>
            <family val="2"/>
          </rPr>
          <t xml:space="preserve">
провери збир!</t>
        </r>
      </text>
    </comment>
    <comment ref="I13490" authorId="0" shapeId="0">
      <text>
        <r>
          <rPr>
            <b/>
            <sz val="9"/>
            <color indexed="81"/>
            <rFont val="Tahoma"/>
            <family val="2"/>
          </rPr>
          <t>LPA:</t>
        </r>
        <r>
          <rPr>
            <sz val="9"/>
            <color indexed="81"/>
            <rFont val="Tahoma"/>
            <family val="2"/>
          </rPr>
          <t xml:space="preserve">
проверити збир!
</t>
        </r>
      </text>
    </comment>
    <comment ref="I13491" authorId="0" shapeId="0">
      <text>
        <r>
          <rPr>
            <b/>
            <sz val="9"/>
            <color indexed="81"/>
            <rFont val="Tahoma"/>
            <family val="2"/>
          </rPr>
          <t>LPA:</t>
        </r>
        <r>
          <rPr>
            <sz val="9"/>
            <color indexed="81"/>
            <rFont val="Tahoma"/>
            <family val="2"/>
          </rPr>
          <t xml:space="preserve">
проверити збир!
</t>
        </r>
      </text>
    </comment>
    <comment ref="I13492" authorId="0" shapeId="0">
      <text>
        <r>
          <rPr>
            <b/>
            <sz val="9"/>
            <color indexed="81"/>
            <rFont val="Tahoma"/>
            <family val="2"/>
          </rPr>
          <t>LPA:</t>
        </r>
        <r>
          <rPr>
            <sz val="9"/>
            <color indexed="81"/>
            <rFont val="Tahoma"/>
            <family val="2"/>
          </rPr>
          <t xml:space="preserve">
проверити збир!
</t>
        </r>
      </text>
    </comment>
    <comment ref="I13493" authorId="0" shapeId="0">
      <text>
        <r>
          <rPr>
            <b/>
            <sz val="9"/>
            <color indexed="81"/>
            <rFont val="Tahoma"/>
            <family val="2"/>
          </rPr>
          <t>LPA:</t>
        </r>
        <r>
          <rPr>
            <sz val="9"/>
            <color indexed="81"/>
            <rFont val="Tahoma"/>
            <family val="2"/>
          </rPr>
          <t xml:space="preserve">
проверити збир!
</t>
        </r>
      </text>
    </comment>
    <comment ref="I13494" authorId="0" shapeId="0">
      <text>
        <r>
          <rPr>
            <b/>
            <sz val="9"/>
            <color indexed="81"/>
            <rFont val="Tahoma"/>
            <family val="2"/>
          </rPr>
          <t>LPA:</t>
        </r>
        <r>
          <rPr>
            <sz val="9"/>
            <color indexed="81"/>
            <rFont val="Tahoma"/>
            <family val="2"/>
          </rPr>
          <t xml:space="preserve">
проверити збир!
</t>
        </r>
      </text>
    </comment>
    <comment ref="I13495" authorId="0" shapeId="0">
      <text>
        <r>
          <rPr>
            <b/>
            <sz val="9"/>
            <color indexed="81"/>
            <rFont val="Tahoma"/>
            <family val="2"/>
          </rPr>
          <t>LPA:</t>
        </r>
        <r>
          <rPr>
            <sz val="9"/>
            <color indexed="81"/>
            <rFont val="Tahoma"/>
            <family val="2"/>
          </rPr>
          <t xml:space="preserve">
проверити збир!
</t>
        </r>
      </text>
    </comment>
    <comment ref="I13496" authorId="0" shapeId="0">
      <text>
        <r>
          <rPr>
            <b/>
            <sz val="9"/>
            <color indexed="81"/>
            <rFont val="Tahoma"/>
            <family val="2"/>
          </rPr>
          <t>LPA:</t>
        </r>
        <r>
          <rPr>
            <sz val="9"/>
            <color indexed="81"/>
            <rFont val="Tahoma"/>
            <family val="2"/>
          </rPr>
          <t xml:space="preserve">
проверити збир!
</t>
        </r>
      </text>
    </comment>
    <comment ref="I13497" authorId="0" shapeId="0">
      <text>
        <r>
          <rPr>
            <b/>
            <sz val="9"/>
            <color indexed="81"/>
            <rFont val="Tahoma"/>
            <family val="2"/>
          </rPr>
          <t>LPA:</t>
        </r>
        <r>
          <rPr>
            <sz val="9"/>
            <color indexed="81"/>
            <rFont val="Tahoma"/>
            <family val="2"/>
          </rPr>
          <t xml:space="preserve">
проверити збир!
</t>
        </r>
      </text>
    </comment>
    <comment ref="I13498" authorId="0" shapeId="0">
      <text>
        <r>
          <rPr>
            <b/>
            <sz val="9"/>
            <color indexed="81"/>
            <rFont val="Tahoma"/>
            <family val="2"/>
          </rPr>
          <t>LPA:</t>
        </r>
        <r>
          <rPr>
            <sz val="9"/>
            <color indexed="81"/>
            <rFont val="Tahoma"/>
            <family val="2"/>
          </rPr>
          <t xml:space="preserve">
проверити збир!
</t>
        </r>
      </text>
    </comment>
    <comment ref="I13499" authorId="0" shapeId="0">
      <text>
        <r>
          <rPr>
            <b/>
            <sz val="9"/>
            <color indexed="81"/>
            <rFont val="Tahoma"/>
            <family val="2"/>
          </rPr>
          <t>LPA:</t>
        </r>
        <r>
          <rPr>
            <sz val="9"/>
            <color indexed="81"/>
            <rFont val="Tahoma"/>
            <family val="2"/>
          </rPr>
          <t xml:space="preserve">
проверити збир!
</t>
        </r>
      </text>
    </comment>
    <comment ref="I13500" authorId="0" shapeId="0">
      <text>
        <r>
          <rPr>
            <b/>
            <sz val="9"/>
            <color indexed="81"/>
            <rFont val="Tahoma"/>
            <family val="2"/>
          </rPr>
          <t>LPA:</t>
        </r>
        <r>
          <rPr>
            <sz val="9"/>
            <color indexed="81"/>
            <rFont val="Tahoma"/>
            <family val="2"/>
          </rPr>
          <t xml:space="preserve">
проверити збир!
</t>
        </r>
      </text>
    </comment>
    <comment ref="I13501" authorId="0" shapeId="0">
      <text>
        <r>
          <rPr>
            <b/>
            <sz val="9"/>
            <color indexed="81"/>
            <rFont val="Tahoma"/>
            <family val="2"/>
          </rPr>
          <t>LPA:</t>
        </r>
        <r>
          <rPr>
            <sz val="9"/>
            <color indexed="81"/>
            <rFont val="Tahoma"/>
            <family val="2"/>
          </rPr>
          <t xml:space="preserve">
проверити збир!
</t>
        </r>
      </text>
    </comment>
    <comment ref="I13502" authorId="0" shapeId="0">
      <text>
        <r>
          <rPr>
            <b/>
            <sz val="9"/>
            <color indexed="81"/>
            <rFont val="Tahoma"/>
            <family val="2"/>
          </rPr>
          <t>LPA:</t>
        </r>
        <r>
          <rPr>
            <sz val="9"/>
            <color indexed="81"/>
            <rFont val="Tahoma"/>
            <family val="2"/>
          </rPr>
          <t xml:space="preserve">
проверити збир!
</t>
        </r>
      </text>
    </comment>
    <comment ref="I13503" authorId="0" shapeId="0">
      <text>
        <r>
          <rPr>
            <b/>
            <sz val="9"/>
            <color indexed="81"/>
            <rFont val="Tahoma"/>
            <family val="2"/>
          </rPr>
          <t>LPA:</t>
        </r>
        <r>
          <rPr>
            <sz val="9"/>
            <color indexed="81"/>
            <rFont val="Tahoma"/>
            <family val="2"/>
          </rPr>
          <t xml:space="preserve">
проверити збир!
</t>
        </r>
      </text>
    </comment>
    <comment ref="I13504" authorId="0" shapeId="0">
      <text>
        <r>
          <rPr>
            <b/>
            <sz val="9"/>
            <color indexed="81"/>
            <rFont val="Tahoma"/>
            <family val="2"/>
          </rPr>
          <t>LPA:</t>
        </r>
        <r>
          <rPr>
            <sz val="9"/>
            <color indexed="81"/>
            <rFont val="Tahoma"/>
            <family val="2"/>
          </rPr>
          <t xml:space="preserve">
проверити збир!
</t>
        </r>
      </text>
    </comment>
    <comment ref="I13505" authorId="0" shapeId="0">
      <text>
        <r>
          <rPr>
            <b/>
            <sz val="9"/>
            <color indexed="81"/>
            <rFont val="Tahoma"/>
            <family val="2"/>
          </rPr>
          <t>LPA:</t>
        </r>
        <r>
          <rPr>
            <sz val="9"/>
            <color indexed="81"/>
            <rFont val="Tahoma"/>
            <family val="2"/>
          </rPr>
          <t xml:space="preserve">
проверити збир!
</t>
        </r>
      </text>
    </comment>
    <comment ref="I13594" authorId="0" shapeId="0">
      <text>
        <r>
          <rPr>
            <b/>
            <sz val="9"/>
            <color indexed="81"/>
            <rFont val="Tahoma"/>
            <family val="2"/>
          </rPr>
          <t>LPA:</t>
        </r>
        <r>
          <rPr>
            <sz val="9"/>
            <color indexed="81"/>
            <rFont val="Tahoma"/>
            <family val="2"/>
          </rPr>
          <t xml:space="preserve">
проверити збир!
</t>
        </r>
      </text>
    </comment>
    <comment ref="I13595" authorId="0" shapeId="0">
      <text>
        <r>
          <rPr>
            <b/>
            <sz val="9"/>
            <color indexed="81"/>
            <rFont val="Tahoma"/>
            <family val="2"/>
          </rPr>
          <t>LPA:</t>
        </r>
        <r>
          <rPr>
            <sz val="9"/>
            <color indexed="81"/>
            <rFont val="Tahoma"/>
            <family val="2"/>
          </rPr>
          <t xml:space="preserve">
проверити збир!
</t>
        </r>
      </text>
    </comment>
    <comment ref="I13596" authorId="0" shapeId="0">
      <text>
        <r>
          <rPr>
            <b/>
            <sz val="9"/>
            <color indexed="81"/>
            <rFont val="Tahoma"/>
            <family val="2"/>
          </rPr>
          <t>LPA:</t>
        </r>
        <r>
          <rPr>
            <sz val="9"/>
            <color indexed="81"/>
            <rFont val="Tahoma"/>
            <family val="2"/>
          </rPr>
          <t xml:space="preserve">
проверити збир!
</t>
        </r>
      </text>
    </comment>
    <comment ref="I13597" authorId="0" shapeId="0">
      <text>
        <r>
          <rPr>
            <b/>
            <sz val="9"/>
            <color indexed="81"/>
            <rFont val="Tahoma"/>
            <family val="2"/>
          </rPr>
          <t>LPA:</t>
        </r>
        <r>
          <rPr>
            <sz val="9"/>
            <color indexed="81"/>
            <rFont val="Tahoma"/>
            <family val="2"/>
          </rPr>
          <t xml:space="preserve">
проверити збир!
</t>
        </r>
      </text>
    </comment>
    <comment ref="I13598" authorId="0" shapeId="0">
      <text>
        <r>
          <rPr>
            <b/>
            <sz val="9"/>
            <color indexed="81"/>
            <rFont val="Tahoma"/>
            <family val="2"/>
          </rPr>
          <t>LPA:</t>
        </r>
        <r>
          <rPr>
            <sz val="9"/>
            <color indexed="81"/>
            <rFont val="Tahoma"/>
            <family val="2"/>
          </rPr>
          <t xml:space="preserve">
проверити збир!
</t>
        </r>
      </text>
    </comment>
    <comment ref="I13599" authorId="0" shapeId="0">
      <text>
        <r>
          <rPr>
            <b/>
            <sz val="9"/>
            <color indexed="81"/>
            <rFont val="Tahoma"/>
            <family val="2"/>
          </rPr>
          <t>LPA:</t>
        </r>
        <r>
          <rPr>
            <sz val="9"/>
            <color indexed="81"/>
            <rFont val="Tahoma"/>
            <family val="2"/>
          </rPr>
          <t xml:space="preserve">
проверити збир!
</t>
        </r>
      </text>
    </comment>
    <comment ref="I13600" authorId="0" shapeId="0">
      <text>
        <r>
          <rPr>
            <b/>
            <sz val="9"/>
            <color indexed="81"/>
            <rFont val="Tahoma"/>
            <family val="2"/>
          </rPr>
          <t>LPA:</t>
        </r>
        <r>
          <rPr>
            <sz val="9"/>
            <color indexed="81"/>
            <rFont val="Tahoma"/>
            <family val="2"/>
          </rPr>
          <t xml:space="preserve">
проверити збир!
</t>
        </r>
      </text>
    </comment>
    <comment ref="I13601" authorId="0" shapeId="0">
      <text>
        <r>
          <rPr>
            <b/>
            <sz val="9"/>
            <color indexed="81"/>
            <rFont val="Tahoma"/>
            <family val="2"/>
          </rPr>
          <t>LPA:</t>
        </r>
        <r>
          <rPr>
            <sz val="9"/>
            <color indexed="81"/>
            <rFont val="Tahoma"/>
            <family val="2"/>
          </rPr>
          <t xml:space="preserve">
проверити збир!
</t>
        </r>
      </text>
    </comment>
    <comment ref="I13602" authorId="0" shapeId="0">
      <text>
        <r>
          <rPr>
            <b/>
            <sz val="9"/>
            <color indexed="81"/>
            <rFont val="Tahoma"/>
            <family val="2"/>
          </rPr>
          <t>LPA:</t>
        </r>
        <r>
          <rPr>
            <sz val="9"/>
            <color indexed="81"/>
            <rFont val="Tahoma"/>
            <family val="2"/>
          </rPr>
          <t xml:space="preserve">
проверити збир!
</t>
        </r>
      </text>
    </comment>
    <comment ref="I13603" authorId="0" shapeId="0">
      <text>
        <r>
          <rPr>
            <b/>
            <sz val="9"/>
            <color indexed="81"/>
            <rFont val="Tahoma"/>
            <family val="2"/>
          </rPr>
          <t>LPA:</t>
        </r>
        <r>
          <rPr>
            <sz val="9"/>
            <color indexed="81"/>
            <rFont val="Tahoma"/>
            <family val="2"/>
          </rPr>
          <t xml:space="preserve">
проверити збир!
</t>
        </r>
      </text>
    </comment>
    <comment ref="I13604" authorId="0" shapeId="0">
      <text>
        <r>
          <rPr>
            <b/>
            <sz val="9"/>
            <color indexed="81"/>
            <rFont val="Tahoma"/>
            <family val="2"/>
          </rPr>
          <t>LPA:</t>
        </r>
        <r>
          <rPr>
            <sz val="9"/>
            <color indexed="81"/>
            <rFont val="Tahoma"/>
            <family val="2"/>
          </rPr>
          <t xml:space="preserve">
проверити збир!
</t>
        </r>
      </text>
    </comment>
    <comment ref="I13605" authorId="0" shapeId="0">
      <text>
        <r>
          <rPr>
            <b/>
            <sz val="9"/>
            <color indexed="81"/>
            <rFont val="Tahoma"/>
            <family val="2"/>
          </rPr>
          <t>LPA:</t>
        </r>
        <r>
          <rPr>
            <sz val="9"/>
            <color indexed="81"/>
            <rFont val="Tahoma"/>
            <family val="2"/>
          </rPr>
          <t xml:space="preserve">
проверити збир!
</t>
        </r>
      </text>
    </comment>
    <comment ref="I13606" authorId="0" shapeId="0">
      <text>
        <r>
          <rPr>
            <b/>
            <sz val="9"/>
            <color indexed="81"/>
            <rFont val="Tahoma"/>
            <family val="2"/>
          </rPr>
          <t>LPA:</t>
        </r>
        <r>
          <rPr>
            <sz val="9"/>
            <color indexed="81"/>
            <rFont val="Tahoma"/>
            <family val="2"/>
          </rPr>
          <t xml:space="preserve">
проверити збир!
</t>
        </r>
      </text>
    </comment>
    <comment ref="H13609" authorId="0" shapeId="0">
      <text>
        <r>
          <rPr>
            <b/>
            <sz val="9"/>
            <color indexed="81"/>
            <rFont val="Tahoma"/>
            <family val="2"/>
          </rPr>
          <t>LPA:</t>
        </r>
        <r>
          <rPr>
            <sz val="9"/>
            <color indexed="81"/>
            <rFont val="Tahoma"/>
            <family val="2"/>
          </rPr>
          <t xml:space="preserve">
проверити збир!</t>
        </r>
      </text>
    </comment>
    <comment ref="I13609" authorId="0" shapeId="0">
      <text>
        <r>
          <rPr>
            <b/>
            <sz val="9"/>
            <color indexed="81"/>
            <rFont val="Tahoma"/>
            <family val="2"/>
          </rPr>
          <t>LPA:</t>
        </r>
        <r>
          <rPr>
            <sz val="9"/>
            <color indexed="81"/>
            <rFont val="Tahoma"/>
            <family val="2"/>
          </rPr>
          <t xml:space="preserve">
проверити збир!</t>
        </r>
      </text>
    </comment>
    <comment ref="I13610" authorId="0" shapeId="0">
      <text>
        <r>
          <rPr>
            <b/>
            <sz val="9"/>
            <color indexed="81"/>
            <rFont val="Tahoma"/>
            <family val="2"/>
          </rPr>
          <t>LPA:</t>
        </r>
        <r>
          <rPr>
            <sz val="9"/>
            <color indexed="81"/>
            <rFont val="Tahoma"/>
            <family val="2"/>
          </rPr>
          <t xml:space="preserve">
проверити збир!
</t>
        </r>
      </text>
    </comment>
    <comment ref="I13611" authorId="0" shapeId="0">
      <text>
        <r>
          <rPr>
            <b/>
            <sz val="9"/>
            <color indexed="81"/>
            <rFont val="Tahoma"/>
            <family val="2"/>
          </rPr>
          <t>LPA:</t>
        </r>
        <r>
          <rPr>
            <sz val="9"/>
            <color indexed="81"/>
            <rFont val="Tahoma"/>
            <family val="2"/>
          </rPr>
          <t xml:space="preserve">
проверити збир!
</t>
        </r>
      </text>
    </comment>
    <comment ref="I13612" authorId="0" shapeId="0">
      <text>
        <r>
          <rPr>
            <b/>
            <sz val="9"/>
            <color indexed="81"/>
            <rFont val="Tahoma"/>
            <family val="2"/>
          </rPr>
          <t>LPA:</t>
        </r>
        <r>
          <rPr>
            <sz val="9"/>
            <color indexed="81"/>
            <rFont val="Tahoma"/>
            <family val="2"/>
          </rPr>
          <t xml:space="preserve">
проверити збир!
</t>
        </r>
      </text>
    </comment>
    <comment ref="I13613" authorId="0" shapeId="0">
      <text>
        <r>
          <rPr>
            <b/>
            <sz val="9"/>
            <color indexed="81"/>
            <rFont val="Tahoma"/>
            <family val="2"/>
          </rPr>
          <t>LPA:</t>
        </r>
        <r>
          <rPr>
            <sz val="9"/>
            <color indexed="81"/>
            <rFont val="Tahoma"/>
            <family val="2"/>
          </rPr>
          <t xml:space="preserve">
проверити збир!
</t>
        </r>
      </text>
    </comment>
    <comment ref="I13614" authorId="0" shapeId="0">
      <text>
        <r>
          <rPr>
            <b/>
            <sz val="9"/>
            <color indexed="81"/>
            <rFont val="Tahoma"/>
            <family val="2"/>
          </rPr>
          <t>LPA:</t>
        </r>
        <r>
          <rPr>
            <sz val="9"/>
            <color indexed="81"/>
            <rFont val="Tahoma"/>
            <family val="2"/>
          </rPr>
          <t xml:space="preserve">
проверити збир!
</t>
        </r>
      </text>
    </comment>
    <comment ref="I13615" authorId="0" shapeId="0">
      <text>
        <r>
          <rPr>
            <b/>
            <sz val="9"/>
            <color indexed="81"/>
            <rFont val="Tahoma"/>
            <family val="2"/>
          </rPr>
          <t>LPA:</t>
        </r>
        <r>
          <rPr>
            <sz val="9"/>
            <color indexed="81"/>
            <rFont val="Tahoma"/>
            <family val="2"/>
          </rPr>
          <t xml:space="preserve">
проверити збир!
</t>
        </r>
      </text>
    </comment>
    <comment ref="I13616" authorId="0" shapeId="0">
      <text>
        <r>
          <rPr>
            <b/>
            <sz val="9"/>
            <color indexed="81"/>
            <rFont val="Tahoma"/>
            <family val="2"/>
          </rPr>
          <t>LPA:</t>
        </r>
        <r>
          <rPr>
            <sz val="9"/>
            <color indexed="81"/>
            <rFont val="Tahoma"/>
            <family val="2"/>
          </rPr>
          <t xml:space="preserve">
проверити збир!
</t>
        </r>
      </text>
    </comment>
    <comment ref="I13617" authorId="0" shapeId="0">
      <text>
        <r>
          <rPr>
            <b/>
            <sz val="9"/>
            <color indexed="81"/>
            <rFont val="Tahoma"/>
            <family val="2"/>
          </rPr>
          <t>LPA:</t>
        </r>
        <r>
          <rPr>
            <sz val="9"/>
            <color indexed="81"/>
            <rFont val="Tahoma"/>
            <family val="2"/>
          </rPr>
          <t xml:space="preserve">
проверити збир!
</t>
        </r>
      </text>
    </comment>
    <comment ref="I13618" authorId="0" shapeId="0">
      <text>
        <r>
          <rPr>
            <b/>
            <sz val="9"/>
            <color indexed="81"/>
            <rFont val="Tahoma"/>
            <family val="2"/>
          </rPr>
          <t>LPA:</t>
        </r>
        <r>
          <rPr>
            <sz val="9"/>
            <color indexed="81"/>
            <rFont val="Tahoma"/>
            <family val="2"/>
          </rPr>
          <t xml:space="preserve">
проверити збир!
</t>
        </r>
      </text>
    </comment>
    <comment ref="I13619" authorId="0" shapeId="0">
      <text>
        <r>
          <rPr>
            <b/>
            <sz val="9"/>
            <color indexed="81"/>
            <rFont val="Tahoma"/>
            <family val="2"/>
          </rPr>
          <t>LPA:</t>
        </r>
        <r>
          <rPr>
            <sz val="9"/>
            <color indexed="81"/>
            <rFont val="Tahoma"/>
            <family val="2"/>
          </rPr>
          <t xml:space="preserve">
проверити збир!
</t>
        </r>
      </text>
    </comment>
    <comment ref="I13620" authorId="0" shapeId="0">
      <text>
        <r>
          <rPr>
            <b/>
            <sz val="9"/>
            <color indexed="81"/>
            <rFont val="Tahoma"/>
            <family val="2"/>
          </rPr>
          <t>LPA:</t>
        </r>
        <r>
          <rPr>
            <sz val="9"/>
            <color indexed="81"/>
            <rFont val="Tahoma"/>
            <family val="2"/>
          </rPr>
          <t xml:space="preserve">
проверити збир!
</t>
        </r>
      </text>
    </comment>
    <comment ref="I13621" authorId="0" shapeId="0">
      <text>
        <r>
          <rPr>
            <b/>
            <sz val="9"/>
            <color indexed="81"/>
            <rFont val="Tahoma"/>
            <family val="2"/>
          </rPr>
          <t>LPA:</t>
        </r>
        <r>
          <rPr>
            <sz val="9"/>
            <color indexed="81"/>
            <rFont val="Tahoma"/>
            <family val="2"/>
          </rPr>
          <t xml:space="preserve">
проверити збир!
</t>
        </r>
      </text>
    </comment>
    <comment ref="I13622" authorId="0" shapeId="0">
      <text>
        <r>
          <rPr>
            <b/>
            <sz val="9"/>
            <color indexed="81"/>
            <rFont val="Tahoma"/>
            <family val="2"/>
          </rPr>
          <t>LPA:</t>
        </r>
        <r>
          <rPr>
            <sz val="9"/>
            <color indexed="81"/>
            <rFont val="Tahoma"/>
            <family val="2"/>
          </rPr>
          <t xml:space="preserve">
проверити збир!
</t>
        </r>
      </text>
    </comment>
    <comment ref="I13623" authorId="0" shapeId="0">
      <text>
        <r>
          <rPr>
            <b/>
            <sz val="9"/>
            <color indexed="81"/>
            <rFont val="Tahoma"/>
            <family val="2"/>
          </rPr>
          <t>LPA:</t>
        </r>
        <r>
          <rPr>
            <sz val="9"/>
            <color indexed="81"/>
            <rFont val="Tahoma"/>
            <family val="2"/>
          </rPr>
          <t xml:space="preserve">
проверити збир!
</t>
        </r>
      </text>
    </comment>
    <comment ref="I13624" authorId="0" shapeId="0">
      <text>
        <r>
          <rPr>
            <b/>
            <sz val="9"/>
            <color indexed="81"/>
            <rFont val="Tahoma"/>
            <family val="2"/>
          </rPr>
          <t>LPA:</t>
        </r>
        <r>
          <rPr>
            <sz val="9"/>
            <color indexed="81"/>
            <rFont val="Tahoma"/>
            <family val="2"/>
          </rPr>
          <t xml:space="preserve">
проверити збир!
</t>
        </r>
      </text>
    </comment>
    <comment ref="I13693" authorId="0" shapeId="0">
      <text>
        <r>
          <rPr>
            <b/>
            <sz val="9"/>
            <color indexed="81"/>
            <rFont val="Tahoma"/>
            <family val="2"/>
          </rPr>
          <t>LPA:</t>
        </r>
        <r>
          <rPr>
            <sz val="9"/>
            <color indexed="81"/>
            <rFont val="Tahoma"/>
            <family val="2"/>
          </rPr>
          <t xml:space="preserve">
проверити збир!
</t>
        </r>
      </text>
    </comment>
    <comment ref="I13694" authorId="0" shapeId="0">
      <text>
        <r>
          <rPr>
            <b/>
            <sz val="9"/>
            <color indexed="81"/>
            <rFont val="Tahoma"/>
            <family val="2"/>
          </rPr>
          <t>LPA:</t>
        </r>
        <r>
          <rPr>
            <sz val="9"/>
            <color indexed="81"/>
            <rFont val="Tahoma"/>
            <family val="2"/>
          </rPr>
          <t xml:space="preserve">
проверити збир!
</t>
        </r>
      </text>
    </comment>
    <comment ref="I13695" authorId="0" shapeId="0">
      <text>
        <r>
          <rPr>
            <b/>
            <sz val="9"/>
            <color indexed="81"/>
            <rFont val="Tahoma"/>
            <family val="2"/>
          </rPr>
          <t>LPA:</t>
        </r>
        <r>
          <rPr>
            <sz val="9"/>
            <color indexed="81"/>
            <rFont val="Tahoma"/>
            <family val="2"/>
          </rPr>
          <t xml:space="preserve">
проверити збир!
</t>
        </r>
      </text>
    </comment>
    <comment ref="I13696" authorId="0" shapeId="0">
      <text>
        <r>
          <rPr>
            <b/>
            <sz val="9"/>
            <color indexed="81"/>
            <rFont val="Tahoma"/>
            <family val="2"/>
          </rPr>
          <t>LPA:</t>
        </r>
        <r>
          <rPr>
            <sz val="9"/>
            <color indexed="81"/>
            <rFont val="Tahoma"/>
            <family val="2"/>
          </rPr>
          <t xml:space="preserve">
проверити збир!
</t>
        </r>
      </text>
    </comment>
    <comment ref="I13697" authorId="0" shapeId="0">
      <text>
        <r>
          <rPr>
            <b/>
            <sz val="9"/>
            <color indexed="81"/>
            <rFont val="Tahoma"/>
            <family val="2"/>
          </rPr>
          <t>LPA:</t>
        </r>
        <r>
          <rPr>
            <sz val="9"/>
            <color indexed="81"/>
            <rFont val="Tahoma"/>
            <family val="2"/>
          </rPr>
          <t xml:space="preserve">
проверити збир!
</t>
        </r>
      </text>
    </comment>
    <comment ref="I13698" authorId="0" shapeId="0">
      <text>
        <r>
          <rPr>
            <b/>
            <sz val="9"/>
            <color indexed="81"/>
            <rFont val="Tahoma"/>
            <family val="2"/>
          </rPr>
          <t>LPA:</t>
        </r>
        <r>
          <rPr>
            <sz val="9"/>
            <color indexed="81"/>
            <rFont val="Tahoma"/>
            <family val="2"/>
          </rPr>
          <t xml:space="preserve">
проверити збир!
</t>
        </r>
      </text>
    </comment>
    <comment ref="I13699" authorId="0" shapeId="0">
      <text>
        <r>
          <rPr>
            <b/>
            <sz val="9"/>
            <color indexed="81"/>
            <rFont val="Tahoma"/>
            <family val="2"/>
          </rPr>
          <t>LPA:</t>
        </r>
        <r>
          <rPr>
            <sz val="9"/>
            <color indexed="81"/>
            <rFont val="Tahoma"/>
            <family val="2"/>
          </rPr>
          <t xml:space="preserve">
проверити збир!
</t>
        </r>
      </text>
    </comment>
    <comment ref="I13700" authorId="0" shapeId="0">
      <text>
        <r>
          <rPr>
            <b/>
            <sz val="9"/>
            <color indexed="81"/>
            <rFont val="Tahoma"/>
            <family val="2"/>
          </rPr>
          <t>LPA:</t>
        </r>
        <r>
          <rPr>
            <sz val="9"/>
            <color indexed="81"/>
            <rFont val="Tahoma"/>
            <family val="2"/>
          </rPr>
          <t xml:space="preserve">
проверити збир!
</t>
        </r>
      </text>
    </comment>
    <comment ref="I13701" authorId="0" shapeId="0">
      <text>
        <r>
          <rPr>
            <b/>
            <sz val="9"/>
            <color indexed="81"/>
            <rFont val="Tahoma"/>
            <family val="2"/>
          </rPr>
          <t>LPA:</t>
        </r>
        <r>
          <rPr>
            <sz val="9"/>
            <color indexed="81"/>
            <rFont val="Tahoma"/>
            <family val="2"/>
          </rPr>
          <t xml:space="preserve">
проверити збир!
</t>
        </r>
      </text>
    </comment>
    <comment ref="I13702" authorId="0" shapeId="0">
      <text>
        <r>
          <rPr>
            <b/>
            <sz val="9"/>
            <color indexed="81"/>
            <rFont val="Tahoma"/>
            <family val="2"/>
          </rPr>
          <t>LPA:</t>
        </r>
        <r>
          <rPr>
            <sz val="9"/>
            <color indexed="81"/>
            <rFont val="Tahoma"/>
            <family val="2"/>
          </rPr>
          <t xml:space="preserve">
проверити збир!
</t>
        </r>
      </text>
    </comment>
    <comment ref="I13703" authorId="0" shapeId="0">
      <text>
        <r>
          <rPr>
            <b/>
            <sz val="9"/>
            <color indexed="81"/>
            <rFont val="Tahoma"/>
            <family val="2"/>
          </rPr>
          <t>LPA:</t>
        </r>
        <r>
          <rPr>
            <sz val="9"/>
            <color indexed="81"/>
            <rFont val="Tahoma"/>
            <family val="2"/>
          </rPr>
          <t xml:space="preserve">
проверити збир!
</t>
        </r>
      </text>
    </comment>
    <comment ref="I13704" authorId="0" shapeId="0">
      <text>
        <r>
          <rPr>
            <b/>
            <sz val="9"/>
            <color indexed="81"/>
            <rFont val="Tahoma"/>
            <family val="2"/>
          </rPr>
          <t>LPA:</t>
        </r>
        <r>
          <rPr>
            <sz val="9"/>
            <color indexed="81"/>
            <rFont val="Tahoma"/>
            <family val="2"/>
          </rPr>
          <t xml:space="preserve">
проверити збир!
</t>
        </r>
      </text>
    </comment>
    <comment ref="I13705" authorId="0" shapeId="0">
      <text>
        <r>
          <rPr>
            <b/>
            <sz val="9"/>
            <color indexed="81"/>
            <rFont val="Tahoma"/>
            <family val="2"/>
          </rPr>
          <t>LPA:</t>
        </r>
        <r>
          <rPr>
            <sz val="9"/>
            <color indexed="81"/>
            <rFont val="Tahoma"/>
            <family val="2"/>
          </rPr>
          <t xml:space="preserve">
проверити збир!
</t>
        </r>
      </text>
    </comment>
    <comment ref="H13708" authorId="0" shapeId="0">
      <text>
        <r>
          <rPr>
            <b/>
            <sz val="9"/>
            <color indexed="81"/>
            <rFont val="Tahoma"/>
            <family val="2"/>
          </rPr>
          <t>LPA:</t>
        </r>
        <r>
          <rPr>
            <sz val="9"/>
            <color indexed="81"/>
            <rFont val="Tahoma"/>
            <family val="2"/>
          </rPr>
          <t xml:space="preserve">
проверити збир!</t>
        </r>
      </text>
    </comment>
    <comment ref="I13708" authorId="0" shapeId="0">
      <text>
        <r>
          <rPr>
            <b/>
            <sz val="9"/>
            <color indexed="81"/>
            <rFont val="Tahoma"/>
            <family val="2"/>
          </rPr>
          <t>LPA:</t>
        </r>
        <r>
          <rPr>
            <sz val="9"/>
            <color indexed="81"/>
            <rFont val="Tahoma"/>
            <family val="2"/>
          </rPr>
          <t xml:space="preserve">
проверити збир!</t>
        </r>
      </text>
    </comment>
    <comment ref="I13709" authorId="0" shapeId="0">
      <text>
        <r>
          <rPr>
            <b/>
            <sz val="9"/>
            <color indexed="81"/>
            <rFont val="Tahoma"/>
            <family val="2"/>
          </rPr>
          <t>LPA:</t>
        </r>
        <r>
          <rPr>
            <sz val="9"/>
            <color indexed="81"/>
            <rFont val="Tahoma"/>
            <family val="2"/>
          </rPr>
          <t xml:space="preserve">
проверити збир!
</t>
        </r>
      </text>
    </comment>
    <comment ref="I13710" authorId="0" shapeId="0">
      <text>
        <r>
          <rPr>
            <b/>
            <sz val="9"/>
            <color indexed="81"/>
            <rFont val="Tahoma"/>
            <family val="2"/>
          </rPr>
          <t>LPA:</t>
        </r>
        <r>
          <rPr>
            <sz val="9"/>
            <color indexed="81"/>
            <rFont val="Tahoma"/>
            <family val="2"/>
          </rPr>
          <t xml:space="preserve">
проверити збир!
</t>
        </r>
      </text>
    </comment>
    <comment ref="I13711" authorId="0" shapeId="0">
      <text>
        <r>
          <rPr>
            <b/>
            <sz val="9"/>
            <color indexed="81"/>
            <rFont val="Tahoma"/>
            <family val="2"/>
          </rPr>
          <t>LPA:</t>
        </r>
        <r>
          <rPr>
            <sz val="9"/>
            <color indexed="81"/>
            <rFont val="Tahoma"/>
            <family val="2"/>
          </rPr>
          <t xml:space="preserve">
проверити збир!
</t>
        </r>
      </text>
    </comment>
    <comment ref="I13712" authorId="0" shapeId="0">
      <text>
        <r>
          <rPr>
            <b/>
            <sz val="9"/>
            <color indexed="81"/>
            <rFont val="Tahoma"/>
            <family val="2"/>
          </rPr>
          <t>LPA:</t>
        </r>
        <r>
          <rPr>
            <sz val="9"/>
            <color indexed="81"/>
            <rFont val="Tahoma"/>
            <family val="2"/>
          </rPr>
          <t xml:space="preserve">
проверити збир!
</t>
        </r>
      </text>
    </comment>
    <comment ref="I13713" authorId="0" shapeId="0">
      <text>
        <r>
          <rPr>
            <b/>
            <sz val="9"/>
            <color indexed="81"/>
            <rFont val="Tahoma"/>
            <family val="2"/>
          </rPr>
          <t>LPA:</t>
        </r>
        <r>
          <rPr>
            <sz val="9"/>
            <color indexed="81"/>
            <rFont val="Tahoma"/>
            <family val="2"/>
          </rPr>
          <t xml:space="preserve">
проверити збир!
</t>
        </r>
      </text>
    </comment>
    <comment ref="I13714" authorId="0" shapeId="0">
      <text>
        <r>
          <rPr>
            <b/>
            <sz val="9"/>
            <color indexed="81"/>
            <rFont val="Tahoma"/>
            <family val="2"/>
          </rPr>
          <t>LPA:</t>
        </r>
        <r>
          <rPr>
            <sz val="9"/>
            <color indexed="81"/>
            <rFont val="Tahoma"/>
            <family val="2"/>
          </rPr>
          <t xml:space="preserve">
проверити збир!
</t>
        </r>
      </text>
    </comment>
    <comment ref="I13715" authorId="0" shapeId="0">
      <text>
        <r>
          <rPr>
            <b/>
            <sz val="9"/>
            <color indexed="81"/>
            <rFont val="Tahoma"/>
            <family val="2"/>
          </rPr>
          <t>LPA:</t>
        </r>
        <r>
          <rPr>
            <sz val="9"/>
            <color indexed="81"/>
            <rFont val="Tahoma"/>
            <family val="2"/>
          </rPr>
          <t xml:space="preserve">
проверити збир!
</t>
        </r>
      </text>
    </comment>
    <comment ref="I13716" authorId="0" shapeId="0">
      <text>
        <r>
          <rPr>
            <b/>
            <sz val="9"/>
            <color indexed="81"/>
            <rFont val="Tahoma"/>
            <family val="2"/>
          </rPr>
          <t>LPA:</t>
        </r>
        <r>
          <rPr>
            <sz val="9"/>
            <color indexed="81"/>
            <rFont val="Tahoma"/>
            <family val="2"/>
          </rPr>
          <t xml:space="preserve">
проверити збир!
</t>
        </r>
      </text>
    </comment>
    <comment ref="I13717" authorId="0" shapeId="0">
      <text>
        <r>
          <rPr>
            <b/>
            <sz val="9"/>
            <color indexed="81"/>
            <rFont val="Tahoma"/>
            <family val="2"/>
          </rPr>
          <t>LPA:</t>
        </r>
        <r>
          <rPr>
            <sz val="9"/>
            <color indexed="81"/>
            <rFont val="Tahoma"/>
            <family val="2"/>
          </rPr>
          <t xml:space="preserve">
проверити збир!
</t>
        </r>
      </text>
    </comment>
    <comment ref="I13718" authorId="0" shapeId="0">
      <text>
        <r>
          <rPr>
            <b/>
            <sz val="9"/>
            <color indexed="81"/>
            <rFont val="Tahoma"/>
            <family val="2"/>
          </rPr>
          <t>LPA:</t>
        </r>
        <r>
          <rPr>
            <sz val="9"/>
            <color indexed="81"/>
            <rFont val="Tahoma"/>
            <family val="2"/>
          </rPr>
          <t xml:space="preserve">
проверити збир!
</t>
        </r>
      </text>
    </comment>
    <comment ref="I13719" authorId="0" shapeId="0">
      <text>
        <r>
          <rPr>
            <b/>
            <sz val="9"/>
            <color indexed="81"/>
            <rFont val="Tahoma"/>
            <family val="2"/>
          </rPr>
          <t>LPA:</t>
        </r>
        <r>
          <rPr>
            <sz val="9"/>
            <color indexed="81"/>
            <rFont val="Tahoma"/>
            <family val="2"/>
          </rPr>
          <t xml:space="preserve">
проверити збир!
</t>
        </r>
      </text>
    </comment>
    <comment ref="I13720" authorId="0" shapeId="0">
      <text>
        <r>
          <rPr>
            <b/>
            <sz val="9"/>
            <color indexed="81"/>
            <rFont val="Tahoma"/>
            <family val="2"/>
          </rPr>
          <t>LPA:</t>
        </r>
        <r>
          <rPr>
            <sz val="9"/>
            <color indexed="81"/>
            <rFont val="Tahoma"/>
            <family val="2"/>
          </rPr>
          <t xml:space="preserve">
проверити збир!
</t>
        </r>
      </text>
    </comment>
    <comment ref="I13721" authorId="0" shapeId="0">
      <text>
        <r>
          <rPr>
            <b/>
            <sz val="9"/>
            <color indexed="81"/>
            <rFont val="Tahoma"/>
            <family val="2"/>
          </rPr>
          <t>LPA:</t>
        </r>
        <r>
          <rPr>
            <sz val="9"/>
            <color indexed="81"/>
            <rFont val="Tahoma"/>
            <family val="2"/>
          </rPr>
          <t xml:space="preserve">
проверити збир!
</t>
        </r>
      </text>
    </comment>
    <comment ref="I13722" authorId="0" shapeId="0">
      <text>
        <r>
          <rPr>
            <b/>
            <sz val="9"/>
            <color indexed="81"/>
            <rFont val="Tahoma"/>
            <family val="2"/>
          </rPr>
          <t>LPA:</t>
        </r>
        <r>
          <rPr>
            <sz val="9"/>
            <color indexed="81"/>
            <rFont val="Tahoma"/>
            <family val="2"/>
          </rPr>
          <t xml:space="preserve">
проверити збир!
</t>
        </r>
      </text>
    </comment>
    <comment ref="I13723" authorId="0" shapeId="0">
      <text>
        <r>
          <rPr>
            <b/>
            <sz val="9"/>
            <color indexed="81"/>
            <rFont val="Tahoma"/>
            <family val="2"/>
          </rPr>
          <t>LPA:</t>
        </r>
        <r>
          <rPr>
            <sz val="9"/>
            <color indexed="81"/>
            <rFont val="Tahoma"/>
            <family val="2"/>
          </rPr>
          <t xml:space="preserve">
проверити збир!
</t>
        </r>
      </text>
    </comment>
    <comment ref="H13727" authorId="0" shapeId="0">
      <text>
        <r>
          <rPr>
            <b/>
            <sz val="9"/>
            <color indexed="81"/>
            <rFont val="Tahoma"/>
            <family val="2"/>
          </rPr>
          <t>LPA:</t>
        </r>
        <r>
          <rPr>
            <sz val="9"/>
            <color indexed="81"/>
            <rFont val="Tahoma"/>
            <family val="2"/>
          </rPr>
          <t xml:space="preserve">
проверити збир!</t>
        </r>
      </text>
    </comment>
    <comment ref="I13727" authorId="0" shapeId="0">
      <text>
        <r>
          <rPr>
            <b/>
            <sz val="9"/>
            <color indexed="81"/>
            <rFont val="Tahoma"/>
            <family val="2"/>
          </rPr>
          <t>LPA:</t>
        </r>
        <r>
          <rPr>
            <sz val="9"/>
            <color indexed="81"/>
            <rFont val="Tahoma"/>
            <family val="2"/>
          </rPr>
          <t xml:space="preserve">
проверити збир!
</t>
        </r>
      </text>
    </comment>
    <comment ref="I13728" authorId="0" shapeId="0">
      <text>
        <r>
          <rPr>
            <b/>
            <sz val="9"/>
            <color indexed="81"/>
            <rFont val="Tahoma"/>
            <family val="2"/>
          </rPr>
          <t>LPA:</t>
        </r>
        <r>
          <rPr>
            <sz val="9"/>
            <color indexed="81"/>
            <rFont val="Tahoma"/>
            <family val="2"/>
          </rPr>
          <t xml:space="preserve">
проверити збир!
</t>
        </r>
      </text>
    </comment>
    <comment ref="I13729" authorId="0" shapeId="0">
      <text>
        <r>
          <rPr>
            <b/>
            <sz val="9"/>
            <color indexed="81"/>
            <rFont val="Tahoma"/>
            <family val="2"/>
          </rPr>
          <t>LPA:</t>
        </r>
        <r>
          <rPr>
            <sz val="9"/>
            <color indexed="81"/>
            <rFont val="Tahoma"/>
            <family val="2"/>
          </rPr>
          <t xml:space="preserve">
проверити збир!
</t>
        </r>
      </text>
    </comment>
    <comment ref="I13730" authorId="0" shapeId="0">
      <text>
        <r>
          <rPr>
            <b/>
            <sz val="9"/>
            <color indexed="81"/>
            <rFont val="Tahoma"/>
            <family val="2"/>
          </rPr>
          <t>LPA:</t>
        </r>
        <r>
          <rPr>
            <sz val="9"/>
            <color indexed="81"/>
            <rFont val="Tahoma"/>
            <family val="2"/>
          </rPr>
          <t xml:space="preserve">
проверити збир!
</t>
        </r>
      </text>
    </comment>
    <comment ref="I13731" authorId="0" shapeId="0">
      <text>
        <r>
          <rPr>
            <b/>
            <sz val="9"/>
            <color indexed="81"/>
            <rFont val="Tahoma"/>
            <family val="2"/>
          </rPr>
          <t>LPA:</t>
        </r>
        <r>
          <rPr>
            <sz val="9"/>
            <color indexed="81"/>
            <rFont val="Tahoma"/>
            <family val="2"/>
          </rPr>
          <t xml:space="preserve">
проверити збир!
</t>
        </r>
      </text>
    </comment>
    <comment ref="I13732" authorId="0" shapeId="0">
      <text>
        <r>
          <rPr>
            <b/>
            <sz val="9"/>
            <color indexed="81"/>
            <rFont val="Tahoma"/>
            <family val="2"/>
          </rPr>
          <t>LPA:</t>
        </r>
        <r>
          <rPr>
            <sz val="9"/>
            <color indexed="81"/>
            <rFont val="Tahoma"/>
            <family val="2"/>
          </rPr>
          <t xml:space="preserve">
проверити збир!
</t>
        </r>
      </text>
    </comment>
    <comment ref="I13733" authorId="0" shapeId="0">
      <text>
        <r>
          <rPr>
            <b/>
            <sz val="9"/>
            <color indexed="81"/>
            <rFont val="Tahoma"/>
            <family val="2"/>
          </rPr>
          <t>LPA:</t>
        </r>
        <r>
          <rPr>
            <sz val="9"/>
            <color indexed="81"/>
            <rFont val="Tahoma"/>
            <family val="2"/>
          </rPr>
          <t xml:space="preserve">
проверити збир!
</t>
        </r>
      </text>
    </comment>
    <comment ref="I13734" authorId="0" shapeId="0">
      <text>
        <r>
          <rPr>
            <b/>
            <sz val="9"/>
            <color indexed="81"/>
            <rFont val="Tahoma"/>
            <family val="2"/>
          </rPr>
          <t>LPA:</t>
        </r>
        <r>
          <rPr>
            <sz val="9"/>
            <color indexed="81"/>
            <rFont val="Tahoma"/>
            <family val="2"/>
          </rPr>
          <t xml:space="preserve">
проверити збир!
</t>
        </r>
      </text>
    </comment>
    <comment ref="I13735" authorId="0" shapeId="0">
      <text>
        <r>
          <rPr>
            <b/>
            <sz val="9"/>
            <color indexed="81"/>
            <rFont val="Tahoma"/>
            <family val="2"/>
          </rPr>
          <t>LPA:</t>
        </r>
        <r>
          <rPr>
            <sz val="9"/>
            <color indexed="81"/>
            <rFont val="Tahoma"/>
            <family val="2"/>
          </rPr>
          <t xml:space="preserve">
проверити збир!
</t>
        </r>
      </text>
    </comment>
    <comment ref="I13736" authorId="0" shapeId="0">
      <text>
        <r>
          <rPr>
            <b/>
            <sz val="9"/>
            <color indexed="81"/>
            <rFont val="Tahoma"/>
            <family val="2"/>
          </rPr>
          <t>LPA:</t>
        </r>
        <r>
          <rPr>
            <sz val="9"/>
            <color indexed="81"/>
            <rFont val="Tahoma"/>
            <family val="2"/>
          </rPr>
          <t xml:space="preserve">
проверити збир!
</t>
        </r>
      </text>
    </comment>
    <comment ref="I13737" authorId="0" shapeId="0">
      <text>
        <r>
          <rPr>
            <b/>
            <sz val="9"/>
            <color indexed="81"/>
            <rFont val="Tahoma"/>
            <family val="2"/>
          </rPr>
          <t>LPA:</t>
        </r>
        <r>
          <rPr>
            <sz val="9"/>
            <color indexed="81"/>
            <rFont val="Tahoma"/>
            <family val="2"/>
          </rPr>
          <t xml:space="preserve">
проверити збир!
</t>
        </r>
      </text>
    </comment>
    <comment ref="I13738" authorId="0" shapeId="0">
      <text>
        <r>
          <rPr>
            <b/>
            <sz val="9"/>
            <color indexed="81"/>
            <rFont val="Tahoma"/>
            <family val="2"/>
          </rPr>
          <t>LPA:</t>
        </r>
        <r>
          <rPr>
            <sz val="9"/>
            <color indexed="81"/>
            <rFont val="Tahoma"/>
            <family val="2"/>
          </rPr>
          <t xml:space="preserve">
проверити збир!
</t>
        </r>
      </text>
    </comment>
    <comment ref="I13739" authorId="0" shapeId="0">
      <text>
        <r>
          <rPr>
            <b/>
            <sz val="9"/>
            <color indexed="81"/>
            <rFont val="Tahoma"/>
            <family val="2"/>
          </rPr>
          <t>LPA:</t>
        </r>
        <r>
          <rPr>
            <sz val="9"/>
            <color indexed="81"/>
            <rFont val="Tahoma"/>
            <family val="2"/>
          </rPr>
          <t xml:space="preserve">
проверити збир!
</t>
        </r>
      </text>
    </comment>
    <comment ref="I13740" authorId="0" shapeId="0">
      <text>
        <r>
          <rPr>
            <b/>
            <sz val="9"/>
            <color indexed="81"/>
            <rFont val="Tahoma"/>
            <family val="2"/>
          </rPr>
          <t>LPA:</t>
        </r>
        <r>
          <rPr>
            <sz val="9"/>
            <color indexed="81"/>
            <rFont val="Tahoma"/>
            <family val="2"/>
          </rPr>
          <t xml:space="preserve">
проверити збир!
</t>
        </r>
      </text>
    </comment>
    <comment ref="I13741" authorId="0" shapeId="0">
      <text>
        <r>
          <rPr>
            <b/>
            <sz val="9"/>
            <color indexed="81"/>
            <rFont val="Tahoma"/>
            <family val="2"/>
          </rPr>
          <t>LPA:</t>
        </r>
        <r>
          <rPr>
            <sz val="9"/>
            <color indexed="81"/>
            <rFont val="Tahoma"/>
            <family val="2"/>
          </rPr>
          <t xml:space="preserve">
проверити збир!
</t>
        </r>
      </text>
    </comment>
    <comment ref="I13742" authorId="0" shapeId="0">
      <text>
        <r>
          <rPr>
            <b/>
            <sz val="9"/>
            <color indexed="81"/>
            <rFont val="Tahoma"/>
            <family val="2"/>
          </rPr>
          <t>LPA:</t>
        </r>
        <r>
          <rPr>
            <sz val="9"/>
            <color indexed="81"/>
            <rFont val="Tahoma"/>
            <family val="2"/>
          </rPr>
          <t xml:space="preserve">
проверити збир!
</t>
        </r>
      </text>
    </comment>
    <comment ref="H13746" authorId="0" shapeId="0">
      <text>
        <r>
          <rPr>
            <b/>
            <sz val="9"/>
            <color indexed="81"/>
            <rFont val="Tahoma"/>
            <family val="2"/>
          </rPr>
          <t>LPA:</t>
        </r>
        <r>
          <rPr>
            <sz val="9"/>
            <color indexed="81"/>
            <rFont val="Tahoma"/>
            <family val="2"/>
          </rPr>
          <t xml:space="preserve">
провери збир!</t>
        </r>
      </text>
    </comment>
    <comment ref="I13746" authorId="0" shapeId="0">
      <text>
        <r>
          <rPr>
            <b/>
            <sz val="9"/>
            <color indexed="81"/>
            <rFont val="Tahoma"/>
            <family val="2"/>
          </rPr>
          <t>LPA:</t>
        </r>
        <r>
          <rPr>
            <sz val="9"/>
            <color indexed="81"/>
            <rFont val="Tahoma"/>
            <family val="2"/>
          </rPr>
          <t xml:space="preserve">
проверити збир!
</t>
        </r>
      </text>
    </comment>
    <comment ref="I13747" authorId="0" shapeId="0">
      <text>
        <r>
          <rPr>
            <b/>
            <sz val="9"/>
            <color indexed="81"/>
            <rFont val="Tahoma"/>
            <family val="2"/>
          </rPr>
          <t>LPA:</t>
        </r>
        <r>
          <rPr>
            <sz val="9"/>
            <color indexed="81"/>
            <rFont val="Tahoma"/>
            <family val="2"/>
          </rPr>
          <t xml:space="preserve">
проверити збир!
</t>
        </r>
      </text>
    </comment>
    <comment ref="I13748" authorId="0" shapeId="0">
      <text>
        <r>
          <rPr>
            <b/>
            <sz val="9"/>
            <color indexed="81"/>
            <rFont val="Tahoma"/>
            <family val="2"/>
          </rPr>
          <t>LPA:</t>
        </r>
        <r>
          <rPr>
            <sz val="9"/>
            <color indexed="81"/>
            <rFont val="Tahoma"/>
            <family val="2"/>
          </rPr>
          <t xml:space="preserve">
проверити збир!
</t>
        </r>
      </text>
    </comment>
    <comment ref="I13749" authorId="0" shapeId="0">
      <text>
        <r>
          <rPr>
            <b/>
            <sz val="9"/>
            <color indexed="81"/>
            <rFont val="Tahoma"/>
            <family val="2"/>
          </rPr>
          <t>LPA:</t>
        </r>
        <r>
          <rPr>
            <sz val="9"/>
            <color indexed="81"/>
            <rFont val="Tahoma"/>
            <family val="2"/>
          </rPr>
          <t xml:space="preserve">
проверити збир!
</t>
        </r>
      </text>
    </comment>
    <comment ref="I13750" authorId="0" shapeId="0">
      <text>
        <r>
          <rPr>
            <b/>
            <sz val="9"/>
            <color indexed="81"/>
            <rFont val="Tahoma"/>
            <family val="2"/>
          </rPr>
          <t>LPA:</t>
        </r>
        <r>
          <rPr>
            <sz val="9"/>
            <color indexed="81"/>
            <rFont val="Tahoma"/>
            <family val="2"/>
          </rPr>
          <t xml:space="preserve">
проверити збир!
</t>
        </r>
      </text>
    </comment>
    <comment ref="I13751" authorId="0" shapeId="0">
      <text>
        <r>
          <rPr>
            <b/>
            <sz val="9"/>
            <color indexed="81"/>
            <rFont val="Tahoma"/>
            <family val="2"/>
          </rPr>
          <t>LPA:</t>
        </r>
        <r>
          <rPr>
            <sz val="9"/>
            <color indexed="81"/>
            <rFont val="Tahoma"/>
            <family val="2"/>
          </rPr>
          <t xml:space="preserve">
проверити збир!
</t>
        </r>
      </text>
    </comment>
    <comment ref="I13752" authorId="0" shapeId="0">
      <text>
        <r>
          <rPr>
            <b/>
            <sz val="9"/>
            <color indexed="81"/>
            <rFont val="Tahoma"/>
            <family val="2"/>
          </rPr>
          <t>LPA:</t>
        </r>
        <r>
          <rPr>
            <sz val="9"/>
            <color indexed="81"/>
            <rFont val="Tahoma"/>
            <family val="2"/>
          </rPr>
          <t xml:space="preserve">
проверити збир!
</t>
        </r>
      </text>
    </comment>
    <comment ref="I13753" authorId="0" shapeId="0">
      <text>
        <r>
          <rPr>
            <b/>
            <sz val="9"/>
            <color indexed="81"/>
            <rFont val="Tahoma"/>
            <family val="2"/>
          </rPr>
          <t>LPA:</t>
        </r>
        <r>
          <rPr>
            <sz val="9"/>
            <color indexed="81"/>
            <rFont val="Tahoma"/>
            <family val="2"/>
          </rPr>
          <t xml:space="preserve">
проверити збир!
</t>
        </r>
      </text>
    </comment>
    <comment ref="I13754" authorId="0" shapeId="0">
      <text>
        <r>
          <rPr>
            <b/>
            <sz val="9"/>
            <color indexed="81"/>
            <rFont val="Tahoma"/>
            <family val="2"/>
          </rPr>
          <t>LPA:</t>
        </r>
        <r>
          <rPr>
            <sz val="9"/>
            <color indexed="81"/>
            <rFont val="Tahoma"/>
            <family val="2"/>
          </rPr>
          <t xml:space="preserve">
проверити збир!
</t>
        </r>
      </text>
    </comment>
    <comment ref="I13755" authorId="0" shapeId="0">
      <text>
        <r>
          <rPr>
            <b/>
            <sz val="9"/>
            <color indexed="81"/>
            <rFont val="Tahoma"/>
            <family val="2"/>
          </rPr>
          <t>LPA:</t>
        </r>
        <r>
          <rPr>
            <sz val="9"/>
            <color indexed="81"/>
            <rFont val="Tahoma"/>
            <family val="2"/>
          </rPr>
          <t xml:space="preserve">
проверити збир!
</t>
        </r>
      </text>
    </comment>
    <comment ref="I13756" authorId="0" shapeId="0">
      <text>
        <r>
          <rPr>
            <b/>
            <sz val="9"/>
            <color indexed="81"/>
            <rFont val="Tahoma"/>
            <family val="2"/>
          </rPr>
          <t>LPA:</t>
        </r>
        <r>
          <rPr>
            <sz val="9"/>
            <color indexed="81"/>
            <rFont val="Tahoma"/>
            <family val="2"/>
          </rPr>
          <t xml:space="preserve">
проверити збир!
</t>
        </r>
      </text>
    </comment>
    <comment ref="I13757" authorId="0" shapeId="0">
      <text>
        <r>
          <rPr>
            <b/>
            <sz val="9"/>
            <color indexed="81"/>
            <rFont val="Tahoma"/>
            <family val="2"/>
          </rPr>
          <t>LPA:</t>
        </r>
        <r>
          <rPr>
            <sz val="9"/>
            <color indexed="81"/>
            <rFont val="Tahoma"/>
            <family val="2"/>
          </rPr>
          <t xml:space="preserve">
проверити збир!
</t>
        </r>
      </text>
    </comment>
    <comment ref="I13758" authorId="0" shapeId="0">
      <text>
        <r>
          <rPr>
            <b/>
            <sz val="9"/>
            <color indexed="81"/>
            <rFont val="Tahoma"/>
            <family val="2"/>
          </rPr>
          <t>LPA:</t>
        </r>
        <r>
          <rPr>
            <sz val="9"/>
            <color indexed="81"/>
            <rFont val="Tahoma"/>
            <family val="2"/>
          </rPr>
          <t xml:space="preserve">
проверити збир!
</t>
        </r>
      </text>
    </comment>
    <comment ref="I13759" authorId="0" shapeId="0">
      <text>
        <r>
          <rPr>
            <b/>
            <sz val="9"/>
            <color indexed="81"/>
            <rFont val="Tahoma"/>
            <family val="2"/>
          </rPr>
          <t>LPA:</t>
        </r>
        <r>
          <rPr>
            <sz val="9"/>
            <color indexed="81"/>
            <rFont val="Tahoma"/>
            <family val="2"/>
          </rPr>
          <t xml:space="preserve">
проверити збир!
</t>
        </r>
      </text>
    </comment>
    <comment ref="I13760" authorId="0" shapeId="0">
      <text>
        <r>
          <rPr>
            <b/>
            <sz val="9"/>
            <color indexed="81"/>
            <rFont val="Tahoma"/>
            <family val="2"/>
          </rPr>
          <t>LPA:</t>
        </r>
        <r>
          <rPr>
            <sz val="9"/>
            <color indexed="81"/>
            <rFont val="Tahoma"/>
            <family val="2"/>
          </rPr>
          <t xml:space="preserve">
проверити збир!
</t>
        </r>
      </text>
    </comment>
    <comment ref="I13761" authorId="0" shapeId="0">
      <text>
        <r>
          <rPr>
            <b/>
            <sz val="9"/>
            <color indexed="81"/>
            <rFont val="Tahoma"/>
            <family val="2"/>
          </rPr>
          <t>LPA:</t>
        </r>
        <r>
          <rPr>
            <sz val="9"/>
            <color indexed="81"/>
            <rFont val="Tahoma"/>
            <family val="2"/>
          </rPr>
          <t xml:space="preserve">
проверити збир!
</t>
        </r>
      </text>
    </comment>
    <comment ref="I13830" authorId="0" shapeId="0">
      <text>
        <r>
          <rPr>
            <b/>
            <sz val="9"/>
            <color indexed="81"/>
            <rFont val="Tahoma"/>
            <family val="2"/>
          </rPr>
          <t>LPA:</t>
        </r>
        <r>
          <rPr>
            <sz val="9"/>
            <color indexed="81"/>
            <rFont val="Tahoma"/>
            <family val="2"/>
          </rPr>
          <t xml:space="preserve">
проверити збир!
</t>
        </r>
      </text>
    </comment>
    <comment ref="I13831" authorId="0" shapeId="0">
      <text>
        <r>
          <rPr>
            <b/>
            <sz val="9"/>
            <color indexed="81"/>
            <rFont val="Tahoma"/>
            <family val="2"/>
          </rPr>
          <t>LPA:</t>
        </r>
        <r>
          <rPr>
            <sz val="9"/>
            <color indexed="81"/>
            <rFont val="Tahoma"/>
            <family val="2"/>
          </rPr>
          <t xml:space="preserve">
проверити збир!
</t>
        </r>
      </text>
    </comment>
    <comment ref="I13832" authorId="0" shapeId="0">
      <text>
        <r>
          <rPr>
            <b/>
            <sz val="9"/>
            <color indexed="81"/>
            <rFont val="Tahoma"/>
            <family val="2"/>
          </rPr>
          <t>LPA:</t>
        </r>
        <r>
          <rPr>
            <sz val="9"/>
            <color indexed="81"/>
            <rFont val="Tahoma"/>
            <family val="2"/>
          </rPr>
          <t xml:space="preserve">
проверити збир!
</t>
        </r>
      </text>
    </comment>
    <comment ref="I13833" authorId="0" shapeId="0">
      <text>
        <r>
          <rPr>
            <b/>
            <sz val="9"/>
            <color indexed="81"/>
            <rFont val="Tahoma"/>
            <family val="2"/>
          </rPr>
          <t>LPA:</t>
        </r>
        <r>
          <rPr>
            <sz val="9"/>
            <color indexed="81"/>
            <rFont val="Tahoma"/>
            <family val="2"/>
          </rPr>
          <t xml:space="preserve">
проверити збир!
</t>
        </r>
      </text>
    </comment>
    <comment ref="I13834" authorId="0" shapeId="0">
      <text>
        <r>
          <rPr>
            <b/>
            <sz val="9"/>
            <color indexed="81"/>
            <rFont val="Tahoma"/>
            <family val="2"/>
          </rPr>
          <t>LPA:</t>
        </r>
        <r>
          <rPr>
            <sz val="9"/>
            <color indexed="81"/>
            <rFont val="Tahoma"/>
            <family val="2"/>
          </rPr>
          <t xml:space="preserve">
проверити збир!
</t>
        </r>
      </text>
    </comment>
    <comment ref="I13835" authorId="0" shapeId="0">
      <text>
        <r>
          <rPr>
            <b/>
            <sz val="9"/>
            <color indexed="81"/>
            <rFont val="Tahoma"/>
            <family val="2"/>
          </rPr>
          <t>LPA:</t>
        </r>
        <r>
          <rPr>
            <sz val="9"/>
            <color indexed="81"/>
            <rFont val="Tahoma"/>
            <family val="2"/>
          </rPr>
          <t xml:space="preserve">
проверити збир!
</t>
        </r>
      </text>
    </comment>
    <comment ref="I13836" authorId="0" shapeId="0">
      <text>
        <r>
          <rPr>
            <b/>
            <sz val="9"/>
            <color indexed="81"/>
            <rFont val="Tahoma"/>
            <family val="2"/>
          </rPr>
          <t>LPA:</t>
        </r>
        <r>
          <rPr>
            <sz val="9"/>
            <color indexed="81"/>
            <rFont val="Tahoma"/>
            <family val="2"/>
          </rPr>
          <t xml:space="preserve">
проверити збир!
</t>
        </r>
      </text>
    </comment>
    <comment ref="I13837" authorId="0" shapeId="0">
      <text>
        <r>
          <rPr>
            <b/>
            <sz val="9"/>
            <color indexed="81"/>
            <rFont val="Tahoma"/>
            <family val="2"/>
          </rPr>
          <t>LPA:</t>
        </r>
        <r>
          <rPr>
            <sz val="9"/>
            <color indexed="81"/>
            <rFont val="Tahoma"/>
            <family val="2"/>
          </rPr>
          <t xml:space="preserve">
проверити збир!
</t>
        </r>
      </text>
    </comment>
    <comment ref="I13838" authorId="0" shapeId="0">
      <text>
        <r>
          <rPr>
            <b/>
            <sz val="9"/>
            <color indexed="81"/>
            <rFont val="Tahoma"/>
            <family val="2"/>
          </rPr>
          <t>LPA:</t>
        </r>
        <r>
          <rPr>
            <sz val="9"/>
            <color indexed="81"/>
            <rFont val="Tahoma"/>
            <family val="2"/>
          </rPr>
          <t xml:space="preserve">
проверити збир!
</t>
        </r>
      </text>
    </comment>
    <comment ref="I13839" authorId="0" shapeId="0">
      <text>
        <r>
          <rPr>
            <b/>
            <sz val="9"/>
            <color indexed="81"/>
            <rFont val="Tahoma"/>
            <family val="2"/>
          </rPr>
          <t>LPA:</t>
        </r>
        <r>
          <rPr>
            <sz val="9"/>
            <color indexed="81"/>
            <rFont val="Tahoma"/>
            <family val="2"/>
          </rPr>
          <t xml:space="preserve">
проверити збир!
</t>
        </r>
      </text>
    </comment>
    <comment ref="I13840" authorId="0" shapeId="0">
      <text>
        <r>
          <rPr>
            <b/>
            <sz val="9"/>
            <color indexed="81"/>
            <rFont val="Tahoma"/>
            <family val="2"/>
          </rPr>
          <t>LPA:</t>
        </r>
        <r>
          <rPr>
            <sz val="9"/>
            <color indexed="81"/>
            <rFont val="Tahoma"/>
            <family val="2"/>
          </rPr>
          <t xml:space="preserve">
проверити збир!
</t>
        </r>
      </text>
    </comment>
    <comment ref="I13841" authorId="0" shapeId="0">
      <text>
        <r>
          <rPr>
            <b/>
            <sz val="9"/>
            <color indexed="81"/>
            <rFont val="Tahoma"/>
            <family val="2"/>
          </rPr>
          <t>LPA:</t>
        </r>
        <r>
          <rPr>
            <sz val="9"/>
            <color indexed="81"/>
            <rFont val="Tahoma"/>
            <family val="2"/>
          </rPr>
          <t xml:space="preserve">
проверити збир!
</t>
        </r>
      </text>
    </comment>
    <comment ref="I13842" authorId="0" shapeId="0">
      <text>
        <r>
          <rPr>
            <b/>
            <sz val="9"/>
            <color indexed="81"/>
            <rFont val="Tahoma"/>
            <family val="2"/>
          </rPr>
          <t>LPA:</t>
        </r>
        <r>
          <rPr>
            <sz val="9"/>
            <color indexed="81"/>
            <rFont val="Tahoma"/>
            <family val="2"/>
          </rPr>
          <t xml:space="preserve">
проверити збир!
</t>
        </r>
      </text>
    </comment>
    <comment ref="H13845" authorId="0" shapeId="0">
      <text>
        <r>
          <rPr>
            <b/>
            <sz val="9"/>
            <color indexed="81"/>
            <rFont val="Tahoma"/>
            <family val="2"/>
          </rPr>
          <t>LPA:</t>
        </r>
        <r>
          <rPr>
            <sz val="9"/>
            <color indexed="81"/>
            <rFont val="Tahoma"/>
            <family val="2"/>
          </rPr>
          <t xml:space="preserve">
проверити збир!</t>
        </r>
      </text>
    </comment>
    <comment ref="I13845" authorId="0" shapeId="0">
      <text>
        <r>
          <rPr>
            <b/>
            <sz val="9"/>
            <color indexed="81"/>
            <rFont val="Tahoma"/>
            <family val="2"/>
          </rPr>
          <t>LPA:</t>
        </r>
        <r>
          <rPr>
            <sz val="9"/>
            <color indexed="81"/>
            <rFont val="Tahoma"/>
            <family val="2"/>
          </rPr>
          <t xml:space="preserve">
проверити збир!</t>
        </r>
      </text>
    </comment>
    <comment ref="I13846" authorId="0" shapeId="0">
      <text>
        <r>
          <rPr>
            <b/>
            <sz val="9"/>
            <color indexed="81"/>
            <rFont val="Tahoma"/>
            <family val="2"/>
          </rPr>
          <t>LPA:</t>
        </r>
        <r>
          <rPr>
            <sz val="9"/>
            <color indexed="81"/>
            <rFont val="Tahoma"/>
            <family val="2"/>
          </rPr>
          <t xml:space="preserve">
проверити збир!
</t>
        </r>
      </text>
    </comment>
    <comment ref="I13847" authorId="0" shapeId="0">
      <text>
        <r>
          <rPr>
            <b/>
            <sz val="9"/>
            <color indexed="81"/>
            <rFont val="Tahoma"/>
            <family val="2"/>
          </rPr>
          <t>LPA:</t>
        </r>
        <r>
          <rPr>
            <sz val="9"/>
            <color indexed="81"/>
            <rFont val="Tahoma"/>
            <family val="2"/>
          </rPr>
          <t xml:space="preserve">
проверити збир!
</t>
        </r>
      </text>
    </comment>
    <comment ref="I13848" authorId="0" shapeId="0">
      <text>
        <r>
          <rPr>
            <b/>
            <sz val="9"/>
            <color indexed="81"/>
            <rFont val="Tahoma"/>
            <family val="2"/>
          </rPr>
          <t>LPA:</t>
        </r>
        <r>
          <rPr>
            <sz val="9"/>
            <color indexed="81"/>
            <rFont val="Tahoma"/>
            <family val="2"/>
          </rPr>
          <t xml:space="preserve">
проверити збир!
</t>
        </r>
      </text>
    </comment>
    <comment ref="I13849" authorId="0" shapeId="0">
      <text>
        <r>
          <rPr>
            <b/>
            <sz val="9"/>
            <color indexed="81"/>
            <rFont val="Tahoma"/>
            <family val="2"/>
          </rPr>
          <t>LPA:</t>
        </r>
        <r>
          <rPr>
            <sz val="9"/>
            <color indexed="81"/>
            <rFont val="Tahoma"/>
            <family val="2"/>
          </rPr>
          <t xml:space="preserve">
проверити збир!
</t>
        </r>
      </text>
    </comment>
    <comment ref="I13850" authorId="0" shapeId="0">
      <text>
        <r>
          <rPr>
            <b/>
            <sz val="9"/>
            <color indexed="81"/>
            <rFont val="Tahoma"/>
            <family val="2"/>
          </rPr>
          <t>LPA:</t>
        </r>
        <r>
          <rPr>
            <sz val="9"/>
            <color indexed="81"/>
            <rFont val="Tahoma"/>
            <family val="2"/>
          </rPr>
          <t xml:space="preserve">
проверити збир!
</t>
        </r>
      </text>
    </comment>
    <comment ref="I13851" authorId="0" shapeId="0">
      <text>
        <r>
          <rPr>
            <b/>
            <sz val="9"/>
            <color indexed="81"/>
            <rFont val="Tahoma"/>
            <family val="2"/>
          </rPr>
          <t>LPA:</t>
        </r>
        <r>
          <rPr>
            <sz val="9"/>
            <color indexed="81"/>
            <rFont val="Tahoma"/>
            <family val="2"/>
          </rPr>
          <t xml:space="preserve">
проверити збир!
</t>
        </r>
      </text>
    </comment>
    <comment ref="I13852" authorId="0" shapeId="0">
      <text>
        <r>
          <rPr>
            <b/>
            <sz val="9"/>
            <color indexed="81"/>
            <rFont val="Tahoma"/>
            <family val="2"/>
          </rPr>
          <t>LPA:</t>
        </r>
        <r>
          <rPr>
            <sz val="9"/>
            <color indexed="81"/>
            <rFont val="Tahoma"/>
            <family val="2"/>
          </rPr>
          <t xml:space="preserve">
проверити збир!
</t>
        </r>
      </text>
    </comment>
    <comment ref="I13853" authorId="0" shapeId="0">
      <text>
        <r>
          <rPr>
            <b/>
            <sz val="9"/>
            <color indexed="81"/>
            <rFont val="Tahoma"/>
            <family val="2"/>
          </rPr>
          <t>LPA:</t>
        </r>
        <r>
          <rPr>
            <sz val="9"/>
            <color indexed="81"/>
            <rFont val="Tahoma"/>
            <family val="2"/>
          </rPr>
          <t xml:space="preserve">
проверити збир!
</t>
        </r>
      </text>
    </comment>
    <comment ref="I13854" authorId="0" shapeId="0">
      <text>
        <r>
          <rPr>
            <b/>
            <sz val="9"/>
            <color indexed="81"/>
            <rFont val="Tahoma"/>
            <family val="2"/>
          </rPr>
          <t>LPA:</t>
        </r>
        <r>
          <rPr>
            <sz val="9"/>
            <color indexed="81"/>
            <rFont val="Tahoma"/>
            <family val="2"/>
          </rPr>
          <t xml:space="preserve">
проверити збир!
</t>
        </r>
      </text>
    </comment>
    <comment ref="I13855" authorId="0" shapeId="0">
      <text>
        <r>
          <rPr>
            <b/>
            <sz val="9"/>
            <color indexed="81"/>
            <rFont val="Tahoma"/>
            <family val="2"/>
          </rPr>
          <t>LPA:</t>
        </r>
        <r>
          <rPr>
            <sz val="9"/>
            <color indexed="81"/>
            <rFont val="Tahoma"/>
            <family val="2"/>
          </rPr>
          <t xml:space="preserve">
проверити збир!
</t>
        </r>
      </text>
    </comment>
    <comment ref="I13856" authorId="0" shapeId="0">
      <text>
        <r>
          <rPr>
            <b/>
            <sz val="9"/>
            <color indexed="81"/>
            <rFont val="Tahoma"/>
            <family val="2"/>
          </rPr>
          <t>LPA:</t>
        </r>
        <r>
          <rPr>
            <sz val="9"/>
            <color indexed="81"/>
            <rFont val="Tahoma"/>
            <family val="2"/>
          </rPr>
          <t xml:space="preserve">
проверити збир!
</t>
        </r>
      </text>
    </comment>
    <comment ref="I13857" authorId="0" shapeId="0">
      <text>
        <r>
          <rPr>
            <b/>
            <sz val="9"/>
            <color indexed="81"/>
            <rFont val="Tahoma"/>
            <family val="2"/>
          </rPr>
          <t>LPA:</t>
        </r>
        <r>
          <rPr>
            <sz val="9"/>
            <color indexed="81"/>
            <rFont val="Tahoma"/>
            <family val="2"/>
          </rPr>
          <t xml:space="preserve">
проверити збир!
</t>
        </r>
      </text>
    </comment>
    <comment ref="I13858" authorId="0" shapeId="0">
      <text>
        <r>
          <rPr>
            <b/>
            <sz val="9"/>
            <color indexed="81"/>
            <rFont val="Tahoma"/>
            <family val="2"/>
          </rPr>
          <t>LPA:</t>
        </r>
        <r>
          <rPr>
            <sz val="9"/>
            <color indexed="81"/>
            <rFont val="Tahoma"/>
            <family val="2"/>
          </rPr>
          <t xml:space="preserve">
проверити збир!
</t>
        </r>
      </text>
    </comment>
    <comment ref="I13859" authorId="0" shapeId="0">
      <text>
        <r>
          <rPr>
            <b/>
            <sz val="9"/>
            <color indexed="81"/>
            <rFont val="Tahoma"/>
            <family val="2"/>
          </rPr>
          <t>LPA:</t>
        </r>
        <r>
          <rPr>
            <sz val="9"/>
            <color indexed="81"/>
            <rFont val="Tahoma"/>
            <family val="2"/>
          </rPr>
          <t xml:space="preserve">
проверити збир!
</t>
        </r>
      </text>
    </comment>
    <comment ref="I13860" authorId="0" shapeId="0">
      <text>
        <r>
          <rPr>
            <b/>
            <sz val="9"/>
            <color indexed="81"/>
            <rFont val="Tahoma"/>
            <family val="2"/>
          </rPr>
          <t>LPA:</t>
        </r>
        <r>
          <rPr>
            <sz val="9"/>
            <color indexed="81"/>
            <rFont val="Tahoma"/>
            <family val="2"/>
          </rPr>
          <t xml:space="preserve">
проверити збир!
</t>
        </r>
      </text>
    </comment>
    <comment ref="H13864" authorId="0" shapeId="0">
      <text>
        <r>
          <rPr>
            <b/>
            <sz val="9"/>
            <color indexed="81"/>
            <rFont val="Tahoma"/>
            <family val="2"/>
          </rPr>
          <t>LPA:</t>
        </r>
        <r>
          <rPr>
            <sz val="9"/>
            <color indexed="81"/>
            <rFont val="Tahoma"/>
            <family val="2"/>
          </rPr>
          <t xml:space="preserve">
проверити збир!</t>
        </r>
      </text>
    </comment>
    <comment ref="I13864" authorId="0" shapeId="0">
      <text>
        <r>
          <rPr>
            <b/>
            <sz val="9"/>
            <color indexed="81"/>
            <rFont val="Tahoma"/>
            <family val="2"/>
          </rPr>
          <t>LPA:</t>
        </r>
        <r>
          <rPr>
            <sz val="9"/>
            <color indexed="81"/>
            <rFont val="Tahoma"/>
            <family val="2"/>
          </rPr>
          <t xml:space="preserve">
проверити збир!
</t>
        </r>
      </text>
    </comment>
    <comment ref="I13865" authorId="0" shapeId="0">
      <text>
        <r>
          <rPr>
            <b/>
            <sz val="9"/>
            <color indexed="81"/>
            <rFont val="Tahoma"/>
            <family val="2"/>
          </rPr>
          <t>LPA:</t>
        </r>
        <r>
          <rPr>
            <sz val="9"/>
            <color indexed="81"/>
            <rFont val="Tahoma"/>
            <family val="2"/>
          </rPr>
          <t xml:space="preserve">
проверити збир!
</t>
        </r>
      </text>
    </comment>
    <comment ref="I13866" authorId="0" shapeId="0">
      <text>
        <r>
          <rPr>
            <b/>
            <sz val="9"/>
            <color indexed="81"/>
            <rFont val="Tahoma"/>
            <family val="2"/>
          </rPr>
          <t>LPA:</t>
        </r>
        <r>
          <rPr>
            <sz val="9"/>
            <color indexed="81"/>
            <rFont val="Tahoma"/>
            <family val="2"/>
          </rPr>
          <t xml:space="preserve">
проверити збир!
</t>
        </r>
      </text>
    </comment>
    <comment ref="I13867" authorId="0" shapeId="0">
      <text>
        <r>
          <rPr>
            <b/>
            <sz val="9"/>
            <color indexed="81"/>
            <rFont val="Tahoma"/>
            <family val="2"/>
          </rPr>
          <t>LPA:</t>
        </r>
        <r>
          <rPr>
            <sz val="9"/>
            <color indexed="81"/>
            <rFont val="Tahoma"/>
            <family val="2"/>
          </rPr>
          <t xml:space="preserve">
проверити збир!
</t>
        </r>
      </text>
    </comment>
    <comment ref="I13868" authorId="0" shapeId="0">
      <text>
        <r>
          <rPr>
            <b/>
            <sz val="9"/>
            <color indexed="81"/>
            <rFont val="Tahoma"/>
            <family val="2"/>
          </rPr>
          <t>LPA:</t>
        </r>
        <r>
          <rPr>
            <sz val="9"/>
            <color indexed="81"/>
            <rFont val="Tahoma"/>
            <family val="2"/>
          </rPr>
          <t xml:space="preserve">
проверити збир!
</t>
        </r>
      </text>
    </comment>
    <comment ref="I13869" authorId="0" shapeId="0">
      <text>
        <r>
          <rPr>
            <b/>
            <sz val="9"/>
            <color indexed="81"/>
            <rFont val="Tahoma"/>
            <family val="2"/>
          </rPr>
          <t>LPA:</t>
        </r>
        <r>
          <rPr>
            <sz val="9"/>
            <color indexed="81"/>
            <rFont val="Tahoma"/>
            <family val="2"/>
          </rPr>
          <t xml:space="preserve">
проверити збир!
</t>
        </r>
      </text>
    </comment>
    <comment ref="I13870" authorId="0" shapeId="0">
      <text>
        <r>
          <rPr>
            <b/>
            <sz val="9"/>
            <color indexed="81"/>
            <rFont val="Tahoma"/>
            <family val="2"/>
          </rPr>
          <t>LPA:</t>
        </r>
        <r>
          <rPr>
            <sz val="9"/>
            <color indexed="81"/>
            <rFont val="Tahoma"/>
            <family val="2"/>
          </rPr>
          <t xml:space="preserve">
проверити збир!
</t>
        </r>
      </text>
    </comment>
    <comment ref="I13871" authorId="0" shapeId="0">
      <text>
        <r>
          <rPr>
            <b/>
            <sz val="9"/>
            <color indexed="81"/>
            <rFont val="Tahoma"/>
            <family val="2"/>
          </rPr>
          <t>LPA:</t>
        </r>
        <r>
          <rPr>
            <sz val="9"/>
            <color indexed="81"/>
            <rFont val="Tahoma"/>
            <family val="2"/>
          </rPr>
          <t xml:space="preserve">
проверити збир!
</t>
        </r>
      </text>
    </comment>
    <comment ref="I13872" authorId="0" shapeId="0">
      <text>
        <r>
          <rPr>
            <b/>
            <sz val="9"/>
            <color indexed="81"/>
            <rFont val="Tahoma"/>
            <family val="2"/>
          </rPr>
          <t>LPA:</t>
        </r>
        <r>
          <rPr>
            <sz val="9"/>
            <color indexed="81"/>
            <rFont val="Tahoma"/>
            <family val="2"/>
          </rPr>
          <t xml:space="preserve">
проверити збир!
</t>
        </r>
      </text>
    </comment>
    <comment ref="I13873" authorId="0" shapeId="0">
      <text>
        <r>
          <rPr>
            <b/>
            <sz val="9"/>
            <color indexed="81"/>
            <rFont val="Tahoma"/>
            <family val="2"/>
          </rPr>
          <t>LPA:</t>
        </r>
        <r>
          <rPr>
            <sz val="9"/>
            <color indexed="81"/>
            <rFont val="Tahoma"/>
            <family val="2"/>
          </rPr>
          <t xml:space="preserve">
проверити збир!
</t>
        </r>
      </text>
    </comment>
    <comment ref="I13874" authorId="0" shapeId="0">
      <text>
        <r>
          <rPr>
            <b/>
            <sz val="9"/>
            <color indexed="81"/>
            <rFont val="Tahoma"/>
            <family val="2"/>
          </rPr>
          <t>LPA:</t>
        </r>
        <r>
          <rPr>
            <sz val="9"/>
            <color indexed="81"/>
            <rFont val="Tahoma"/>
            <family val="2"/>
          </rPr>
          <t xml:space="preserve">
проверити збир!
</t>
        </r>
      </text>
    </comment>
    <comment ref="I13875" authorId="0" shapeId="0">
      <text>
        <r>
          <rPr>
            <b/>
            <sz val="9"/>
            <color indexed="81"/>
            <rFont val="Tahoma"/>
            <family val="2"/>
          </rPr>
          <t>LPA:</t>
        </r>
        <r>
          <rPr>
            <sz val="9"/>
            <color indexed="81"/>
            <rFont val="Tahoma"/>
            <family val="2"/>
          </rPr>
          <t xml:space="preserve">
проверити збир!
</t>
        </r>
      </text>
    </comment>
    <comment ref="I13876" authorId="0" shapeId="0">
      <text>
        <r>
          <rPr>
            <b/>
            <sz val="9"/>
            <color indexed="81"/>
            <rFont val="Tahoma"/>
            <family val="2"/>
          </rPr>
          <t>LPA:</t>
        </r>
        <r>
          <rPr>
            <sz val="9"/>
            <color indexed="81"/>
            <rFont val="Tahoma"/>
            <family val="2"/>
          </rPr>
          <t xml:space="preserve">
проверити збир!
</t>
        </r>
      </text>
    </comment>
    <comment ref="I13877" authorId="0" shapeId="0">
      <text>
        <r>
          <rPr>
            <b/>
            <sz val="9"/>
            <color indexed="81"/>
            <rFont val="Tahoma"/>
            <family val="2"/>
          </rPr>
          <t>LPA:</t>
        </r>
        <r>
          <rPr>
            <sz val="9"/>
            <color indexed="81"/>
            <rFont val="Tahoma"/>
            <family val="2"/>
          </rPr>
          <t xml:space="preserve">
проверити збир!
</t>
        </r>
      </text>
    </comment>
    <comment ref="I13878" authorId="0" shapeId="0">
      <text>
        <r>
          <rPr>
            <b/>
            <sz val="9"/>
            <color indexed="81"/>
            <rFont val="Tahoma"/>
            <family val="2"/>
          </rPr>
          <t>LPA:</t>
        </r>
        <r>
          <rPr>
            <sz val="9"/>
            <color indexed="81"/>
            <rFont val="Tahoma"/>
            <family val="2"/>
          </rPr>
          <t xml:space="preserve">
проверити збир!
</t>
        </r>
      </text>
    </comment>
    <comment ref="I13879" authorId="0" shapeId="0">
      <text>
        <r>
          <rPr>
            <b/>
            <sz val="9"/>
            <color indexed="81"/>
            <rFont val="Tahoma"/>
            <family val="2"/>
          </rPr>
          <t>LPA:</t>
        </r>
        <r>
          <rPr>
            <sz val="9"/>
            <color indexed="81"/>
            <rFont val="Tahoma"/>
            <family val="2"/>
          </rPr>
          <t xml:space="preserve">
проверити збир!
</t>
        </r>
      </text>
    </comment>
    <comment ref="H13883" authorId="0" shapeId="0">
      <text>
        <r>
          <rPr>
            <b/>
            <sz val="9"/>
            <color indexed="81"/>
            <rFont val="Tahoma"/>
            <family val="2"/>
          </rPr>
          <t>LPA:</t>
        </r>
        <r>
          <rPr>
            <sz val="9"/>
            <color indexed="81"/>
            <rFont val="Tahoma"/>
            <family val="2"/>
          </rPr>
          <t xml:space="preserve">
провери збир!</t>
        </r>
      </text>
    </comment>
    <comment ref="I13883" authorId="0" shapeId="0">
      <text>
        <r>
          <rPr>
            <b/>
            <sz val="9"/>
            <color indexed="81"/>
            <rFont val="Tahoma"/>
            <family val="2"/>
          </rPr>
          <t>LPA:</t>
        </r>
        <r>
          <rPr>
            <sz val="9"/>
            <color indexed="81"/>
            <rFont val="Tahoma"/>
            <family val="2"/>
          </rPr>
          <t xml:space="preserve">
проверити збир!
</t>
        </r>
      </text>
    </comment>
    <comment ref="I13884" authorId="0" shapeId="0">
      <text>
        <r>
          <rPr>
            <b/>
            <sz val="9"/>
            <color indexed="81"/>
            <rFont val="Tahoma"/>
            <family val="2"/>
          </rPr>
          <t>LPA:</t>
        </r>
        <r>
          <rPr>
            <sz val="9"/>
            <color indexed="81"/>
            <rFont val="Tahoma"/>
            <family val="2"/>
          </rPr>
          <t xml:space="preserve">
проверити збир!
</t>
        </r>
      </text>
    </comment>
    <comment ref="I13885" authorId="0" shapeId="0">
      <text>
        <r>
          <rPr>
            <b/>
            <sz val="9"/>
            <color indexed="81"/>
            <rFont val="Tahoma"/>
            <family val="2"/>
          </rPr>
          <t>LPA:</t>
        </r>
        <r>
          <rPr>
            <sz val="9"/>
            <color indexed="81"/>
            <rFont val="Tahoma"/>
            <family val="2"/>
          </rPr>
          <t xml:space="preserve">
проверити збир!
</t>
        </r>
      </text>
    </comment>
    <comment ref="I13886" authorId="0" shapeId="0">
      <text>
        <r>
          <rPr>
            <b/>
            <sz val="9"/>
            <color indexed="81"/>
            <rFont val="Tahoma"/>
            <family val="2"/>
          </rPr>
          <t>LPA:</t>
        </r>
        <r>
          <rPr>
            <sz val="9"/>
            <color indexed="81"/>
            <rFont val="Tahoma"/>
            <family val="2"/>
          </rPr>
          <t xml:space="preserve">
проверити збир!
</t>
        </r>
      </text>
    </comment>
    <comment ref="I13887" authorId="0" shapeId="0">
      <text>
        <r>
          <rPr>
            <b/>
            <sz val="9"/>
            <color indexed="81"/>
            <rFont val="Tahoma"/>
            <family val="2"/>
          </rPr>
          <t>LPA:</t>
        </r>
        <r>
          <rPr>
            <sz val="9"/>
            <color indexed="81"/>
            <rFont val="Tahoma"/>
            <family val="2"/>
          </rPr>
          <t xml:space="preserve">
проверити збир!
</t>
        </r>
      </text>
    </comment>
    <comment ref="I13888" authorId="0" shapeId="0">
      <text>
        <r>
          <rPr>
            <b/>
            <sz val="9"/>
            <color indexed="81"/>
            <rFont val="Tahoma"/>
            <family val="2"/>
          </rPr>
          <t>LPA:</t>
        </r>
        <r>
          <rPr>
            <sz val="9"/>
            <color indexed="81"/>
            <rFont val="Tahoma"/>
            <family val="2"/>
          </rPr>
          <t xml:space="preserve">
проверити збир!
</t>
        </r>
      </text>
    </comment>
    <comment ref="I13889" authorId="0" shapeId="0">
      <text>
        <r>
          <rPr>
            <b/>
            <sz val="9"/>
            <color indexed="81"/>
            <rFont val="Tahoma"/>
            <family val="2"/>
          </rPr>
          <t>LPA:</t>
        </r>
        <r>
          <rPr>
            <sz val="9"/>
            <color indexed="81"/>
            <rFont val="Tahoma"/>
            <family val="2"/>
          </rPr>
          <t xml:space="preserve">
проверити збир!
</t>
        </r>
      </text>
    </comment>
    <comment ref="I13890" authorId="0" shapeId="0">
      <text>
        <r>
          <rPr>
            <b/>
            <sz val="9"/>
            <color indexed="81"/>
            <rFont val="Tahoma"/>
            <family val="2"/>
          </rPr>
          <t>LPA:</t>
        </r>
        <r>
          <rPr>
            <sz val="9"/>
            <color indexed="81"/>
            <rFont val="Tahoma"/>
            <family val="2"/>
          </rPr>
          <t xml:space="preserve">
проверити збир!
</t>
        </r>
      </text>
    </comment>
    <comment ref="I13891" authorId="0" shapeId="0">
      <text>
        <r>
          <rPr>
            <b/>
            <sz val="9"/>
            <color indexed="81"/>
            <rFont val="Tahoma"/>
            <family val="2"/>
          </rPr>
          <t>LPA:</t>
        </r>
        <r>
          <rPr>
            <sz val="9"/>
            <color indexed="81"/>
            <rFont val="Tahoma"/>
            <family val="2"/>
          </rPr>
          <t xml:space="preserve">
проверити збир!
</t>
        </r>
      </text>
    </comment>
    <comment ref="I13892" authorId="0" shapeId="0">
      <text>
        <r>
          <rPr>
            <b/>
            <sz val="9"/>
            <color indexed="81"/>
            <rFont val="Tahoma"/>
            <family val="2"/>
          </rPr>
          <t>LPA:</t>
        </r>
        <r>
          <rPr>
            <sz val="9"/>
            <color indexed="81"/>
            <rFont val="Tahoma"/>
            <family val="2"/>
          </rPr>
          <t xml:space="preserve">
проверити збир!
</t>
        </r>
      </text>
    </comment>
    <comment ref="I13893" authorId="0" shapeId="0">
      <text>
        <r>
          <rPr>
            <b/>
            <sz val="9"/>
            <color indexed="81"/>
            <rFont val="Tahoma"/>
            <family val="2"/>
          </rPr>
          <t>LPA:</t>
        </r>
        <r>
          <rPr>
            <sz val="9"/>
            <color indexed="81"/>
            <rFont val="Tahoma"/>
            <family val="2"/>
          </rPr>
          <t xml:space="preserve">
проверити збир!
</t>
        </r>
      </text>
    </comment>
    <comment ref="I13894" authorId="0" shapeId="0">
      <text>
        <r>
          <rPr>
            <b/>
            <sz val="9"/>
            <color indexed="81"/>
            <rFont val="Tahoma"/>
            <family val="2"/>
          </rPr>
          <t>LPA:</t>
        </r>
        <r>
          <rPr>
            <sz val="9"/>
            <color indexed="81"/>
            <rFont val="Tahoma"/>
            <family val="2"/>
          </rPr>
          <t xml:space="preserve">
проверити збир!
</t>
        </r>
      </text>
    </comment>
    <comment ref="I13895" authorId="0" shapeId="0">
      <text>
        <r>
          <rPr>
            <b/>
            <sz val="9"/>
            <color indexed="81"/>
            <rFont val="Tahoma"/>
            <family val="2"/>
          </rPr>
          <t>LPA:</t>
        </r>
        <r>
          <rPr>
            <sz val="9"/>
            <color indexed="81"/>
            <rFont val="Tahoma"/>
            <family val="2"/>
          </rPr>
          <t xml:space="preserve">
проверити збир!
</t>
        </r>
      </text>
    </comment>
    <comment ref="I13896" authorId="0" shapeId="0">
      <text>
        <r>
          <rPr>
            <b/>
            <sz val="9"/>
            <color indexed="81"/>
            <rFont val="Tahoma"/>
            <family val="2"/>
          </rPr>
          <t>LPA:</t>
        </r>
        <r>
          <rPr>
            <sz val="9"/>
            <color indexed="81"/>
            <rFont val="Tahoma"/>
            <family val="2"/>
          </rPr>
          <t xml:space="preserve">
проверити збир!
</t>
        </r>
      </text>
    </comment>
    <comment ref="I13897" authorId="0" shapeId="0">
      <text>
        <r>
          <rPr>
            <b/>
            <sz val="9"/>
            <color indexed="81"/>
            <rFont val="Tahoma"/>
            <family val="2"/>
          </rPr>
          <t>LPA:</t>
        </r>
        <r>
          <rPr>
            <sz val="9"/>
            <color indexed="81"/>
            <rFont val="Tahoma"/>
            <family val="2"/>
          </rPr>
          <t xml:space="preserve">
проверити збир!
</t>
        </r>
      </text>
    </comment>
    <comment ref="I13898" authorId="0" shapeId="0">
      <text>
        <r>
          <rPr>
            <b/>
            <sz val="9"/>
            <color indexed="81"/>
            <rFont val="Tahoma"/>
            <family val="2"/>
          </rPr>
          <t>LPA:</t>
        </r>
        <r>
          <rPr>
            <sz val="9"/>
            <color indexed="81"/>
            <rFont val="Tahoma"/>
            <family val="2"/>
          </rPr>
          <t xml:space="preserve">
проверити збир!
</t>
        </r>
      </text>
    </comment>
    <comment ref="I13985" authorId="0" shapeId="0">
      <text>
        <r>
          <rPr>
            <b/>
            <sz val="9"/>
            <color indexed="81"/>
            <rFont val="Tahoma"/>
            <family val="2"/>
          </rPr>
          <t>LPA:</t>
        </r>
        <r>
          <rPr>
            <sz val="9"/>
            <color indexed="81"/>
            <rFont val="Tahoma"/>
            <family val="2"/>
          </rPr>
          <t xml:space="preserve">
проверити збир!
</t>
        </r>
      </text>
    </comment>
    <comment ref="I13986" authorId="0" shapeId="0">
      <text>
        <r>
          <rPr>
            <b/>
            <sz val="9"/>
            <color indexed="81"/>
            <rFont val="Tahoma"/>
            <family val="2"/>
          </rPr>
          <t>LPA:</t>
        </r>
        <r>
          <rPr>
            <sz val="9"/>
            <color indexed="81"/>
            <rFont val="Tahoma"/>
            <family val="2"/>
          </rPr>
          <t xml:space="preserve">
проверити збир!
</t>
        </r>
      </text>
    </comment>
    <comment ref="I13987" authorId="0" shapeId="0">
      <text>
        <r>
          <rPr>
            <b/>
            <sz val="9"/>
            <color indexed="81"/>
            <rFont val="Tahoma"/>
            <family val="2"/>
          </rPr>
          <t>LPA:</t>
        </r>
        <r>
          <rPr>
            <sz val="9"/>
            <color indexed="81"/>
            <rFont val="Tahoma"/>
            <family val="2"/>
          </rPr>
          <t xml:space="preserve">
проверити збир!
</t>
        </r>
      </text>
    </comment>
    <comment ref="I13988" authorId="0" shapeId="0">
      <text>
        <r>
          <rPr>
            <b/>
            <sz val="9"/>
            <color indexed="81"/>
            <rFont val="Tahoma"/>
            <family val="2"/>
          </rPr>
          <t>LPA:</t>
        </r>
        <r>
          <rPr>
            <sz val="9"/>
            <color indexed="81"/>
            <rFont val="Tahoma"/>
            <family val="2"/>
          </rPr>
          <t xml:space="preserve">
проверити збир!
</t>
        </r>
      </text>
    </comment>
    <comment ref="I13989" authorId="0" shapeId="0">
      <text>
        <r>
          <rPr>
            <b/>
            <sz val="9"/>
            <color indexed="81"/>
            <rFont val="Tahoma"/>
            <family val="2"/>
          </rPr>
          <t>LPA:</t>
        </r>
        <r>
          <rPr>
            <sz val="9"/>
            <color indexed="81"/>
            <rFont val="Tahoma"/>
            <family val="2"/>
          </rPr>
          <t xml:space="preserve">
проверити збир!
</t>
        </r>
      </text>
    </comment>
    <comment ref="I13990" authorId="0" shapeId="0">
      <text>
        <r>
          <rPr>
            <b/>
            <sz val="9"/>
            <color indexed="81"/>
            <rFont val="Tahoma"/>
            <family val="2"/>
          </rPr>
          <t>LPA:</t>
        </r>
        <r>
          <rPr>
            <sz val="9"/>
            <color indexed="81"/>
            <rFont val="Tahoma"/>
            <family val="2"/>
          </rPr>
          <t xml:space="preserve">
проверити збир!
</t>
        </r>
      </text>
    </comment>
    <comment ref="I13991" authorId="0" shapeId="0">
      <text>
        <r>
          <rPr>
            <b/>
            <sz val="9"/>
            <color indexed="81"/>
            <rFont val="Tahoma"/>
            <family val="2"/>
          </rPr>
          <t>LPA:</t>
        </r>
        <r>
          <rPr>
            <sz val="9"/>
            <color indexed="81"/>
            <rFont val="Tahoma"/>
            <family val="2"/>
          </rPr>
          <t xml:space="preserve">
проверити збир!
</t>
        </r>
      </text>
    </comment>
    <comment ref="I13992" authorId="0" shapeId="0">
      <text>
        <r>
          <rPr>
            <b/>
            <sz val="9"/>
            <color indexed="81"/>
            <rFont val="Tahoma"/>
            <family val="2"/>
          </rPr>
          <t>LPA:</t>
        </r>
        <r>
          <rPr>
            <sz val="9"/>
            <color indexed="81"/>
            <rFont val="Tahoma"/>
            <family val="2"/>
          </rPr>
          <t xml:space="preserve">
проверити збир!
</t>
        </r>
      </text>
    </comment>
    <comment ref="I13993" authorId="0" shapeId="0">
      <text>
        <r>
          <rPr>
            <b/>
            <sz val="9"/>
            <color indexed="81"/>
            <rFont val="Tahoma"/>
            <family val="2"/>
          </rPr>
          <t>LPA:</t>
        </r>
        <r>
          <rPr>
            <sz val="9"/>
            <color indexed="81"/>
            <rFont val="Tahoma"/>
            <family val="2"/>
          </rPr>
          <t xml:space="preserve">
проверити збир!
</t>
        </r>
      </text>
    </comment>
    <comment ref="I13994" authorId="0" shapeId="0">
      <text>
        <r>
          <rPr>
            <b/>
            <sz val="9"/>
            <color indexed="81"/>
            <rFont val="Tahoma"/>
            <family val="2"/>
          </rPr>
          <t>LPA:</t>
        </r>
        <r>
          <rPr>
            <sz val="9"/>
            <color indexed="81"/>
            <rFont val="Tahoma"/>
            <family val="2"/>
          </rPr>
          <t xml:space="preserve">
проверити збир!
</t>
        </r>
      </text>
    </comment>
    <comment ref="I13995" authorId="0" shapeId="0">
      <text>
        <r>
          <rPr>
            <b/>
            <sz val="9"/>
            <color indexed="81"/>
            <rFont val="Tahoma"/>
            <family val="2"/>
          </rPr>
          <t>LPA:</t>
        </r>
        <r>
          <rPr>
            <sz val="9"/>
            <color indexed="81"/>
            <rFont val="Tahoma"/>
            <family val="2"/>
          </rPr>
          <t xml:space="preserve">
проверити збир!
</t>
        </r>
      </text>
    </comment>
    <comment ref="I13996" authorId="0" shapeId="0">
      <text>
        <r>
          <rPr>
            <b/>
            <sz val="9"/>
            <color indexed="81"/>
            <rFont val="Tahoma"/>
            <family val="2"/>
          </rPr>
          <t>LPA:</t>
        </r>
        <r>
          <rPr>
            <sz val="9"/>
            <color indexed="81"/>
            <rFont val="Tahoma"/>
            <family val="2"/>
          </rPr>
          <t xml:space="preserve">
проверити збир!
</t>
        </r>
      </text>
    </comment>
    <comment ref="I13997" authorId="0" shapeId="0">
      <text>
        <r>
          <rPr>
            <b/>
            <sz val="9"/>
            <color indexed="81"/>
            <rFont val="Tahoma"/>
            <family val="2"/>
          </rPr>
          <t>LPA:</t>
        </r>
        <r>
          <rPr>
            <sz val="9"/>
            <color indexed="81"/>
            <rFont val="Tahoma"/>
            <family val="2"/>
          </rPr>
          <t xml:space="preserve">
проверити збир!
</t>
        </r>
      </text>
    </comment>
    <comment ref="H14000" authorId="0" shapeId="0">
      <text>
        <r>
          <rPr>
            <b/>
            <sz val="9"/>
            <color indexed="81"/>
            <rFont val="Tahoma"/>
            <family val="2"/>
          </rPr>
          <t>LPA:</t>
        </r>
        <r>
          <rPr>
            <sz val="9"/>
            <color indexed="81"/>
            <rFont val="Tahoma"/>
            <family val="2"/>
          </rPr>
          <t xml:space="preserve">
проверити збир!</t>
        </r>
      </text>
    </comment>
    <comment ref="I14000" authorId="0" shapeId="0">
      <text>
        <r>
          <rPr>
            <b/>
            <sz val="9"/>
            <color indexed="81"/>
            <rFont val="Tahoma"/>
            <family val="2"/>
          </rPr>
          <t>LPA:</t>
        </r>
        <r>
          <rPr>
            <sz val="9"/>
            <color indexed="81"/>
            <rFont val="Tahoma"/>
            <family val="2"/>
          </rPr>
          <t xml:space="preserve">
проверити збир!</t>
        </r>
      </text>
    </comment>
    <comment ref="I14001" authorId="0" shapeId="0">
      <text>
        <r>
          <rPr>
            <b/>
            <sz val="9"/>
            <color indexed="81"/>
            <rFont val="Tahoma"/>
            <family val="2"/>
          </rPr>
          <t>LPA:</t>
        </r>
        <r>
          <rPr>
            <sz val="9"/>
            <color indexed="81"/>
            <rFont val="Tahoma"/>
            <family val="2"/>
          </rPr>
          <t xml:space="preserve">
проверити збир!
</t>
        </r>
      </text>
    </comment>
    <comment ref="I14002" authorId="0" shapeId="0">
      <text>
        <r>
          <rPr>
            <b/>
            <sz val="9"/>
            <color indexed="81"/>
            <rFont val="Tahoma"/>
            <family val="2"/>
          </rPr>
          <t>LPA:</t>
        </r>
        <r>
          <rPr>
            <sz val="9"/>
            <color indexed="81"/>
            <rFont val="Tahoma"/>
            <family val="2"/>
          </rPr>
          <t xml:space="preserve">
проверити збир!
</t>
        </r>
      </text>
    </comment>
    <comment ref="I14003" authorId="0" shapeId="0">
      <text>
        <r>
          <rPr>
            <b/>
            <sz val="9"/>
            <color indexed="81"/>
            <rFont val="Tahoma"/>
            <family val="2"/>
          </rPr>
          <t>LPA:</t>
        </r>
        <r>
          <rPr>
            <sz val="9"/>
            <color indexed="81"/>
            <rFont val="Tahoma"/>
            <family val="2"/>
          </rPr>
          <t xml:space="preserve">
проверити збир!
</t>
        </r>
      </text>
    </comment>
    <comment ref="I14004" authorId="0" shapeId="0">
      <text>
        <r>
          <rPr>
            <b/>
            <sz val="9"/>
            <color indexed="81"/>
            <rFont val="Tahoma"/>
            <family val="2"/>
          </rPr>
          <t>LPA:</t>
        </r>
        <r>
          <rPr>
            <sz val="9"/>
            <color indexed="81"/>
            <rFont val="Tahoma"/>
            <family val="2"/>
          </rPr>
          <t xml:space="preserve">
проверити збир!
</t>
        </r>
      </text>
    </comment>
    <comment ref="I14005" authorId="0" shapeId="0">
      <text>
        <r>
          <rPr>
            <b/>
            <sz val="9"/>
            <color indexed="81"/>
            <rFont val="Tahoma"/>
            <family val="2"/>
          </rPr>
          <t>LPA:</t>
        </r>
        <r>
          <rPr>
            <sz val="9"/>
            <color indexed="81"/>
            <rFont val="Tahoma"/>
            <family val="2"/>
          </rPr>
          <t xml:space="preserve">
проверити збир!
</t>
        </r>
      </text>
    </comment>
    <comment ref="I14006" authorId="0" shapeId="0">
      <text>
        <r>
          <rPr>
            <b/>
            <sz val="9"/>
            <color indexed="81"/>
            <rFont val="Tahoma"/>
            <family val="2"/>
          </rPr>
          <t>LPA:</t>
        </r>
        <r>
          <rPr>
            <sz val="9"/>
            <color indexed="81"/>
            <rFont val="Tahoma"/>
            <family val="2"/>
          </rPr>
          <t xml:space="preserve">
проверити збир!
</t>
        </r>
      </text>
    </comment>
    <comment ref="I14007" authorId="0" shapeId="0">
      <text>
        <r>
          <rPr>
            <b/>
            <sz val="9"/>
            <color indexed="81"/>
            <rFont val="Tahoma"/>
            <family val="2"/>
          </rPr>
          <t>LPA:</t>
        </r>
        <r>
          <rPr>
            <sz val="9"/>
            <color indexed="81"/>
            <rFont val="Tahoma"/>
            <family val="2"/>
          </rPr>
          <t xml:space="preserve">
проверити збир!
</t>
        </r>
      </text>
    </comment>
    <comment ref="I14008" authorId="0" shapeId="0">
      <text>
        <r>
          <rPr>
            <b/>
            <sz val="9"/>
            <color indexed="81"/>
            <rFont val="Tahoma"/>
            <family val="2"/>
          </rPr>
          <t>LPA:</t>
        </r>
        <r>
          <rPr>
            <sz val="9"/>
            <color indexed="81"/>
            <rFont val="Tahoma"/>
            <family val="2"/>
          </rPr>
          <t xml:space="preserve">
проверити збир!
</t>
        </r>
      </text>
    </comment>
    <comment ref="I14009" authorId="0" shapeId="0">
      <text>
        <r>
          <rPr>
            <b/>
            <sz val="9"/>
            <color indexed="81"/>
            <rFont val="Tahoma"/>
            <family val="2"/>
          </rPr>
          <t>LPA:</t>
        </r>
        <r>
          <rPr>
            <sz val="9"/>
            <color indexed="81"/>
            <rFont val="Tahoma"/>
            <family val="2"/>
          </rPr>
          <t xml:space="preserve">
проверити збир!
</t>
        </r>
      </text>
    </comment>
    <comment ref="I14010" authorId="0" shapeId="0">
      <text>
        <r>
          <rPr>
            <b/>
            <sz val="9"/>
            <color indexed="81"/>
            <rFont val="Tahoma"/>
            <family val="2"/>
          </rPr>
          <t>LPA:</t>
        </r>
        <r>
          <rPr>
            <sz val="9"/>
            <color indexed="81"/>
            <rFont val="Tahoma"/>
            <family val="2"/>
          </rPr>
          <t xml:space="preserve">
проверити збир!
</t>
        </r>
      </text>
    </comment>
    <comment ref="I14011" authorId="0" shapeId="0">
      <text>
        <r>
          <rPr>
            <b/>
            <sz val="9"/>
            <color indexed="81"/>
            <rFont val="Tahoma"/>
            <family val="2"/>
          </rPr>
          <t>LPA:</t>
        </r>
        <r>
          <rPr>
            <sz val="9"/>
            <color indexed="81"/>
            <rFont val="Tahoma"/>
            <family val="2"/>
          </rPr>
          <t xml:space="preserve">
проверити збир!
</t>
        </r>
      </text>
    </comment>
    <comment ref="I14012" authorId="0" shapeId="0">
      <text>
        <r>
          <rPr>
            <b/>
            <sz val="9"/>
            <color indexed="81"/>
            <rFont val="Tahoma"/>
            <family val="2"/>
          </rPr>
          <t>LPA:</t>
        </r>
        <r>
          <rPr>
            <sz val="9"/>
            <color indexed="81"/>
            <rFont val="Tahoma"/>
            <family val="2"/>
          </rPr>
          <t xml:space="preserve">
проверити збир!
</t>
        </r>
      </text>
    </comment>
    <comment ref="I14013" authorId="0" shapeId="0">
      <text>
        <r>
          <rPr>
            <b/>
            <sz val="9"/>
            <color indexed="81"/>
            <rFont val="Tahoma"/>
            <family val="2"/>
          </rPr>
          <t>LPA:</t>
        </r>
        <r>
          <rPr>
            <sz val="9"/>
            <color indexed="81"/>
            <rFont val="Tahoma"/>
            <family val="2"/>
          </rPr>
          <t xml:space="preserve">
проверити збир!
</t>
        </r>
      </text>
    </comment>
    <comment ref="I14014" authorId="0" shapeId="0">
      <text>
        <r>
          <rPr>
            <b/>
            <sz val="9"/>
            <color indexed="81"/>
            <rFont val="Tahoma"/>
            <family val="2"/>
          </rPr>
          <t>LPA:</t>
        </r>
        <r>
          <rPr>
            <sz val="9"/>
            <color indexed="81"/>
            <rFont val="Tahoma"/>
            <family val="2"/>
          </rPr>
          <t xml:space="preserve">
проверити збир!
</t>
        </r>
      </text>
    </comment>
    <comment ref="I14015" authorId="0" shapeId="0">
      <text>
        <r>
          <rPr>
            <b/>
            <sz val="9"/>
            <color indexed="81"/>
            <rFont val="Tahoma"/>
            <family val="2"/>
          </rPr>
          <t>LPA:</t>
        </r>
        <r>
          <rPr>
            <sz val="9"/>
            <color indexed="81"/>
            <rFont val="Tahoma"/>
            <family val="2"/>
          </rPr>
          <t xml:space="preserve">
проверити збир!
</t>
        </r>
      </text>
    </comment>
    <comment ref="I14084" authorId="0" shapeId="0">
      <text>
        <r>
          <rPr>
            <b/>
            <sz val="9"/>
            <color indexed="81"/>
            <rFont val="Tahoma"/>
            <family val="2"/>
          </rPr>
          <t>LPA:</t>
        </r>
        <r>
          <rPr>
            <sz val="9"/>
            <color indexed="81"/>
            <rFont val="Tahoma"/>
            <family val="2"/>
          </rPr>
          <t xml:space="preserve">
проверити збир!
</t>
        </r>
      </text>
    </comment>
    <comment ref="I14085" authorId="0" shapeId="0">
      <text>
        <r>
          <rPr>
            <b/>
            <sz val="9"/>
            <color indexed="81"/>
            <rFont val="Tahoma"/>
            <family val="2"/>
          </rPr>
          <t>LPA:</t>
        </r>
        <r>
          <rPr>
            <sz val="9"/>
            <color indexed="81"/>
            <rFont val="Tahoma"/>
            <family val="2"/>
          </rPr>
          <t xml:space="preserve">
проверити збир!
</t>
        </r>
      </text>
    </comment>
    <comment ref="I14086" authorId="0" shapeId="0">
      <text>
        <r>
          <rPr>
            <b/>
            <sz val="9"/>
            <color indexed="81"/>
            <rFont val="Tahoma"/>
            <family val="2"/>
          </rPr>
          <t>LPA:</t>
        </r>
        <r>
          <rPr>
            <sz val="9"/>
            <color indexed="81"/>
            <rFont val="Tahoma"/>
            <family val="2"/>
          </rPr>
          <t xml:space="preserve">
проверити збир!
</t>
        </r>
      </text>
    </comment>
    <comment ref="I14087" authorId="0" shapeId="0">
      <text>
        <r>
          <rPr>
            <b/>
            <sz val="9"/>
            <color indexed="81"/>
            <rFont val="Tahoma"/>
            <family val="2"/>
          </rPr>
          <t>LPA:</t>
        </r>
        <r>
          <rPr>
            <sz val="9"/>
            <color indexed="81"/>
            <rFont val="Tahoma"/>
            <family val="2"/>
          </rPr>
          <t xml:space="preserve">
проверити збир!
</t>
        </r>
      </text>
    </comment>
    <comment ref="I14088" authorId="0" shapeId="0">
      <text>
        <r>
          <rPr>
            <b/>
            <sz val="9"/>
            <color indexed="81"/>
            <rFont val="Tahoma"/>
            <family val="2"/>
          </rPr>
          <t>LPA:</t>
        </r>
        <r>
          <rPr>
            <sz val="9"/>
            <color indexed="81"/>
            <rFont val="Tahoma"/>
            <family val="2"/>
          </rPr>
          <t xml:space="preserve">
проверити збир!
</t>
        </r>
      </text>
    </comment>
    <comment ref="I14089" authorId="0" shapeId="0">
      <text>
        <r>
          <rPr>
            <b/>
            <sz val="9"/>
            <color indexed="81"/>
            <rFont val="Tahoma"/>
            <family val="2"/>
          </rPr>
          <t>LPA:</t>
        </r>
        <r>
          <rPr>
            <sz val="9"/>
            <color indexed="81"/>
            <rFont val="Tahoma"/>
            <family val="2"/>
          </rPr>
          <t xml:space="preserve">
проверити збир!
</t>
        </r>
      </text>
    </comment>
    <comment ref="I14090" authorId="0" shapeId="0">
      <text>
        <r>
          <rPr>
            <b/>
            <sz val="9"/>
            <color indexed="81"/>
            <rFont val="Tahoma"/>
            <family val="2"/>
          </rPr>
          <t>LPA:</t>
        </r>
        <r>
          <rPr>
            <sz val="9"/>
            <color indexed="81"/>
            <rFont val="Tahoma"/>
            <family val="2"/>
          </rPr>
          <t xml:space="preserve">
проверити збир!
</t>
        </r>
      </text>
    </comment>
    <comment ref="I14091" authorId="0" shapeId="0">
      <text>
        <r>
          <rPr>
            <b/>
            <sz val="9"/>
            <color indexed="81"/>
            <rFont val="Tahoma"/>
            <family val="2"/>
          </rPr>
          <t>LPA:</t>
        </r>
        <r>
          <rPr>
            <sz val="9"/>
            <color indexed="81"/>
            <rFont val="Tahoma"/>
            <family val="2"/>
          </rPr>
          <t xml:space="preserve">
проверити збир!
</t>
        </r>
      </text>
    </comment>
    <comment ref="I14092" authorId="0" shapeId="0">
      <text>
        <r>
          <rPr>
            <b/>
            <sz val="9"/>
            <color indexed="81"/>
            <rFont val="Tahoma"/>
            <family val="2"/>
          </rPr>
          <t>LPA:</t>
        </r>
        <r>
          <rPr>
            <sz val="9"/>
            <color indexed="81"/>
            <rFont val="Tahoma"/>
            <family val="2"/>
          </rPr>
          <t xml:space="preserve">
проверити збир!
</t>
        </r>
      </text>
    </comment>
    <comment ref="I14093" authorId="0" shapeId="0">
      <text>
        <r>
          <rPr>
            <b/>
            <sz val="9"/>
            <color indexed="81"/>
            <rFont val="Tahoma"/>
            <family val="2"/>
          </rPr>
          <t>LPA:</t>
        </r>
        <r>
          <rPr>
            <sz val="9"/>
            <color indexed="81"/>
            <rFont val="Tahoma"/>
            <family val="2"/>
          </rPr>
          <t xml:space="preserve">
проверити збир!
</t>
        </r>
      </text>
    </comment>
    <comment ref="I14094" authorId="0" shapeId="0">
      <text>
        <r>
          <rPr>
            <b/>
            <sz val="9"/>
            <color indexed="81"/>
            <rFont val="Tahoma"/>
            <family val="2"/>
          </rPr>
          <t>LPA:</t>
        </r>
        <r>
          <rPr>
            <sz val="9"/>
            <color indexed="81"/>
            <rFont val="Tahoma"/>
            <family val="2"/>
          </rPr>
          <t xml:space="preserve">
проверити збир!
</t>
        </r>
      </text>
    </comment>
    <comment ref="I14095" authorId="0" shapeId="0">
      <text>
        <r>
          <rPr>
            <b/>
            <sz val="9"/>
            <color indexed="81"/>
            <rFont val="Tahoma"/>
            <family val="2"/>
          </rPr>
          <t>LPA:</t>
        </r>
        <r>
          <rPr>
            <sz val="9"/>
            <color indexed="81"/>
            <rFont val="Tahoma"/>
            <family val="2"/>
          </rPr>
          <t xml:space="preserve">
проверити збир!
</t>
        </r>
      </text>
    </comment>
    <comment ref="I14096" authorId="0" shapeId="0">
      <text>
        <r>
          <rPr>
            <b/>
            <sz val="9"/>
            <color indexed="81"/>
            <rFont val="Tahoma"/>
            <family val="2"/>
          </rPr>
          <t>LPA:</t>
        </r>
        <r>
          <rPr>
            <sz val="9"/>
            <color indexed="81"/>
            <rFont val="Tahoma"/>
            <family val="2"/>
          </rPr>
          <t xml:space="preserve">
проверити збир!
</t>
        </r>
      </text>
    </comment>
    <comment ref="H14099" authorId="0" shapeId="0">
      <text>
        <r>
          <rPr>
            <b/>
            <sz val="9"/>
            <color indexed="81"/>
            <rFont val="Tahoma"/>
            <family val="2"/>
          </rPr>
          <t>LPA:</t>
        </r>
        <r>
          <rPr>
            <sz val="9"/>
            <color indexed="81"/>
            <rFont val="Tahoma"/>
            <family val="2"/>
          </rPr>
          <t xml:space="preserve">
проверити збир!</t>
        </r>
      </text>
    </comment>
    <comment ref="I14099" authorId="0" shapeId="0">
      <text>
        <r>
          <rPr>
            <b/>
            <sz val="9"/>
            <color indexed="81"/>
            <rFont val="Tahoma"/>
            <family val="2"/>
          </rPr>
          <t>LPA:</t>
        </r>
        <r>
          <rPr>
            <sz val="9"/>
            <color indexed="81"/>
            <rFont val="Tahoma"/>
            <family val="2"/>
          </rPr>
          <t xml:space="preserve">
проверити збир!</t>
        </r>
      </text>
    </comment>
    <comment ref="I14100" authorId="0" shapeId="0">
      <text>
        <r>
          <rPr>
            <b/>
            <sz val="9"/>
            <color indexed="81"/>
            <rFont val="Tahoma"/>
            <family val="2"/>
          </rPr>
          <t>LPA:</t>
        </r>
        <r>
          <rPr>
            <sz val="9"/>
            <color indexed="81"/>
            <rFont val="Tahoma"/>
            <family val="2"/>
          </rPr>
          <t xml:space="preserve">
проверити збир!
</t>
        </r>
      </text>
    </comment>
    <comment ref="I14101" authorId="0" shapeId="0">
      <text>
        <r>
          <rPr>
            <b/>
            <sz val="9"/>
            <color indexed="81"/>
            <rFont val="Tahoma"/>
            <family val="2"/>
          </rPr>
          <t>LPA:</t>
        </r>
        <r>
          <rPr>
            <sz val="9"/>
            <color indexed="81"/>
            <rFont val="Tahoma"/>
            <family val="2"/>
          </rPr>
          <t xml:space="preserve">
проверити збир!
</t>
        </r>
      </text>
    </comment>
    <comment ref="I14102" authorId="0" shapeId="0">
      <text>
        <r>
          <rPr>
            <b/>
            <sz val="9"/>
            <color indexed="81"/>
            <rFont val="Tahoma"/>
            <family val="2"/>
          </rPr>
          <t>LPA:</t>
        </r>
        <r>
          <rPr>
            <sz val="9"/>
            <color indexed="81"/>
            <rFont val="Tahoma"/>
            <family val="2"/>
          </rPr>
          <t xml:space="preserve">
проверити збир!
</t>
        </r>
      </text>
    </comment>
    <comment ref="I14103" authorId="0" shapeId="0">
      <text>
        <r>
          <rPr>
            <b/>
            <sz val="9"/>
            <color indexed="81"/>
            <rFont val="Tahoma"/>
            <family val="2"/>
          </rPr>
          <t>LPA:</t>
        </r>
        <r>
          <rPr>
            <sz val="9"/>
            <color indexed="81"/>
            <rFont val="Tahoma"/>
            <family val="2"/>
          </rPr>
          <t xml:space="preserve">
проверити збир!
</t>
        </r>
      </text>
    </comment>
    <comment ref="I14104" authorId="0" shapeId="0">
      <text>
        <r>
          <rPr>
            <b/>
            <sz val="9"/>
            <color indexed="81"/>
            <rFont val="Tahoma"/>
            <family val="2"/>
          </rPr>
          <t>LPA:</t>
        </r>
        <r>
          <rPr>
            <sz val="9"/>
            <color indexed="81"/>
            <rFont val="Tahoma"/>
            <family val="2"/>
          </rPr>
          <t xml:space="preserve">
проверити збир!
</t>
        </r>
      </text>
    </comment>
    <comment ref="I14105" authorId="0" shapeId="0">
      <text>
        <r>
          <rPr>
            <b/>
            <sz val="9"/>
            <color indexed="81"/>
            <rFont val="Tahoma"/>
            <family val="2"/>
          </rPr>
          <t>LPA:</t>
        </r>
        <r>
          <rPr>
            <sz val="9"/>
            <color indexed="81"/>
            <rFont val="Tahoma"/>
            <family val="2"/>
          </rPr>
          <t xml:space="preserve">
проверити збир!
</t>
        </r>
      </text>
    </comment>
    <comment ref="I14106" authorId="0" shapeId="0">
      <text>
        <r>
          <rPr>
            <b/>
            <sz val="9"/>
            <color indexed="81"/>
            <rFont val="Tahoma"/>
            <family val="2"/>
          </rPr>
          <t>LPA:</t>
        </r>
        <r>
          <rPr>
            <sz val="9"/>
            <color indexed="81"/>
            <rFont val="Tahoma"/>
            <family val="2"/>
          </rPr>
          <t xml:space="preserve">
проверити збир!
</t>
        </r>
      </text>
    </comment>
    <comment ref="I14107" authorId="0" shapeId="0">
      <text>
        <r>
          <rPr>
            <b/>
            <sz val="9"/>
            <color indexed="81"/>
            <rFont val="Tahoma"/>
            <family val="2"/>
          </rPr>
          <t>LPA:</t>
        </r>
        <r>
          <rPr>
            <sz val="9"/>
            <color indexed="81"/>
            <rFont val="Tahoma"/>
            <family val="2"/>
          </rPr>
          <t xml:space="preserve">
проверити збир!
</t>
        </r>
      </text>
    </comment>
    <comment ref="I14108" authorId="0" shapeId="0">
      <text>
        <r>
          <rPr>
            <b/>
            <sz val="9"/>
            <color indexed="81"/>
            <rFont val="Tahoma"/>
            <family val="2"/>
          </rPr>
          <t>LPA:</t>
        </r>
        <r>
          <rPr>
            <sz val="9"/>
            <color indexed="81"/>
            <rFont val="Tahoma"/>
            <family val="2"/>
          </rPr>
          <t xml:space="preserve">
проверити збир!
</t>
        </r>
      </text>
    </comment>
    <comment ref="I14109" authorId="0" shapeId="0">
      <text>
        <r>
          <rPr>
            <b/>
            <sz val="9"/>
            <color indexed="81"/>
            <rFont val="Tahoma"/>
            <family val="2"/>
          </rPr>
          <t>LPA:</t>
        </r>
        <r>
          <rPr>
            <sz val="9"/>
            <color indexed="81"/>
            <rFont val="Tahoma"/>
            <family val="2"/>
          </rPr>
          <t xml:space="preserve">
проверити збир!
</t>
        </r>
      </text>
    </comment>
    <comment ref="I14110" authorId="0" shapeId="0">
      <text>
        <r>
          <rPr>
            <b/>
            <sz val="9"/>
            <color indexed="81"/>
            <rFont val="Tahoma"/>
            <family val="2"/>
          </rPr>
          <t>LPA:</t>
        </r>
        <r>
          <rPr>
            <sz val="9"/>
            <color indexed="81"/>
            <rFont val="Tahoma"/>
            <family val="2"/>
          </rPr>
          <t xml:space="preserve">
проверити збир!
</t>
        </r>
      </text>
    </comment>
    <comment ref="I14111" authorId="0" shapeId="0">
      <text>
        <r>
          <rPr>
            <b/>
            <sz val="9"/>
            <color indexed="81"/>
            <rFont val="Tahoma"/>
            <family val="2"/>
          </rPr>
          <t>LPA:</t>
        </r>
        <r>
          <rPr>
            <sz val="9"/>
            <color indexed="81"/>
            <rFont val="Tahoma"/>
            <family val="2"/>
          </rPr>
          <t xml:space="preserve">
проверити збир!
</t>
        </r>
      </text>
    </comment>
    <comment ref="I14112" authorId="0" shapeId="0">
      <text>
        <r>
          <rPr>
            <b/>
            <sz val="9"/>
            <color indexed="81"/>
            <rFont val="Tahoma"/>
            <family val="2"/>
          </rPr>
          <t>LPA:</t>
        </r>
        <r>
          <rPr>
            <sz val="9"/>
            <color indexed="81"/>
            <rFont val="Tahoma"/>
            <family val="2"/>
          </rPr>
          <t xml:space="preserve">
проверити збир!
</t>
        </r>
      </text>
    </comment>
    <comment ref="I14113" authorId="0" shapeId="0">
      <text>
        <r>
          <rPr>
            <b/>
            <sz val="9"/>
            <color indexed="81"/>
            <rFont val="Tahoma"/>
            <family val="2"/>
          </rPr>
          <t>LPA:</t>
        </r>
        <r>
          <rPr>
            <sz val="9"/>
            <color indexed="81"/>
            <rFont val="Tahoma"/>
            <family val="2"/>
          </rPr>
          <t xml:space="preserve">
проверити збир!
</t>
        </r>
      </text>
    </comment>
    <comment ref="I14114" authorId="0" shapeId="0">
      <text>
        <r>
          <rPr>
            <b/>
            <sz val="9"/>
            <color indexed="81"/>
            <rFont val="Tahoma"/>
            <family val="2"/>
          </rPr>
          <t>LPA:</t>
        </r>
        <r>
          <rPr>
            <sz val="9"/>
            <color indexed="81"/>
            <rFont val="Tahoma"/>
            <family val="2"/>
          </rPr>
          <t xml:space="preserve">
проверити збир!
</t>
        </r>
      </text>
    </comment>
    <comment ref="I14183" authorId="0" shapeId="0">
      <text>
        <r>
          <rPr>
            <b/>
            <sz val="9"/>
            <color indexed="81"/>
            <rFont val="Tahoma"/>
            <family val="2"/>
          </rPr>
          <t>LPA:</t>
        </r>
        <r>
          <rPr>
            <sz val="9"/>
            <color indexed="81"/>
            <rFont val="Tahoma"/>
            <family val="2"/>
          </rPr>
          <t xml:space="preserve">
проверити збир!
</t>
        </r>
      </text>
    </comment>
    <comment ref="I14184" authorId="0" shapeId="0">
      <text>
        <r>
          <rPr>
            <b/>
            <sz val="9"/>
            <color indexed="81"/>
            <rFont val="Tahoma"/>
            <family val="2"/>
          </rPr>
          <t>LPA:</t>
        </r>
        <r>
          <rPr>
            <sz val="9"/>
            <color indexed="81"/>
            <rFont val="Tahoma"/>
            <family val="2"/>
          </rPr>
          <t xml:space="preserve">
проверити збир!
</t>
        </r>
      </text>
    </comment>
    <comment ref="I14185" authorId="0" shapeId="0">
      <text>
        <r>
          <rPr>
            <b/>
            <sz val="9"/>
            <color indexed="81"/>
            <rFont val="Tahoma"/>
            <family val="2"/>
          </rPr>
          <t>LPA:</t>
        </r>
        <r>
          <rPr>
            <sz val="9"/>
            <color indexed="81"/>
            <rFont val="Tahoma"/>
            <family val="2"/>
          </rPr>
          <t xml:space="preserve">
проверити збир!
</t>
        </r>
      </text>
    </comment>
    <comment ref="I14186" authorId="0" shapeId="0">
      <text>
        <r>
          <rPr>
            <b/>
            <sz val="9"/>
            <color indexed="81"/>
            <rFont val="Tahoma"/>
            <family val="2"/>
          </rPr>
          <t>LPA:</t>
        </r>
        <r>
          <rPr>
            <sz val="9"/>
            <color indexed="81"/>
            <rFont val="Tahoma"/>
            <family val="2"/>
          </rPr>
          <t xml:space="preserve">
проверити збир!
</t>
        </r>
      </text>
    </comment>
    <comment ref="I14187" authorId="0" shapeId="0">
      <text>
        <r>
          <rPr>
            <b/>
            <sz val="9"/>
            <color indexed="81"/>
            <rFont val="Tahoma"/>
            <family val="2"/>
          </rPr>
          <t>LPA:</t>
        </r>
        <r>
          <rPr>
            <sz val="9"/>
            <color indexed="81"/>
            <rFont val="Tahoma"/>
            <family val="2"/>
          </rPr>
          <t xml:space="preserve">
проверити збир!
</t>
        </r>
      </text>
    </comment>
    <comment ref="I14188" authorId="0" shapeId="0">
      <text>
        <r>
          <rPr>
            <b/>
            <sz val="9"/>
            <color indexed="81"/>
            <rFont val="Tahoma"/>
            <family val="2"/>
          </rPr>
          <t>LPA:</t>
        </r>
        <r>
          <rPr>
            <sz val="9"/>
            <color indexed="81"/>
            <rFont val="Tahoma"/>
            <family val="2"/>
          </rPr>
          <t xml:space="preserve">
проверити збир!
</t>
        </r>
      </text>
    </comment>
    <comment ref="I14189" authorId="0" shapeId="0">
      <text>
        <r>
          <rPr>
            <b/>
            <sz val="9"/>
            <color indexed="81"/>
            <rFont val="Tahoma"/>
            <family val="2"/>
          </rPr>
          <t>LPA:</t>
        </r>
        <r>
          <rPr>
            <sz val="9"/>
            <color indexed="81"/>
            <rFont val="Tahoma"/>
            <family val="2"/>
          </rPr>
          <t xml:space="preserve">
проверити збир!
</t>
        </r>
      </text>
    </comment>
    <comment ref="I14190" authorId="0" shapeId="0">
      <text>
        <r>
          <rPr>
            <b/>
            <sz val="9"/>
            <color indexed="81"/>
            <rFont val="Tahoma"/>
            <family val="2"/>
          </rPr>
          <t>LPA:</t>
        </r>
        <r>
          <rPr>
            <sz val="9"/>
            <color indexed="81"/>
            <rFont val="Tahoma"/>
            <family val="2"/>
          </rPr>
          <t xml:space="preserve">
проверити збир!
</t>
        </r>
      </text>
    </comment>
    <comment ref="I14191" authorId="0" shapeId="0">
      <text>
        <r>
          <rPr>
            <b/>
            <sz val="9"/>
            <color indexed="81"/>
            <rFont val="Tahoma"/>
            <family val="2"/>
          </rPr>
          <t>LPA:</t>
        </r>
        <r>
          <rPr>
            <sz val="9"/>
            <color indexed="81"/>
            <rFont val="Tahoma"/>
            <family val="2"/>
          </rPr>
          <t xml:space="preserve">
проверити збир!
</t>
        </r>
      </text>
    </comment>
    <comment ref="I14192" authorId="0" shapeId="0">
      <text>
        <r>
          <rPr>
            <b/>
            <sz val="9"/>
            <color indexed="81"/>
            <rFont val="Tahoma"/>
            <family val="2"/>
          </rPr>
          <t>LPA:</t>
        </r>
        <r>
          <rPr>
            <sz val="9"/>
            <color indexed="81"/>
            <rFont val="Tahoma"/>
            <family val="2"/>
          </rPr>
          <t xml:space="preserve">
проверити збир!
</t>
        </r>
      </text>
    </comment>
    <comment ref="I14193" authorId="0" shapeId="0">
      <text>
        <r>
          <rPr>
            <b/>
            <sz val="9"/>
            <color indexed="81"/>
            <rFont val="Tahoma"/>
            <family val="2"/>
          </rPr>
          <t>LPA:</t>
        </r>
        <r>
          <rPr>
            <sz val="9"/>
            <color indexed="81"/>
            <rFont val="Tahoma"/>
            <family val="2"/>
          </rPr>
          <t xml:space="preserve">
проверити збир!
</t>
        </r>
      </text>
    </comment>
    <comment ref="I14194" authorId="0" shapeId="0">
      <text>
        <r>
          <rPr>
            <b/>
            <sz val="9"/>
            <color indexed="81"/>
            <rFont val="Tahoma"/>
            <family val="2"/>
          </rPr>
          <t>LPA:</t>
        </r>
        <r>
          <rPr>
            <sz val="9"/>
            <color indexed="81"/>
            <rFont val="Tahoma"/>
            <family val="2"/>
          </rPr>
          <t xml:space="preserve">
проверити збир!
</t>
        </r>
      </text>
    </comment>
    <comment ref="I14195" authorId="0" shapeId="0">
      <text>
        <r>
          <rPr>
            <b/>
            <sz val="9"/>
            <color indexed="81"/>
            <rFont val="Tahoma"/>
            <family val="2"/>
          </rPr>
          <t>LPA:</t>
        </r>
        <r>
          <rPr>
            <sz val="9"/>
            <color indexed="81"/>
            <rFont val="Tahoma"/>
            <family val="2"/>
          </rPr>
          <t xml:space="preserve">
проверити збир!
</t>
        </r>
      </text>
    </comment>
    <comment ref="H14198" authorId="0" shapeId="0">
      <text>
        <r>
          <rPr>
            <b/>
            <sz val="9"/>
            <color indexed="81"/>
            <rFont val="Tahoma"/>
            <family val="2"/>
          </rPr>
          <t>LPA:</t>
        </r>
        <r>
          <rPr>
            <sz val="9"/>
            <color indexed="81"/>
            <rFont val="Tahoma"/>
            <family val="2"/>
          </rPr>
          <t xml:space="preserve">
проверити збир!</t>
        </r>
      </text>
    </comment>
    <comment ref="I14198" authorId="0" shapeId="0">
      <text>
        <r>
          <rPr>
            <b/>
            <sz val="9"/>
            <color indexed="81"/>
            <rFont val="Tahoma"/>
            <family val="2"/>
          </rPr>
          <t>LPA:</t>
        </r>
        <r>
          <rPr>
            <sz val="9"/>
            <color indexed="81"/>
            <rFont val="Tahoma"/>
            <family val="2"/>
          </rPr>
          <t xml:space="preserve">
проверити збир!</t>
        </r>
      </text>
    </comment>
    <comment ref="I14199" authorId="0" shapeId="0">
      <text>
        <r>
          <rPr>
            <b/>
            <sz val="9"/>
            <color indexed="81"/>
            <rFont val="Tahoma"/>
            <family val="2"/>
          </rPr>
          <t>LPA:</t>
        </r>
        <r>
          <rPr>
            <sz val="9"/>
            <color indexed="81"/>
            <rFont val="Tahoma"/>
            <family val="2"/>
          </rPr>
          <t xml:space="preserve">
проверити збир!
</t>
        </r>
      </text>
    </comment>
    <comment ref="I14200" authorId="0" shapeId="0">
      <text>
        <r>
          <rPr>
            <b/>
            <sz val="9"/>
            <color indexed="81"/>
            <rFont val="Tahoma"/>
            <family val="2"/>
          </rPr>
          <t>LPA:</t>
        </r>
        <r>
          <rPr>
            <sz val="9"/>
            <color indexed="81"/>
            <rFont val="Tahoma"/>
            <family val="2"/>
          </rPr>
          <t xml:space="preserve">
проверити збир!
</t>
        </r>
      </text>
    </comment>
    <comment ref="I14201" authorId="0" shapeId="0">
      <text>
        <r>
          <rPr>
            <b/>
            <sz val="9"/>
            <color indexed="81"/>
            <rFont val="Tahoma"/>
            <family val="2"/>
          </rPr>
          <t>LPA:</t>
        </r>
        <r>
          <rPr>
            <sz val="9"/>
            <color indexed="81"/>
            <rFont val="Tahoma"/>
            <family val="2"/>
          </rPr>
          <t xml:space="preserve">
проверити збир!
</t>
        </r>
      </text>
    </comment>
    <comment ref="I14202" authorId="0" shapeId="0">
      <text>
        <r>
          <rPr>
            <b/>
            <sz val="9"/>
            <color indexed="81"/>
            <rFont val="Tahoma"/>
            <family val="2"/>
          </rPr>
          <t>LPA:</t>
        </r>
        <r>
          <rPr>
            <sz val="9"/>
            <color indexed="81"/>
            <rFont val="Tahoma"/>
            <family val="2"/>
          </rPr>
          <t xml:space="preserve">
проверити збир!
</t>
        </r>
      </text>
    </comment>
    <comment ref="I14203" authorId="0" shapeId="0">
      <text>
        <r>
          <rPr>
            <b/>
            <sz val="9"/>
            <color indexed="81"/>
            <rFont val="Tahoma"/>
            <family val="2"/>
          </rPr>
          <t>LPA:</t>
        </r>
        <r>
          <rPr>
            <sz val="9"/>
            <color indexed="81"/>
            <rFont val="Tahoma"/>
            <family val="2"/>
          </rPr>
          <t xml:space="preserve">
проверити збир!
</t>
        </r>
      </text>
    </comment>
    <comment ref="I14204" authorId="0" shapeId="0">
      <text>
        <r>
          <rPr>
            <b/>
            <sz val="9"/>
            <color indexed="81"/>
            <rFont val="Tahoma"/>
            <family val="2"/>
          </rPr>
          <t>LPA:</t>
        </r>
        <r>
          <rPr>
            <sz val="9"/>
            <color indexed="81"/>
            <rFont val="Tahoma"/>
            <family val="2"/>
          </rPr>
          <t xml:space="preserve">
проверити збир!
</t>
        </r>
      </text>
    </comment>
    <comment ref="I14205" authorId="0" shapeId="0">
      <text>
        <r>
          <rPr>
            <b/>
            <sz val="9"/>
            <color indexed="81"/>
            <rFont val="Tahoma"/>
            <family val="2"/>
          </rPr>
          <t>LPA:</t>
        </r>
        <r>
          <rPr>
            <sz val="9"/>
            <color indexed="81"/>
            <rFont val="Tahoma"/>
            <family val="2"/>
          </rPr>
          <t xml:space="preserve">
проверити збир!
</t>
        </r>
      </text>
    </comment>
    <comment ref="I14206" authorId="0" shapeId="0">
      <text>
        <r>
          <rPr>
            <b/>
            <sz val="9"/>
            <color indexed="81"/>
            <rFont val="Tahoma"/>
            <family val="2"/>
          </rPr>
          <t>LPA:</t>
        </r>
        <r>
          <rPr>
            <sz val="9"/>
            <color indexed="81"/>
            <rFont val="Tahoma"/>
            <family val="2"/>
          </rPr>
          <t xml:space="preserve">
проверити збир!
</t>
        </r>
      </text>
    </comment>
    <comment ref="I14207" authorId="0" shapeId="0">
      <text>
        <r>
          <rPr>
            <b/>
            <sz val="9"/>
            <color indexed="81"/>
            <rFont val="Tahoma"/>
            <family val="2"/>
          </rPr>
          <t>LPA:</t>
        </r>
        <r>
          <rPr>
            <sz val="9"/>
            <color indexed="81"/>
            <rFont val="Tahoma"/>
            <family val="2"/>
          </rPr>
          <t xml:space="preserve">
проверити збир!
</t>
        </r>
      </text>
    </comment>
    <comment ref="I14208" authorId="0" shapeId="0">
      <text>
        <r>
          <rPr>
            <b/>
            <sz val="9"/>
            <color indexed="81"/>
            <rFont val="Tahoma"/>
            <family val="2"/>
          </rPr>
          <t>LPA:</t>
        </r>
        <r>
          <rPr>
            <sz val="9"/>
            <color indexed="81"/>
            <rFont val="Tahoma"/>
            <family val="2"/>
          </rPr>
          <t xml:space="preserve">
проверити збир!
</t>
        </r>
      </text>
    </comment>
    <comment ref="I14209" authorId="0" shapeId="0">
      <text>
        <r>
          <rPr>
            <b/>
            <sz val="9"/>
            <color indexed="81"/>
            <rFont val="Tahoma"/>
            <family val="2"/>
          </rPr>
          <t>LPA:</t>
        </r>
        <r>
          <rPr>
            <sz val="9"/>
            <color indexed="81"/>
            <rFont val="Tahoma"/>
            <family val="2"/>
          </rPr>
          <t xml:space="preserve">
проверити збир!
</t>
        </r>
      </text>
    </comment>
    <comment ref="I14210" authorId="0" shapeId="0">
      <text>
        <r>
          <rPr>
            <b/>
            <sz val="9"/>
            <color indexed="81"/>
            <rFont val="Tahoma"/>
            <family val="2"/>
          </rPr>
          <t>LPA:</t>
        </r>
        <r>
          <rPr>
            <sz val="9"/>
            <color indexed="81"/>
            <rFont val="Tahoma"/>
            <family val="2"/>
          </rPr>
          <t xml:space="preserve">
проверити збир!
</t>
        </r>
      </text>
    </comment>
    <comment ref="I14211" authorId="0" shapeId="0">
      <text>
        <r>
          <rPr>
            <b/>
            <sz val="9"/>
            <color indexed="81"/>
            <rFont val="Tahoma"/>
            <family val="2"/>
          </rPr>
          <t>LPA:</t>
        </r>
        <r>
          <rPr>
            <sz val="9"/>
            <color indexed="81"/>
            <rFont val="Tahoma"/>
            <family val="2"/>
          </rPr>
          <t xml:space="preserve">
проверити збир!
</t>
        </r>
      </text>
    </comment>
    <comment ref="I14212" authorId="0" shapeId="0">
      <text>
        <r>
          <rPr>
            <b/>
            <sz val="9"/>
            <color indexed="81"/>
            <rFont val="Tahoma"/>
            <family val="2"/>
          </rPr>
          <t>LPA:</t>
        </r>
        <r>
          <rPr>
            <sz val="9"/>
            <color indexed="81"/>
            <rFont val="Tahoma"/>
            <family val="2"/>
          </rPr>
          <t xml:space="preserve">
проверити збир!
</t>
        </r>
      </text>
    </comment>
    <comment ref="I14213" authorId="0" shapeId="0">
      <text>
        <r>
          <rPr>
            <b/>
            <sz val="9"/>
            <color indexed="81"/>
            <rFont val="Tahoma"/>
            <family val="2"/>
          </rPr>
          <t>LPA:</t>
        </r>
        <r>
          <rPr>
            <sz val="9"/>
            <color indexed="81"/>
            <rFont val="Tahoma"/>
            <family val="2"/>
          </rPr>
          <t xml:space="preserve">
проверити збир!
</t>
        </r>
      </text>
    </comment>
    <comment ref="I14282" authorId="0" shapeId="0">
      <text>
        <r>
          <rPr>
            <b/>
            <sz val="9"/>
            <color indexed="81"/>
            <rFont val="Tahoma"/>
            <family val="2"/>
          </rPr>
          <t>LPA:</t>
        </r>
        <r>
          <rPr>
            <sz val="9"/>
            <color indexed="81"/>
            <rFont val="Tahoma"/>
            <family val="2"/>
          </rPr>
          <t xml:space="preserve">
проверити збир!
</t>
        </r>
      </text>
    </comment>
    <comment ref="I14283" authorId="0" shapeId="0">
      <text>
        <r>
          <rPr>
            <b/>
            <sz val="9"/>
            <color indexed="81"/>
            <rFont val="Tahoma"/>
            <family val="2"/>
          </rPr>
          <t>LPA:</t>
        </r>
        <r>
          <rPr>
            <sz val="9"/>
            <color indexed="81"/>
            <rFont val="Tahoma"/>
            <family val="2"/>
          </rPr>
          <t xml:space="preserve">
проверити збир!
</t>
        </r>
      </text>
    </comment>
    <comment ref="I14284" authorId="0" shapeId="0">
      <text>
        <r>
          <rPr>
            <b/>
            <sz val="9"/>
            <color indexed="81"/>
            <rFont val="Tahoma"/>
            <family val="2"/>
          </rPr>
          <t>LPA:</t>
        </r>
        <r>
          <rPr>
            <sz val="9"/>
            <color indexed="81"/>
            <rFont val="Tahoma"/>
            <family val="2"/>
          </rPr>
          <t xml:space="preserve">
проверити збир!
</t>
        </r>
      </text>
    </comment>
    <comment ref="I14285" authorId="0" shapeId="0">
      <text>
        <r>
          <rPr>
            <b/>
            <sz val="9"/>
            <color indexed="81"/>
            <rFont val="Tahoma"/>
            <family val="2"/>
          </rPr>
          <t>LPA:</t>
        </r>
        <r>
          <rPr>
            <sz val="9"/>
            <color indexed="81"/>
            <rFont val="Tahoma"/>
            <family val="2"/>
          </rPr>
          <t xml:space="preserve">
проверити збир!
</t>
        </r>
      </text>
    </comment>
    <comment ref="I14286" authorId="0" shapeId="0">
      <text>
        <r>
          <rPr>
            <b/>
            <sz val="9"/>
            <color indexed="81"/>
            <rFont val="Tahoma"/>
            <family val="2"/>
          </rPr>
          <t>LPA:</t>
        </r>
        <r>
          <rPr>
            <sz val="9"/>
            <color indexed="81"/>
            <rFont val="Tahoma"/>
            <family val="2"/>
          </rPr>
          <t xml:space="preserve">
проверити збир!
</t>
        </r>
      </text>
    </comment>
    <comment ref="I14287" authorId="0" shapeId="0">
      <text>
        <r>
          <rPr>
            <b/>
            <sz val="9"/>
            <color indexed="81"/>
            <rFont val="Tahoma"/>
            <family val="2"/>
          </rPr>
          <t>LPA:</t>
        </r>
        <r>
          <rPr>
            <sz val="9"/>
            <color indexed="81"/>
            <rFont val="Tahoma"/>
            <family val="2"/>
          </rPr>
          <t xml:space="preserve">
проверити збир!
</t>
        </r>
      </text>
    </comment>
    <comment ref="I14288" authorId="0" shapeId="0">
      <text>
        <r>
          <rPr>
            <b/>
            <sz val="9"/>
            <color indexed="81"/>
            <rFont val="Tahoma"/>
            <family val="2"/>
          </rPr>
          <t>LPA:</t>
        </r>
        <r>
          <rPr>
            <sz val="9"/>
            <color indexed="81"/>
            <rFont val="Tahoma"/>
            <family val="2"/>
          </rPr>
          <t xml:space="preserve">
проверити збир!
</t>
        </r>
      </text>
    </comment>
    <comment ref="I14289" authorId="0" shapeId="0">
      <text>
        <r>
          <rPr>
            <b/>
            <sz val="9"/>
            <color indexed="81"/>
            <rFont val="Tahoma"/>
            <family val="2"/>
          </rPr>
          <t>LPA:</t>
        </r>
        <r>
          <rPr>
            <sz val="9"/>
            <color indexed="81"/>
            <rFont val="Tahoma"/>
            <family val="2"/>
          </rPr>
          <t xml:space="preserve">
проверити збир!
</t>
        </r>
      </text>
    </comment>
    <comment ref="I14290" authorId="0" shapeId="0">
      <text>
        <r>
          <rPr>
            <b/>
            <sz val="9"/>
            <color indexed="81"/>
            <rFont val="Tahoma"/>
            <family val="2"/>
          </rPr>
          <t>LPA:</t>
        </r>
        <r>
          <rPr>
            <sz val="9"/>
            <color indexed="81"/>
            <rFont val="Tahoma"/>
            <family val="2"/>
          </rPr>
          <t xml:space="preserve">
проверити збир!
</t>
        </r>
      </text>
    </comment>
    <comment ref="I14291" authorId="0" shapeId="0">
      <text>
        <r>
          <rPr>
            <b/>
            <sz val="9"/>
            <color indexed="81"/>
            <rFont val="Tahoma"/>
            <family val="2"/>
          </rPr>
          <t>LPA:</t>
        </r>
        <r>
          <rPr>
            <sz val="9"/>
            <color indexed="81"/>
            <rFont val="Tahoma"/>
            <family val="2"/>
          </rPr>
          <t xml:space="preserve">
проверити збир!
</t>
        </r>
      </text>
    </comment>
    <comment ref="I14292" authorId="0" shapeId="0">
      <text>
        <r>
          <rPr>
            <b/>
            <sz val="9"/>
            <color indexed="81"/>
            <rFont val="Tahoma"/>
            <family val="2"/>
          </rPr>
          <t>LPA:</t>
        </r>
        <r>
          <rPr>
            <sz val="9"/>
            <color indexed="81"/>
            <rFont val="Tahoma"/>
            <family val="2"/>
          </rPr>
          <t xml:space="preserve">
проверити збир!
</t>
        </r>
      </text>
    </comment>
    <comment ref="I14293" authorId="0" shapeId="0">
      <text>
        <r>
          <rPr>
            <b/>
            <sz val="9"/>
            <color indexed="81"/>
            <rFont val="Tahoma"/>
            <family val="2"/>
          </rPr>
          <t>LPA:</t>
        </r>
        <r>
          <rPr>
            <sz val="9"/>
            <color indexed="81"/>
            <rFont val="Tahoma"/>
            <family val="2"/>
          </rPr>
          <t xml:space="preserve">
проверити збир!
</t>
        </r>
      </text>
    </comment>
    <comment ref="I14294" authorId="0" shapeId="0">
      <text>
        <r>
          <rPr>
            <b/>
            <sz val="9"/>
            <color indexed="81"/>
            <rFont val="Tahoma"/>
            <family val="2"/>
          </rPr>
          <t>LPA:</t>
        </r>
        <r>
          <rPr>
            <sz val="9"/>
            <color indexed="81"/>
            <rFont val="Tahoma"/>
            <family val="2"/>
          </rPr>
          <t xml:space="preserve">
проверити збир!
</t>
        </r>
      </text>
    </comment>
    <comment ref="H14297" authorId="0" shapeId="0">
      <text>
        <r>
          <rPr>
            <b/>
            <sz val="9"/>
            <color indexed="81"/>
            <rFont val="Tahoma"/>
            <family val="2"/>
          </rPr>
          <t>LPA:</t>
        </r>
        <r>
          <rPr>
            <sz val="9"/>
            <color indexed="81"/>
            <rFont val="Tahoma"/>
            <family val="2"/>
          </rPr>
          <t xml:space="preserve">
проверити збир!</t>
        </r>
      </text>
    </comment>
    <comment ref="I14297" authorId="0" shapeId="0">
      <text>
        <r>
          <rPr>
            <b/>
            <sz val="9"/>
            <color indexed="81"/>
            <rFont val="Tahoma"/>
            <family val="2"/>
          </rPr>
          <t>LPA:</t>
        </r>
        <r>
          <rPr>
            <sz val="9"/>
            <color indexed="81"/>
            <rFont val="Tahoma"/>
            <family val="2"/>
          </rPr>
          <t xml:space="preserve">
проверити збир!</t>
        </r>
      </text>
    </comment>
    <comment ref="I14298" authorId="0" shapeId="0">
      <text>
        <r>
          <rPr>
            <b/>
            <sz val="9"/>
            <color indexed="81"/>
            <rFont val="Tahoma"/>
            <family val="2"/>
          </rPr>
          <t>LPA:</t>
        </r>
        <r>
          <rPr>
            <sz val="9"/>
            <color indexed="81"/>
            <rFont val="Tahoma"/>
            <family val="2"/>
          </rPr>
          <t xml:space="preserve">
проверити збир!
</t>
        </r>
      </text>
    </comment>
    <comment ref="I14299" authorId="0" shapeId="0">
      <text>
        <r>
          <rPr>
            <b/>
            <sz val="9"/>
            <color indexed="81"/>
            <rFont val="Tahoma"/>
            <family val="2"/>
          </rPr>
          <t>LPA:</t>
        </r>
        <r>
          <rPr>
            <sz val="9"/>
            <color indexed="81"/>
            <rFont val="Tahoma"/>
            <family val="2"/>
          </rPr>
          <t xml:space="preserve">
проверити збир!
</t>
        </r>
      </text>
    </comment>
    <comment ref="I14300" authorId="0" shapeId="0">
      <text>
        <r>
          <rPr>
            <b/>
            <sz val="9"/>
            <color indexed="81"/>
            <rFont val="Tahoma"/>
            <family val="2"/>
          </rPr>
          <t>LPA:</t>
        </r>
        <r>
          <rPr>
            <sz val="9"/>
            <color indexed="81"/>
            <rFont val="Tahoma"/>
            <family val="2"/>
          </rPr>
          <t xml:space="preserve">
проверити збир!
</t>
        </r>
      </text>
    </comment>
    <comment ref="I14301" authorId="0" shapeId="0">
      <text>
        <r>
          <rPr>
            <b/>
            <sz val="9"/>
            <color indexed="81"/>
            <rFont val="Tahoma"/>
            <family val="2"/>
          </rPr>
          <t>LPA:</t>
        </r>
        <r>
          <rPr>
            <sz val="9"/>
            <color indexed="81"/>
            <rFont val="Tahoma"/>
            <family val="2"/>
          </rPr>
          <t xml:space="preserve">
проверити збир!
</t>
        </r>
      </text>
    </comment>
    <comment ref="I14302" authorId="0" shapeId="0">
      <text>
        <r>
          <rPr>
            <b/>
            <sz val="9"/>
            <color indexed="81"/>
            <rFont val="Tahoma"/>
            <family val="2"/>
          </rPr>
          <t>LPA:</t>
        </r>
        <r>
          <rPr>
            <sz val="9"/>
            <color indexed="81"/>
            <rFont val="Tahoma"/>
            <family val="2"/>
          </rPr>
          <t xml:space="preserve">
проверити збир!
</t>
        </r>
      </text>
    </comment>
    <comment ref="I14303" authorId="0" shapeId="0">
      <text>
        <r>
          <rPr>
            <b/>
            <sz val="9"/>
            <color indexed="81"/>
            <rFont val="Tahoma"/>
            <family val="2"/>
          </rPr>
          <t>LPA:</t>
        </r>
        <r>
          <rPr>
            <sz val="9"/>
            <color indexed="81"/>
            <rFont val="Tahoma"/>
            <family val="2"/>
          </rPr>
          <t xml:space="preserve">
проверити збир!
</t>
        </r>
      </text>
    </comment>
    <comment ref="I14304" authorId="0" shapeId="0">
      <text>
        <r>
          <rPr>
            <b/>
            <sz val="9"/>
            <color indexed="81"/>
            <rFont val="Tahoma"/>
            <family val="2"/>
          </rPr>
          <t>LPA:</t>
        </r>
        <r>
          <rPr>
            <sz val="9"/>
            <color indexed="81"/>
            <rFont val="Tahoma"/>
            <family val="2"/>
          </rPr>
          <t xml:space="preserve">
проверити збир!
</t>
        </r>
      </text>
    </comment>
    <comment ref="I14305" authorId="0" shapeId="0">
      <text>
        <r>
          <rPr>
            <b/>
            <sz val="9"/>
            <color indexed="81"/>
            <rFont val="Tahoma"/>
            <family val="2"/>
          </rPr>
          <t>LPA:</t>
        </r>
        <r>
          <rPr>
            <sz val="9"/>
            <color indexed="81"/>
            <rFont val="Tahoma"/>
            <family val="2"/>
          </rPr>
          <t xml:space="preserve">
проверити збир!
</t>
        </r>
      </text>
    </comment>
    <comment ref="I14306" authorId="0" shapeId="0">
      <text>
        <r>
          <rPr>
            <b/>
            <sz val="9"/>
            <color indexed="81"/>
            <rFont val="Tahoma"/>
            <family val="2"/>
          </rPr>
          <t>LPA:</t>
        </r>
        <r>
          <rPr>
            <sz val="9"/>
            <color indexed="81"/>
            <rFont val="Tahoma"/>
            <family val="2"/>
          </rPr>
          <t xml:space="preserve">
проверити збир!
</t>
        </r>
      </text>
    </comment>
    <comment ref="I14307" authorId="0" shapeId="0">
      <text>
        <r>
          <rPr>
            <b/>
            <sz val="9"/>
            <color indexed="81"/>
            <rFont val="Tahoma"/>
            <family val="2"/>
          </rPr>
          <t>LPA:</t>
        </r>
        <r>
          <rPr>
            <sz val="9"/>
            <color indexed="81"/>
            <rFont val="Tahoma"/>
            <family val="2"/>
          </rPr>
          <t xml:space="preserve">
проверити збир!
</t>
        </r>
      </text>
    </comment>
    <comment ref="I14308" authorId="0" shapeId="0">
      <text>
        <r>
          <rPr>
            <b/>
            <sz val="9"/>
            <color indexed="81"/>
            <rFont val="Tahoma"/>
            <family val="2"/>
          </rPr>
          <t>LPA:</t>
        </r>
        <r>
          <rPr>
            <sz val="9"/>
            <color indexed="81"/>
            <rFont val="Tahoma"/>
            <family val="2"/>
          </rPr>
          <t xml:space="preserve">
проверити збир!
</t>
        </r>
      </text>
    </comment>
    <comment ref="I14309" authorId="0" shapeId="0">
      <text>
        <r>
          <rPr>
            <b/>
            <sz val="9"/>
            <color indexed="81"/>
            <rFont val="Tahoma"/>
            <family val="2"/>
          </rPr>
          <t>LPA:</t>
        </r>
        <r>
          <rPr>
            <sz val="9"/>
            <color indexed="81"/>
            <rFont val="Tahoma"/>
            <family val="2"/>
          </rPr>
          <t xml:space="preserve">
проверити збир!
</t>
        </r>
      </text>
    </comment>
    <comment ref="I14310" authorId="0" shapeId="0">
      <text>
        <r>
          <rPr>
            <b/>
            <sz val="9"/>
            <color indexed="81"/>
            <rFont val="Tahoma"/>
            <family val="2"/>
          </rPr>
          <t>LPA:</t>
        </r>
        <r>
          <rPr>
            <sz val="9"/>
            <color indexed="81"/>
            <rFont val="Tahoma"/>
            <family val="2"/>
          </rPr>
          <t xml:space="preserve">
проверити збир!
</t>
        </r>
      </text>
    </comment>
    <comment ref="I14311" authorId="0" shapeId="0">
      <text>
        <r>
          <rPr>
            <b/>
            <sz val="9"/>
            <color indexed="81"/>
            <rFont val="Tahoma"/>
            <family val="2"/>
          </rPr>
          <t>LPA:</t>
        </r>
        <r>
          <rPr>
            <sz val="9"/>
            <color indexed="81"/>
            <rFont val="Tahoma"/>
            <family val="2"/>
          </rPr>
          <t xml:space="preserve">
проверити збир!
</t>
        </r>
      </text>
    </comment>
    <comment ref="I14312" authorId="0" shapeId="0">
      <text>
        <r>
          <rPr>
            <b/>
            <sz val="9"/>
            <color indexed="81"/>
            <rFont val="Tahoma"/>
            <family val="2"/>
          </rPr>
          <t>LPA:</t>
        </r>
        <r>
          <rPr>
            <sz val="9"/>
            <color indexed="81"/>
            <rFont val="Tahoma"/>
            <family val="2"/>
          </rPr>
          <t xml:space="preserve">
проверити збир!
</t>
        </r>
      </text>
    </comment>
    <comment ref="I14381" authorId="0" shapeId="0">
      <text>
        <r>
          <rPr>
            <b/>
            <sz val="9"/>
            <color indexed="81"/>
            <rFont val="Tahoma"/>
            <family val="2"/>
          </rPr>
          <t>LPA:</t>
        </r>
        <r>
          <rPr>
            <sz val="9"/>
            <color indexed="81"/>
            <rFont val="Tahoma"/>
            <family val="2"/>
          </rPr>
          <t xml:space="preserve">
проверити збир!
</t>
        </r>
      </text>
    </comment>
    <comment ref="I14382" authorId="0" shapeId="0">
      <text>
        <r>
          <rPr>
            <b/>
            <sz val="9"/>
            <color indexed="81"/>
            <rFont val="Tahoma"/>
            <family val="2"/>
          </rPr>
          <t>LPA:</t>
        </r>
        <r>
          <rPr>
            <sz val="9"/>
            <color indexed="81"/>
            <rFont val="Tahoma"/>
            <family val="2"/>
          </rPr>
          <t xml:space="preserve">
проверити збир!
</t>
        </r>
      </text>
    </comment>
    <comment ref="I14383" authorId="0" shapeId="0">
      <text>
        <r>
          <rPr>
            <b/>
            <sz val="9"/>
            <color indexed="81"/>
            <rFont val="Tahoma"/>
            <family val="2"/>
          </rPr>
          <t>LPA:</t>
        </r>
        <r>
          <rPr>
            <sz val="9"/>
            <color indexed="81"/>
            <rFont val="Tahoma"/>
            <family val="2"/>
          </rPr>
          <t xml:space="preserve">
проверити збир!
</t>
        </r>
      </text>
    </comment>
    <comment ref="I14384" authorId="0" shapeId="0">
      <text>
        <r>
          <rPr>
            <b/>
            <sz val="9"/>
            <color indexed="81"/>
            <rFont val="Tahoma"/>
            <family val="2"/>
          </rPr>
          <t>LPA:</t>
        </r>
        <r>
          <rPr>
            <sz val="9"/>
            <color indexed="81"/>
            <rFont val="Tahoma"/>
            <family val="2"/>
          </rPr>
          <t xml:space="preserve">
проверити збир!
</t>
        </r>
      </text>
    </comment>
    <comment ref="I14385" authorId="0" shapeId="0">
      <text>
        <r>
          <rPr>
            <b/>
            <sz val="9"/>
            <color indexed="81"/>
            <rFont val="Tahoma"/>
            <family val="2"/>
          </rPr>
          <t>LPA:</t>
        </r>
        <r>
          <rPr>
            <sz val="9"/>
            <color indexed="81"/>
            <rFont val="Tahoma"/>
            <family val="2"/>
          </rPr>
          <t xml:space="preserve">
проверити збир!
</t>
        </r>
      </text>
    </comment>
    <comment ref="I14386" authorId="0" shapeId="0">
      <text>
        <r>
          <rPr>
            <b/>
            <sz val="9"/>
            <color indexed="81"/>
            <rFont val="Tahoma"/>
            <family val="2"/>
          </rPr>
          <t>LPA:</t>
        </r>
        <r>
          <rPr>
            <sz val="9"/>
            <color indexed="81"/>
            <rFont val="Tahoma"/>
            <family val="2"/>
          </rPr>
          <t xml:space="preserve">
проверити збир!
</t>
        </r>
      </text>
    </comment>
    <comment ref="I14387" authorId="0" shapeId="0">
      <text>
        <r>
          <rPr>
            <b/>
            <sz val="9"/>
            <color indexed="81"/>
            <rFont val="Tahoma"/>
            <family val="2"/>
          </rPr>
          <t>LPA:</t>
        </r>
        <r>
          <rPr>
            <sz val="9"/>
            <color indexed="81"/>
            <rFont val="Tahoma"/>
            <family val="2"/>
          </rPr>
          <t xml:space="preserve">
проверити збир!
</t>
        </r>
      </text>
    </comment>
    <comment ref="I14388" authorId="0" shapeId="0">
      <text>
        <r>
          <rPr>
            <b/>
            <sz val="9"/>
            <color indexed="81"/>
            <rFont val="Tahoma"/>
            <family val="2"/>
          </rPr>
          <t>LPA:</t>
        </r>
        <r>
          <rPr>
            <sz val="9"/>
            <color indexed="81"/>
            <rFont val="Tahoma"/>
            <family val="2"/>
          </rPr>
          <t xml:space="preserve">
проверити збир!
</t>
        </r>
      </text>
    </comment>
    <comment ref="I14389" authorId="0" shapeId="0">
      <text>
        <r>
          <rPr>
            <b/>
            <sz val="9"/>
            <color indexed="81"/>
            <rFont val="Tahoma"/>
            <family val="2"/>
          </rPr>
          <t>LPA:</t>
        </r>
        <r>
          <rPr>
            <sz val="9"/>
            <color indexed="81"/>
            <rFont val="Tahoma"/>
            <family val="2"/>
          </rPr>
          <t xml:space="preserve">
проверити збир!
</t>
        </r>
      </text>
    </comment>
    <comment ref="I14390" authorId="0" shapeId="0">
      <text>
        <r>
          <rPr>
            <b/>
            <sz val="9"/>
            <color indexed="81"/>
            <rFont val="Tahoma"/>
            <family val="2"/>
          </rPr>
          <t>LPA:</t>
        </r>
        <r>
          <rPr>
            <sz val="9"/>
            <color indexed="81"/>
            <rFont val="Tahoma"/>
            <family val="2"/>
          </rPr>
          <t xml:space="preserve">
проверити збир!
</t>
        </r>
      </text>
    </comment>
    <comment ref="I14391" authorId="0" shapeId="0">
      <text>
        <r>
          <rPr>
            <b/>
            <sz val="9"/>
            <color indexed="81"/>
            <rFont val="Tahoma"/>
            <family val="2"/>
          </rPr>
          <t>LPA:</t>
        </r>
        <r>
          <rPr>
            <sz val="9"/>
            <color indexed="81"/>
            <rFont val="Tahoma"/>
            <family val="2"/>
          </rPr>
          <t xml:space="preserve">
проверити збир!
</t>
        </r>
      </text>
    </comment>
    <comment ref="I14392" authorId="0" shapeId="0">
      <text>
        <r>
          <rPr>
            <b/>
            <sz val="9"/>
            <color indexed="81"/>
            <rFont val="Tahoma"/>
            <family val="2"/>
          </rPr>
          <t>LPA:</t>
        </r>
        <r>
          <rPr>
            <sz val="9"/>
            <color indexed="81"/>
            <rFont val="Tahoma"/>
            <family val="2"/>
          </rPr>
          <t xml:space="preserve">
проверити збир!
</t>
        </r>
      </text>
    </comment>
    <comment ref="I14393" authorId="0" shapeId="0">
      <text>
        <r>
          <rPr>
            <b/>
            <sz val="9"/>
            <color indexed="81"/>
            <rFont val="Tahoma"/>
            <family val="2"/>
          </rPr>
          <t>LPA:</t>
        </r>
        <r>
          <rPr>
            <sz val="9"/>
            <color indexed="81"/>
            <rFont val="Tahoma"/>
            <family val="2"/>
          </rPr>
          <t xml:space="preserve">
проверити збир!
</t>
        </r>
      </text>
    </comment>
    <comment ref="H14396" authorId="0" shapeId="0">
      <text>
        <r>
          <rPr>
            <b/>
            <sz val="9"/>
            <color indexed="81"/>
            <rFont val="Tahoma"/>
            <family val="2"/>
          </rPr>
          <t>LPA:</t>
        </r>
        <r>
          <rPr>
            <sz val="9"/>
            <color indexed="81"/>
            <rFont val="Tahoma"/>
            <family val="2"/>
          </rPr>
          <t xml:space="preserve">
проверити збир!</t>
        </r>
      </text>
    </comment>
    <comment ref="I14396" authorId="0" shapeId="0">
      <text>
        <r>
          <rPr>
            <b/>
            <sz val="9"/>
            <color indexed="81"/>
            <rFont val="Tahoma"/>
            <family val="2"/>
          </rPr>
          <t>LPA:</t>
        </r>
        <r>
          <rPr>
            <sz val="9"/>
            <color indexed="81"/>
            <rFont val="Tahoma"/>
            <family val="2"/>
          </rPr>
          <t xml:space="preserve">
проверити збир!</t>
        </r>
      </text>
    </comment>
    <comment ref="I14397" authorId="0" shapeId="0">
      <text>
        <r>
          <rPr>
            <b/>
            <sz val="9"/>
            <color indexed="81"/>
            <rFont val="Tahoma"/>
            <family val="2"/>
          </rPr>
          <t>LPA:</t>
        </r>
        <r>
          <rPr>
            <sz val="9"/>
            <color indexed="81"/>
            <rFont val="Tahoma"/>
            <family val="2"/>
          </rPr>
          <t xml:space="preserve">
проверити збир!
</t>
        </r>
      </text>
    </comment>
    <comment ref="I14398" authorId="0" shapeId="0">
      <text>
        <r>
          <rPr>
            <b/>
            <sz val="9"/>
            <color indexed="81"/>
            <rFont val="Tahoma"/>
            <family val="2"/>
          </rPr>
          <t>LPA:</t>
        </r>
        <r>
          <rPr>
            <sz val="9"/>
            <color indexed="81"/>
            <rFont val="Tahoma"/>
            <family val="2"/>
          </rPr>
          <t xml:space="preserve">
проверити збир!
</t>
        </r>
      </text>
    </comment>
    <comment ref="I14399" authorId="0" shapeId="0">
      <text>
        <r>
          <rPr>
            <b/>
            <sz val="9"/>
            <color indexed="81"/>
            <rFont val="Tahoma"/>
            <family val="2"/>
          </rPr>
          <t>LPA:</t>
        </r>
        <r>
          <rPr>
            <sz val="9"/>
            <color indexed="81"/>
            <rFont val="Tahoma"/>
            <family val="2"/>
          </rPr>
          <t xml:space="preserve">
проверити збир!
</t>
        </r>
      </text>
    </comment>
    <comment ref="I14400" authorId="0" shapeId="0">
      <text>
        <r>
          <rPr>
            <b/>
            <sz val="9"/>
            <color indexed="81"/>
            <rFont val="Tahoma"/>
            <family val="2"/>
          </rPr>
          <t>LPA:</t>
        </r>
        <r>
          <rPr>
            <sz val="9"/>
            <color indexed="81"/>
            <rFont val="Tahoma"/>
            <family val="2"/>
          </rPr>
          <t xml:space="preserve">
проверити збир!
</t>
        </r>
      </text>
    </comment>
    <comment ref="I14401" authorId="0" shapeId="0">
      <text>
        <r>
          <rPr>
            <b/>
            <sz val="9"/>
            <color indexed="81"/>
            <rFont val="Tahoma"/>
            <family val="2"/>
          </rPr>
          <t>LPA:</t>
        </r>
        <r>
          <rPr>
            <sz val="9"/>
            <color indexed="81"/>
            <rFont val="Tahoma"/>
            <family val="2"/>
          </rPr>
          <t xml:space="preserve">
проверити збир!
</t>
        </r>
      </text>
    </comment>
    <comment ref="I14402" authorId="0" shapeId="0">
      <text>
        <r>
          <rPr>
            <b/>
            <sz val="9"/>
            <color indexed="81"/>
            <rFont val="Tahoma"/>
            <family val="2"/>
          </rPr>
          <t>LPA:</t>
        </r>
        <r>
          <rPr>
            <sz val="9"/>
            <color indexed="81"/>
            <rFont val="Tahoma"/>
            <family val="2"/>
          </rPr>
          <t xml:space="preserve">
проверити збир!
</t>
        </r>
      </text>
    </comment>
    <comment ref="I14403" authorId="0" shapeId="0">
      <text>
        <r>
          <rPr>
            <b/>
            <sz val="9"/>
            <color indexed="81"/>
            <rFont val="Tahoma"/>
            <family val="2"/>
          </rPr>
          <t>LPA:</t>
        </r>
        <r>
          <rPr>
            <sz val="9"/>
            <color indexed="81"/>
            <rFont val="Tahoma"/>
            <family val="2"/>
          </rPr>
          <t xml:space="preserve">
проверити збир!
</t>
        </r>
      </text>
    </comment>
    <comment ref="I14404" authorId="0" shapeId="0">
      <text>
        <r>
          <rPr>
            <b/>
            <sz val="9"/>
            <color indexed="81"/>
            <rFont val="Tahoma"/>
            <family val="2"/>
          </rPr>
          <t>LPA:</t>
        </r>
        <r>
          <rPr>
            <sz val="9"/>
            <color indexed="81"/>
            <rFont val="Tahoma"/>
            <family val="2"/>
          </rPr>
          <t xml:space="preserve">
проверити збир!
</t>
        </r>
      </text>
    </comment>
    <comment ref="I14405" authorId="0" shapeId="0">
      <text>
        <r>
          <rPr>
            <b/>
            <sz val="9"/>
            <color indexed="81"/>
            <rFont val="Tahoma"/>
            <family val="2"/>
          </rPr>
          <t>LPA:</t>
        </r>
        <r>
          <rPr>
            <sz val="9"/>
            <color indexed="81"/>
            <rFont val="Tahoma"/>
            <family val="2"/>
          </rPr>
          <t xml:space="preserve">
проверити збир!
</t>
        </r>
      </text>
    </comment>
    <comment ref="I14406" authorId="0" shapeId="0">
      <text>
        <r>
          <rPr>
            <b/>
            <sz val="9"/>
            <color indexed="81"/>
            <rFont val="Tahoma"/>
            <family val="2"/>
          </rPr>
          <t>LPA:</t>
        </r>
        <r>
          <rPr>
            <sz val="9"/>
            <color indexed="81"/>
            <rFont val="Tahoma"/>
            <family val="2"/>
          </rPr>
          <t xml:space="preserve">
проверити збир!
</t>
        </r>
      </text>
    </comment>
    <comment ref="I14407" authorId="0" shapeId="0">
      <text>
        <r>
          <rPr>
            <b/>
            <sz val="9"/>
            <color indexed="81"/>
            <rFont val="Tahoma"/>
            <family val="2"/>
          </rPr>
          <t>LPA:</t>
        </r>
        <r>
          <rPr>
            <sz val="9"/>
            <color indexed="81"/>
            <rFont val="Tahoma"/>
            <family val="2"/>
          </rPr>
          <t xml:space="preserve">
проверити збир!
</t>
        </r>
      </text>
    </comment>
    <comment ref="I14408" authorId="0" shapeId="0">
      <text>
        <r>
          <rPr>
            <b/>
            <sz val="9"/>
            <color indexed="81"/>
            <rFont val="Tahoma"/>
            <family val="2"/>
          </rPr>
          <t>LPA:</t>
        </r>
        <r>
          <rPr>
            <sz val="9"/>
            <color indexed="81"/>
            <rFont val="Tahoma"/>
            <family val="2"/>
          </rPr>
          <t xml:space="preserve">
проверити збир!
</t>
        </r>
      </text>
    </comment>
    <comment ref="I14409" authorId="0" shapeId="0">
      <text>
        <r>
          <rPr>
            <b/>
            <sz val="9"/>
            <color indexed="81"/>
            <rFont val="Tahoma"/>
            <family val="2"/>
          </rPr>
          <t>LPA:</t>
        </r>
        <r>
          <rPr>
            <sz val="9"/>
            <color indexed="81"/>
            <rFont val="Tahoma"/>
            <family val="2"/>
          </rPr>
          <t xml:space="preserve">
проверити збир!
</t>
        </r>
      </text>
    </comment>
    <comment ref="I14410" authorId="0" shapeId="0">
      <text>
        <r>
          <rPr>
            <b/>
            <sz val="9"/>
            <color indexed="81"/>
            <rFont val="Tahoma"/>
            <family val="2"/>
          </rPr>
          <t>LPA:</t>
        </r>
        <r>
          <rPr>
            <sz val="9"/>
            <color indexed="81"/>
            <rFont val="Tahoma"/>
            <family val="2"/>
          </rPr>
          <t xml:space="preserve">
проверити збир!
</t>
        </r>
      </text>
    </comment>
    <comment ref="I14411" authorId="0" shapeId="0">
      <text>
        <r>
          <rPr>
            <b/>
            <sz val="9"/>
            <color indexed="81"/>
            <rFont val="Tahoma"/>
            <family val="2"/>
          </rPr>
          <t>LPA:</t>
        </r>
        <r>
          <rPr>
            <sz val="9"/>
            <color indexed="81"/>
            <rFont val="Tahoma"/>
            <family val="2"/>
          </rPr>
          <t xml:space="preserve">
проверити збир!
</t>
        </r>
      </text>
    </comment>
    <comment ref="I14480" authorId="0" shapeId="0">
      <text>
        <r>
          <rPr>
            <b/>
            <sz val="9"/>
            <color indexed="81"/>
            <rFont val="Tahoma"/>
            <family val="2"/>
          </rPr>
          <t>LPA:</t>
        </r>
        <r>
          <rPr>
            <sz val="9"/>
            <color indexed="81"/>
            <rFont val="Tahoma"/>
            <family val="2"/>
          </rPr>
          <t xml:space="preserve">
проверити збир!
</t>
        </r>
      </text>
    </comment>
    <comment ref="I14481" authorId="0" shapeId="0">
      <text>
        <r>
          <rPr>
            <b/>
            <sz val="9"/>
            <color indexed="81"/>
            <rFont val="Tahoma"/>
            <family val="2"/>
          </rPr>
          <t>LPA:</t>
        </r>
        <r>
          <rPr>
            <sz val="9"/>
            <color indexed="81"/>
            <rFont val="Tahoma"/>
            <family val="2"/>
          </rPr>
          <t xml:space="preserve">
проверити збир!
</t>
        </r>
      </text>
    </comment>
    <comment ref="I14482" authorId="0" shapeId="0">
      <text>
        <r>
          <rPr>
            <b/>
            <sz val="9"/>
            <color indexed="81"/>
            <rFont val="Tahoma"/>
            <family val="2"/>
          </rPr>
          <t>LPA:</t>
        </r>
        <r>
          <rPr>
            <sz val="9"/>
            <color indexed="81"/>
            <rFont val="Tahoma"/>
            <family val="2"/>
          </rPr>
          <t xml:space="preserve">
проверити збир!
</t>
        </r>
      </text>
    </comment>
    <comment ref="I14483" authorId="0" shapeId="0">
      <text>
        <r>
          <rPr>
            <b/>
            <sz val="9"/>
            <color indexed="81"/>
            <rFont val="Tahoma"/>
            <family val="2"/>
          </rPr>
          <t>LPA:</t>
        </r>
        <r>
          <rPr>
            <sz val="9"/>
            <color indexed="81"/>
            <rFont val="Tahoma"/>
            <family val="2"/>
          </rPr>
          <t xml:space="preserve">
проверити збир!
</t>
        </r>
      </text>
    </comment>
    <comment ref="I14484" authorId="0" shapeId="0">
      <text>
        <r>
          <rPr>
            <b/>
            <sz val="9"/>
            <color indexed="81"/>
            <rFont val="Tahoma"/>
            <family val="2"/>
          </rPr>
          <t>LPA:</t>
        </r>
        <r>
          <rPr>
            <sz val="9"/>
            <color indexed="81"/>
            <rFont val="Tahoma"/>
            <family val="2"/>
          </rPr>
          <t xml:space="preserve">
проверити збир!
</t>
        </r>
      </text>
    </comment>
    <comment ref="I14485" authorId="0" shapeId="0">
      <text>
        <r>
          <rPr>
            <b/>
            <sz val="9"/>
            <color indexed="81"/>
            <rFont val="Tahoma"/>
            <family val="2"/>
          </rPr>
          <t>LPA:</t>
        </r>
        <r>
          <rPr>
            <sz val="9"/>
            <color indexed="81"/>
            <rFont val="Tahoma"/>
            <family val="2"/>
          </rPr>
          <t xml:space="preserve">
проверити збир!
</t>
        </r>
      </text>
    </comment>
    <comment ref="I14486" authorId="0" shapeId="0">
      <text>
        <r>
          <rPr>
            <b/>
            <sz val="9"/>
            <color indexed="81"/>
            <rFont val="Tahoma"/>
            <family val="2"/>
          </rPr>
          <t>LPA:</t>
        </r>
        <r>
          <rPr>
            <sz val="9"/>
            <color indexed="81"/>
            <rFont val="Tahoma"/>
            <family val="2"/>
          </rPr>
          <t xml:space="preserve">
проверити збир!
</t>
        </r>
      </text>
    </comment>
    <comment ref="I14487" authorId="0" shapeId="0">
      <text>
        <r>
          <rPr>
            <b/>
            <sz val="9"/>
            <color indexed="81"/>
            <rFont val="Tahoma"/>
            <family val="2"/>
          </rPr>
          <t>LPA:</t>
        </r>
        <r>
          <rPr>
            <sz val="9"/>
            <color indexed="81"/>
            <rFont val="Tahoma"/>
            <family val="2"/>
          </rPr>
          <t xml:space="preserve">
проверити збир!
</t>
        </r>
      </text>
    </comment>
    <comment ref="I14488" authorId="0" shapeId="0">
      <text>
        <r>
          <rPr>
            <b/>
            <sz val="9"/>
            <color indexed="81"/>
            <rFont val="Tahoma"/>
            <family val="2"/>
          </rPr>
          <t>LPA:</t>
        </r>
        <r>
          <rPr>
            <sz val="9"/>
            <color indexed="81"/>
            <rFont val="Tahoma"/>
            <family val="2"/>
          </rPr>
          <t xml:space="preserve">
проверити збир!
</t>
        </r>
      </text>
    </comment>
    <comment ref="I14489" authorId="0" shapeId="0">
      <text>
        <r>
          <rPr>
            <b/>
            <sz val="9"/>
            <color indexed="81"/>
            <rFont val="Tahoma"/>
            <family val="2"/>
          </rPr>
          <t>LPA:</t>
        </r>
        <r>
          <rPr>
            <sz val="9"/>
            <color indexed="81"/>
            <rFont val="Tahoma"/>
            <family val="2"/>
          </rPr>
          <t xml:space="preserve">
проверити збир!
</t>
        </r>
      </text>
    </comment>
    <comment ref="I14490" authorId="0" shapeId="0">
      <text>
        <r>
          <rPr>
            <b/>
            <sz val="9"/>
            <color indexed="81"/>
            <rFont val="Tahoma"/>
            <family val="2"/>
          </rPr>
          <t>LPA:</t>
        </r>
        <r>
          <rPr>
            <sz val="9"/>
            <color indexed="81"/>
            <rFont val="Tahoma"/>
            <family val="2"/>
          </rPr>
          <t xml:space="preserve">
проверити збир!
</t>
        </r>
      </text>
    </comment>
    <comment ref="I14491" authorId="0" shapeId="0">
      <text>
        <r>
          <rPr>
            <b/>
            <sz val="9"/>
            <color indexed="81"/>
            <rFont val="Tahoma"/>
            <family val="2"/>
          </rPr>
          <t>LPA:</t>
        </r>
        <r>
          <rPr>
            <sz val="9"/>
            <color indexed="81"/>
            <rFont val="Tahoma"/>
            <family val="2"/>
          </rPr>
          <t xml:space="preserve">
проверити збир!
</t>
        </r>
      </text>
    </comment>
    <comment ref="I14492" authorId="0" shapeId="0">
      <text>
        <r>
          <rPr>
            <b/>
            <sz val="9"/>
            <color indexed="81"/>
            <rFont val="Tahoma"/>
            <family val="2"/>
          </rPr>
          <t>LPA:</t>
        </r>
        <r>
          <rPr>
            <sz val="9"/>
            <color indexed="81"/>
            <rFont val="Tahoma"/>
            <family val="2"/>
          </rPr>
          <t xml:space="preserve">
проверити збир!
</t>
        </r>
      </text>
    </comment>
    <comment ref="H14495" authorId="0" shapeId="0">
      <text>
        <r>
          <rPr>
            <b/>
            <sz val="9"/>
            <color indexed="81"/>
            <rFont val="Tahoma"/>
            <family val="2"/>
          </rPr>
          <t>LPA:</t>
        </r>
        <r>
          <rPr>
            <sz val="9"/>
            <color indexed="81"/>
            <rFont val="Tahoma"/>
            <family val="2"/>
          </rPr>
          <t xml:space="preserve">
проверити збир!</t>
        </r>
      </text>
    </comment>
    <comment ref="I14495" authorId="0" shapeId="0">
      <text>
        <r>
          <rPr>
            <b/>
            <sz val="9"/>
            <color indexed="81"/>
            <rFont val="Tahoma"/>
            <family val="2"/>
          </rPr>
          <t>LPA:</t>
        </r>
        <r>
          <rPr>
            <sz val="9"/>
            <color indexed="81"/>
            <rFont val="Tahoma"/>
            <family val="2"/>
          </rPr>
          <t xml:space="preserve">
проверити збир!</t>
        </r>
      </text>
    </comment>
    <comment ref="I14496" authorId="0" shapeId="0">
      <text>
        <r>
          <rPr>
            <b/>
            <sz val="9"/>
            <color indexed="81"/>
            <rFont val="Tahoma"/>
            <family val="2"/>
          </rPr>
          <t>LPA:</t>
        </r>
        <r>
          <rPr>
            <sz val="9"/>
            <color indexed="81"/>
            <rFont val="Tahoma"/>
            <family val="2"/>
          </rPr>
          <t xml:space="preserve">
проверити збир!
</t>
        </r>
      </text>
    </comment>
    <comment ref="I14497" authorId="0" shapeId="0">
      <text>
        <r>
          <rPr>
            <b/>
            <sz val="9"/>
            <color indexed="81"/>
            <rFont val="Tahoma"/>
            <family val="2"/>
          </rPr>
          <t>LPA:</t>
        </r>
        <r>
          <rPr>
            <sz val="9"/>
            <color indexed="81"/>
            <rFont val="Tahoma"/>
            <family val="2"/>
          </rPr>
          <t xml:space="preserve">
проверити збир!
</t>
        </r>
      </text>
    </comment>
    <comment ref="I14498" authorId="0" shapeId="0">
      <text>
        <r>
          <rPr>
            <b/>
            <sz val="9"/>
            <color indexed="81"/>
            <rFont val="Tahoma"/>
            <family val="2"/>
          </rPr>
          <t>LPA:</t>
        </r>
        <r>
          <rPr>
            <sz val="9"/>
            <color indexed="81"/>
            <rFont val="Tahoma"/>
            <family val="2"/>
          </rPr>
          <t xml:space="preserve">
проверити збир!
</t>
        </r>
      </text>
    </comment>
    <comment ref="I14499" authorId="0" shapeId="0">
      <text>
        <r>
          <rPr>
            <b/>
            <sz val="9"/>
            <color indexed="81"/>
            <rFont val="Tahoma"/>
            <family val="2"/>
          </rPr>
          <t>LPA:</t>
        </r>
        <r>
          <rPr>
            <sz val="9"/>
            <color indexed="81"/>
            <rFont val="Tahoma"/>
            <family val="2"/>
          </rPr>
          <t xml:space="preserve">
проверити збир!
</t>
        </r>
      </text>
    </comment>
    <comment ref="I14500" authorId="0" shapeId="0">
      <text>
        <r>
          <rPr>
            <b/>
            <sz val="9"/>
            <color indexed="81"/>
            <rFont val="Tahoma"/>
            <family val="2"/>
          </rPr>
          <t>LPA:</t>
        </r>
        <r>
          <rPr>
            <sz val="9"/>
            <color indexed="81"/>
            <rFont val="Tahoma"/>
            <family val="2"/>
          </rPr>
          <t xml:space="preserve">
проверити збир!
</t>
        </r>
      </text>
    </comment>
    <comment ref="I14501" authorId="0" shapeId="0">
      <text>
        <r>
          <rPr>
            <b/>
            <sz val="9"/>
            <color indexed="81"/>
            <rFont val="Tahoma"/>
            <family val="2"/>
          </rPr>
          <t>LPA:</t>
        </r>
        <r>
          <rPr>
            <sz val="9"/>
            <color indexed="81"/>
            <rFont val="Tahoma"/>
            <family val="2"/>
          </rPr>
          <t xml:space="preserve">
проверити збир!
</t>
        </r>
      </text>
    </comment>
    <comment ref="I14502" authorId="0" shapeId="0">
      <text>
        <r>
          <rPr>
            <b/>
            <sz val="9"/>
            <color indexed="81"/>
            <rFont val="Tahoma"/>
            <family val="2"/>
          </rPr>
          <t>LPA:</t>
        </r>
        <r>
          <rPr>
            <sz val="9"/>
            <color indexed="81"/>
            <rFont val="Tahoma"/>
            <family val="2"/>
          </rPr>
          <t xml:space="preserve">
проверити збир!
</t>
        </r>
      </text>
    </comment>
    <comment ref="I14503" authorId="0" shapeId="0">
      <text>
        <r>
          <rPr>
            <b/>
            <sz val="9"/>
            <color indexed="81"/>
            <rFont val="Tahoma"/>
            <family val="2"/>
          </rPr>
          <t>LPA:</t>
        </r>
        <r>
          <rPr>
            <sz val="9"/>
            <color indexed="81"/>
            <rFont val="Tahoma"/>
            <family val="2"/>
          </rPr>
          <t xml:space="preserve">
проверити збир!
</t>
        </r>
      </text>
    </comment>
    <comment ref="I14504" authorId="0" shapeId="0">
      <text>
        <r>
          <rPr>
            <b/>
            <sz val="9"/>
            <color indexed="81"/>
            <rFont val="Tahoma"/>
            <family val="2"/>
          </rPr>
          <t>LPA:</t>
        </r>
        <r>
          <rPr>
            <sz val="9"/>
            <color indexed="81"/>
            <rFont val="Tahoma"/>
            <family val="2"/>
          </rPr>
          <t xml:space="preserve">
проверити збир!
</t>
        </r>
      </text>
    </comment>
    <comment ref="I14505" authorId="0" shapeId="0">
      <text>
        <r>
          <rPr>
            <b/>
            <sz val="9"/>
            <color indexed="81"/>
            <rFont val="Tahoma"/>
            <family val="2"/>
          </rPr>
          <t>LPA:</t>
        </r>
        <r>
          <rPr>
            <sz val="9"/>
            <color indexed="81"/>
            <rFont val="Tahoma"/>
            <family val="2"/>
          </rPr>
          <t xml:space="preserve">
проверити збир!
</t>
        </r>
      </text>
    </comment>
    <comment ref="I14506" authorId="0" shapeId="0">
      <text>
        <r>
          <rPr>
            <b/>
            <sz val="9"/>
            <color indexed="81"/>
            <rFont val="Tahoma"/>
            <family val="2"/>
          </rPr>
          <t>LPA:</t>
        </r>
        <r>
          <rPr>
            <sz val="9"/>
            <color indexed="81"/>
            <rFont val="Tahoma"/>
            <family val="2"/>
          </rPr>
          <t xml:space="preserve">
проверити збир!
</t>
        </r>
      </text>
    </comment>
    <comment ref="I14507" authorId="0" shapeId="0">
      <text>
        <r>
          <rPr>
            <b/>
            <sz val="9"/>
            <color indexed="81"/>
            <rFont val="Tahoma"/>
            <family val="2"/>
          </rPr>
          <t>LPA:</t>
        </r>
        <r>
          <rPr>
            <sz val="9"/>
            <color indexed="81"/>
            <rFont val="Tahoma"/>
            <family val="2"/>
          </rPr>
          <t xml:space="preserve">
проверити збир!
</t>
        </r>
      </text>
    </comment>
    <comment ref="I14508" authorId="0" shapeId="0">
      <text>
        <r>
          <rPr>
            <b/>
            <sz val="9"/>
            <color indexed="81"/>
            <rFont val="Tahoma"/>
            <family val="2"/>
          </rPr>
          <t>LPA:</t>
        </r>
        <r>
          <rPr>
            <sz val="9"/>
            <color indexed="81"/>
            <rFont val="Tahoma"/>
            <family val="2"/>
          </rPr>
          <t xml:space="preserve">
проверити збир!
</t>
        </r>
      </text>
    </comment>
    <comment ref="I14509" authorId="0" shapeId="0">
      <text>
        <r>
          <rPr>
            <b/>
            <sz val="9"/>
            <color indexed="81"/>
            <rFont val="Tahoma"/>
            <family val="2"/>
          </rPr>
          <t>LPA:</t>
        </r>
        <r>
          <rPr>
            <sz val="9"/>
            <color indexed="81"/>
            <rFont val="Tahoma"/>
            <family val="2"/>
          </rPr>
          <t xml:space="preserve">
проверити збир!
</t>
        </r>
      </text>
    </comment>
    <comment ref="I14510" authorId="0" shapeId="0">
      <text>
        <r>
          <rPr>
            <b/>
            <sz val="9"/>
            <color indexed="81"/>
            <rFont val="Tahoma"/>
            <family val="2"/>
          </rPr>
          <t>LPA:</t>
        </r>
        <r>
          <rPr>
            <sz val="9"/>
            <color indexed="81"/>
            <rFont val="Tahoma"/>
            <family val="2"/>
          </rPr>
          <t xml:space="preserve">
проверити збир!
</t>
        </r>
      </text>
    </comment>
    <comment ref="I14579" authorId="0" shapeId="0">
      <text>
        <r>
          <rPr>
            <b/>
            <sz val="9"/>
            <color indexed="81"/>
            <rFont val="Tahoma"/>
            <family val="2"/>
          </rPr>
          <t>LPA:</t>
        </r>
        <r>
          <rPr>
            <sz val="9"/>
            <color indexed="81"/>
            <rFont val="Tahoma"/>
            <family val="2"/>
          </rPr>
          <t xml:space="preserve">
проверити збир!
</t>
        </r>
      </text>
    </comment>
    <comment ref="I14580" authorId="0" shapeId="0">
      <text>
        <r>
          <rPr>
            <b/>
            <sz val="9"/>
            <color indexed="81"/>
            <rFont val="Tahoma"/>
            <family val="2"/>
          </rPr>
          <t>LPA:</t>
        </r>
        <r>
          <rPr>
            <sz val="9"/>
            <color indexed="81"/>
            <rFont val="Tahoma"/>
            <family val="2"/>
          </rPr>
          <t xml:space="preserve">
проверити збир!
</t>
        </r>
      </text>
    </comment>
    <comment ref="I14581" authorId="0" shapeId="0">
      <text>
        <r>
          <rPr>
            <b/>
            <sz val="9"/>
            <color indexed="81"/>
            <rFont val="Tahoma"/>
            <family val="2"/>
          </rPr>
          <t>LPA:</t>
        </r>
        <r>
          <rPr>
            <sz val="9"/>
            <color indexed="81"/>
            <rFont val="Tahoma"/>
            <family val="2"/>
          </rPr>
          <t xml:space="preserve">
проверити збир!
</t>
        </r>
      </text>
    </comment>
    <comment ref="I14582" authorId="0" shapeId="0">
      <text>
        <r>
          <rPr>
            <b/>
            <sz val="9"/>
            <color indexed="81"/>
            <rFont val="Tahoma"/>
            <family val="2"/>
          </rPr>
          <t>LPA:</t>
        </r>
        <r>
          <rPr>
            <sz val="9"/>
            <color indexed="81"/>
            <rFont val="Tahoma"/>
            <family val="2"/>
          </rPr>
          <t xml:space="preserve">
проверити збир!
</t>
        </r>
      </text>
    </comment>
    <comment ref="I14583" authorId="0" shapeId="0">
      <text>
        <r>
          <rPr>
            <b/>
            <sz val="9"/>
            <color indexed="81"/>
            <rFont val="Tahoma"/>
            <family val="2"/>
          </rPr>
          <t>LPA:</t>
        </r>
        <r>
          <rPr>
            <sz val="9"/>
            <color indexed="81"/>
            <rFont val="Tahoma"/>
            <family val="2"/>
          </rPr>
          <t xml:space="preserve">
проверити збир!
</t>
        </r>
      </text>
    </comment>
    <comment ref="I14584" authorId="0" shapeId="0">
      <text>
        <r>
          <rPr>
            <b/>
            <sz val="9"/>
            <color indexed="81"/>
            <rFont val="Tahoma"/>
            <family val="2"/>
          </rPr>
          <t>LPA:</t>
        </r>
        <r>
          <rPr>
            <sz val="9"/>
            <color indexed="81"/>
            <rFont val="Tahoma"/>
            <family val="2"/>
          </rPr>
          <t xml:space="preserve">
проверити збир!
</t>
        </r>
      </text>
    </comment>
    <comment ref="I14585" authorId="0" shapeId="0">
      <text>
        <r>
          <rPr>
            <b/>
            <sz val="9"/>
            <color indexed="81"/>
            <rFont val="Tahoma"/>
            <family val="2"/>
          </rPr>
          <t>LPA:</t>
        </r>
        <r>
          <rPr>
            <sz val="9"/>
            <color indexed="81"/>
            <rFont val="Tahoma"/>
            <family val="2"/>
          </rPr>
          <t xml:space="preserve">
проверити збир!
</t>
        </r>
      </text>
    </comment>
    <comment ref="I14586" authorId="0" shapeId="0">
      <text>
        <r>
          <rPr>
            <b/>
            <sz val="9"/>
            <color indexed="81"/>
            <rFont val="Tahoma"/>
            <family val="2"/>
          </rPr>
          <t>LPA:</t>
        </r>
        <r>
          <rPr>
            <sz val="9"/>
            <color indexed="81"/>
            <rFont val="Tahoma"/>
            <family val="2"/>
          </rPr>
          <t xml:space="preserve">
проверити збир!
</t>
        </r>
      </text>
    </comment>
    <comment ref="I14587" authorId="0" shapeId="0">
      <text>
        <r>
          <rPr>
            <b/>
            <sz val="9"/>
            <color indexed="81"/>
            <rFont val="Tahoma"/>
            <family val="2"/>
          </rPr>
          <t>LPA:</t>
        </r>
        <r>
          <rPr>
            <sz val="9"/>
            <color indexed="81"/>
            <rFont val="Tahoma"/>
            <family val="2"/>
          </rPr>
          <t xml:space="preserve">
проверити збир!
</t>
        </r>
      </text>
    </comment>
    <comment ref="I14588" authorId="0" shapeId="0">
      <text>
        <r>
          <rPr>
            <b/>
            <sz val="9"/>
            <color indexed="81"/>
            <rFont val="Tahoma"/>
            <family val="2"/>
          </rPr>
          <t>LPA:</t>
        </r>
        <r>
          <rPr>
            <sz val="9"/>
            <color indexed="81"/>
            <rFont val="Tahoma"/>
            <family val="2"/>
          </rPr>
          <t xml:space="preserve">
проверити збир!
</t>
        </r>
      </text>
    </comment>
    <comment ref="I14589" authorId="0" shapeId="0">
      <text>
        <r>
          <rPr>
            <b/>
            <sz val="9"/>
            <color indexed="81"/>
            <rFont val="Tahoma"/>
            <family val="2"/>
          </rPr>
          <t>LPA:</t>
        </r>
        <r>
          <rPr>
            <sz val="9"/>
            <color indexed="81"/>
            <rFont val="Tahoma"/>
            <family val="2"/>
          </rPr>
          <t xml:space="preserve">
проверити збир!
</t>
        </r>
      </text>
    </comment>
    <comment ref="I14590" authorId="0" shapeId="0">
      <text>
        <r>
          <rPr>
            <b/>
            <sz val="9"/>
            <color indexed="81"/>
            <rFont val="Tahoma"/>
            <family val="2"/>
          </rPr>
          <t>LPA:</t>
        </r>
        <r>
          <rPr>
            <sz val="9"/>
            <color indexed="81"/>
            <rFont val="Tahoma"/>
            <family val="2"/>
          </rPr>
          <t xml:space="preserve">
проверити збир!
</t>
        </r>
      </text>
    </comment>
    <comment ref="I14591" authorId="0" shapeId="0">
      <text>
        <r>
          <rPr>
            <b/>
            <sz val="9"/>
            <color indexed="81"/>
            <rFont val="Tahoma"/>
            <family val="2"/>
          </rPr>
          <t>LPA:</t>
        </r>
        <r>
          <rPr>
            <sz val="9"/>
            <color indexed="81"/>
            <rFont val="Tahoma"/>
            <family val="2"/>
          </rPr>
          <t xml:space="preserve">
проверити збир!
</t>
        </r>
      </text>
    </comment>
    <comment ref="H14594" authorId="0" shapeId="0">
      <text>
        <r>
          <rPr>
            <b/>
            <sz val="9"/>
            <color indexed="81"/>
            <rFont val="Tahoma"/>
            <family val="2"/>
          </rPr>
          <t>LPA:</t>
        </r>
        <r>
          <rPr>
            <sz val="9"/>
            <color indexed="81"/>
            <rFont val="Tahoma"/>
            <family val="2"/>
          </rPr>
          <t xml:space="preserve">
проверити збир!</t>
        </r>
      </text>
    </comment>
    <comment ref="I14594" authorId="0" shapeId="0">
      <text>
        <r>
          <rPr>
            <b/>
            <sz val="9"/>
            <color indexed="81"/>
            <rFont val="Tahoma"/>
            <family val="2"/>
          </rPr>
          <t>LPA:</t>
        </r>
        <r>
          <rPr>
            <sz val="9"/>
            <color indexed="81"/>
            <rFont val="Tahoma"/>
            <family val="2"/>
          </rPr>
          <t xml:space="preserve">
проверити збир!</t>
        </r>
      </text>
    </comment>
    <comment ref="I14595" authorId="0" shapeId="0">
      <text>
        <r>
          <rPr>
            <b/>
            <sz val="9"/>
            <color indexed="81"/>
            <rFont val="Tahoma"/>
            <family val="2"/>
          </rPr>
          <t>LPA:</t>
        </r>
        <r>
          <rPr>
            <sz val="9"/>
            <color indexed="81"/>
            <rFont val="Tahoma"/>
            <family val="2"/>
          </rPr>
          <t xml:space="preserve">
проверити збир!
</t>
        </r>
      </text>
    </comment>
    <comment ref="I14596" authorId="0" shapeId="0">
      <text>
        <r>
          <rPr>
            <b/>
            <sz val="9"/>
            <color indexed="81"/>
            <rFont val="Tahoma"/>
            <family val="2"/>
          </rPr>
          <t>LPA:</t>
        </r>
        <r>
          <rPr>
            <sz val="9"/>
            <color indexed="81"/>
            <rFont val="Tahoma"/>
            <family val="2"/>
          </rPr>
          <t xml:space="preserve">
проверити збир!
</t>
        </r>
      </text>
    </comment>
    <comment ref="I14597" authorId="0" shapeId="0">
      <text>
        <r>
          <rPr>
            <b/>
            <sz val="9"/>
            <color indexed="81"/>
            <rFont val="Tahoma"/>
            <family val="2"/>
          </rPr>
          <t>LPA:</t>
        </r>
        <r>
          <rPr>
            <sz val="9"/>
            <color indexed="81"/>
            <rFont val="Tahoma"/>
            <family val="2"/>
          </rPr>
          <t xml:space="preserve">
проверити збир!
</t>
        </r>
      </text>
    </comment>
    <comment ref="I14598" authorId="0" shapeId="0">
      <text>
        <r>
          <rPr>
            <b/>
            <sz val="9"/>
            <color indexed="81"/>
            <rFont val="Tahoma"/>
            <family val="2"/>
          </rPr>
          <t>LPA:</t>
        </r>
        <r>
          <rPr>
            <sz val="9"/>
            <color indexed="81"/>
            <rFont val="Tahoma"/>
            <family val="2"/>
          </rPr>
          <t xml:space="preserve">
проверити збир!
</t>
        </r>
      </text>
    </comment>
    <comment ref="I14599" authorId="0" shapeId="0">
      <text>
        <r>
          <rPr>
            <b/>
            <sz val="9"/>
            <color indexed="81"/>
            <rFont val="Tahoma"/>
            <family val="2"/>
          </rPr>
          <t>LPA:</t>
        </r>
        <r>
          <rPr>
            <sz val="9"/>
            <color indexed="81"/>
            <rFont val="Tahoma"/>
            <family val="2"/>
          </rPr>
          <t xml:space="preserve">
проверити збир!
</t>
        </r>
      </text>
    </comment>
    <comment ref="I14600" authorId="0" shapeId="0">
      <text>
        <r>
          <rPr>
            <b/>
            <sz val="9"/>
            <color indexed="81"/>
            <rFont val="Tahoma"/>
            <family val="2"/>
          </rPr>
          <t>LPA:</t>
        </r>
        <r>
          <rPr>
            <sz val="9"/>
            <color indexed="81"/>
            <rFont val="Tahoma"/>
            <family val="2"/>
          </rPr>
          <t xml:space="preserve">
проверити збир!
</t>
        </r>
      </text>
    </comment>
    <comment ref="I14601" authorId="0" shapeId="0">
      <text>
        <r>
          <rPr>
            <b/>
            <sz val="9"/>
            <color indexed="81"/>
            <rFont val="Tahoma"/>
            <family val="2"/>
          </rPr>
          <t>LPA:</t>
        </r>
        <r>
          <rPr>
            <sz val="9"/>
            <color indexed="81"/>
            <rFont val="Tahoma"/>
            <family val="2"/>
          </rPr>
          <t xml:space="preserve">
проверити збир!
</t>
        </r>
      </text>
    </comment>
    <comment ref="I14602" authorId="0" shapeId="0">
      <text>
        <r>
          <rPr>
            <b/>
            <sz val="9"/>
            <color indexed="81"/>
            <rFont val="Tahoma"/>
            <family val="2"/>
          </rPr>
          <t>LPA:</t>
        </r>
        <r>
          <rPr>
            <sz val="9"/>
            <color indexed="81"/>
            <rFont val="Tahoma"/>
            <family val="2"/>
          </rPr>
          <t xml:space="preserve">
проверити збир!
</t>
        </r>
      </text>
    </comment>
    <comment ref="I14603" authorId="0" shapeId="0">
      <text>
        <r>
          <rPr>
            <b/>
            <sz val="9"/>
            <color indexed="81"/>
            <rFont val="Tahoma"/>
            <family val="2"/>
          </rPr>
          <t>LPA:</t>
        </r>
        <r>
          <rPr>
            <sz val="9"/>
            <color indexed="81"/>
            <rFont val="Tahoma"/>
            <family val="2"/>
          </rPr>
          <t xml:space="preserve">
проверити збир!
</t>
        </r>
      </text>
    </comment>
    <comment ref="I14604" authorId="0" shapeId="0">
      <text>
        <r>
          <rPr>
            <b/>
            <sz val="9"/>
            <color indexed="81"/>
            <rFont val="Tahoma"/>
            <family val="2"/>
          </rPr>
          <t>LPA:</t>
        </r>
        <r>
          <rPr>
            <sz val="9"/>
            <color indexed="81"/>
            <rFont val="Tahoma"/>
            <family val="2"/>
          </rPr>
          <t xml:space="preserve">
проверити збир!
</t>
        </r>
      </text>
    </comment>
    <comment ref="I14605" authorId="0" shapeId="0">
      <text>
        <r>
          <rPr>
            <b/>
            <sz val="9"/>
            <color indexed="81"/>
            <rFont val="Tahoma"/>
            <family val="2"/>
          </rPr>
          <t>LPA:</t>
        </r>
        <r>
          <rPr>
            <sz val="9"/>
            <color indexed="81"/>
            <rFont val="Tahoma"/>
            <family val="2"/>
          </rPr>
          <t xml:space="preserve">
проверити збир!
</t>
        </r>
      </text>
    </comment>
    <comment ref="I14606" authorId="0" shapeId="0">
      <text>
        <r>
          <rPr>
            <b/>
            <sz val="9"/>
            <color indexed="81"/>
            <rFont val="Tahoma"/>
            <family val="2"/>
          </rPr>
          <t>LPA:</t>
        </r>
        <r>
          <rPr>
            <sz val="9"/>
            <color indexed="81"/>
            <rFont val="Tahoma"/>
            <family val="2"/>
          </rPr>
          <t xml:space="preserve">
проверити збир!
</t>
        </r>
      </text>
    </comment>
    <comment ref="I14607" authorId="0" shapeId="0">
      <text>
        <r>
          <rPr>
            <b/>
            <sz val="9"/>
            <color indexed="81"/>
            <rFont val="Tahoma"/>
            <family val="2"/>
          </rPr>
          <t>LPA:</t>
        </r>
        <r>
          <rPr>
            <sz val="9"/>
            <color indexed="81"/>
            <rFont val="Tahoma"/>
            <family val="2"/>
          </rPr>
          <t xml:space="preserve">
проверити збир!
</t>
        </r>
      </text>
    </comment>
    <comment ref="I14608" authorId="0" shapeId="0">
      <text>
        <r>
          <rPr>
            <b/>
            <sz val="9"/>
            <color indexed="81"/>
            <rFont val="Tahoma"/>
            <family val="2"/>
          </rPr>
          <t>LPA:</t>
        </r>
        <r>
          <rPr>
            <sz val="9"/>
            <color indexed="81"/>
            <rFont val="Tahoma"/>
            <family val="2"/>
          </rPr>
          <t xml:space="preserve">
проверити збир!
</t>
        </r>
      </text>
    </comment>
    <comment ref="I14609" authorId="0" shapeId="0">
      <text>
        <r>
          <rPr>
            <b/>
            <sz val="9"/>
            <color indexed="81"/>
            <rFont val="Tahoma"/>
            <family val="2"/>
          </rPr>
          <t>LPA:</t>
        </r>
        <r>
          <rPr>
            <sz val="9"/>
            <color indexed="81"/>
            <rFont val="Tahoma"/>
            <family val="2"/>
          </rPr>
          <t xml:space="preserve">
проверити збир!
</t>
        </r>
      </text>
    </comment>
    <comment ref="I14678" authorId="0" shapeId="0">
      <text>
        <r>
          <rPr>
            <b/>
            <sz val="9"/>
            <color indexed="81"/>
            <rFont val="Tahoma"/>
            <family val="2"/>
          </rPr>
          <t>LPA:</t>
        </r>
        <r>
          <rPr>
            <sz val="9"/>
            <color indexed="81"/>
            <rFont val="Tahoma"/>
            <family val="2"/>
          </rPr>
          <t xml:space="preserve">
проверити збир!
</t>
        </r>
      </text>
    </comment>
    <comment ref="I14679" authorId="0" shapeId="0">
      <text>
        <r>
          <rPr>
            <b/>
            <sz val="9"/>
            <color indexed="81"/>
            <rFont val="Tahoma"/>
            <family val="2"/>
          </rPr>
          <t>LPA:</t>
        </r>
        <r>
          <rPr>
            <sz val="9"/>
            <color indexed="81"/>
            <rFont val="Tahoma"/>
            <family val="2"/>
          </rPr>
          <t xml:space="preserve">
проверити збир!
</t>
        </r>
      </text>
    </comment>
    <comment ref="I14680" authorId="0" shapeId="0">
      <text>
        <r>
          <rPr>
            <b/>
            <sz val="9"/>
            <color indexed="81"/>
            <rFont val="Tahoma"/>
            <family val="2"/>
          </rPr>
          <t>LPA:</t>
        </r>
        <r>
          <rPr>
            <sz val="9"/>
            <color indexed="81"/>
            <rFont val="Tahoma"/>
            <family val="2"/>
          </rPr>
          <t xml:space="preserve">
проверити збир!
</t>
        </r>
      </text>
    </comment>
    <comment ref="I14681" authorId="0" shapeId="0">
      <text>
        <r>
          <rPr>
            <b/>
            <sz val="9"/>
            <color indexed="81"/>
            <rFont val="Tahoma"/>
            <family val="2"/>
          </rPr>
          <t>LPA:</t>
        </r>
        <r>
          <rPr>
            <sz val="9"/>
            <color indexed="81"/>
            <rFont val="Tahoma"/>
            <family val="2"/>
          </rPr>
          <t xml:space="preserve">
проверити збир!
</t>
        </r>
      </text>
    </comment>
    <comment ref="I14682" authorId="0" shapeId="0">
      <text>
        <r>
          <rPr>
            <b/>
            <sz val="9"/>
            <color indexed="81"/>
            <rFont val="Tahoma"/>
            <family val="2"/>
          </rPr>
          <t>LPA:</t>
        </r>
        <r>
          <rPr>
            <sz val="9"/>
            <color indexed="81"/>
            <rFont val="Tahoma"/>
            <family val="2"/>
          </rPr>
          <t xml:space="preserve">
проверити збир!
</t>
        </r>
      </text>
    </comment>
    <comment ref="I14683" authorId="0" shapeId="0">
      <text>
        <r>
          <rPr>
            <b/>
            <sz val="9"/>
            <color indexed="81"/>
            <rFont val="Tahoma"/>
            <family val="2"/>
          </rPr>
          <t>LPA:</t>
        </r>
        <r>
          <rPr>
            <sz val="9"/>
            <color indexed="81"/>
            <rFont val="Tahoma"/>
            <family val="2"/>
          </rPr>
          <t xml:space="preserve">
проверити збир!
</t>
        </r>
      </text>
    </comment>
    <comment ref="I14684" authorId="0" shapeId="0">
      <text>
        <r>
          <rPr>
            <b/>
            <sz val="9"/>
            <color indexed="81"/>
            <rFont val="Tahoma"/>
            <family val="2"/>
          </rPr>
          <t>LPA:</t>
        </r>
        <r>
          <rPr>
            <sz val="9"/>
            <color indexed="81"/>
            <rFont val="Tahoma"/>
            <family val="2"/>
          </rPr>
          <t xml:space="preserve">
проверити збир!
</t>
        </r>
      </text>
    </comment>
    <comment ref="I14685" authorId="0" shapeId="0">
      <text>
        <r>
          <rPr>
            <b/>
            <sz val="9"/>
            <color indexed="81"/>
            <rFont val="Tahoma"/>
            <family val="2"/>
          </rPr>
          <t>LPA:</t>
        </r>
        <r>
          <rPr>
            <sz val="9"/>
            <color indexed="81"/>
            <rFont val="Tahoma"/>
            <family val="2"/>
          </rPr>
          <t xml:space="preserve">
проверити збир!
</t>
        </r>
      </text>
    </comment>
    <comment ref="I14686" authorId="0" shapeId="0">
      <text>
        <r>
          <rPr>
            <b/>
            <sz val="9"/>
            <color indexed="81"/>
            <rFont val="Tahoma"/>
            <family val="2"/>
          </rPr>
          <t>LPA:</t>
        </r>
        <r>
          <rPr>
            <sz val="9"/>
            <color indexed="81"/>
            <rFont val="Tahoma"/>
            <family val="2"/>
          </rPr>
          <t xml:space="preserve">
проверити збир!
</t>
        </r>
      </text>
    </comment>
    <comment ref="I14687" authorId="0" shapeId="0">
      <text>
        <r>
          <rPr>
            <b/>
            <sz val="9"/>
            <color indexed="81"/>
            <rFont val="Tahoma"/>
            <family val="2"/>
          </rPr>
          <t>LPA:</t>
        </r>
        <r>
          <rPr>
            <sz val="9"/>
            <color indexed="81"/>
            <rFont val="Tahoma"/>
            <family val="2"/>
          </rPr>
          <t xml:space="preserve">
проверити збир!
</t>
        </r>
      </text>
    </comment>
    <comment ref="I14688" authorId="0" shapeId="0">
      <text>
        <r>
          <rPr>
            <b/>
            <sz val="9"/>
            <color indexed="81"/>
            <rFont val="Tahoma"/>
            <family val="2"/>
          </rPr>
          <t>LPA:</t>
        </r>
        <r>
          <rPr>
            <sz val="9"/>
            <color indexed="81"/>
            <rFont val="Tahoma"/>
            <family val="2"/>
          </rPr>
          <t xml:space="preserve">
проверити збир!
</t>
        </r>
      </text>
    </comment>
    <comment ref="I14689" authorId="0" shapeId="0">
      <text>
        <r>
          <rPr>
            <b/>
            <sz val="9"/>
            <color indexed="81"/>
            <rFont val="Tahoma"/>
            <family val="2"/>
          </rPr>
          <t>LPA:</t>
        </r>
        <r>
          <rPr>
            <sz val="9"/>
            <color indexed="81"/>
            <rFont val="Tahoma"/>
            <family val="2"/>
          </rPr>
          <t xml:space="preserve">
проверити збир!
</t>
        </r>
      </text>
    </comment>
    <comment ref="I14690" authorId="0" shapeId="0">
      <text>
        <r>
          <rPr>
            <b/>
            <sz val="9"/>
            <color indexed="81"/>
            <rFont val="Tahoma"/>
            <family val="2"/>
          </rPr>
          <t>LPA:</t>
        </r>
        <r>
          <rPr>
            <sz val="9"/>
            <color indexed="81"/>
            <rFont val="Tahoma"/>
            <family val="2"/>
          </rPr>
          <t xml:space="preserve">
проверити збир!
</t>
        </r>
      </text>
    </comment>
    <comment ref="H14693" authorId="0" shapeId="0">
      <text>
        <r>
          <rPr>
            <b/>
            <sz val="9"/>
            <color indexed="81"/>
            <rFont val="Tahoma"/>
            <family val="2"/>
          </rPr>
          <t>LPA:</t>
        </r>
        <r>
          <rPr>
            <sz val="9"/>
            <color indexed="81"/>
            <rFont val="Tahoma"/>
            <family val="2"/>
          </rPr>
          <t xml:space="preserve">
проверити збир!</t>
        </r>
      </text>
    </comment>
    <comment ref="I14693" authorId="0" shapeId="0">
      <text>
        <r>
          <rPr>
            <b/>
            <sz val="9"/>
            <color indexed="81"/>
            <rFont val="Tahoma"/>
            <family val="2"/>
          </rPr>
          <t>LPA:</t>
        </r>
        <r>
          <rPr>
            <sz val="9"/>
            <color indexed="81"/>
            <rFont val="Tahoma"/>
            <family val="2"/>
          </rPr>
          <t xml:space="preserve">
проверити збир!</t>
        </r>
      </text>
    </comment>
    <comment ref="I14694" authorId="0" shapeId="0">
      <text>
        <r>
          <rPr>
            <b/>
            <sz val="9"/>
            <color indexed="81"/>
            <rFont val="Tahoma"/>
            <family val="2"/>
          </rPr>
          <t>LPA:</t>
        </r>
        <r>
          <rPr>
            <sz val="9"/>
            <color indexed="81"/>
            <rFont val="Tahoma"/>
            <family val="2"/>
          </rPr>
          <t xml:space="preserve">
проверити збир!
</t>
        </r>
      </text>
    </comment>
    <comment ref="I14695" authorId="0" shapeId="0">
      <text>
        <r>
          <rPr>
            <b/>
            <sz val="9"/>
            <color indexed="81"/>
            <rFont val="Tahoma"/>
            <family val="2"/>
          </rPr>
          <t>LPA:</t>
        </r>
        <r>
          <rPr>
            <sz val="9"/>
            <color indexed="81"/>
            <rFont val="Tahoma"/>
            <family val="2"/>
          </rPr>
          <t xml:space="preserve">
проверити збир!
</t>
        </r>
      </text>
    </comment>
    <comment ref="I14696" authorId="0" shapeId="0">
      <text>
        <r>
          <rPr>
            <b/>
            <sz val="9"/>
            <color indexed="81"/>
            <rFont val="Tahoma"/>
            <family val="2"/>
          </rPr>
          <t>LPA:</t>
        </r>
        <r>
          <rPr>
            <sz val="9"/>
            <color indexed="81"/>
            <rFont val="Tahoma"/>
            <family val="2"/>
          </rPr>
          <t xml:space="preserve">
проверити збир!
</t>
        </r>
      </text>
    </comment>
    <comment ref="I14697" authorId="0" shapeId="0">
      <text>
        <r>
          <rPr>
            <b/>
            <sz val="9"/>
            <color indexed="81"/>
            <rFont val="Tahoma"/>
            <family val="2"/>
          </rPr>
          <t>LPA:</t>
        </r>
        <r>
          <rPr>
            <sz val="9"/>
            <color indexed="81"/>
            <rFont val="Tahoma"/>
            <family val="2"/>
          </rPr>
          <t xml:space="preserve">
проверити збир!
</t>
        </r>
      </text>
    </comment>
    <comment ref="I14698" authorId="0" shapeId="0">
      <text>
        <r>
          <rPr>
            <b/>
            <sz val="9"/>
            <color indexed="81"/>
            <rFont val="Tahoma"/>
            <family val="2"/>
          </rPr>
          <t>LPA:</t>
        </r>
        <r>
          <rPr>
            <sz val="9"/>
            <color indexed="81"/>
            <rFont val="Tahoma"/>
            <family val="2"/>
          </rPr>
          <t xml:space="preserve">
проверити збир!
</t>
        </r>
      </text>
    </comment>
    <comment ref="I14699" authorId="0" shapeId="0">
      <text>
        <r>
          <rPr>
            <b/>
            <sz val="9"/>
            <color indexed="81"/>
            <rFont val="Tahoma"/>
            <family val="2"/>
          </rPr>
          <t>LPA:</t>
        </r>
        <r>
          <rPr>
            <sz val="9"/>
            <color indexed="81"/>
            <rFont val="Tahoma"/>
            <family val="2"/>
          </rPr>
          <t xml:space="preserve">
проверити збир!
</t>
        </r>
      </text>
    </comment>
    <comment ref="I14700" authorId="0" shapeId="0">
      <text>
        <r>
          <rPr>
            <b/>
            <sz val="9"/>
            <color indexed="81"/>
            <rFont val="Tahoma"/>
            <family val="2"/>
          </rPr>
          <t>LPA:</t>
        </r>
        <r>
          <rPr>
            <sz val="9"/>
            <color indexed="81"/>
            <rFont val="Tahoma"/>
            <family val="2"/>
          </rPr>
          <t xml:space="preserve">
проверити збир!
</t>
        </r>
      </text>
    </comment>
    <comment ref="I14701" authorId="0" shapeId="0">
      <text>
        <r>
          <rPr>
            <b/>
            <sz val="9"/>
            <color indexed="81"/>
            <rFont val="Tahoma"/>
            <family val="2"/>
          </rPr>
          <t>LPA:</t>
        </r>
        <r>
          <rPr>
            <sz val="9"/>
            <color indexed="81"/>
            <rFont val="Tahoma"/>
            <family val="2"/>
          </rPr>
          <t xml:space="preserve">
проверити збир!
</t>
        </r>
      </text>
    </comment>
    <comment ref="I14702" authorId="0" shapeId="0">
      <text>
        <r>
          <rPr>
            <b/>
            <sz val="9"/>
            <color indexed="81"/>
            <rFont val="Tahoma"/>
            <family val="2"/>
          </rPr>
          <t>LPA:</t>
        </r>
        <r>
          <rPr>
            <sz val="9"/>
            <color indexed="81"/>
            <rFont val="Tahoma"/>
            <family val="2"/>
          </rPr>
          <t xml:space="preserve">
проверити збир!
</t>
        </r>
      </text>
    </comment>
    <comment ref="I14703" authorId="0" shapeId="0">
      <text>
        <r>
          <rPr>
            <b/>
            <sz val="9"/>
            <color indexed="81"/>
            <rFont val="Tahoma"/>
            <family val="2"/>
          </rPr>
          <t>LPA:</t>
        </r>
        <r>
          <rPr>
            <sz val="9"/>
            <color indexed="81"/>
            <rFont val="Tahoma"/>
            <family val="2"/>
          </rPr>
          <t xml:space="preserve">
проверити збир!
</t>
        </r>
      </text>
    </comment>
    <comment ref="I14704" authorId="0" shapeId="0">
      <text>
        <r>
          <rPr>
            <b/>
            <sz val="9"/>
            <color indexed="81"/>
            <rFont val="Tahoma"/>
            <family val="2"/>
          </rPr>
          <t>LPA:</t>
        </r>
        <r>
          <rPr>
            <sz val="9"/>
            <color indexed="81"/>
            <rFont val="Tahoma"/>
            <family val="2"/>
          </rPr>
          <t xml:space="preserve">
проверити збир!
</t>
        </r>
      </text>
    </comment>
    <comment ref="I14705" authorId="0" shapeId="0">
      <text>
        <r>
          <rPr>
            <b/>
            <sz val="9"/>
            <color indexed="81"/>
            <rFont val="Tahoma"/>
            <family val="2"/>
          </rPr>
          <t>LPA:</t>
        </r>
        <r>
          <rPr>
            <sz val="9"/>
            <color indexed="81"/>
            <rFont val="Tahoma"/>
            <family val="2"/>
          </rPr>
          <t xml:space="preserve">
проверити збир!
</t>
        </r>
      </text>
    </comment>
    <comment ref="I14706" authorId="0" shapeId="0">
      <text>
        <r>
          <rPr>
            <b/>
            <sz val="9"/>
            <color indexed="81"/>
            <rFont val="Tahoma"/>
            <family val="2"/>
          </rPr>
          <t>LPA:</t>
        </r>
        <r>
          <rPr>
            <sz val="9"/>
            <color indexed="81"/>
            <rFont val="Tahoma"/>
            <family val="2"/>
          </rPr>
          <t xml:space="preserve">
проверити збир!
</t>
        </r>
      </text>
    </comment>
    <comment ref="I14707" authorId="0" shapeId="0">
      <text>
        <r>
          <rPr>
            <b/>
            <sz val="9"/>
            <color indexed="81"/>
            <rFont val="Tahoma"/>
            <family val="2"/>
          </rPr>
          <t>LPA:</t>
        </r>
        <r>
          <rPr>
            <sz val="9"/>
            <color indexed="81"/>
            <rFont val="Tahoma"/>
            <family val="2"/>
          </rPr>
          <t xml:space="preserve">
проверити збир!
</t>
        </r>
      </text>
    </comment>
    <comment ref="I14708" authorId="0" shapeId="0">
      <text>
        <r>
          <rPr>
            <b/>
            <sz val="9"/>
            <color indexed="81"/>
            <rFont val="Tahoma"/>
            <family val="2"/>
          </rPr>
          <t>LPA:</t>
        </r>
        <r>
          <rPr>
            <sz val="9"/>
            <color indexed="81"/>
            <rFont val="Tahoma"/>
            <family val="2"/>
          </rPr>
          <t xml:space="preserve">
проверити збир!
</t>
        </r>
      </text>
    </comment>
    <comment ref="I14816" authorId="0" shapeId="0">
      <text>
        <r>
          <rPr>
            <b/>
            <sz val="9"/>
            <color indexed="81"/>
            <rFont val="Tahoma"/>
            <family val="2"/>
          </rPr>
          <t>LPA:</t>
        </r>
        <r>
          <rPr>
            <sz val="9"/>
            <color indexed="81"/>
            <rFont val="Tahoma"/>
            <family val="2"/>
          </rPr>
          <t xml:space="preserve">
проверити збир!
</t>
        </r>
      </text>
    </comment>
    <comment ref="I14817" authorId="0" shapeId="0">
      <text>
        <r>
          <rPr>
            <b/>
            <sz val="9"/>
            <color indexed="81"/>
            <rFont val="Tahoma"/>
            <family val="2"/>
          </rPr>
          <t>LPA:</t>
        </r>
        <r>
          <rPr>
            <sz val="9"/>
            <color indexed="81"/>
            <rFont val="Tahoma"/>
            <family val="2"/>
          </rPr>
          <t xml:space="preserve">
проверити збир!
</t>
        </r>
      </text>
    </comment>
    <comment ref="I14818" authorId="0" shapeId="0">
      <text>
        <r>
          <rPr>
            <b/>
            <sz val="9"/>
            <color indexed="81"/>
            <rFont val="Tahoma"/>
            <family val="2"/>
          </rPr>
          <t>LPA:</t>
        </r>
        <r>
          <rPr>
            <sz val="9"/>
            <color indexed="81"/>
            <rFont val="Tahoma"/>
            <family val="2"/>
          </rPr>
          <t xml:space="preserve">
проверити збир!
</t>
        </r>
      </text>
    </comment>
    <comment ref="I14819" authorId="0" shapeId="0">
      <text>
        <r>
          <rPr>
            <b/>
            <sz val="9"/>
            <color indexed="81"/>
            <rFont val="Tahoma"/>
            <family val="2"/>
          </rPr>
          <t>LPA:</t>
        </r>
        <r>
          <rPr>
            <sz val="9"/>
            <color indexed="81"/>
            <rFont val="Tahoma"/>
            <family val="2"/>
          </rPr>
          <t xml:space="preserve">
проверити збир!
</t>
        </r>
      </text>
    </comment>
    <comment ref="I14820" authorId="0" shapeId="0">
      <text>
        <r>
          <rPr>
            <b/>
            <sz val="9"/>
            <color indexed="81"/>
            <rFont val="Tahoma"/>
            <family val="2"/>
          </rPr>
          <t>LPA:</t>
        </r>
        <r>
          <rPr>
            <sz val="9"/>
            <color indexed="81"/>
            <rFont val="Tahoma"/>
            <family val="2"/>
          </rPr>
          <t xml:space="preserve">
проверити збир!
</t>
        </r>
      </text>
    </comment>
    <comment ref="I14821" authorId="0" shapeId="0">
      <text>
        <r>
          <rPr>
            <b/>
            <sz val="9"/>
            <color indexed="81"/>
            <rFont val="Tahoma"/>
            <family val="2"/>
          </rPr>
          <t>LPA:</t>
        </r>
        <r>
          <rPr>
            <sz val="9"/>
            <color indexed="81"/>
            <rFont val="Tahoma"/>
            <family val="2"/>
          </rPr>
          <t xml:space="preserve">
проверити збир!
</t>
        </r>
      </text>
    </comment>
    <comment ref="I14822" authorId="0" shapeId="0">
      <text>
        <r>
          <rPr>
            <b/>
            <sz val="9"/>
            <color indexed="81"/>
            <rFont val="Tahoma"/>
            <family val="2"/>
          </rPr>
          <t>LPA:</t>
        </r>
        <r>
          <rPr>
            <sz val="9"/>
            <color indexed="81"/>
            <rFont val="Tahoma"/>
            <family val="2"/>
          </rPr>
          <t xml:space="preserve">
проверити збир!
</t>
        </r>
      </text>
    </comment>
    <comment ref="I14823" authorId="0" shapeId="0">
      <text>
        <r>
          <rPr>
            <b/>
            <sz val="9"/>
            <color indexed="81"/>
            <rFont val="Tahoma"/>
            <family val="2"/>
          </rPr>
          <t>LPA:</t>
        </r>
        <r>
          <rPr>
            <sz val="9"/>
            <color indexed="81"/>
            <rFont val="Tahoma"/>
            <family val="2"/>
          </rPr>
          <t xml:space="preserve">
проверити збир!
</t>
        </r>
      </text>
    </comment>
    <comment ref="I14824" authorId="0" shapeId="0">
      <text>
        <r>
          <rPr>
            <b/>
            <sz val="9"/>
            <color indexed="81"/>
            <rFont val="Tahoma"/>
            <family val="2"/>
          </rPr>
          <t>LPA:</t>
        </r>
        <r>
          <rPr>
            <sz val="9"/>
            <color indexed="81"/>
            <rFont val="Tahoma"/>
            <family val="2"/>
          </rPr>
          <t xml:space="preserve">
проверити збир!
</t>
        </r>
      </text>
    </comment>
    <comment ref="I14825" authorId="0" shapeId="0">
      <text>
        <r>
          <rPr>
            <b/>
            <sz val="9"/>
            <color indexed="81"/>
            <rFont val="Tahoma"/>
            <family val="2"/>
          </rPr>
          <t>LPA:</t>
        </r>
        <r>
          <rPr>
            <sz val="9"/>
            <color indexed="81"/>
            <rFont val="Tahoma"/>
            <family val="2"/>
          </rPr>
          <t xml:space="preserve">
проверити збир!
</t>
        </r>
      </text>
    </comment>
    <comment ref="I14826" authorId="0" shapeId="0">
      <text>
        <r>
          <rPr>
            <b/>
            <sz val="9"/>
            <color indexed="81"/>
            <rFont val="Tahoma"/>
            <family val="2"/>
          </rPr>
          <t>LPA:</t>
        </r>
        <r>
          <rPr>
            <sz val="9"/>
            <color indexed="81"/>
            <rFont val="Tahoma"/>
            <family val="2"/>
          </rPr>
          <t xml:space="preserve">
проверити збир!
</t>
        </r>
      </text>
    </comment>
    <comment ref="I14827" authorId="0" shapeId="0">
      <text>
        <r>
          <rPr>
            <b/>
            <sz val="9"/>
            <color indexed="81"/>
            <rFont val="Tahoma"/>
            <family val="2"/>
          </rPr>
          <t>LPA:</t>
        </r>
        <r>
          <rPr>
            <sz val="9"/>
            <color indexed="81"/>
            <rFont val="Tahoma"/>
            <family val="2"/>
          </rPr>
          <t xml:space="preserve">
проверити збир!
</t>
        </r>
      </text>
    </comment>
    <comment ref="I14828" authorId="0" shapeId="0">
      <text>
        <r>
          <rPr>
            <b/>
            <sz val="9"/>
            <color indexed="81"/>
            <rFont val="Tahoma"/>
            <family val="2"/>
          </rPr>
          <t>LPA:</t>
        </r>
        <r>
          <rPr>
            <sz val="9"/>
            <color indexed="81"/>
            <rFont val="Tahoma"/>
            <family val="2"/>
          </rPr>
          <t xml:space="preserve">
проверити збир!
</t>
        </r>
      </text>
    </comment>
    <comment ref="I14834" authorId="0" shapeId="0">
      <text>
        <r>
          <rPr>
            <b/>
            <sz val="9"/>
            <color indexed="81"/>
            <rFont val="Tahoma"/>
            <family val="2"/>
          </rPr>
          <t>LPA:</t>
        </r>
        <r>
          <rPr>
            <sz val="9"/>
            <color indexed="81"/>
            <rFont val="Tahoma"/>
            <family val="2"/>
          </rPr>
          <t xml:space="preserve">
проверити збир!
</t>
        </r>
      </text>
    </comment>
    <comment ref="I14835" authorId="0" shapeId="0">
      <text>
        <r>
          <rPr>
            <b/>
            <sz val="9"/>
            <color indexed="81"/>
            <rFont val="Tahoma"/>
            <family val="2"/>
          </rPr>
          <t>LPA:</t>
        </r>
        <r>
          <rPr>
            <sz val="9"/>
            <color indexed="81"/>
            <rFont val="Tahoma"/>
            <family val="2"/>
          </rPr>
          <t xml:space="preserve">
проверити збир!
</t>
        </r>
      </text>
    </comment>
    <comment ref="I14836" authorId="0" shapeId="0">
      <text>
        <r>
          <rPr>
            <b/>
            <sz val="9"/>
            <color indexed="81"/>
            <rFont val="Tahoma"/>
            <family val="2"/>
          </rPr>
          <t>LPA:</t>
        </r>
        <r>
          <rPr>
            <sz val="9"/>
            <color indexed="81"/>
            <rFont val="Tahoma"/>
            <family val="2"/>
          </rPr>
          <t xml:space="preserve">
проверити збир!
</t>
        </r>
      </text>
    </comment>
    <comment ref="I14837" authorId="0" shapeId="0">
      <text>
        <r>
          <rPr>
            <b/>
            <sz val="9"/>
            <color indexed="81"/>
            <rFont val="Tahoma"/>
            <family val="2"/>
          </rPr>
          <t>LPA:</t>
        </r>
        <r>
          <rPr>
            <sz val="9"/>
            <color indexed="81"/>
            <rFont val="Tahoma"/>
            <family val="2"/>
          </rPr>
          <t xml:space="preserve">
проверити збир!
</t>
        </r>
      </text>
    </comment>
    <comment ref="I14838" authorId="0" shapeId="0">
      <text>
        <r>
          <rPr>
            <b/>
            <sz val="9"/>
            <color indexed="81"/>
            <rFont val="Tahoma"/>
            <family val="2"/>
          </rPr>
          <t>LPA:</t>
        </r>
        <r>
          <rPr>
            <sz val="9"/>
            <color indexed="81"/>
            <rFont val="Tahoma"/>
            <family val="2"/>
          </rPr>
          <t xml:space="preserve">
проверити збир!
</t>
        </r>
      </text>
    </comment>
    <comment ref="I14839" authorId="0" shapeId="0">
      <text>
        <r>
          <rPr>
            <b/>
            <sz val="9"/>
            <color indexed="81"/>
            <rFont val="Tahoma"/>
            <family val="2"/>
          </rPr>
          <t>LPA:</t>
        </r>
        <r>
          <rPr>
            <sz val="9"/>
            <color indexed="81"/>
            <rFont val="Tahoma"/>
            <family val="2"/>
          </rPr>
          <t xml:space="preserve">
проверити збир!
</t>
        </r>
      </text>
    </comment>
    <comment ref="I14840" authorId="0" shapeId="0">
      <text>
        <r>
          <rPr>
            <b/>
            <sz val="9"/>
            <color indexed="81"/>
            <rFont val="Tahoma"/>
            <family val="2"/>
          </rPr>
          <t>LPA:</t>
        </r>
        <r>
          <rPr>
            <sz val="9"/>
            <color indexed="81"/>
            <rFont val="Tahoma"/>
            <family val="2"/>
          </rPr>
          <t xml:space="preserve">
проверити збир!
</t>
        </r>
      </text>
    </comment>
    <comment ref="I14841" authorId="0" shapeId="0">
      <text>
        <r>
          <rPr>
            <b/>
            <sz val="9"/>
            <color indexed="81"/>
            <rFont val="Tahoma"/>
            <family val="2"/>
          </rPr>
          <t>LPA:</t>
        </r>
        <r>
          <rPr>
            <sz val="9"/>
            <color indexed="81"/>
            <rFont val="Tahoma"/>
            <family val="2"/>
          </rPr>
          <t xml:space="preserve">
проверити збир!
</t>
        </r>
      </text>
    </comment>
    <comment ref="I14842" authorId="0" shapeId="0">
      <text>
        <r>
          <rPr>
            <b/>
            <sz val="9"/>
            <color indexed="81"/>
            <rFont val="Tahoma"/>
            <family val="2"/>
          </rPr>
          <t>LPA:</t>
        </r>
        <r>
          <rPr>
            <sz val="9"/>
            <color indexed="81"/>
            <rFont val="Tahoma"/>
            <family val="2"/>
          </rPr>
          <t xml:space="preserve">
проверити збир!
</t>
        </r>
      </text>
    </comment>
    <comment ref="I14843" authorId="0" shapeId="0">
      <text>
        <r>
          <rPr>
            <b/>
            <sz val="9"/>
            <color indexed="81"/>
            <rFont val="Tahoma"/>
            <family val="2"/>
          </rPr>
          <t>LPA:</t>
        </r>
        <r>
          <rPr>
            <sz val="9"/>
            <color indexed="81"/>
            <rFont val="Tahoma"/>
            <family val="2"/>
          </rPr>
          <t xml:space="preserve">
проверити збир!
</t>
        </r>
      </text>
    </comment>
    <comment ref="I14844" authorId="0" shapeId="0">
      <text>
        <r>
          <rPr>
            <b/>
            <sz val="9"/>
            <color indexed="81"/>
            <rFont val="Tahoma"/>
            <family val="2"/>
          </rPr>
          <t>LPA:</t>
        </r>
        <r>
          <rPr>
            <sz val="9"/>
            <color indexed="81"/>
            <rFont val="Tahoma"/>
            <family val="2"/>
          </rPr>
          <t xml:space="preserve">
проверити збир!
</t>
        </r>
      </text>
    </comment>
    <comment ref="I14845" authorId="0" shapeId="0">
      <text>
        <r>
          <rPr>
            <b/>
            <sz val="9"/>
            <color indexed="81"/>
            <rFont val="Tahoma"/>
            <family val="2"/>
          </rPr>
          <t>LPA:</t>
        </r>
        <r>
          <rPr>
            <sz val="9"/>
            <color indexed="81"/>
            <rFont val="Tahoma"/>
            <family val="2"/>
          </rPr>
          <t xml:space="preserve">
проверити збир!
</t>
        </r>
      </text>
    </comment>
    <comment ref="I14846" authorId="0" shapeId="0">
      <text>
        <r>
          <rPr>
            <b/>
            <sz val="9"/>
            <color indexed="81"/>
            <rFont val="Tahoma"/>
            <family val="2"/>
          </rPr>
          <t>LPA:</t>
        </r>
        <r>
          <rPr>
            <sz val="9"/>
            <color indexed="81"/>
            <rFont val="Tahoma"/>
            <family val="2"/>
          </rPr>
          <t xml:space="preserve">
проверити збир!
</t>
        </r>
      </text>
    </comment>
    <comment ref="I14915" authorId="0" shapeId="0">
      <text>
        <r>
          <rPr>
            <b/>
            <sz val="9"/>
            <color indexed="81"/>
            <rFont val="Tahoma"/>
            <family val="2"/>
          </rPr>
          <t>LPA:</t>
        </r>
        <r>
          <rPr>
            <sz val="9"/>
            <color indexed="81"/>
            <rFont val="Tahoma"/>
            <family val="2"/>
          </rPr>
          <t xml:space="preserve">
проверити збир!
</t>
        </r>
      </text>
    </comment>
    <comment ref="I14916" authorId="0" shapeId="0">
      <text>
        <r>
          <rPr>
            <b/>
            <sz val="9"/>
            <color indexed="81"/>
            <rFont val="Tahoma"/>
            <family val="2"/>
          </rPr>
          <t>LPA:</t>
        </r>
        <r>
          <rPr>
            <sz val="9"/>
            <color indexed="81"/>
            <rFont val="Tahoma"/>
            <family val="2"/>
          </rPr>
          <t xml:space="preserve">
проверити збир!
</t>
        </r>
      </text>
    </comment>
    <comment ref="I14917" authorId="0" shapeId="0">
      <text>
        <r>
          <rPr>
            <b/>
            <sz val="9"/>
            <color indexed="81"/>
            <rFont val="Tahoma"/>
            <family val="2"/>
          </rPr>
          <t>LPA:</t>
        </r>
        <r>
          <rPr>
            <sz val="9"/>
            <color indexed="81"/>
            <rFont val="Tahoma"/>
            <family val="2"/>
          </rPr>
          <t xml:space="preserve">
проверити збир!
</t>
        </r>
      </text>
    </comment>
    <comment ref="I14918" authorId="0" shapeId="0">
      <text>
        <r>
          <rPr>
            <b/>
            <sz val="9"/>
            <color indexed="81"/>
            <rFont val="Tahoma"/>
            <family val="2"/>
          </rPr>
          <t>LPA:</t>
        </r>
        <r>
          <rPr>
            <sz val="9"/>
            <color indexed="81"/>
            <rFont val="Tahoma"/>
            <family val="2"/>
          </rPr>
          <t xml:space="preserve">
проверити збир!
</t>
        </r>
      </text>
    </comment>
    <comment ref="I14919" authorId="0" shapeId="0">
      <text>
        <r>
          <rPr>
            <b/>
            <sz val="9"/>
            <color indexed="81"/>
            <rFont val="Tahoma"/>
            <family val="2"/>
          </rPr>
          <t>LPA:</t>
        </r>
        <r>
          <rPr>
            <sz val="9"/>
            <color indexed="81"/>
            <rFont val="Tahoma"/>
            <family val="2"/>
          </rPr>
          <t xml:space="preserve">
проверити збир!
</t>
        </r>
      </text>
    </comment>
    <comment ref="I14920" authorId="0" shapeId="0">
      <text>
        <r>
          <rPr>
            <b/>
            <sz val="9"/>
            <color indexed="81"/>
            <rFont val="Tahoma"/>
            <family val="2"/>
          </rPr>
          <t>LPA:</t>
        </r>
        <r>
          <rPr>
            <sz val="9"/>
            <color indexed="81"/>
            <rFont val="Tahoma"/>
            <family val="2"/>
          </rPr>
          <t xml:space="preserve">
проверити збир!
</t>
        </r>
      </text>
    </comment>
    <comment ref="I14921" authorId="0" shapeId="0">
      <text>
        <r>
          <rPr>
            <b/>
            <sz val="9"/>
            <color indexed="81"/>
            <rFont val="Tahoma"/>
            <family val="2"/>
          </rPr>
          <t>LPA:</t>
        </r>
        <r>
          <rPr>
            <sz val="9"/>
            <color indexed="81"/>
            <rFont val="Tahoma"/>
            <family val="2"/>
          </rPr>
          <t xml:space="preserve">
проверити збир!
</t>
        </r>
      </text>
    </comment>
    <comment ref="I14922" authorId="0" shapeId="0">
      <text>
        <r>
          <rPr>
            <b/>
            <sz val="9"/>
            <color indexed="81"/>
            <rFont val="Tahoma"/>
            <family val="2"/>
          </rPr>
          <t>LPA:</t>
        </r>
        <r>
          <rPr>
            <sz val="9"/>
            <color indexed="81"/>
            <rFont val="Tahoma"/>
            <family val="2"/>
          </rPr>
          <t xml:space="preserve">
проверити збир!
</t>
        </r>
      </text>
    </comment>
    <comment ref="I14923" authorId="0" shapeId="0">
      <text>
        <r>
          <rPr>
            <b/>
            <sz val="9"/>
            <color indexed="81"/>
            <rFont val="Tahoma"/>
            <family val="2"/>
          </rPr>
          <t>LPA:</t>
        </r>
        <r>
          <rPr>
            <sz val="9"/>
            <color indexed="81"/>
            <rFont val="Tahoma"/>
            <family val="2"/>
          </rPr>
          <t xml:space="preserve">
проверити збир!
</t>
        </r>
      </text>
    </comment>
    <comment ref="I14924" authorId="0" shapeId="0">
      <text>
        <r>
          <rPr>
            <b/>
            <sz val="9"/>
            <color indexed="81"/>
            <rFont val="Tahoma"/>
            <family val="2"/>
          </rPr>
          <t>LPA:</t>
        </r>
        <r>
          <rPr>
            <sz val="9"/>
            <color indexed="81"/>
            <rFont val="Tahoma"/>
            <family val="2"/>
          </rPr>
          <t xml:space="preserve">
проверити збир!
</t>
        </r>
      </text>
    </comment>
    <comment ref="I14925" authorId="0" shapeId="0">
      <text>
        <r>
          <rPr>
            <b/>
            <sz val="9"/>
            <color indexed="81"/>
            <rFont val="Tahoma"/>
            <family val="2"/>
          </rPr>
          <t>LPA:</t>
        </r>
        <r>
          <rPr>
            <sz val="9"/>
            <color indexed="81"/>
            <rFont val="Tahoma"/>
            <family val="2"/>
          </rPr>
          <t xml:space="preserve">
проверити збир!
</t>
        </r>
      </text>
    </comment>
    <comment ref="I14926" authorId="0" shapeId="0">
      <text>
        <r>
          <rPr>
            <b/>
            <sz val="9"/>
            <color indexed="81"/>
            <rFont val="Tahoma"/>
            <family val="2"/>
          </rPr>
          <t>LPA:</t>
        </r>
        <r>
          <rPr>
            <sz val="9"/>
            <color indexed="81"/>
            <rFont val="Tahoma"/>
            <family val="2"/>
          </rPr>
          <t xml:space="preserve">
проверити збир!
</t>
        </r>
      </text>
    </comment>
    <comment ref="I14927" authorId="0" shapeId="0">
      <text>
        <r>
          <rPr>
            <b/>
            <sz val="9"/>
            <color indexed="81"/>
            <rFont val="Tahoma"/>
            <family val="2"/>
          </rPr>
          <t>LPA:</t>
        </r>
        <r>
          <rPr>
            <sz val="9"/>
            <color indexed="81"/>
            <rFont val="Tahoma"/>
            <family val="2"/>
          </rPr>
          <t xml:space="preserve">
проверити збир!
</t>
        </r>
      </text>
    </comment>
    <comment ref="I14933" authorId="0" shapeId="0">
      <text>
        <r>
          <rPr>
            <b/>
            <sz val="9"/>
            <color indexed="81"/>
            <rFont val="Tahoma"/>
            <family val="2"/>
          </rPr>
          <t>LPA:</t>
        </r>
        <r>
          <rPr>
            <sz val="9"/>
            <color indexed="81"/>
            <rFont val="Tahoma"/>
            <family val="2"/>
          </rPr>
          <t xml:space="preserve">
проверити збир!
</t>
        </r>
      </text>
    </comment>
    <comment ref="I14934" authorId="0" shapeId="0">
      <text>
        <r>
          <rPr>
            <b/>
            <sz val="9"/>
            <color indexed="81"/>
            <rFont val="Tahoma"/>
            <family val="2"/>
          </rPr>
          <t>LPA:</t>
        </r>
        <r>
          <rPr>
            <sz val="9"/>
            <color indexed="81"/>
            <rFont val="Tahoma"/>
            <family val="2"/>
          </rPr>
          <t xml:space="preserve">
проверити збир!
</t>
        </r>
      </text>
    </comment>
    <comment ref="I14935" authorId="0" shapeId="0">
      <text>
        <r>
          <rPr>
            <b/>
            <sz val="9"/>
            <color indexed="81"/>
            <rFont val="Tahoma"/>
            <family val="2"/>
          </rPr>
          <t>LPA:</t>
        </r>
        <r>
          <rPr>
            <sz val="9"/>
            <color indexed="81"/>
            <rFont val="Tahoma"/>
            <family val="2"/>
          </rPr>
          <t xml:space="preserve">
проверити збир!
</t>
        </r>
      </text>
    </comment>
    <comment ref="I14936" authorId="0" shapeId="0">
      <text>
        <r>
          <rPr>
            <b/>
            <sz val="9"/>
            <color indexed="81"/>
            <rFont val="Tahoma"/>
            <family val="2"/>
          </rPr>
          <t>LPA:</t>
        </r>
        <r>
          <rPr>
            <sz val="9"/>
            <color indexed="81"/>
            <rFont val="Tahoma"/>
            <family val="2"/>
          </rPr>
          <t xml:space="preserve">
проверити збир!
</t>
        </r>
      </text>
    </comment>
    <comment ref="I14937" authorId="0" shapeId="0">
      <text>
        <r>
          <rPr>
            <b/>
            <sz val="9"/>
            <color indexed="81"/>
            <rFont val="Tahoma"/>
            <family val="2"/>
          </rPr>
          <t>LPA:</t>
        </r>
        <r>
          <rPr>
            <sz val="9"/>
            <color indexed="81"/>
            <rFont val="Tahoma"/>
            <family val="2"/>
          </rPr>
          <t xml:space="preserve">
проверити збир!
</t>
        </r>
      </text>
    </comment>
    <comment ref="I14938" authorId="0" shapeId="0">
      <text>
        <r>
          <rPr>
            <b/>
            <sz val="9"/>
            <color indexed="81"/>
            <rFont val="Tahoma"/>
            <family val="2"/>
          </rPr>
          <t>LPA:</t>
        </r>
        <r>
          <rPr>
            <sz val="9"/>
            <color indexed="81"/>
            <rFont val="Tahoma"/>
            <family val="2"/>
          </rPr>
          <t xml:space="preserve">
проверити збир!
</t>
        </r>
      </text>
    </comment>
    <comment ref="I14939" authorId="0" shapeId="0">
      <text>
        <r>
          <rPr>
            <b/>
            <sz val="9"/>
            <color indexed="81"/>
            <rFont val="Tahoma"/>
            <family val="2"/>
          </rPr>
          <t>LPA:</t>
        </r>
        <r>
          <rPr>
            <sz val="9"/>
            <color indexed="81"/>
            <rFont val="Tahoma"/>
            <family val="2"/>
          </rPr>
          <t xml:space="preserve">
проверити збир!
</t>
        </r>
      </text>
    </comment>
    <comment ref="I14940" authorId="0" shapeId="0">
      <text>
        <r>
          <rPr>
            <b/>
            <sz val="9"/>
            <color indexed="81"/>
            <rFont val="Tahoma"/>
            <family val="2"/>
          </rPr>
          <t>LPA:</t>
        </r>
        <r>
          <rPr>
            <sz val="9"/>
            <color indexed="81"/>
            <rFont val="Tahoma"/>
            <family val="2"/>
          </rPr>
          <t xml:space="preserve">
проверити збир!
</t>
        </r>
      </text>
    </comment>
    <comment ref="I14941" authorId="0" shapeId="0">
      <text>
        <r>
          <rPr>
            <b/>
            <sz val="9"/>
            <color indexed="81"/>
            <rFont val="Tahoma"/>
            <family val="2"/>
          </rPr>
          <t>LPA:</t>
        </r>
        <r>
          <rPr>
            <sz val="9"/>
            <color indexed="81"/>
            <rFont val="Tahoma"/>
            <family val="2"/>
          </rPr>
          <t xml:space="preserve">
проверити збир!
</t>
        </r>
      </text>
    </comment>
    <comment ref="I14942" authorId="0" shapeId="0">
      <text>
        <r>
          <rPr>
            <b/>
            <sz val="9"/>
            <color indexed="81"/>
            <rFont val="Tahoma"/>
            <family val="2"/>
          </rPr>
          <t>LPA:</t>
        </r>
        <r>
          <rPr>
            <sz val="9"/>
            <color indexed="81"/>
            <rFont val="Tahoma"/>
            <family val="2"/>
          </rPr>
          <t xml:space="preserve">
проверити збир!
</t>
        </r>
      </text>
    </comment>
    <comment ref="I14943" authorId="0" shapeId="0">
      <text>
        <r>
          <rPr>
            <b/>
            <sz val="9"/>
            <color indexed="81"/>
            <rFont val="Tahoma"/>
            <family val="2"/>
          </rPr>
          <t>LPA:</t>
        </r>
        <r>
          <rPr>
            <sz val="9"/>
            <color indexed="81"/>
            <rFont val="Tahoma"/>
            <family val="2"/>
          </rPr>
          <t xml:space="preserve">
проверити збир!
</t>
        </r>
      </text>
    </comment>
    <comment ref="I14944" authorId="0" shapeId="0">
      <text>
        <r>
          <rPr>
            <b/>
            <sz val="9"/>
            <color indexed="81"/>
            <rFont val="Tahoma"/>
            <family val="2"/>
          </rPr>
          <t>LPA:</t>
        </r>
        <r>
          <rPr>
            <sz val="9"/>
            <color indexed="81"/>
            <rFont val="Tahoma"/>
            <family val="2"/>
          </rPr>
          <t xml:space="preserve">
проверити збир!
</t>
        </r>
      </text>
    </comment>
    <comment ref="I14945" authorId="0" shapeId="0">
      <text>
        <r>
          <rPr>
            <b/>
            <sz val="9"/>
            <color indexed="81"/>
            <rFont val="Tahoma"/>
            <family val="2"/>
          </rPr>
          <t>LPA:</t>
        </r>
        <r>
          <rPr>
            <sz val="9"/>
            <color indexed="81"/>
            <rFont val="Tahoma"/>
            <family val="2"/>
          </rPr>
          <t xml:space="preserve">
проверити збир!
</t>
        </r>
      </text>
    </comment>
    <comment ref="I15014" authorId="0" shapeId="0">
      <text>
        <r>
          <rPr>
            <b/>
            <sz val="9"/>
            <color indexed="81"/>
            <rFont val="Tahoma"/>
            <family val="2"/>
          </rPr>
          <t>LPA:</t>
        </r>
        <r>
          <rPr>
            <sz val="9"/>
            <color indexed="81"/>
            <rFont val="Tahoma"/>
            <family val="2"/>
          </rPr>
          <t xml:space="preserve">
проверити збир!
</t>
        </r>
      </text>
    </comment>
    <comment ref="I15015" authorId="0" shapeId="0">
      <text>
        <r>
          <rPr>
            <b/>
            <sz val="9"/>
            <color indexed="81"/>
            <rFont val="Tahoma"/>
            <family val="2"/>
          </rPr>
          <t>LPA:</t>
        </r>
        <r>
          <rPr>
            <sz val="9"/>
            <color indexed="81"/>
            <rFont val="Tahoma"/>
            <family val="2"/>
          </rPr>
          <t xml:space="preserve">
проверити збир!
</t>
        </r>
      </text>
    </comment>
    <comment ref="I15016" authorId="0" shapeId="0">
      <text>
        <r>
          <rPr>
            <b/>
            <sz val="9"/>
            <color indexed="81"/>
            <rFont val="Tahoma"/>
            <family val="2"/>
          </rPr>
          <t>LPA:</t>
        </r>
        <r>
          <rPr>
            <sz val="9"/>
            <color indexed="81"/>
            <rFont val="Tahoma"/>
            <family val="2"/>
          </rPr>
          <t xml:space="preserve">
проверити збир!
</t>
        </r>
      </text>
    </comment>
    <comment ref="I15017" authorId="0" shapeId="0">
      <text>
        <r>
          <rPr>
            <b/>
            <sz val="9"/>
            <color indexed="81"/>
            <rFont val="Tahoma"/>
            <family val="2"/>
          </rPr>
          <t>LPA:</t>
        </r>
        <r>
          <rPr>
            <sz val="9"/>
            <color indexed="81"/>
            <rFont val="Tahoma"/>
            <family val="2"/>
          </rPr>
          <t xml:space="preserve">
проверити збир!
</t>
        </r>
      </text>
    </comment>
    <comment ref="I15018" authorId="0" shapeId="0">
      <text>
        <r>
          <rPr>
            <b/>
            <sz val="9"/>
            <color indexed="81"/>
            <rFont val="Tahoma"/>
            <family val="2"/>
          </rPr>
          <t>LPA:</t>
        </r>
        <r>
          <rPr>
            <sz val="9"/>
            <color indexed="81"/>
            <rFont val="Tahoma"/>
            <family val="2"/>
          </rPr>
          <t xml:space="preserve">
проверити збир!
</t>
        </r>
      </text>
    </comment>
    <comment ref="I15019" authorId="0" shapeId="0">
      <text>
        <r>
          <rPr>
            <b/>
            <sz val="9"/>
            <color indexed="81"/>
            <rFont val="Tahoma"/>
            <family val="2"/>
          </rPr>
          <t>LPA:</t>
        </r>
        <r>
          <rPr>
            <sz val="9"/>
            <color indexed="81"/>
            <rFont val="Tahoma"/>
            <family val="2"/>
          </rPr>
          <t xml:space="preserve">
проверити збир!
</t>
        </r>
      </text>
    </comment>
    <comment ref="I15020" authorId="0" shapeId="0">
      <text>
        <r>
          <rPr>
            <b/>
            <sz val="9"/>
            <color indexed="81"/>
            <rFont val="Tahoma"/>
            <family val="2"/>
          </rPr>
          <t>LPA:</t>
        </r>
        <r>
          <rPr>
            <sz val="9"/>
            <color indexed="81"/>
            <rFont val="Tahoma"/>
            <family val="2"/>
          </rPr>
          <t xml:space="preserve">
проверити збир!
</t>
        </r>
      </text>
    </comment>
    <comment ref="I15021" authorId="0" shapeId="0">
      <text>
        <r>
          <rPr>
            <b/>
            <sz val="9"/>
            <color indexed="81"/>
            <rFont val="Tahoma"/>
            <family val="2"/>
          </rPr>
          <t>LPA:</t>
        </r>
        <r>
          <rPr>
            <sz val="9"/>
            <color indexed="81"/>
            <rFont val="Tahoma"/>
            <family val="2"/>
          </rPr>
          <t xml:space="preserve">
проверити збир!
</t>
        </r>
      </text>
    </comment>
    <comment ref="I15022" authorId="0" shapeId="0">
      <text>
        <r>
          <rPr>
            <b/>
            <sz val="9"/>
            <color indexed="81"/>
            <rFont val="Tahoma"/>
            <family val="2"/>
          </rPr>
          <t>LPA:</t>
        </r>
        <r>
          <rPr>
            <sz val="9"/>
            <color indexed="81"/>
            <rFont val="Tahoma"/>
            <family val="2"/>
          </rPr>
          <t xml:space="preserve">
проверити збир!
</t>
        </r>
      </text>
    </comment>
    <comment ref="I15023" authorId="0" shapeId="0">
      <text>
        <r>
          <rPr>
            <b/>
            <sz val="9"/>
            <color indexed="81"/>
            <rFont val="Tahoma"/>
            <family val="2"/>
          </rPr>
          <t>LPA:</t>
        </r>
        <r>
          <rPr>
            <sz val="9"/>
            <color indexed="81"/>
            <rFont val="Tahoma"/>
            <family val="2"/>
          </rPr>
          <t xml:space="preserve">
проверити збир!
</t>
        </r>
      </text>
    </comment>
    <comment ref="I15024" authorId="0" shapeId="0">
      <text>
        <r>
          <rPr>
            <b/>
            <sz val="9"/>
            <color indexed="81"/>
            <rFont val="Tahoma"/>
            <family val="2"/>
          </rPr>
          <t>LPA:</t>
        </r>
        <r>
          <rPr>
            <sz val="9"/>
            <color indexed="81"/>
            <rFont val="Tahoma"/>
            <family val="2"/>
          </rPr>
          <t xml:space="preserve">
проверити збир!
</t>
        </r>
      </text>
    </comment>
    <comment ref="I15025" authorId="0" shapeId="0">
      <text>
        <r>
          <rPr>
            <b/>
            <sz val="9"/>
            <color indexed="81"/>
            <rFont val="Tahoma"/>
            <family val="2"/>
          </rPr>
          <t>LPA:</t>
        </r>
        <r>
          <rPr>
            <sz val="9"/>
            <color indexed="81"/>
            <rFont val="Tahoma"/>
            <family val="2"/>
          </rPr>
          <t xml:space="preserve">
проверити збир!
</t>
        </r>
      </text>
    </comment>
    <comment ref="I15026" authorId="0" shapeId="0">
      <text>
        <r>
          <rPr>
            <b/>
            <sz val="9"/>
            <color indexed="81"/>
            <rFont val="Tahoma"/>
            <family val="2"/>
          </rPr>
          <t>LPA:</t>
        </r>
        <r>
          <rPr>
            <sz val="9"/>
            <color indexed="81"/>
            <rFont val="Tahoma"/>
            <family val="2"/>
          </rPr>
          <t xml:space="preserve">
проверити збир!
</t>
        </r>
      </text>
    </comment>
    <comment ref="I15032" authorId="0" shapeId="0">
      <text>
        <r>
          <rPr>
            <b/>
            <sz val="9"/>
            <color indexed="81"/>
            <rFont val="Tahoma"/>
            <family val="2"/>
          </rPr>
          <t>LPA:</t>
        </r>
        <r>
          <rPr>
            <sz val="9"/>
            <color indexed="81"/>
            <rFont val="Tahoma"/>
            <family val="2"/>
          </rPr>
          <t xml:space="preserve">
проверити збир!
</t>
        </r>
      </text>
    </comment>
    <comment ref="I15033" authorId="0" shapeId="0">
      <text>
        <r>
          <rPr>
            <b/>
            <sz val="9"/>
            <color indexed="81"/>
            <rFont val="Tahoma"/>
            <family val="2"/>
          </rPr>
          <t>LPA:</t>
        </r>
        <r>
          <rPr>
            <sz val="9"/>
            <color indexed="81"/>
            <rFont val="Tahoma"/>
            <family val="2"/>
          </rPr>
          <t xml:space="preserve">
проверити збир!
</t>
        </r>
      </text>
    </comment>
    <comment ref="I15034" authorId="0" shapeId="0">
      <text>
        <r>
          <rPr>
            <b/>
            <sz val="9"/>
            <color indexed="81"/>
            <rFont val="Tahoma"/>
            <family val="2"/>
          </rPr>
          <t>LPA:</t>
        </r>
        <r>
          <rPr>
            <sz val="9"/>
            <color indexed="81"/>
            <rFont val="Tahoma"/>
            <family val="2"/>
          </rPr>
          <t xml:space="preserve">
проверити збир!
</t>
        </r>
      </text>
    </comment>
    <comment ref="I15035" authorId="0" shapeId="0">
      <text>
        <r>
          <rPr>
            <b/>
            <sz val="9"/>
            <color indexed="81"/>
            <rFont val="Tahoma"/>
            <family val="2"/>
          </rPr>
          <t>LPA:</t>
        </r>
        <r>
          <rPr>
            <sz val="9"/>
            <color indexed="81"/>
            <rFont val="Tahoma"/>
            <family val="2"/>
          </rPr>
          <t xml:space="preserve">
проверити збир!
</t>
        </r>
      </text>
    </comment>
    <comment ref="I15036" authorId="0" shapeId="0">
      <text>
        <r>
          <rPr>
            <b/>
            <sz val="9"/>
            <color indexed="81"/>
            <rFont val="Tahoma"/>
            <family val="2"/>
          </rPr>
          <t>LPA:</t>
        </r>
        <r>
          <rPr>
            <sz val="9"/>
            <color indexed="81"/>
            <rFont val="Tahoma"/>
            <family val="2"/>
          </rPr>
          <t xml:space="preserve">
проверити збир!
</t>
        </r>
      </text>
    </comment>
    <comment ref="I15037" authorId="0" shapeId="0">
      <text>
        <r>
          <rPr>
            <b/>
            <sz val="9"/>
            <color indexed="81"/>
            <rFont val="Tahoma"/>
            <family val="2"/>
          </rPr>
          <t>LPA:</t>
        </r>
        <r>
          <rPr>
            <sz val="9"/>
            <color indexed="81"/>
            <rFont val="Tahoma"/>
            <family val="2"/>
          </rPr>
          <t xml:space="preserve">
проверити збир!
</t>
        </r>
      </text>
    </comment>
    <comment ref="I15038" authorId="0" shapeId="0">
      <text>
        <r>
          <rPr>
            <b/>
            <sz val="9"/>
            <color indexed="81"/>
            <rFont val="Tahoma"/>
            <family val="2"/>
          </rPr>
          <t>LPA:</t>
        </r>
        <r>
          <rPr>
            <sz val="9"/>
            <color indexed="81"/>
            <rFont val="Tahoma"/>
            <family val="2"/>
          </rPr>
          <t xml:space="preserve">
проверити збир!
</t>
        </r>
      </text>
    </comment>
    <comment ref="I15039" authorId="0" shapeId="0">
      <text>
        <r>
          <rPr>
            <b/>
            <sz val="9"/>
            <color indexed="81"/>
            <rFont val="Tahoma"/>
            <family val="2"/>
          </rPr>
          <t>LPA:</t>
        </r>
        <r>
          <rPr>
            <sz val="9"/>
            <color indexed="81"/>
            <rFont val="Tahoma"/>
            <family val="2"/>
          </rPr>
          <t xml:space="preserve">
проверити збир!
</t>
        </r>
      </text>
    </comment>
    <comment ref="I15040" authorId="0" shapeId="0">
      <text>
        <r>
          <rPr>
            <b/>
            <sz val="9"/>
            <color indexed="81"/>
            <rFont val="Tahoma"/>
            <family val="2"/>
          </rPr>
          <t>LPA:</t>
        </r>
        <r>
          <rPr>
            <sz val="9"/>
            <color indexed="81"/>
            <rFont val="Tahoma"/>
            <family val="2"/>
          </rPr>
          <t xml:space="preserve">
проверити збир!
</t>
        </r>
      </text>
    </comment>
    <comment ref="I15041" authorId="0" shapeId="0">
      <text>
        <r>
          <rPr>
            <b/>
            <sz val="9"/>
            <color indexed="81"/>
            <rFont val="Tahoma"/>
            <family val="2"/>
          </rPr>
          <t>LPA:</t>
        </r>
        <r>
          <rPr>
            <sz val="9"/>
            <color indexed="81"/>
            <rFont val="Tahoma"/>
            <family val="2"/>
          </rPr>
          <t xml:space="preserve">
проверити збир!
</t>
        </r>
      </text>
    </comment>
    <comment ref="I15042" authorId="0" shapeId="0">
      <text>
        <r>
          <rPr>
            <b/>
            <sz val="9"/>
            <color indexed="81"/>
            <rFont val="Tahoma"/>
            <family val="2"/>
          </rPr>
          <t>LPA:</t>
        </r>
        <r>
          <rPr>
            <sz val="9"/>
            <color indexed="81"/>
            <rFont val="Tahoma"/>
            <family val="2"/>
          </rPr>
          <t xml:space="preserve">
проверити збир!
</t>
        </r>
      </text>
    </comment>
    <comment ref="I15043" authorId="0" shapeId="0">
      <text>
        <r>
          <rPr>
            <b/>
            <sz val="9"/>
            <color indexed="81"/>
            <rFont val="Tahoma"/>
            <family val="2"/>
          </rPr>
          <t>LPA:</t>
        </r>
        <r>
          <rPr>
            <sz val="9"/>
            <color indexed="81"/>
            <rFont val="Tahoma"/>
            <family val="2"/>
          </rPr>
          <t xml:space="preserve">
проверити збир!
</t>
        </r>
      </text>
    </comment>
    <comment ref="I15044" authorId="0" shapeId="0">
      <text>
        <r>
          <rPr>
            <b/>
            <sz val="9"/>
            <color indexed="81"/>
            <rFont val="Tahoma"/>
            <family val="2"/>
          </rPr>
          <t>LPA:</t>
        </r>
        <r>
          <rPr>
            <sz val="9"/>
            <color indexed="81"/>
            <rFont val="Tahoma"/>
            <family val="2"/>
          </rPr>
          <t xml:space="preserve">
проверити збир!
</t>
        </r>
      </text>
    </comment>
    <comment ref="I15113" authorId="0" shapeId="0">
      <text>
        <r>
          <rPr>
            <b/>
            <sz val="9"/>
            <color indexed="81"/>
            <rFont val="Tahoma"/>
            <family val="2"/>
          </rPr>
          <t>LPA:</t>
        </r>
        <r>
          <rPr>
            <sz val="9"/>
            <color indexed="81"/>
            <rFont val="Tahoma"/>
            <family val="2"/>
          </rPr>
          <t xml:space="preserve">
проверити збир!
</t>
        </r>
      </text>
    </comment>
    <comment ref="I15114" authorId="0" shapeId="0">
      <text>
        <r>
          <rPr>
            <b/>
            <sz val="9"/>
            <color indexed="81"/>
            <rFont val="Tahoma"/>
            <family val="2"/>
          </rPr>
          <t>LPA:</t>
        </r>
        <r>
          <rPr>
            <sz val="9"/>
            <color indexed="81"/>
            <rFont val="Tahoma"/>
            <family val="2"/>
          </rPr>
          <t xml:space="preserve">
проверити збир!
</t>
        </r>
      </text>
    </comment>
    <comment ref="I15115" authorId="0" shapeId="0">
      <text>
        <r>
          <rPr>
            <b/>
            <sz val="9"/>
            <color indexed="81"/>
            <rFont val="Tahoma"/>
            <family val="2"/>
          </rPr>
          <t>LPA:</t>
        </r>
        <r>
          <rPr>
            <sz val="9"/>
            <color indexed="81"/>
            <rFont val="Tahoma"/>
            <family val="2"/>
          </rPr>
          <t xml:space="preserve">
проверити збир!
</t>
        </r>
      </text>
    </comment>
    <comment ref="I15116" authorId="0" shapeId="0">
      <text>
        <r>
          <rPr>
            <b/>
            <sz val="9"/>
            <color indexed="81"/>
            <rFont val="Tahoma"/>
            <family val="2"/>
          </rPr>
          <t>LPA:</t>
        </r>
        <r>
          <rPr>
            <sz val="9"/>
            <color indexed="81"/>
            <rFont val="Tahoma"/>
            <family val="2"/>
          </rPr>
          <t xml:space="preserve">
проверити збир!
</t>
        </r>
      </text>
    </comment>
    <comment ref="I15117" authorId="0" shapeId="0">
      <text>
        <r>
          <rPr>
            <b/>
            <sz val="9"/>
            <color indexed="81"/>
            <rFont val="Tahoma"/>
            <family val="2"/>
          </rPr>
          <t>LPA:</t>
        </r>
        <r>
          <rPr>
            <sz val="9"/>
            <color indexed="81"/>
            <rFont val="Tahoma"/>
            <family val="2"/>
          </rPr>
          <t xml:space="preserve">
проверити збир!
</t>
        </r>
      </text>
    </comment>
    <comment ref="I15118" authorId="0" shapeId="0">
      <text>
        <r>
          <rPr>
            <b/>
            <sz val="9"/>
            <color indexed="81"/>
            <rFont val="Tahoma"/>
            <family val="2"/>
          </rPr>
          <t>LPA:</t>
        </r>
        <r>
          <rPr>
            <sz val="9"/>
            <color indexed="81"/>
            <rFont val="Tahoma"/>
            <family val="2"/>
          </rPr>
          <t xml:space="preserve">
проверити збир!
</t>
        </r>
      </text>
    </comment>
    <comment ref="I15119" authorId="0" shapeId="0">
      <text>
        <r>
          <rPr>
            <b/>
            <sz val="9"/>
            <color indexed="81"/>
            <rFont val="Tahoma"/>
            <family val="2"/>
          </rPr>
          <t>LPA:</t>
        </r>
        <r>
          <rPr>
            <sz val="9"/>
            <color indexed="81"/>
            <rFont val="Tahoma"/>
            <family val="2"/>
          </rPr>
          <t xml:space="preserve">
проверити збир!
</t>
        </r>
      </text>
    </comment>
    <comment ref="I15120" authorId="0" shapeId="0">
      <text>
        <r>
          <rPr>
            <b/>
            <sz val="9"/>
            <color indexed="81"/>
            <rFont val="Tahoma"/>
            <family val="2"/>
          </rPr>
          <t>LPA:</t>
        </r>
        <r>
          <rPr>
            <sz val="9"/>
            <color indexed="81"/>
            <rFont val="Tahoma"/>
            <family val="2"/>
          </rPr>
          <t xml:space="preserve">
проверити збир!
</t>
        </r>
      </text>
    </comment>
    <comment ref="I15121" authorId="0" shapeId="0">
      <text>
        <r>
          <rPr>
            <b/>
            <sz val="9"/>
            <color indexed="81"/>
            <rFont val="Tahoma"/>
            <family val="2"/>
          </rPr>
          <t>LPA:</t>
        </r>
        <r>
          <rPr>
            <sz val="9"/>
            <color indexed="81"/>
            <rFont val="Tahoma"/>
            <family val="2"/>
          </rPr>
          <t xml:space="preserve">
проверити збир!
</t>
        </r>
      </text>
    </comment>
    <comment ref="I15122" authorId="0" shapeId="0">
      <text>
        <r>
          <rPr>
            <b/>
            <sz val="9"/>
            <color indexed="81"/>
            <rFont val="Tahoma"/>
            <family val="2"/>
          </rPr>
          <t>LPA:</t>
        </r>
        <r>
          <rPr>
            <sz val="9"/>
            <color indexed="81"/>
            <rFont val="Tahoma"/>
            <family val="2"/>
          </rPr>
          <t xml:space="preserve">
проверити збир!
</t>
        </r>
      </text>
    </comment>
    <comment ref="I15123" authorId="0" shapeId="0">
      <text>
        <r>
          <rPr>
            <b/>
            <sz val="9"/>
            <color indexed="81"/>
            <rFont val="Tahoma"/>
            <family val="2"/>
          </rPr>
          <t>LPA:</t>
        </r>
        <r>
          <rPr>
            <sz val="9"/>
            <color indexed="81"/>
            <rFont val="Tahoma"/>
            <family val="2"/>
          </rPr>
          <t xml:space="preserve">
проверити збир!
</t>
        </r>
      </text>
    </comment>
    <comment ref="I15124" authorId="0" shapeId="0">
      <text>
        <r>
          <rPr>
            <b/>
            <sz val="9"/>
            <color indexed="81"/>
            <rFont val="Tahoma"/>
            <family val="2"/>
          </rPr>
          <t>LPA:</t>
        </r>
        <r>
          <rPr>
            <sz val="9"/>
            <color indexed="81"/>
            <rFont val="Tahoma"/>
            <family val="2"/>
          </rPr>
          <t xml:space="preserve">
проверити збир!
</t>
        </r>
      </text>
    </comment>
    <comment ref="I15125" authorId="0" shapeId="0">
      <text>
        <r>
          <rPr>
            <b/>
            <sz val="9"/>
            <color indexed="81"/>
            <rFont val="Tahoma"/>
            <family val="2"/>
          </rPr>
          <t>LPA:</t>
        </r>
        <r>
          <rPr>
            <sz val="9"/>
            <color indexed="81"/>
            <rFont val="Tahoma"/>
            <family val="2"/>
          </rPr>
          <t xml:space="preserve">
проверити збир!
</t>
        </r>
      </text>
    </comment>
    <comment ref="I15131" authorId="0" shapeId="0">
      <text>
        <r>
          <rPr>
            <b/>
            <sz val="9"/>
            <color indexed="81"/>
            <rFont val="Tahoma"/>
            <family val="2"/>
          </rPr>
          <t>LPA:</t>
        </r>
        <r>
          <rPr>
            <sz val="9"/>
            <color indexed="81"/>
            <rFont val="Tahoma"/>
            <family val="2"/>
          </rPr>
          <t xml:space="preserve">
проверити збир!
</t>
        </r>
      </text>
    </comment>
    <comment ref="I15132" authorId="0" shapeId="0">
      <text>
        <r>
          <rPr>
            <b/>
            <sz val="9"/>
            <color indexed="81"/>
            <rFont val="Tahoma"/>
            <family val="2"/>
          </rPr>
          <t>LPA:</t>
        </r>
        <r>
          <rPr>
            <sz val="9"/>
            <color indexed="81"/>
            <rFont val="Tahoma"/>
            <family val="2"/>
          </rPr>
          <t xml:space="preserve">
проверити збир!
</t>
        </r>
      </text>
    </comment>
    <comment ref="I15133" authorId="0" shapeId="0">
      <text>
        <r>
          <rPr>
            <b/>
            <sz val="9"/>
            <color indexed="81"/>
            <rFont val="Tahoma"/>
            <family val="2"/>
          </rPr>
          <t>LPA:</t>
        </r>
        <r>
          <rPr>
            <sz val="9"/>
            <color indexed="81"/>
            <rFont val="Tahoma"/>
            <family val="2"/>
          </rPr>
          <t xml:space="preserve">
проверити збир!
</t>
        </r>
      </text>
    </comment>
    <comment ref="I15134" authorId="0" shapeId="0">
      <text>
        <r>
          <rPr>
            <b/>
            <sz val="9"/>
            <color indexed="81"/>
            <rFont val="Tahoma"/>
            <family val="2"/>
          </rPr>
          <t>LPA:</t>
        </r>
        <r>
          <rPr>
            <sz val="9"/>
            <color indexed="81"/>
            <rFont val="Tahoma"/>
            <family val="2"/>
          </rPr>
          <t xml:space="preserve">
проверити збир!
</t>
        </r>
      </text>
    </comment>
    <comment ref="I15135" authorId="0" shapeId="0">
      <text>
        <r>
          <rPr>
            <b/>
            <sz val="9"/>
            <color indexed="81"/>
            <rFont val="Tahoma"/>
            <family val="2"/>
          </rPr>
          <t>LPA:</t>
        </r>
        <r>
          <rPr>
            <sz val="9"/>
            <color indexed="81"/>
            <rFont val="Tahoma"/>
            <family val="2"/>
          </rPr>
          <t xml:space="preserve">
проверити збир!
</t>
        </r>
      </text>
    </comment>
    <comment ref="I15136" authorId="0" shapeId="0">
      <text>
        <r>
          <rPr>
            <b/>
            <sz val="9"/>
            <color indexed="81"/>
            <rFont val="Tahoma"/>
            <family val="2"/>
          </rPr>
          <t>LPA:</t>
        </r>
        <r>
          <rPr>
            <sz val="9"/>
            <color indexed="81"/>
            <rFont val="Tahoma"/>
            <family val="2"/>
          </rPr>
          <t xml:space="preserve">
проверити збир!
</t>
        </r>
      </text>
    </comment>
    <comment ref="I15137" authorId="0" shapeId="0">
      <text>
        <r>
          <rPr>
            <b/>
            <sz val="9"/>
            <color indexed="81"/>
            <rFont val="Tahoma"/>
            <family val="2"/>
          </rPr>
          <t>LPA:</t>
        </r>
        <r>
          <rPr>
            <sz val="9"/>
            <color indexed="81"/>
            <rFont val="Tahoma"/>
            <family val="2"/>
          </rPr>
          <t xml:space="preserve">
проверити збир!
</t>
        </r>
      </text>
    </comment>
    <comment ref="I15138" authorId="0" shapeId="0">
      <text>
        <r>
          <rPr>
            <b/>
            <sz val="9"/>
            <color indexed="81"/>
            <rFont val="Tahoma"/>
            <family val="2"/>
          </rPr>
          <t>LPA:</t>
        </r>
        <r>
          <rPr>
            <sz val="9"/>
            <color indexed="81"/>
            <rFont val="Tahoma"/>
            <family val="2"/>
          </rPr>
          <t xml:space="preserve">
проверити збир!
</t>
        </r>
      </text>
    </comment>
    <comment ref="I15139" authorId="0" shapeId="0">
      <text>
        <r>
          <rPr>
            <b/>
            <sz val="9"/>
            <color indexed="81"/>
            <rFont val="Tahoma"/>
            <family val="2"/>
          </rPr>
          <t>LPA:</t>
        </r>
        <r>
          <rPr>
            <sz val="9"/>
            <color indexed="81"/>
            <rFont val="Tahoma"/>
            <family val="2"/>
          </rPr>
          <t xml:space="preserve">
проверити збир!
</t>
        </r>
      </text>
    </comment>
    <comment ref="I15140" authorId="0" shapeId="0">
      <text>
        <r>
          <rPr>
            <b/>
            <sz val="9"/>
            <color indexed="81"/>
            <rFont val="Tahoma"/>
            <family val="2"/>
          </rPr>
          <t>LPA:</t>
        </r>
        <r>
          <rPr>
            <sz val="9"/>
            <color indexed="81"/>
            <rFont val="Tahoma"/>
            <family val="2"/>
          </rPr>
          <t xml:space="preserve">
проверити збир!
</t>
        </r>
      </text>
    </comment>
    <comment ref="I15141" authorId="0" shapeId="0">
      <text>
        <r>
          <rPr>
            <b/>
            <sz val="9"/>
            <color indexed="81"/>
            <rFont val="Tahoma"/>
            <family val="2"/>
          </rPr>
          <t>LPA:</t>
        </r>
        <r>
          <rPr>
            <sz val="9"/>
            <color indexed="81"/>
            <rFont val="Tahoma"/>
            <family val="2"/>
          </rPr>
          <t xml:space="preserve">
проверити збир!
</t>
        </r>
      </text>
    </comment>
    <comment ref="I15142" authorId="0" shapeId="0">
      <text>
        <r>
          <rPr>
            <b/>
            <sz val="9"/>
            <color indexed="81"/>
            <rFont val="Tahoma"/>
            <family val="2"/>
          </rPr>
          <t>LPA:</t>
        </r>
        <r>
          <rPr>
            <sz val="9"/>
            <color indexed="81"/>
            <rFont val="Tahoma"/>
            <family val="2"/>
          </rPr>
          <t xml:space="preserve">
проверити збир!
</t>
        </r>
      </text>
    </comment>
    <comment ref="I15143" authorId="0" shapeId="0">
      <text>
        <r>
          <rPr>
            <b/>
            <sz val="9"/>
            <color indexed="81"/>
            <rFont val="Tahoma"/>
            <family val="2"/>
          </rPr>
          <t>LPA:</t>
        </r>
        <r>
          <rPr>
            <sz val="9"/>
            <color indexed="81"/>
            <rFont val="Tahoma"/>
            <family val="2"/>
          </rPr>
          <t xml:space="preserve">
проверити збир!
</t>
        </r>
      </text>
    </comment>
    <comment ref="I15212" authorId="0" shapeId="0">
      <text>
        <r>
          <rPr>
            <b/>
            <sz val="9"/>
            <color indexed="81"/>
            <rFont val="Tahoma"/>
            <family val="2"/>
          </rPr>
          <t>LPA:</t>
        </r>
        <r>
          <rPr>
            <sz val="9"/>
            <color indexed="81"/>
            <rFont val="Tahoma"/>
            <family val="2"/>
          </rPr>
          <t xml:space="preserve">
проверити збир!
</t>
        </r>
      </text>
    </comment>
    <comment ref="I15213" authorId="0" shapeId="0">
      <text>
        <r>
          <rPr>
            <b/>
            <sz val="9"/>
            <color indexed="81"/>
            <rFont val="Tahoma"/>
            <family val="2"/>
          </rPr>
          <t>LPA:</t>
        </r>
        <r>
          <rPr>
            <sz val="9"/>
            <color indexed="81"/>
            <rFont val="Tahoma"/>
            <family val="2"/>
          </rPr>
          <t xml:space="preserve">
проверити збир!
</t>
        </r>
      </text>
    </comment>
    <comment ref="I15214" authorId="0" shapeId="0">
      <text>
        <r>
          <rPr>
            <b/>
            <sz val="9"/>
            <color indexed="81"/>
            <rFont val="Tahoma"/>
            <family val="2"/>
          </rPr>
          <t>LPA:</t>
        </r>
        <r>
          <rPr>
            <sz val="9"/>
            <color indexed="81"/>
            <rFont val="Tahoma"/>
            <family val="2"/>
          </rPr>
          <t xml:space="preserve">
проверити збир!
</t>
        </r>
      </text>
    </comment>
    <comment ref="I15215" authorId="0" shapeId="0">
      <text>
        <r>
          <rPr>
            <b/>
            <sz val="9"/>
            <color indexed="81"/>
            <rFont val="Tahoma"/>
            <family val="2"/>
          </rPr>
          <t>LPA:</t>
        </r>
        <r>
          <rPr>
            <sz val="9"/>
            <color indexed="81"/>
            <rFont val="Tahoma"/>
            <family val="2"/>
          </rPr>
          <t xml:space="preserve">
проверити збир!
</t>
        </r>
      </text>
    </comment>
    <comment ref="I15216" authorId="0" shapeId="0">
      <text>
        <r>
          <rPr>
            <b/>
            <sz val="9"/>
            <color indexed="81"/>
            <rFont val="Tahoma"/>
            <family val="2"/>
          </rPr>
          <t>LPA:</t>
        </r>
        <r>
          <rPr>
            <sz val="9"/>
            <color indexed="81"/>
            <rFont val="Tahoma"/>
            <family val="2"/>
          </rPr>
          <t xml:space="preserve">
проверити збир!
</t>
        </r>
      </text>
    </comment>
    <comment ref="I15217" authorId="0" shapeId="0">
      <text>
        <r>
          <rPr>
            <b/>
            <sz val="9"/>
            <color indexed="81"/>
            <rFont val="Tahoma"/>
            <family val="2"/>
          </rPr>
          <t>LPA:</t>
        </r>
        <r>
          <rPr>
            <sz val="9"/>
            <color indexed="81"/>
            <rFont val="Tahoma"/>
            <family val="2"/>
          </rPr>
          <t xml:space="preserve">
проверити збир!
</t>
        </r>
      </text>
    </comment>
    <comment ref="I15218" authorId="0" shapeId="0">
      <text>
        <r>
          <rPr>
            <b/>
            <sz val="9"/>
            <color indexed="81"/>
            <rFont val="Tahoma"/>
            <family val="2"/>
          </rPr>
          <t>LPA:</t>
        </r>
        <r>
          <rPr>
            <sz val="9"/>
            <color indexed="81"/>
            <rFont val="Tahoma"/>
            <family val="2"/>
          </rPr>
          <t xml:space="preserve">
проверити збир!
</t>
        </r>
      </text>
    </comment>
    <comment ref="I15219" authorId="0" shapeId="0">
      <text>
        <r>
          <rPr>
            <b/>
            <sz val="9"/>
            <color indexed="81"/>
            <rFont val="Tahoma"/>
            <family val="2"/>
          </rPr>
          <t>LPA:</t>
        </r>
        <r>
          <rPr>
            <sz val="9"/>
            <color indexed="81"/>
            <rFont val="Tahoma"/>
            <family val="2"/>
          </rPr>
          <t xml:space="preserve">
проверити збир!
</t>
        </r>
      </text>
    </comment>
    <comment ref="I15220" authorId="0" shapeId="0">
      <text>
        <r>
          <rPr>
            <b/>
            <sz val="9"/>
            <color indexed="81"/>
            <rFont val="Tahoma"/>
            <family val="2"/>
          </rPr>
          <t>LPA:</t>
        </r>
        <r>
          <rPr>
            <sz val="9"/>
            <color indexed="81"/>
            <rFont val="Tahoma"/>
            <family val="2"/>
          </rPr>
          <t xml:space="preserve">
проверити збир!
</t>
        </r>
      </text>
    </comment>
    <comment ref="I15221" authorId="0" shapeId="0">
      <text>
        <r>
          <rPr>
            <b/>
            <sz val="9"/>
            <color indexed="81"/>
            <rFont val="Tahoma"/>
            <family val="2"/>
          </rPr>
          <t>LPA:</t>
        </r>
        <r>
          <rPr>
            <sz val="9"/>
            <color indexed="81"/>
            <rFont val="Tahoma"/>
            <family val="2"/>
          </rPr>
          <t xml:space="preserve">
проверити збир!
</t>
        </r>
      </text>
    </comment>
    <comment ref="I15222" authorId="0" shapeId="0">
      <text>
        <r>
          <rPr>
            <b/>
            <sz val="9"/>
            <color indexed="81"/>
            <rFont val="Tahoma"/>
            <family val="2"/>
          </rPr>
          <t>LPA:</t>
        </r>
        <r>
          <rPr>
            <sz val="9"/>
            <color indexed="81"/>
            <rFont val="Tahoma"/>
            <family val="2"/>
          </rPr>
          <t xml:space="preserve">
проверити збир!
</t>
        </r>
      </text>
    </comment>
    <comment ref="I15223" authorId="0" shapeId="0">
      <text>
        <r>
          <rPr>
            <b/>
            <sz val="9"/>
            <color indexed="81"/>
            <rFont val="Tahoma"/>
            <family val="2"/>
          </rPr>
          <t>LPA:</t>
        </r>
        <r>
          <rPr>
            <sz val="9"/>
            <color indexed="81"/>
            <rFont val="Tahoma"/>
            <family val="2"/>
          </rPr>
          <t xml:space="preserve">
проверити збир!
</t>
        </r>
      </text>
    </comment>
    <comment ref="I15224" authorId="0" shapeId="0">
      <text>
        <r>
          <rPr>
            <b/>
            <sz val="9"/>
            <color indexed="81"/>
            <rFont val="Tahoma"/>
            <family val="2"/>
          </rPr>
          <t>LPA:</t>
        </r>
        <r>
          <rPr>
            <sz val="9"/>
            <color indexed="81"/>
            <rFont val="Tahoma"/>
            <family val="2"/>
          </rPr>
          <t xml:space="preserve">
проверити збир!
</t>
        </r>
      </text>
    </comment>
    <comment ref="I15230" authorId="0" shapeId="0">
      <text>
        <r>
          <rPr>
            <b/>
            <sz val="9"/>
            <color indexed="81"/>
            <rFont val="Tahoma"/>
            <family val="2"/>
          </rPr>
          <t>LPA:</t>
        </r>
        <r>
          <rPr>
            <sz val="9"/>
            <color indexed="81"/>
            <rFont val="Tahoma"/>
            <family val="2"/>
          </rPr>
          <t xml:space="preserve">
проверити збир!
</t>
        </r>
      </text>
    </comment>
    <comment ref="I15231" authorId="0" shapeId="0">
      <text>
        <r>
          <rPr>
            <b/>
            <sz val="9"/>
            <color indexed="81"/>
            <rFont val="Tahoma"/>
            <family val="2"/>
          </rPr>
          <t>LPA:</t>
        </r>
        <r>
          <rPr>
            <sz val="9"/>
            <color indexed="81"/>
            <rFont val="Tahoma"/>
            <family val="2"/>
          </rPr>
          <t xml:space="preserve">
проверити збир!
</t>
        </r>
      </text>
    </comment>
    <comment ref="I15232" authorId="0" shapeId="0">
      <text>
        <r>
          <rPr>
            <b/>
            <sz val="9"/>
            <color indexed="81"/>
            <rFont val="Tahoma"/>
            <family val="2"/>
          </rPr>
          <t>LPA:</t>
        </r>
        <r>
          <rPr>
            <sz val="9"/>
            <color indexed="81"/>
            <rFont val="Tahoma"/>
            <family val="2"/>
          </rPr>
          <t xml:space="preserve">
проверити збир!
</t>
        </r>
      </text>
    </comment>
    <comment ref="I15233" authorId="0" shapeId="0">
      <text>
        <r>
          <rPr>
            <b/>
            <sz val="9"/>
            <color indexed="81"/>
            <rFont val="Tahoma"/>
            <family val="2"/>
          </rPr>
          <t>LPA:</t>
        </r>
        <r>
          <rPr>
            <sz val="9"/>
            <color indexed="81"/>
            <rFont val="Tahoma"/>
            <family val="2"/>
          </rPr>
          <t xml:space="preserve">
проверити збир!
</t>
        </r>
      </text>
    </comment>
    <comment ref="I15234" authorId="0" shapeId="0">
      <text>
        <r>
          <rPr>
            <b/>
            <sz val="9"/>
            <color indexed="81"/>
            <rFont val="Tahoma"/>
            <family val="2"/>
          </rPr>
          <t>LPA:</t>
        </r>
        <r>
          <rPr>
            <sz val="9"/>
            <color indexed="81"/>
            <rFont val="Tahoma"/>
            <family val="2"/>
          </rPr>
          <t xml:space="preserve">
проверити збир!
</t>
        </r>
      </text>
    </comment>
    <comment ref="I15235" authorId="0" shapeId="0">
      <text>
        <r>
          <rPr>
            <b/>
            <sz val="9"/>
            <color indexed="81"/>
            <rFont val="Tahoma"/>
            <family val="2"/>
          </rPr>
          <t>LPA:</t>
        </r>
        <r>
          <rPr>
            <sz val="9"/>
            <color indexed="81"/>
            <rFont val="Tahoma"/>
            <family val="2"/>
          </rPr>
          <t xml:space="preserve">
проверити збир!
</t>
        </r>
      </text>
    </comment>
    <comment ref="I15236" authorId="0" shapeId="0">
      <text>
        <r>
          <rPr>
            <b/>
            <sz val="9"/>
            <color indexed="81"/>
            <rFont val="Tahoma"/>
            <family val="2"/>
          </rPr>
          <t>LPA:</t>
        </r>
        <r>
          <rPr>
            <sz val="9"/>
            <color indexed="81"/>
            <rFont val="Tahoma"/>
            <family val="2"/>
          </rPr>
          <t xml:space="preserve">
проверити збир!
</t>
        </r>
      </text>
    </comment>
    <comment ref="I15237" authorId="0" shapeId="0">
      <text>
        <r>
          <rPr>
            <b/>
            <sz val="9"/>
            <color indexed="81"/>
            <rFont val="Tahoma"/>
            <family val="2"/>
          </rPr>
          <t>LPA:</t>
        </r>
        <r>
          <rPr>
            <sz val="9"/>
            <color indexed="81"/>
            <rFont val="Tahoma"/>
            <family val="2"/>
          </rPr>
          <t xml:space="preserve">
проверити збир!
</t>
        </r>
      </text>
    </comment>
    <comment ref="I15238" authorId="0" shapeId="0">
      <text>
        <r>
          <rPr>
            <b/>
            <sz val="9"/>
            <color indexed="81"/>
            <rFont val="Tahoma"/>
            <family val="2"/>
          </rPr>
          <t>LPA:</t>
        </r>
        <r>
          <rPr>
            <sz val="9"/>
            <color indexed="81"/>
            <rFont val="Tahoma"/>
            <family val="2"/>
          </rPr>
          <t xml:space="preserve">
проверити збир!
</t>
        </r>
      </text>
    </comment>
    <comment ref="I15239" authorId="0" shapeId="0">
      <text>
        <r>
          <rPr>
            <b/>
            <sz val="9"/>
            <color indexed="81"/>
            <rFont val="Tahoma"/>
            <family val="2"/>
          </rPr>
          <t>LPA:</t>
        </r>
        <r>
          <rPr>
            <sz val="9"/>
            <color indexed="81"/>
            <rFont val="Tahoma"/>
            <family val="2"/>
          </rPr>
          <t xml:space="preserve">
проверити збир!
</t>
        </r>
      </text>
    </comment>
    <comment ref="I15240" authorId="0" shapeId="0">
      <text>
        <r>
          <rPr>
            <b/>
            <sz val="9"/>
            <color indexed="81"/>
            <rFont val="Tahoma"/>
            <family val="2"/>
          </rPr>
          <t>LPA:</t>
        </r>
        <r>
          <rPr>
            <sz val="9"/>
            <color indexed="81"/>
            <rFont val="Tahoma"/>
            <family val="2"/>
          </rPr>
          <t xml:space="preserve">
проверити збир!
</t>
        </r>
      </text>
    </comment>
    <comment ref="I15241" authorId="0" shapeId="0">
      <text>
        <r>
          <rPr>
            <b/>
            <sz val="9"/>
            <color indexed="81"/>
            <rFont val="Tahoma"/>
            <family val="2"/>
          </rPr>
          <t>LPA:</t>
        </r>
        <r>
          <rPr>
            <sz val="9"/>
            <color indexed="81"/>
            <rFont val="Tahoma"/>
            <family val="2"/>
          </rPr>
          <t xml:space="preserve">
проверити збир!
</t>
        </r>
      </text>
    </comment>
    <comment ref="I15242" authorId="0" shapeId="0">
      <text>
        <r>
          <rPr>
            <b/>
            <sz val="9"/>
            <color indexed="81"/>
            <rFont val="Tahoma"/>
            <family val="2"/>
          </rPr>
          <t>LPA:</t>
        </r>
        <r>
          <rPr>
            <sz val="9"/>
            <color indexed="81"/>
            <rFont val="Tahoma"/>
            <family val="2"/>
          </rPr>
          <t xml:space="preserve">
проверити збир!
</t>
        </r>
      </text>
    </comment>
    <comment ref="I15311" authorId="0" shapeId="0">
      <text>
        <r>
          <rPr>
            <b/>
            <sz val="9"/>
            <color indexed="81"/>
            <rFont val="Tahoma"/>
            <family val="2"/>
          </rPr>
          <t>LPA:</t>
        </r>
        <r>
          <rPr>
            <sz val="9"/>
            <color indexed="81"/>
            <rFont val="Tahoma"/>
            <family val="2"/>
          </rPr>
          <t xml:space="preserve">
проверити збир!
</t>
        </r>
      </text>
    </comment>
    <comment ref="I15312" authorId="0" shapeId="0">
      <text>
        <r>
          <rPr>
            <b/>
            <sz val="9"/>
            <color indexed="81"/>
            <rFont val="Tahoma"/>
            <family val="2"/>
          </rPr>
          <t>LPA:</t>
        </r>
        <r>
          <rPr>
            <sz val="9"/>
            <color indexed="81"/>
            <rFont val="Tahoma"/>
            <family val="2"/>
          </rPr>
          <t xml:space="preserve">
проверити збир!
</t>
        </r>
      </text>
    </comment>
    <comment ref="I15313" authorId="0" shapeId="0">
      <text>
        <r>
          <rPr>
            <b/>
            <sz val="9"/>
            <color indexed="81"/>
            <rFont val="Tahoma"/>
            <family val="2"/>
          </rPr>
          <t>LPA:</t>
        </r>
        <r>
          <rPr>
            <sz val="9"/>
            <color indexed="81"/>
            <rFont val="Tahoma"/>
            <family val="2"/>
          </rPr>
          <t xml:space="preserve">
проверити збир!
</t>
        </r>
      </text>
    </comment>
    <comment ref="I15314" authorId="0" shapeId="0">
      <text>
        <r>
          <rPr>
            <b/>
            <sz val="9"/>
            <color indexed="81"/>
            <rFont val="Tahoma"/>
            <family val="2"/>
          </rPr>
          <t>LPA:</t>
        </r>
        <r>
          <rPr>
            <sz val="9"/>
            <color indexed="81"/>
            <rFont val="Tahoma"/>
            <family val="2"/>
          </rPr>
          <t xml:space="preserve">
проверити збир!
</t>
        </r>
      </text>
    </comment>
    <comment ref="I15315" authorId="0" shapeId="0">
      <text>
        <r>
          <rPr>
            <b/>
            <sz val="9"/>
            <color indexed="81"/>
            <rFont val="Tahoma"/>
            <family val="2"/>
          </rPr>
          <t>LPA:</t>
        </r>
        <r>
          <rPr>
            <sz val="9"/>
            <color indexed="81"/>
            <rFont val="Tahoma"/>
            <family val="2"/>
          </rPr>
          <t xml:space="preserve">
проверити збир!
</t>
        </r>
      </text>
    </comment>
    <comment ref="I15316" authorId="0" shapeId="0">
      <text>
        <r>
          <rPr>
            <b/>
            <sz val="9"/>
            <color indexed="81"/>
            <rFont val="Tahoma"/>
            <family val="2"/>
          </rPr>
          <t>LPA:</t>
        </r>
        <r>
          <rPr>
            <sz val="9"/>
            <color indexed="81"/>
            <rFont val="Tahoma"/>
            <family val="2"/>
          </rPr>
          <t xml:space="preserve">
проверити збир!
</t>
        </r>
      </text>
    </comment>
    <comment ref="I15317" authorId="0" shapeId="0">
      <text>
        <r>
          <rPr>
            <b/>
            <sz val="9"/>
            <color indexed="81"/>
            <rFont val="Tahoma"/>
            <family val="2"/>
          </rPr>
          <t>LPA:</t>
        </r>
        <r>
          <rPr>
            <sz val="9"/>
            <color indexed="81"/>
            <rFont val="Tahoma"/>
            <family val="2"/>
          </rPr>
          <t xml:space="preserve">
проверити збир!
</t>
        </r>
      </text>
    </comment>
    <comment ref="I15318" authorId="0" shapeId="0">
      <text>
        <r>
          <rPr>
            <b/>
            <sz val="9"/>
            <color indexed="81"/>
            <rFont val="Tahoma"/>
            <family val="2"/>
          </rPr>
          <t>LPA:</t>
        </r>
        <r>
          <rPr>
            <sz val="9"/>
            <color indexed="81"/>
            <rFont val="Tahoma"/>
            <family val="2"/>
          </rPr>
          <t xml:space="preserve">
проверити збир!
</t>
        </r>
      </text>
    </comment>
    <comment ref="I15319" authorId="0" shapeId="0">
      <text>
        <r>
          <rPr>
            <b/>
            <sz val="9"/>
            <color indexed="81"/>
            <rFont val="Tahoma"/>
            <family val="2"/>
          </rPr>
          <t>LPA:</t>
        </r>
        <r>
          <rPr>
            <sz val="9"/>
            <color indexed="81"/>
            <rFont val="Tahoma"/>
            <family val="2"/>
          </rPr>
          <t xml:space="preserve">
проверити збир!
</t>
        </r>
      </text>
    </comment>
    <comment ref="I15320" authorId="0" shapeId="0">
      <text>
        <r>
          <rPr>
            <b/>
            <sz val="9"/>
            <color indexed="81"/>
            <rFont val="Tahoma"/>
            <family val="2"/>
          </rPr>
          <t>LPA:</t>
        </r>
        <r>
          <rPr>
            <sz val="9"/>
            <color indexed="81"/>
            <rFont val="Tahoma"/>
            <family val="2"/>
          </rPr>
          <t xml:space="preserve">
проверити збир!
</t>
        </r>
      </text>
    </comment>
    <comment ref="I15321" authorId="0" shapeId="0">
      <text>
        <r>
          <rPr>
            <b/>
            <sz val="9"/>
            <color indexed="81"/>
            <rFont val="Tahoma"/>
            <family val="2"/>
          </rPr>
          <t>LPA:</t>
        </r>
        <r>
          <rPr>
            <sz val="9"/>
            <color indexed="81"/>
            <rFont val="Tahoma"/>
            <family val="2"/>
          </rPr>
          <t xml:space="preserve">
проверити збир!
</t>
        </r>
      </text>
    </comment>
    <comment ref="I15322" authorId="0" shapeId="0">
      <text>
        <r>
          <rPr>
            <b/>
            <sz val="9"/>
            <color indexed="81"/>
            <rFont val="Tahoma"/>
            <family val="2"/>
          </rPr>
          <t>LPA:</t>
        </r>
        <r>
          <rPr>
            <sz val="9"/>
            <color indexed="81"/>
            <rFont val="Tahoma"/>
            <family val="2"/>
          </rPr>
          <t xml:space="preserve">
проверити збир!
</t>
        </r>
      </text>
    </comment>
    <comment ref="I15323" authorId="0" shapeId="0">
      <text>
        <r>
          <rPr>
            <b/>
            <sz val="9"/>
            <color indexed="81"/>
            <rFont val="Tahoma"/>
            <family val="2"/>
          </rPr>
          <t>LPA:</t>
        </r>
        <r>
          <rPr>
            <sz val="9"/>
            <color indexed="81"/>
            <rFont val="Tahoma"/>
            <family val="2"/>
          </rPr>
          <t xml:space="preserve">
проверити збир!
</t>
        </r>
      </text>
    </comment>
    <comment ref="I15329" authorId="0" shapeId="0">
      <text>
        <r>
          <rPr>
            <b/>
            <sz val="9"/>
            <color indexed="81"/>
            <rFont val="Tahoma"/>
            <family val="2"/>
          </rPr>
          <t>LPA:</t>
        </r>
        <r>
          <rPr>
            <sz val="9"/>
            <color indexed="81"/>
            <rFont val="Tahoma"/>
            <family val="2"/>
          </rPr>
          <t xml:space="preserve">
проверити збир!
</t>
        </r>
      </text>
    </comment>
    <comment ref="I15330" authorId="0" shapeId="0">
      <text>
        <r>
          <rPr>
            <b/>
            <sz val="9"/>
            <color indexed="81"/>
            <rFont val="Tahoma"/>
            <family val="2"/>
          </rPr>
          <t>LPA:</t>
        </r>
        <r>
          <rPr>
            <sz val="9"/>
            <color indexed="81"/>
            <rFont val="Tahoma"/>
            <family val="2"/>
          </rPr>
          <t xml:space="preserve">
проверити збир!
</t>
        </r>
      </text>
    </comment>
    <comment ref="I15331" authorId="0" shapeId="0">
      <text>
        <r>
          <rPr>
            <b/>
            <sz val="9"/>
            <color indexed="81"/>
            <rFont val="Tahoma"/>
            <family val="2"/>
          </rPr>
          <t>LPA:</t>
        </r>
        <r>
          <rPr>
            <sz val="9"/>
            <color indexed="81"/>
            <rFont val="Tahoma"/>
            <family val="2"/>
          </rPr>
          <t xml:space="preserve">
проверити збир!
</t>
        </r>
      </text>
    </comment>
    <comment ref="I15332" authorId="0" shapeId="0">
      <text>
        <r>
          <rPr>
            <b/>
            <sz val="9"/>
            <color indexed="81"/>
            <rFont val="Tahoma"/>
            <family val="2"/>
          </rPr>
          <t>LPA:</t>
        </r>
        <r>
          <rPr>
            <sz val="9"/>
            <color indexed="81"/>
            <rFont val="Tahoma"/>
            <family val="2"/>
          </rPr>
          <t xml:space="preserve">
проверити збир!
</t>
        </r>
      </text>
    </comment>
    <comment ref="I15333" authorId="0" shapeId="0">
      <text>
        <r>
          <rPr>
            <b/>
            <sz val="9"/>
            <color indexed="81"/>
            <rFont val="Tahoma"/>
            <family val="2"/>
          </rPr>
          <t>LPA:</t>
        </r>
        <r>
          <rPr>
            <sz val="9"/>
            <color indexed="81"/>
            <rFont val="Tahoma"/>
            <family val="2"/>
          </rPr>
          <t xml:space="preserve">
проверити збир!
</t>
        </r>
      </text>
    </comment>
    <comment ref="I15334" authorId="0" shapeId="0">
      <text>
        <r>
          <rPr>
            <b/>
            <sz val="9"/>
            <color indexed="81"/>
            <rFont val="Tahoma"/>
            <family val="2"/>
          </rPr>
          <t>LPA:</t>
        </r>
        <r>
          <rPr>
            <sz val="9"/>
            <color indexed="81"/>
            <rFont val="Tahoma"/>
            <family val="2"/>
          </rPr>
          <t xml:space="preserve">
проверити збир!
</t>
        </r>
      </text>
    </comment>
    <comment ref="I15335" authorId="0" shapeId="0">
      <text>
        <r>
          <rPr>
            <b/>
            <sz val="9"/>
            <color indexed="81"/>
            <rFont val="Tahoma"/>
            <family val="2"/>
          </rPr>
          <t>LPA:</t>
        </r>
        <r>
          <rPr>
            <sz val="9"/>
            <color indexed="81"/>
            <rFont val="Tahoma"/>
            <family val="2"/>
          </rPr>
          <t xml:space="preserve">
проверити збир!
</t>
        </r>
      </text>
    </comment>
    <comment ref="I15336" authorId="0" shapeId="0">
      <text>
        <r>
          <rPr>
            <b/>
            <sz val="9"/>
            <color indexed="81"/>
            <rFont val="Tahoma"/>
            <family val="2"/>
          </rPr>
          <t>LPA:</t>
        </r>
        <r>
          <rPr>
            <sz val="9"/>
            <color indexed="81"/>
            <rFont val="Tahoma"/>
            <family val="2"/>
          </rPr>
          <t xml:space="preserve">
проверити збир!
</t>
        </r>
      </text>
    </comment>
    <comment ref="I15337" authorId="0" shapeId="0">
      <text>
        <r>
          <rPr>
            <b/>
            <sz val="9"/>
            <color indexed="81"/>
            <rFont val="Tahoma"/>
            <family val="2"/>
          </rPr>
          <t>LPA:</t>
        </r>
        <r>
          <rPr>
            <sz val="9"/>
            <color indexed="81"/>
            <rFont val="Tahoma"/>
            <family val="2"/>
          </rPr>
          <t xml:space="preserve">
проверити збир!
</t>
        </r>
      </text>
    </comment>
    <comment ref="I15338" authorId="0" shapeId="0">
      <text>
        <r>
          <rPr>
            <b/>
            <sz val="9"/>
            <color indexed="81"/>
            <rFont val="Tahoma"/>
            <family val="2"/>
          </rPr>
          <t>LPA:</t>
        </r>
        <r>
          <rPr>
            <sz val="9"/>
            <color indexed="81"/>
            <rFont val="Tahoma"/>
            <family val="2"/>
          </rPr>
          <t xml:space="preserve">
проверити збир!
</t>
        </r>
      </text>
    </comment>
    <comment ref="I15339" authorId="0" shapeId="0">
      <text>
        <r>
          <rPr>
            <b/>
            <sz val="9"/>
            <color indexed="81"/>
            <rFont val="Tahoma"/>
            <family val="2"/>
          </rPr>
          <t>LPA:</t>
        </r>
        <r>
          <rPr>
            <sz val="9"/>
            <color indexed="81"/>
            <rFont val="Tahoma"/>
            <family val="2"/>
          </rPr>
          <t xml:space="preserve">
проверити збир!
</t>
        </r>
      </text>
    </comment>
    <comment ref="I15340" authorId="0" shapeId="0">
      <text>
        <r>
          <rPr>
            <b/>
            <sz val="9"/>
            <color indexed="81"/>
            <rFont val="Tahoma"/>
            <family val="2"/>
          </rPr>
          <t>LPA:</t>
        </r>
        <r>
          <rPr>
            <sz val="9"/>
            <color indexed="81"/>
            <rFont val="Tahoma"/>
            <family val="2"/>
          </rPr>
          <t xml:space="preserve">
проверити збир!
</t>
        </r>
      </text>
    </comment>
    <comment ref="I15341" authorId="0" shapeId="0">
      <text>
        <r>
          <rPr>
            <b/>
            <sz val="9"/>
            <color indexed="81"/>
            <rFont val="Tahoma"/>
            <family val="2"/>
          </rPr>
          <t>LPA:</t>
        </r>
        <r>
          <rPr>
            <sz val="9"/>
            <color indexed="81"/>
            <rFont val="Tahoma"/>
            <family val="2"/>
          </rPr>
          <t xml:space="preserve">
проверити збир!
</t>
        </r>
      </text>
    </comment>
    <comment ref="I15410" authorId="0" shapeId="0">
      <text>
        <r>
          <rPr>
            <b/>
            <sz val="9"/>
            <color indexed="81"/>
            <rFont val="Tahoma"/>
            <family val="2"/>
          </rPr>
          <t>LPA:</t>
        </r>
        <r>
          <rPr>
            <sz val="9"/>
            <color indexed="81"/>
            <rFont val="Tahoma"/>
            <family val="2"/>
          </rPr>
          <t xml:space="preserve">
проверити збир!
</t>
        </r>
      </text>
    </comment>
    <comment ref="I15411" authorId="0" shapeId="0">
      <text>
        <r>
          <rPr>
            <b/>
            <sz val="9"/>
            <color indexed="81"/>
            <rFont val="Tahoma"/>
            <family val="2"/>
          </rPr>
          <t>LPA:</t>
        </r>
        <r>
          <rPr>
            <sz val="9"/>
            <color indexed="81"/>
            <rFont val="Tahoma"/>
            <family val="2"/>
          </rPr>
          <t xml:space="preserve">
проверити збир!
</t>
        </r>
      </text>
    </comment>
    <comment ref="I15412" authorId="0" shapeId="0">
      <text>
        <r>
          <rPr>
            <b/>
            <sz val="9"/>
            <color indexed="81"/>
            <rFont val="Tahoma"/>
            <family val="2"/>
          </rPr>
          <t>LPA:</t>
        </r>
        <r>
          <rPr>
            <sz val="9"/>
            <color indexed="81"/>
            <rFont val="Tahoma"/>
            <family val="2"/>
          </rPr>
          <t xml:space="preserve">
проверити збир!
</t>
        </r>
      </text>
    </comment>
    <comment ref="I15413" authorId="0" shapeId="0">
      <text>
        <r>
          <rPr>
            <b/>
            <sz val="9"/>
            <color indexed="81"/>
            <rFont val="Tahoma"/>
            <family val="2"/>
          </rPr>
          <t>LPA:</t>
        </r>
        <r>
          <rPr>
            <sz val="9"/>
            <color indexed="81"/>
            <rFont val="Tahoma"/>
            <family val="2"/>
          </rPr>
          <t xml:space="preserve">
проверити збир!
</t>
        </r>
      </text>
    </comment>
    <comment ref="I15414" authorId="0" shapeId="0">
      <text>
        <r>
          <rPr>
            <b/>
            <sz val="9"/>
            <color indexed="81"/>
            <rFont val="Tahoma"/>
            <family val="2"/>
          </rPr>
          <t>LPA:</t>
        </r>
        <r>
          <rPr>
            <sz val="9"/>
            <color indexed="81"/>
            <rFont val="Tahoma"/>
            <family val="2"/>
          </rPr>
          <t xml:space="preserve">
проверити збир!
</t>
        </r>
      </text>
    </comment>
    <comment ref="I15415" authorId="0" shapeId="0">
      <text>
        <r>
          <rPr>
            <b/>
            <sz val="9"/>
            <color indexed="81"/>
            <rFont val="Tahoma"/>
            <family val="2"/>
          </rPr>
          <t>LPA:</t>
        </r>
        <r>
          <rPr>
            <sz val="9"/>
            <color indexed="81"/>
            <rFont val="Tahoma"/>
            <family val="2"/>
          </rPr>
          <t xml:space="preserve">
проверити збир!
</t>
        </r>
      </text>
    </comment>
    <comment ref="I15416" authorId="0" shapeId="0">
      <text>
        <r>
          <rPr>
            <b/>
            <sz val="9"/>
            <color indexed="81"/>
            <rFont val="Tahoma"/>
            <family val="2"/>
          </rPr>
          <t>LPA:</t>
        </r>
        <r>
          <rPr>
            <sz val="9"/>
            <color indexed="81"/>
            <rFont val="Tahoma"/>
            <family val="2"/>
          </rPr>
          <t xml:space="preserve">
проверити збир!
</t>
        </r>
      </text>
    </comment>
    <comment ref="I15417" authorId="0" shapeId="0">
      <text>
        <r>
          <rPr>
            <b/>
            <sz val="9"/>
            <color indexed="81"/>
            <rFont val="Tahoma"/>
            <family val="2"/>
          </rPr>
          <t>LPA:</t>
        </r>
        <r>
          <rPr>
            <sz val="9"/>
            <color indexed="81"/>
            <rFont val="Tahoma"/>
            <family val="2"/>
          </rPr>
          <t xml:space="preserve">
проверити збир!
</t>
        </r>
      </text>
    </comment>
    <comment ref="I15418" authorId="0" shapeId="0">
      <text>
        <r>
          <rPr>
            <b/>
            <sz val="9"/>
            <color indexed="81"/>
            <rFont val="Tahoma"/>
            <family val="2"/>
          </rPr>
          <t>LPA:</t>
        </r>
        <r>
          <rPr>
            <sz val="9"/>
            <color indexed="81"/>
            <rFont val="Tahoma"/>
            <family val="2"/>
          </rPr>
          <t xml:space="preserve">
проверити збир!
</t>
        </r>
      </text>
    </comment>
    <comment ref="I15419" authorId="0" shapeId="0">
      <text>
        <r>
          <rPr>
            <b/>
            <sz val="9"/>
            <color indexed="81"/>
            <rFont val="Tahoma"/>
            <family val="2"/>
          </rPr>
          <t>LPA:</t>
        </r>
        <r>
          <rPr>
            <sz val="9"/>
            <color indexed="81"/>
            <rFont val="Tahoma"/>
            <family val="2"/>
          </rPr>
          <t xml:space="preserve">
проверити збир!
</t>
        </r>
      </text>
    </comment>
    <comment ref="I15420" authorId="0" shapeId="0">
      <text>
        <r>
          <rPr>
            <b/>
            <sz val="9"/>
            <color indexed="81"/>
            <rFont val="Tahoma"/>
            <family val="2"/>
          </rPr>
          <t>LPA:</t>
        </r>
        <r>
          <rPr>
            <sz val="9"/>
            <color indexed="81"/>
            <rFont val="Tahoma"/>
            <family val="2"/>
          </rPr>
          <t xml:space="preserve">
проверити збир!
</t>
        </r>
      </text>
    </comment>
    <comment ref="I15421" authorId="0" shapeId="0">
      <text>
        <r>
          <rPr>
            <b/>
            <sz val="9"/>
            <color indexed="81"/>
            <rFont val="Tahoma"/>
            <family val="2"/>
          </rPr>
          <t>LPA:</t>
        </r>
        <r>
          <rPr>
            <sz val="9"/>
            <color indexed="81"/>
            <rFont val="Tahoma"/>
            <family val="2"/>
          </rPr>
          <t xml:space="preserve">
проверити збир!
</t>
        </r>
      </text>
    </comment>
    <comment ref="I15422" authorId="0" shapeId="0">
      <text>
        <r>
          <rPr>
            <b/>
            <sz val="9"/>
            <color indexed="81"/>
            <rFont val="Tahoma"/>
            <family val="2"/>
          </rPr>
          <t>LPA:</t>
        </r>
        <r>
          <rPr>
            <sz val="9"/>
            <color indexed="81"/>
            <rFont val="Tahoma"/>
            <family val="2"/>
          </rPr>
          <t xml:space="preserve">
проверити збир!
</t>
        </r>
      </text>
    </comment>
    <comment ref="I15428" authorId="0" shapeId="0">
      <text>
        <r>
          <rPr>
            <b/>
            <sz val="9"/>
            <color indexed="81"/>
            <rFont val="Tahoma"/>
            <family val="2"/>
          </rPr>
          <t>LPA:</t>
        </r>
        <r>
          <rPr>
            <sz val="9"/>
            <color indexed="81"/>
            <rFont val="Tahoma"/>
            <family val="2"/>
          </rPr>
          <t xml:space="preserve">
проверити збир!
</t>
        </r>
      </text>
    </comment>
    <comment ref="I15429" authorId="0" shapeId="0">
      <text>
        <r>
          <rPr>
            <b/>
            <sz val="9"/>
            <color indexed="81"/>
            <rFont val="Tahoma"/>
            <family val="2"/>
          </rPr>
          <t>LPA:</t>
        </r>
        <r>
          <rPr>
            <sz val="9"/>
            <color indexed="81"/>
            <rFont val="Tahoma"/>
            <family val="2"/>
          </rPr>
          <t xml:space="preserve">
проверити збир!
</t>
        </r>
      </text>
    </comment>
    <comment ref="I15430" authorId="0" shapeId="0">
      <text>
        <r>
          <rPr>
            <b/>
            <sz val="9"/>
            <color indexed="81"/>
            <rFont val="Tahoma"/>
            <family val="2"/>
          </rPr>
          <t>LPA:</t>
        </r>
        <r>
          <rPr>
            <sz val="9"/>
            <color indexed="81"/>
            <rFont val="Tahoma"/>
            <family val="2"/>
          </rPr>
          <t xml:space="preserve">
проверити збир!
</t>
        </r>
      </text>
    </comment>
    <comment ref="I15431" authorId="0" shapeId="0">
      <text>
        <r>
          <rPr>
            <b/>
            <sz val="9"/>
            <color indexed="81"/>
            <rFont val="Tahoma"/>
            <family val="2"/>
          </rPr>
          <t>LPA:</t>
        </r>
        <r>
          <rPr>
            <sz val="9"/>
            <color indexed="81"/>
            <rFont val="Tahoma"/>
            <family val="2"/>
          </rPr>
          <t xml:space="preserve">
проверити збир!
</t>
        </r>
      </text>
    </comment>
    <comment ref="I15432" authorId="0" shapeId="0">
      <text>
        <r>
          <rPr>
            <b/>
            <sz val="9"/>
            <color indexed="81"/>
            <rFont val="Tahoma"/>
            <family val="2"/>
          </rPr>
          <t>LPA:</t>
        </r>
        <r>
          <rPr>
            <sz val="9"/>
            <color indexed="81"/>
            <rFont val="Tahoma"/>
            <family val="2"/>
          </rPr>
          <t xml:space="preserve">
проверити збир!
</t>
        </r>
      </text>
    </comment>
    <comment ref="I15433" authorId="0" shapeId="0">
      <text>
        <r>
          <rPr>
            <b/>
            <sz val="9"/>
            <color indexed="81"/>
            <rFont val="Tahoma"/>
            <family val="2"/>
          </rPr>
          <t>LPA:</t>
        </r>
        <r>
          <rPr>
            <sz val="9"/>
            <color indexed="81"/>
            <rFont val="Tahoma"/>
            <family val="2"/>
          </rPr>
          <t xml:space="preserve">
проверити збир!
</t>
        </r>
      </text>
    </comment>
    <comment ref="I15434" authorId="0" shapeId="0">
      <text>
        <r>
          <rPr>
            <b/>
            <sz val="9"/>
            <color indexed="81"/>
            <rFont val="Tahoma"/>
            <family val="2"/>
          </rPr>
          <t>LPA:</t>
        </r>
        <r>
          <rPr>
            <sz val="9"/>
            <color indexed="81"/>
            <rFont val="Tahoma"/>
            <family val="2"/>
          </rPr>
          <t xml:space="preserve">
проверити збир!
</t>
        </r>
      </text>
    </comment>
    <comment ref="I15435" authorId="0" shapeId="0">
      <text>
        <r>
          <rPr>
            <b/>
            <sz val="9"/>
            <color indexed="81"/>
            <rFont val="Tahoma"/>
            <family val="2"/>
          </rPr>
          <t>LPA:</t>
        </r>
        <r>
          <rPr>
            <sz val="9"/>
            <color indexed="81"/>
            <rFont val="Tahoma"/>
            <family val="2"/>
          </rPr>
          <t xml:space="preserve">
проверити збир!
</t>
        </r>
      </text>
    </comment>
    <comment ref="I15436" authorId="0" shapeId="0">
      <text>
        <r>
          <rPr>
            <b/>
            <sz val="9"/>
            <color indexed="81"/>
            <rFont val="Tahoma"/>
            <family val="2"/>
          </rPr>
          <t>LPA:</t>
        </r>
        <r>
          <rPr>
            <sz val="9"/>
            <color indexed="81"/>
            <rFont val="Tahoma"/>
            <family val="2"/>
          </rPr>
          <t xml:space="preserve">
проверити збир!
</t>
        </r>
      </text>
    </comment>
    <comment ref="I15437" authorId="0" shapeId="0">
      <text>
        <r>
          <rPr>
            <b/>
            <sz val="9"/>
            <color indexed="81"/>
            <rFont val="Tahoma"/>
            <family val="2"/>
          </rPr>
          <t>LPA:</t>
        </r>
        <r>
          <rPr>
            <sz val="9"/>
            <color indexed="81"/>
            <rFont val="Tahoma"/>
            <family val="2"/>
          </rPr>
          <t xml:space="preserve">
проверити збир!
</t>
        </r>
      </text>
    </comment>
    <comment ref="I15438" authorId="0" shapeId="0">
      <text>
        <r>
          <rPr>
            <b/>
            <sz val="9"/>
            <color indexed="81"/>
            <rFont val="Tahoma"/>
            <family val="2"/>
          </rPr>
          <t>LPA:</t>
        </r>
        <r>
          <rPr>
            <sz val="9"/>
            <color indexed="81"/>
            <rFont val="Tahoma"/>
            <family val="2"/>
          </rPr>
          <t xml:space="preserve">
проверити збир!
</t>
        </r>
      </text>
    </comment>
    <comment ref="I15439" authorId="0" shapeId="0">
      <text>
        <r>
          <rPr>
            <b/>
            <sz val="9"/>
            <color indexed="81"/>
            <rFont val="Tahoma"/>
            <family val="2"/>
          </rPr>
          <t>LPA:</t>
        </r>
        <r>
          <rPr>
            <sz val="9"/>
            <color indexed="81"/>
            <rFont val="Tahoma"/>
            <family val="2"/>
          </rPr>
          <t xml:space="preserve">
проверити збир!
</t>
        </r>
      </text>
    </comment>
    <comment ref="I15440" authorId="0" shapeId="0">
      <text>
        <r>
          <rPr>
            <b/>
            <sz val="9"/>
            <color indexed="81"/>
            <rFont val="Tahoma"/>
            <family val="2"/>
          </rPr>
          <t>LPA:</t>
        </r>
        <r>
          <rPr>
            <sz val="9"/>
            <color indexed="81"/>
            <rFont val="Tahoma"/>
            <family val="2"/>
          </rPr>
          <t xml:space="preserve">
проверити збир!
</t>
        </r>
      </text>
    </comment>
    <comment ref="H15513" authorId="0" shapeId="0">
      <text>
        <r>
          <rPr>
            <b/>
            <sz val="9"/>
            <color indexed="81"/>
            <rFont val="Tahoma"/>
            <family val="2"/>
          </rPr>
          <t>LPA:</t>
        </r>
        <r>
          <rPr>
            <sz val="9"/>
            <color indexed="81"/>
            <rFont val="Tahoma"/>
            <family val="2"/>
          </rPr>
          <t xml:space="preserve">
проверити збир!</t>
        </r>
      </text>
    </comment>
    <comment ref="I15513" authorId="0" shapeId="0">
      <text>
        <r>
          <rPr>
            <b/>
            <sz val="9"/>
            <color indexed="81"/>
            <rFont val="Tahoma"/>
            <family val="2"/>
          </rPr>
          <t>LPA:</t>
        </r>
        <r>
          <rPr>
            <sz val="9"/>
            <color indexed="81"/>
            <rFont val="Tahoma"/>
            <family val="2"/>
          </rPr>
          <t xml:space="preserve">
проверити збир!
</t>
        </r>
      </text>
    </comment>
    <comment ref="I15514" authorId="0" shapeId="0">
      <text>
        <r>
          <rPr>
            <b/>
            <sz val="9"/>
            <color indexed="81"/>
            <rFont val="Tahoma"/>
            <family val="2"/>
          </rPr>
          <t>LPA:</t>
        </r>
        <r>
          <rPr>
            <sz val="9"/>
            <color indexed="81"/>
            <rFont val="Tahoma"/>
            <family val="2"/>
          </rPr>
          <t xml:space="preserve">
проверити збир!
</t>
        </r>
      </text>
    </comment>
    <comment ref="I15515" authorId="0" shapeId="0">
      <text>
        <r>
          <rPr>
            <b/>
            <sz val="9"/>
            <color indexed="81"/>
            <rFont val="Tahoma"/>
            <family val="2"/>
          </rPr>
          <t>LPA:</t>
        </r>
        <r>
          <rPr>
            <sz val="9"/>
            <color indexed="81"/>
            <rFont val="Tahoma"/>
            <family val="2"/>
          </rPr>
          <t xml:space="preserve">
проверити збир!
</t>
        </r>
      </text>
    </comment>
    <comment ref="I15516" authorId="0" shapeId="0">
      <text>
        <r>
          <rPr>
            <b/>
            <sz val="9"/>
            <color indexed="81"/>
            <rFont val="Tahoma"/>
            <family val="2"/>
          </rPr>
          <t>LPA:</t>
        </r>
        <r>
          <rPr>
            <sz val="9"/>
            <color indexed="81"/>
            <rFont val="Tahoma"/>
            <family val="2"/>
          </rPr>
          <t xml:space="preserve">
проверити збир!
</t>
        </r>
      </text>
    </comment>
    <comment ref="I15517" authorId="0" shapeId="0">
      <text>
        <r>
          <rPr>
            <b/>
            <sz val="9"/>
            <color indexed="81"/>
            <rFont val="Tahoma"/>
            <family val="2"/>
          </rPr>
          <t>LPA:</t>
        </r>
        <r>
          <rPr>
            <sz val="9"/>
            <color indexed="81"/>
            <rFont val="Tahoma"/>
            <family val="2"/>
          </rPr>
          <t xml:space="preserve">
проверити збир!
</t>
        </r>
      </text>
    </comment>
    <comment ref="I15518" authorId="0" shapeId="0">
      <text>
        <r>
          <rPr>
            <b/>
            <sz val="9"/>
            <color indexed="81"/>
            <rFont val="Tahoma"/>
            <family val="2"/>
          </rPr>
          <t>LPA:</t>
        </r>
        <r>
          <rPr>
            <sz val="9"/>
            <color indexed="81"/>
            <rFont val="Tahoma"/>
            <family val="2"/>
          </rPr>
          <t xml:space="preserve">
проверити збир!
</t>
        </r>
      </text>
    </comment>
    <comment ref="I15519" authorId="0" shapeId="0">
      <text>
        <r>
          <rPr>
            <b/>
            <sz val="9"/>
            <color indexed="81"/>
            <rFont val="Tahoma"/>
            <family val="2"/>
          </rPr>
          <t>LPA:</t>
        </r>
        <r>
          <rPr>
            <sz val="9"/>
            <color indexed="81"/>
            <rFont val="Tahoma"/>
            <family val="2"/>
          </rPr>
          <t xml:space="preserve">
проверити збир!
</t>
        </r>
      </text>
    </comment>
    <comment ref="I15520" authorId="0" shapeId="0">
      <text>
        <r>
          <rPr>
            <b/>
            <sz val="9"/>
            <color indexed="81"/>
            <rFont val="Tahoma"/>
            <family val="2"/>
          </rPr>
          <t>LPA:</t>
        </r>
        <r>
          <rPr>
            <sz val="9"/>
            <color indexed="81"/>
            <rFont val="Tahoma"/>
            <family val="2"/>
          </rPr>
          <t xml:space="preserve">
проверити збир!
</t>
        </r>
      </text>
    </comment>
    <comment ref="I15521" authorId="0" shapeId="0">
      <text>
        <r>
          <rPr>
            <b/>
            <sz val="9"/>
            <color indexed="81"/>
            <rFont val="Tahoma"/>
            <family val="2"/>
          </rPr>
          <t>LPA:</t>
        </r>
        <r>
          <rPr>
            <sz val="9"/>
            <color indexed="81"/>
            <rFont val="Tahoma"/>
            <family val="2"/>
          </rPr>
          <t xml:space="preserve">
проверити збир!
</t>
        </r>
      </text>
    </comment>
    <comment ref="I15522" authorId="0" shapeId="0">
      <text>
        <r>
          <rPr>
            <b/>
            <sz val="9"/>
            <color indexed="81"/>
            <rFont val="Tahoma"/>
            <family val="2"/>
          </rPr>
          <t>LPA:</t>
        </r>
        <r>
          <rPr>
            <sz val="9"/>
            <color indexed="81"/>
            <rFont val="Tahoma"/>
            <family val="2"/>
          </rPr>
          <t xml:space="preserve">
проверити збир!
</t>
        </r>
      </text>
    </comment>
    <comment ref="I15523" authorId="0" shapeId="0">
      <text>
        <r>
          <rPr>
            <b/>
            <sz val="9"/>
            <color indexed="81"/>
            <rFont val="Tahoma"/>
            <family val="2"/>
          </rPr>
          <t>LPA:</t>
        </r>
        <r>
          <rPr>
            <sz val="9"/>
            <color indexed="81"/>
            <rFont val="Tahoma"/>
            <family val="2"/>
          </rPr>
          <t xml:space="preserve">
проверити збир!
</t>
        </r>
      </text>
    </comment>
    <comment ref="I15524" authorId="0" shapeId="0">
      <text>
        <r>
          <rPr>
            <b/>
            <sz val="9"/>
            <color indexed="81"/>
            <rFont val="Tahoma"/>
            <family val="2"/>
          </rPr>
          <t>LPA:</t>
        </r>
        <r>
          <rPr>
            <sz val="9"/>
            <color indexed="81"/>
            <rFont val="Tahoma"/>
            <family val="2"/>
          </rPr>
          <t xml:space="preserve">
проверити збир!
</t>
        </r>
      </text>
    </comment>
    <comment ref="I15525" authorId="0" shapeId="0">
      <text>
        <r>
          <rPr>
            <b/>
            <sz val="9"/>
            <color indexed="81"/>
            <rFont val="Tahoma"/>
            <family val="2"/>
          </rPr>
          <t>LPA:</t>
        </r>
        <r>
          <rPr>
            <sz val="9"/>
            <color indexed="81"/>
            <rFont val="Tahoma"/>
            <family val="2"/>
          </rPr>
          <t xml:space="preserve">
проверити збир!
</t>
        </r>
      </text>
    </comment>
    <comment ref="I15526" authorId="0" shapeId="0">
      <text>
        <r>
          <rPr>
            <b/>
            <sz val="9"/>
            <color indexed="81"/>
            <rFont val="Tahoma"/>
            <family val="2"/>
          </rPr>
          <t>LPA:</t>
        </r>
        <r>
          <rPr>
            <sz val="9"/>
            <color indexed="81"/>
            <rFont val="Tahoma"/>
            <family val="2"/>
          </rPr>
          <t xml:space="preserve">
проверити збир!
</t>
        </r>
      </text>
    </comment>
    <comment ref="I15527" authorId="0" shapeId="0">
      <text>
        <r>
          <rPr>
            <b/>
            <sz val="9"/>
            <color indexed="81"/>
            <rFont val="Tahoma"/>
            <family val="2"/>
          </rPr>
          <t>LPA:</t>
        </r>
        <r>
          <rPr>
            <sz val="9"/>
            <color indexed="81"/>
            <rFont val="Tahoma"/>
            <family val="2"/>
          </rPr>
          <t xml:space="preserve">
проверити збир!
</t>
        </r>
      </text>
    </comment>
    <comment ref="I15528" authorId="0" shapeId="0">
      <text>
        <r>
          <rPr>
            <b/>
            <sz val="9"/>
            <color indexed="81"/>
            <rFont val="Tahoma"/>
            <family val="2"/>
          </rPr>
          <t>LPA:</t>
        </r>
        <r>
          <rPr>
            <sz val="9"/>
            <color indexed="81"/>
            <rFont val="Tahoma"/>
            <family val="2"/>
          </rPr>
          <t xml:space="preserve">
проверити збир!
</t>
        </r>
      </text>
    </comment>
    <comment ref="H15538" authorId="0" shapeId="0">
      <text>
        <r>
          <rPr>
            <b/>
            <sz val="9"/>
            <color indexed="81"/>
            <rFont val="Tahoma"/>
            <family val="2"/>
          </rPr>
          <t>LPA:</t>
        </r>
        <r>
          <rPr>
            <sz val="9"/>
            <color indexed="81"/>
            <rFont val="Tahoma"/>
            <family val="2"/>
          </rPr>
          <t xml:space="preserve">
провери збир!</t>
        </r>
      </text>
    </comment>
    <comment ref="I15538" authorId="0" shapeId="0">
      <text>
        <r>
          <rPr>
            <b/>
            <sz val="9"/>
            <color indexed="81"/>
            <rFont val="Tahoma"/>
            <family val="2"/>
          </rPr>
          <t>LPA:</t>
        </r>
        <r>
          <rPr>
            <sz val="9"/>
            <color indexed="81"/>
            <rFont val="Tahoma"/>
            <family val="2"/>
          </rPr>
          <t xml:space="preserve">
проверити збир!
</t>
        </r>
      </text>
    </comment>
    <comment ref="I15539" authorId="0" shapeId="0">
      <text>
        <r>
          <rPr>
            <b/>
            <sz val="9"/>
            <color indexed="81"/>
            <rFont val="Tahoma"/>
            <family val="2"/>
          </rPr>
          <t>LPA:</t>
        </r>
        <r>
          <rPr>
            <sz val="9"/>
            <color indexed="81"/>
            <rFont val="Tahoma"/>
            <family val="2"/>
          </rPr>
          <t xml:space="preserve">
проверити збир!
</t>
        </r>
      </text>
    </comment>
    <comment ref="I15540" authorId="0" shapeId="0">
      <text>
        <r>
          <rPr>
            <b/>
            <sz val="9"/>
            <color indexed="81"/>
            <rFont val="Tahoma"/>
            <family val="2"/>
          </rPr>
          <t>LPA:</t>
        </r>
        <r>
          <rPr>
            <sz val="9"/>
            <color indexed="81"/>
            <rFont val="Tahoma"/>
            <family val="2"/>
          </rPr>
          <t xml:space="preserve">
проверити збир!
</t>
        </r>
      </text>
    </comment>
    <comment ref="I15541" authorId="0" shapeId="0">
      <text>
        <r>
          <rPr>
            <b/>
            <sz val="9"/>
            <color indexed="81"/>
            <rFont val="Tahoma"/>
            <family val="2"/>
          </rPr>
          <t>LPA:</t>
        </r>
        <r>
          <rPr>
            <sz val="9"/>
            <color indexed="81"/>
            <rFont val="Tahoma"/>
            <family val="2"/>
          </rPr>
          <t xml:space="preserve">
проверити збир!
</t>
        </r>
      </text>
    </comment>
    <comment ref="I15542" authorId="0" shapeId="0">
      <text>
        <r>
          <rPr>
            <b/>
            <sz val="9"/>
            <color indexed="81"/>
            <rFont val="Tahoma"/>
            <family val="2"/>
          </rPr>
          <t>LPA:</t>
        </r>
        <r>
          <rPr>
            <sz val="9"/>
            <color indexed="81"/>
            <rFont val="Tahoma"/>
            <family val="2"/>
          </rPr>
          <t xml:space="preserve">
проверити збир!
</t>
        </r>
      </text>
    </comment>
    <comment ref="I15543" authorId="0" shapeId="0">
      <text>
        <r>
          <rPr>
            <b/>
            <sz val="9"/>
            <color indexed="81"/>
            <rFont val="Tahoma"/>
            <family val="2"/>
          </rPr>
          <t>LPA:</t>
        </r>
        <r>
          <rPr>
            <sz val="9"/>
            <color indexed="81"/>
            <rFont val="Tahoma"/>
            <family val="2"/>
          </rPr>
          <t xml:space="preserve">
проверити збир!
</t>
        </r>
      </text>
    </comment>
    <comment ref="I15544" authorId="0" shapeId="0">
      <text>
        <r>
          <rPr>
            <b/>
            <sz val="9"/>
            <color indexed="81"/>
            <rFont val="Tahoma"/>
            <family val="2"/>
          </rPr>
          <t>LPA:</t>
        </r>
        <r>
          <rPr>
            <sz val="9"/>
            <color indexed="81"/>
            <rFont val="Tahoma"/>
            <family val="2"/>
          </rPr>
          <t xml:space="preserve">
проверити збир!
</t>
        </r>
      </text>
    </comment>
    <comment ref="I15545" authorId="0" shapeId="0">
      <text>
        <r>
          <rPr>
            <b/>
            <sz val="9"/>
            <color indexed="81"/>
            <rFont val="Tahoma"/>
            <family val="2"/>
          </rPr>
          <t>LPA:</t>
        </r>
        <r>
          <rPr>
            <sz val="9"/>
            <color indexed="81"/>
            <rFont val="Tahoma"/>
            <family val="2"/>
          </rPr>
          <t xml:space="preserve">
проверити збир!
</t>
        </r>
      </text>
    </comment>
    <comment ref="I15546" authorId="0" shapeId="0">
      <text>
        <r>
          <rPr>
            <b/>
            <sz val="9"/>
            <color indexed="81"/>
            <rFont val="Tahoma"/>
            <family val="2"/>
          </rPr>
          <t>LPA:</t>
        </r>
        <r>
          <rPr>
            <sz val="9"/>
            <color indexed="81"/>
            <rFont val="Tahoma"/>
            <family val="2"/>
          </rPr>
          <t xml:space="preserve">
проверити збир!
</t>
        </r>
      </text>
    </comment>
    <comment ref="I15547" authorId="0" shapeId="0">
      <text>
        <r>
          <rPr>
            <b/>
            <sz val="9"/>
            <color indexed="81"/>
            <rFont val="Tahoma"/>
            <family val="2"/>
          </rPr>
          <t>LPA:</t>
        </r>
        <r>
          <rPr>
            <sz val="9"/>
            <color indexed="81"/>
            <rFont val="Tahoma"/>
            <family val="2"/>
          </rPr>
          <t xml:space="preserve">
проверити збир!
</t>
        </r>
      </text>
    </comment>
    <comment ref="I15548" authorId="0" shapeId="0">
      <text>
        <r>
          <rPr>
            <b/>
            <sz val="9"/>
            <color indexed="81"/>
            <rFont val="Tahoma"/>
            <family val="2"/>
          </rPr>
          <t>LPA:</t>
        </r>
        <r>
          <rPr>
            <sz val="9"/>
            <color indexed="81"/>
            <rFont val="Tahoma"/>
            <family val="2"/>
          </rPr>
          <t xml:space="preserve">
проверити збир!
</t>
        </r>
      </text>
    </comment>
    <comment ref="I15549" authorId="0" shapeId="0">
      <text>
        <r>
          <rPr>
            <b/>
            <sz val="9"/>
            <color indexed="81"/>
            <rFont val="Tahoma"/>
            <family val="2"/>
          </rPr>
          <t>LPA:</t>
        </r>
        <r>
          <rPr>
            <sz val="9"/>
            <color indexed="81"/>
            <rFont val="Tahoma"/>
            <family val="2"/>
          </rPr>
          <t xml:space="preserve">
проверити збир!
</t>
        </r>
      </text>
    </comment>
    <comment ref="I15550" authorId="0" shapeId="0">
      <text>
        <r>
          <rPr>
            <b/>
            <sz val="9"/>
            <color indexed="81"/>
            <rFont val="Tahoma"/>
            <family val="2"/>
          </rPr>
          <t>LPA:</t>
        </r>
        <r>
          <rPr>
            <sz val="9"/>
            <color indexed="81"/>
            <rFont val="Tahoma"/>
            <family val="2"/>
          </rPr>
          <t xml:space="preserve">
проверити збир!
</t>
        </r>
      </text>
    </comment>
    <comment ref="I15551" authorId="0" shapeId="0">
      <text>
        <r>
          <rPr>
            <b/>
            <sz val="9"/>
            <color indexed="81"/>
            <rFont val="Tahoma"/>
            <family val="2"/>
          </rPr>
          <t>LPA:</t>
        </r>
        <r>
          <rPr>
            <sz val="9"/>
            <color indexed="81"/>
            <rFont val="Tahoma"/>
            <family val="2"/>
          </rPr>
          <t xml:space="preserve">
проверити збир!
</t>
        </r>
      </text>
    </comment>
    <comment ref="I15552" authorId="0" shapeId="0">
      <text>
        <r>
          <rPr>
            <b/>
            <sz val="9"/>
            <color indexed="81"/>
            <rFont val="Tahoma"/>
            <family val="2"/>
          </rPr>
          <t>LPA:</t>
        </r>
        <r>
          <rPr>
            <sz val="9"/>
            <color indexed="81"/>
            <rFont val="Tahoma"/>
            <family val="2"/>
          </rPr>
          <t xml:space="preserve">
проверити збир!
</t>
        </r>
      </text>
    </comment>
    <comment ref="I15553" authorId="0" shapeId="0">
      <text>
        <r>
          <rPr>
            <b/>
            <sz val="9"/>
            <color indexed="81"/>
            <rFont val="Tahoma"/>
            <family val="2"/>
          </rPr>
          <t>LPA:</t>
        </r>
        <r>
          <rPr>
            <sz val="9"/>
            <color indexed="81"/>
            <rFont val="Tahoma"/>
            <family val="2"/>
          </rPr>
          <t xml:space="preserve">
проверити збир!
</t>
        </r>
      </text>
    </comment>
    <comment ref="I16140" authorId="0" shapeId="0">
      <text>
        <r>
          <rPr>
            <b/>
            <sz val="9"/>
            <color indexed="81"/>
            <rFont val="Tahoma"/>
            <family val="2"/>
          </rPr>
          <t>LPA:</t>
        </r>
        <r>
          <rPr>
            <sz val="9"/>
            <color indexed="81"/>
            <rFont val="Tahoma"/>
            <family val="2"/>
          </rPr>
          <t xml:space="preserve">
проверити збир!
</t>
        </r>
      </text>
    </comment>
    <comment ref="I16141" authorId="0" shapeId="0">
      <text>
        <r>
          <rPr>
            <b/>
            <sz val="9"/>
            <color indexed="81"/>
            <rFont val="Tahoma"/>
            <family val="2"/>
          </rPr>
          <t>LPA:</t>
        </r>
        <r>
          <rPr>
            <sz val="9"/>
            <color indexed="81"/>
            <rFont val="Tahoma"/>
            <family val="2"/>
          </rPr>
          <t xml:space="preserve">
проверити збир!
</t>
        </r>
      </text>
    </comment>
    <comment ref="I16142" authorId="0" shapeId="0">
      <text>
        <r>
          <rPr>
            <b/>
            <sz val="9"/>
            <color indexed="81"/>
            <rFont val="Tahoma"/>
            <family val="2"/>
          </rPr>
          <t>LPA:</t>
        </r>
        <r>
          <rPr>
            <sz val="9"/>
            <color indexed="81"/>
            <rFont val="Tahoma"/>
            <family val="2"/>
          </rPr>
          <t xml:space="preserve">
проверити збир!
</t>
        </r>
      </text>
    </comment>
    <comment ref="I16143" authorId="0" shapeId="0">
      <text>
        <r>
          <rPr>
            <b/>
            <sz val="9"/>
            <color indexed="81"/>
            <rFont val="Tahoma"/>
            <family val="2"/>
          </rPr>
          <t>LPA:</t>
        </r>
        <r>
          <rPr>
            <sz val="9"/>
            <color indexed="81"/>
            <rFont val="Tahoma"/>
            <family val="2"/>
          </rPr>
          <t xml:space="preserve">
проверити збир!
</t>
        </r>
      </text>
    </comment>
    <comment ref="I16144" authorId="0" shapeId="0">
      <text>
        <r>
          <rPr>
            <b/>
            <sz val="9"/>
            <color indexed="81"/>
            <rFont val="Tahoma"/>
            <family val="2"/>
          </rPr>
          <t>LPA:</t>
        </r>
        <r>
          <rPr>
            <sz val="9"/>
            <color indexed="81"/>
            <rFont val="Tahoma"/>
            <family val="2"/>
          </rPr>
          <t xml:space="preserve">
проверити збир!
</t>
        </r>
      </text>
    </comment>
    <comment ref="I16145" authorId="0" shapeId="0">
      <text>
        <r>
          <rPr>
            <b/>
            <sz val="9"/>
            <color indexed="81"/>
            <rFont val="Tahoma"/>
            <family val="2"/>
          </rPr>
          <t>LPA:</t>
        </r>
        <r>
          <rPr>
            <sz val="9"/>
            <color indexed="81"/>
            <rFont val="Tahoma"/>
            <family val="2"/>
          </rPr>
          <t xml:space="preserve">
проверити збир!
</t>
        </r>
      </text>
    </comment>
    <comment ref="I16146" authorId="0" shapeId="0">
      <text>
        <r>
          <rPr>
            <b/>
            <sz val="9"/>
            <color indexed="81"/>
            <rFont val="Tahoma"/>
            <family val="2"/>
          </rPr>
          <t>LPA:</t>
        </r>
        <r>
          <rPr>
            <sz val="9"/>
            <color indexed="81"/>
            <rFont val="Tahoma"/>
            <family val="2"/>
          </rPr>
          <t xml:space="preserve">
проверити збир!
</t>
        </r>
      </text>
    </comment>
    <comment ref="I16147" authorId="0" shapeId="0">
      <text>
        <r>
          <rPr>
            <b/>
            <sz val="9"/>
            <color indexed="81"/>
            <rFont val="Tahoma"/>
            <family val="2"/>
          </rPr>
          <t>LPA:</t>
        </r>
        <r>
          <rPr>
            <sz val="9"/>
            <color indexed="81"/>
            <rFont val="Tahoma"/>
            <family val="2"/>
          </rPr>
          <t xml:space="preserve">
проверити збир!
</t>
        </r>
      </text>
    </comment>
    <comment ref="I16148" authorId="0" shapeId="0">
      <text>
        <r>
          <rPr>
            <b/>
            <sz val="9"/>
            <color indexed="81"/>
            <rFont val="Tahoma"/>
            <family val="2"/>
          </rPr>
          <t>LPA:</t>
        </r>
        <r>
          <rPr>
            <sz val="9"/>
            <color indexed="81"/>
            <rFont val="Tahoma"/>
            <family val="2"/>
          </rPr>
          <t xml:space="preserve">
проверити збир!
</t>
        </r>
      </text>
    </comment>
    <comment ref="I16149" authorId="0" shapeId="0">
      <text>
        <r>
          <rPr>
            <b/>
            <sz val="9"/>
            <color indexed="81"/>
            <rFont val="Tahoma"/>
            <family val="2"/>
          </rPr>
          <t>LPA:</t>
        </r>
        <r>
          <rPr>
            <sz val="9"/>
            <color indexed="81"/>
            <rFont val="Tahoma"/>
            <family val="2"/>
          </rPr>
          <t xml:space="preserve">
проверити збир!
</t>
        </r>
      </text>
    </comment>
    <comment ref="I16150" authorId="0" shapeId="0">
      <text>
        <r>
          <rPr>
            <b/>
            <sz val="9"/>
            <color indexed="81"/>
            <rFont val="Tahoma"/>
            <family val="2"/>
          </rPr>
          <t>LPA:</t>
        </r>
        <r>
          <rPr>
            <sz val="9"/>
            <color indexed="81"/>
            <rFont val="Tahoma"/>
            <family val="2"/>
          </rPr>
          <t xml:space="preserve">
проверити збир!
</t>
        </r>
      </text>
    </comment>
    <comment ref="I16151" authorId="0" shapeId="0">
      <text>
        <r>
          <rPr>
            <b/>
            <sz val="9"/>
            <color indexed="81"/>
            <rFont val="Tahoma"/>
            <family val="2"/>
          </rPr>
          <t>LPA:</t>
        </r>
        <r>
          <rPr>
            <sz val="9"/>
            <color indexed="81"/>
            <rFont val="Tahoma"/>
            <family val="2"/>
          </rPr>
          <t xml:space="preserve">
проверити збир!
</t>
        </r>
      </text>
    </comment>
    <comment ref="I16152" authorId="0" shapeId="0">
      <text>
        <r>
          <rPr>
            <b/>
            <sz val="9"/>
            <color indexed="81"/>
            <rFont val="Tahoma"/>
            <family val="2"/>
          </rPr>
          <t>LPA:</t>
        </r>
        <r>
          <rPr>
            <sz val="9"/>
            <color indexed="81"/>
            <rFont val="Tahoma"/>
            <family val="2"/>
          </rPr>
          <t xml:space="preserve">
проверити збир!
</t>
        </r>
      </text>
    </comment>
    <comment ref="H16155" authorId="0" shapeId="0">
      <text>
        <r>
          <rPr>
            <b/>
            <sz val="9"/>
            <color indexed="81"/>
            <rFont val="Tahoma"/>
            <family val="2"/>
          </rPr>
          <t>LPA:</t>
        </r>
        <r>
          <rPr>
            <sz val="9"/>
            <color indexed="81"/>
            <rFont val="Tahoma"/>
            <family val="2"/>
          </rPr>
          <t xml:space="preserve">
проверити збир!</t>
        </r>
      </text>
    </comment>
    <comment ref="I16155" authorId="0" shapeId="0">
      <text>
        <r>
          <rPr>
            <b/>
            <sz val="9"/>
            <color indexed="81"/>
            <rFont val="Tahoma"/>
            <family val="2"/>
          </rPr>
          <t>LPA:</t>
        </r>
        <r>
          <rPr>
            <sz val="9"/>
            <color indexed="81"/>
            <rFont val="Tahoma"/>
            <family val="2"/>
          </rPr>
          <t xml:space="preserve">
проверити збир!</t>
        </r>
      </text>
    </comment>
    <comment ref="I16156" authorId="0" shapeId="0">
      <text>
        <r>
          <rPr>
            <b/>
            <sz val="9"/>
            <color indexed="81"/>
            <rFont val="Tahoma"/>
            <family val="2"/>
          </rPr>
          <t>LPA:</t>
        </r>
        <r>
          <rPr>
            <sz val="9"/>
            <color indexed="81"/>
            <rFont val="Tahoma"/>
            <family val="2"/>
          </rPr>
          <t xml:space="preserve">
проверити збир!
</t>
        </r>
      </text>
    </comment>
    <comment ref="I16157" authorId="0" shapeId="0">
      <text>
        <r>
          <rPr>
            <b/>
            <sz val="9"/>
            <color indexed="81"/>
            <rFont val="Tahoma"/>
            <family val="2"/>
          </rPr>
          <t>LPA:</t>
        </r>
        <r>
          <rPr>
            <sz val="9"/>
            <color indexed="81"/>
            <rFont val="Tahoma"/>
            <family val="2"/>
          </rPr>
          <t xml:space="preserve">
проверити збир!
</t>
        </r>
      </text>
    </comment>
    <comment ref="I16158" authorId="0" shapeId="0">
      <text>
        <r>
          <rPr>
            <b/>
            <sz val="9"/>
            <color indexed="81"/>
            <rFont val="Tahoma"/>
            <family val="2"/>
          </rPr>
          <t>LPA:</t>
        </r>
        <r>
          <rPr>
            <sz val="9"/>
            <color indexed="81"/>
            <rFont val="Tahoma"/>
            <family val="2"/>
          </rPr>
          <t xml:space="preserve">
проверити збир!
</t>
        </r>
      </text>
    </comment>
    <comment ref="I16159" authorId="0" shapeId="0">
      <text>
        <r>
          <rPr>
            <b/>
            <sz val="9"/>
            <color indexed="81"/>
            <rFont val="Tahoma"/>
            <family val="2"/>
          </rPr>
          <t>LPA:</t>
        </r>
        <r>
          <rPr>
            <sz val="9"/>
            <color indexed="81"/>
            <rFont val="Tahoma"/>
            <family val="2"/>
          </rPr>
          <t xml:space="preserve">
проверити збир!
</t>
        </r>
      </text>
    </comment>
    <comment ref="I16160" authorId="0" shapeId="0">
      <text>
        <r>
          <rPr>
            <b/>
            <sz val="9"/>
            <color indexed="81"/>
            <rFont val="Tahoma"/>
            <family val="2"/>
          </rPr>
          <t>LPA:</t>
        </r>
        <r>
          <rPr>
            <sz val="9"/>
            <color indexed="81"/>
            <rFont val="Tahoma"/>
            <family val="2"/>
          </rPr>
          <t xml:space="preserve">
проверити збир!
</t>
        </r>
      </text>
    </comment>
    <comment ref="I16161" authorId="0" shapeId="0">
      <text>
        <r>
          <rPr>
            <b/>
            <sz val="9"/>
            <color indexed="81"/>
            <rFont val="Tahoma"/>
            <family val="2"/>
          </rPr>
          <t>LPA:</t>
        </r>
        <r>
          <rPr>
            <sz val="9"/>
            <color indexed="81"/>
            <rFont val="Tahoma"/>
            <family val="2"/>
          </rPr>
          <t xml:space="preserve">
проверити збир!
</t>
        </r>
      </text>
    </comment>
    <comment ref="I16162" authorId="0" shapeId="0">
      <text>
        <r>
          <rPr>
            <b/>
            <sz val="9"/>
            <color indexed="81"/>
            <rFont val="Tahoma"/>
            <family val="2"/>
          </rPr>
          <t>LPA:</t>
        </r>
        <r>
          <rPr>
            <sz val="9"/>
            <color indexed="81"/>
            <rFont val="Tahoma"/>
            <family val="2"/>
          </rPr>
          <t xml:space="preserve">
проверити збир!
</t>
        </r>
      </text>
    </comment>
    <comment ref="I16163" authorId="0" shapeId="0">
      <text>
        <r>
          <rPr>
            <b/>
            <sz val="9"/>
            <color indexed="81"/>
            <rFont val="Tahoma"/>
            <family val="2"/>
          </rPr>
          <t>LPA:</t>
        </r>
        <r>
          <rPr>
            <sz val="9"/>
            <color indexed="81"/>
            <rFont val="Tahoma"/>
            <family val="2"/>
          </rPr>
          <t xml:space="preserve">
проверити збир!
</t>
        </r>
      </text>
    </comment>
    <comment ref="I16164" authorId="0" shapeId="0">
      <text>
        <r>
          <rPr>
            <b/>
            <sz val="9"/>
            <color indexed="81"/>
            <rFont val="Tahoma"/>
            <family val="2"/>
          </rPr>
          <t>LPA:</t>
        </r>
        <r>
          <rPr>
            <sz val="9"/>
            <color indexed="81"/>
            <rFont val="Tahoma"/>
            <family val="2"/>
          </rPr>
          <t xml:space="preserve">
проверити збир!
</t>
        </r>
      </text>
    </comment>
    <comment ref="I16165" authorId="0" shapeId="0">
      <text>
        <r>
          <rPr>
            <b/>
            <sz val="9"/>
            <color indexed="81"/>
            <rFont val="Tahoma"/>
            <family val="2"/>
          </rPr>
          <t>LPA:</t>
        </r>
        <r>
          <rPr>
            <sz val="9"/>
            <color indexed="81"/>
            <rFont val="Tahoma"/>
            <family val="2"/>
          </rPr>
          <t xml:space="preserve">
проверити збир!
</t>
        </r>
      </text>
    </comment>
    <comment ref="I16166" authorId="0" shapeId="0">
      <text>
        <r>
          <rPr>
            <b/>
            <sz val="9"/>
            <color indexed="81"/>
            <rFont val="Tahoma"/>
            <family val="2"/>
          </rPr>
          <t>LPA:</t>
        </r>
        <r>
          <rPr>
            <sz val="9"/>
            <color indexed="81"/>
            <rFont val="Tahoma"/>
            <family val="2"/>
          </rPr>
          <t xml:space="preserve">
проверити збир!
</t>
        </r>
      </text>
    </comment>
    <comment ref="I16167" authorId="0" shapeId="0">
      <text>
        <r>
          <rPr>
            <b/>
            <sz val="9"/>
            <color indexed="81"/>
            <rFont val="Tahoma"/>
            <family val="2"/>
          </rPr>
          <t>LPA:</t>
        </r>
        <r>
          <rPr>
            <sz val="9"/>
            <color indexed="81"/>
            <rFont val="Tahoma"/>
            <family val="2"/>
          </rPr>
          <t xml:space="preserve">
проверити збир!
</t>
        </r>
      </text>
    </comment>
    <comment ref="I16168" authorId="0" shapeId="0">
      <text>
        <r>
          <rPr>
            <b/>
            <sz val="9"/>
            <color indexed="81"/>
            <rFont val="Tahoma"/>
            <family val="2"/>
          </rPr>
          <t>LPA:</t>
        </r>
        <r>
          <rPr>
            <sz val="9"/>
            <color indexed="81"/>
            <rFont val="Tahoma"/>
            <family val="2"/>
          </rPr>
          <t xml:space="preserve">
проверити збир!
</t>
        </r>
      </text>
    </comment>
    <comment ref="I16169" authorId="0" shapeId="0">
      <text>
        <r>
          <rPr>
            <b/>
            <sz val="9"/>
            <color indexed="81"/>
            <rFont val="Tahoma"/>
            <family val="2"/>
          </rPr>
          <t>LPA:</t>
        </r>
        <r>
          <rPr>
            <sz val="9"/>
            <color indexed="81"/>
            <rFont val="Tahoma"/>
            <family val="2"/>
          </rPr>
          <t xml:space="preserve">
проверити збир!
</t>
        </r>
      </text>
    </comment>
    <comment ref="I16170" authorId="0" shapeId="0">
      <text>
        <r>
          <rPr>
            <b/>
            <sz val="9"/>
            <color indexed="81"/>
            <rFont val="Tahoma"/>
            <family val="2"/>
          </rPr>
          <t>LPA:</t>
        </r>
        <r>
          <rPr>
            <sz val="9"/>
            <color indexed="81"/>
            <rFont val="Tahoma"/>
            <family val="2"/>
          </rPr>
          <t xml:space="preserve">
проверити збир!
</t>
        </r>
      </text>
    </comment>
    <comment ref="I16240" authorId="0" shapeId="0">
      <text>
        <r>
          <rPr>
            <b/>
            <sz val="9"/>
            <color indexed="81"/>
            <rFont val="Tahoma"/>
            <family val="2"/>
          </rPr>
          <t>LPA:</t>
        </r>
        <r>
          <rPr>
            <sz val="9"/>
            <color indexed="81"/>
            <rFont val="Tahoma"/>
            <family val="2"/>
          </rPr>
          <t xml:space="preserve">
проверити збир!
</t>
        </r>
      </text>
    </comment>
    <comment ref="I16241" authorId="0" shapeId="0">
      <text>
        <r>
          <rPr>
            <b/>
            <sz val="9"/>
            <color indexed="81"/>
            <rFont val="Tahoma"/>
            <family val="2"/>
          </rPr>
          <t>LPA:</t>
        </r>
        <r>
          <rPr>
            <sz val="9"/>
            <color indexed="81"/>
            <rFont val="Tahoma"/>
            <family val="2"/>
          </rPr>
          <t xml:space="preserve">
проверити збир!
</t>
        </r>
      </text>
    </comment>
    <comment ref="I16242" authorId="0" shapeId="0">
      <text>
        <r>
          <rPr>
            <b/>
            <sz val="9"/>
            <color indexed="81"/>
            <rFont val="Tahoma"/>
            <family val="2"/>
          </rPr>
          <t>LPA:</t>
        </r>
        <r>
          <rPr>
            <sz val="9"/>
            <color indexed="81"/>
            <rFont val="Tahoma"/>
            <family val="2"/>
          </rPr>
          <t xml:space="preserve">
проверити збир!
</t>
        </r>
      </text>
    </comment>
    <comment ref="I16243" authorId="0" shapeId="0">
      <text>
        <r>
          <rPr>
            <b/>
            <sz val="9"/>
            <color indexed="81"/>
            <rFont val="Tahoma"/>
            <family val="2"/>
          </rPr>
          <t>LPA:</t>
        </r>
        <r>
          <rPr>
            <sz val="9"/>
            <color indexed="81"/>
            <rFont val="Tahoma"/>
            <family val="2"/>
          </rPr>
          <t xml:space="preserve">
проверити збир!
</t>
        </r>
      </text>
    </comment>
    <comment ref="I16244" authorId="0" shapeId="0">
      <text>
        <r>
          <rPr>
            <b/>
            <sz val="9"/>
            <color indexed="81"/>
            <rFont val="Tahoma"/>
            <family val="2"/>
          </rPr>
          <t>LPA:</t>
        </r>
        <r>
          <rPr>
            <sz val="9"/>
            <color indexed="81"/>
            <rFont val="Tahoma"/>
            <family val="2"/>
          </rPr>
          <t xml:space="preserve">
проверити збир!
</t>
        </r>
      </text>
    </comment>
    <comment ref="I16245" authorId="0" shapeId="0">
      <text>
        <r>
          <rPr>
            <b/>
            <sz val="9"/>
            <color indexed="81"/>
            <rFont val="Tahoma"/>
            <family val="2"/>
          </rPr>
          <t>LPA:</t>
        </r>
        <r>
          <rPr>
            <sz val="9"/>
            <color indexed="81"/>
            <rFont val="Tahoma"/>
            <family val="2"/>
          </rPr>
          <t xml:space="preserve">
проверити збир!
</t>
        </r>
      </text>
    </comment>
    <comment ref="I16246" authorId="0" shapeId="0">
      <text>
        <r>
          <rPr>
            <b/>
            <sz val="9"/>
            <color indexed="81"/>
            <rFont val="Tahoma"/>
            <family val="2"/>
          </rPr>
          <t>LPA:</t>
        </r>
        <r>
          <rPr>
            <sz val="9"/>
            <color indexed="81"/>
            <rFont val="Tahoma"/>
            <family val="2"/>
          </rPr>
          <t xml:space="preserve">
проверити збир!
</t>
        </r>
      </text>
    </comment>
    <comment ref="I16247" authorId="0" shapeId="0">
      <text>
        <r>
          <rPr>
            <b/>
            <sz val="9"/>
            <color indexed="81"/>
            <rFont val="Tahoma"/>
            <family val="2"/>
          </rPr>
          <t>LPA:</t>
        </r>
        <r>
          <rPr>
            <sz val="9"/>
            <color indexed="81"/>
            <rFont val="Tahoma"/>
            <family val="2"/>
          </rPr>
          <t xml:space="preserve">
проверити збир!
</t>
        </r>
      </text>
    </comment>
    <comment ref="I16248" authorId="0" shapeId="0">
      <text>
        <r>
          <rPr>
            <b/>
            <sz val="9"/>
            <color indexed="81"/>
            <rFont val="Tahoma"/>
            <family val="2"/>
          </rPr>
          <t>LPA:</t>
        </r>
        <r>
          <rPr>
            <sz val="9"/>
            <color indexed="81"/>
            <rFont val="Tahoma"/>
            <family val="2"/>
          </rPr>
          <t xml:space="preserve">
проверити збир!
</t>
        </r>
      </text>
    </comment>
    <comment ref="I16249" authorId="0" shapeId="0">
      <text>
        <r>
          <rPr>
            <b/>
            <sz val="9"/>
            <color indexed="81"/>
            <rFont val="Tahoma"/>
            <family val="2"/>
          </rPr>
          <t>LPA:</t>
        </r>
        <r>
          <rPr>
            <sz val="9"/>
            <color indexed="81"/>
            <rFont val="Tahoma"/>
            <family val="2"/>
          </rPr>
          <t xml:space="preserve">
проверити збир!
</t>
        </r>
      </text>
    </comment>
    <comment ref="I16250" authorId="0" shapeId="0">
      <text>
        <r>
          <rPr>
            <b/>
            <sz val="9"/>
            <color indexed="81"/>
            <rFont val="Tahoma"/>
            <family val="2"/>
          </rPr>
          <t>LPA:</t>
        </r>
        <r>
          <rPr>
            <sz val="9"/>
            <color indexed="81"/>
            <rFont val="Tahoma"/>
            <family val="2"/>
          </rPr>
          <t xml:space="preserve">
проверити збир!
</t>
        </r>
      </text>
    </comment>
    <comment ref="I16251" authorId="0" shapeId="0">
      <text>
        <r>
          <rPr>
            <b/>
            <sz val="9"/>
            <color indexed="81"/>
            <rFont val="Tahoma"/>
            <family val="2"/>
          </rPr>
          <t>LPA:</t>
        </r>
        <r>
          <rPr>
            <sz val="9"/>
            <color indexed="81"/>
            <rFont val="Tahoma"/>
            <family val="2"/>
          </rPr>
          <t xml:space="preserve">
проверити збир!
</t>
        </r>
      </text>
    </comment>
    <comment ref="I16252" authorId="0" shapeId="0">
      <text>
        <r>
          <rPr>
            <b/>
            <sz val="9"/>
            <color indexed="81"/>
            <rFont val="Tahoma"/>
            <family val="2"/>
          </rPr>
          <t>LPA:</t>
        </r>
        <r>
          <rPr>
            <sz val="9"/>
            <color indexed="81"/>
            <rFont val="Tahoma"/>
            <family val="2"/>
          </rPr>
          <t xml:space="preserve">
проверити збир!
</t>
        </r>
      </text>
    </comment>
    <comment ref="H16255" authorId="0" shapeId="0">
      <text>
        <r>
          <rPr>
            <b/>
            <sz val="9"/>
            <color indexed="81"/>
            <rFont val="Tahoma"/>
            <family val="2"/>
          </rPr>
          <t>LPA:</t>
        </r>
        <r>
          <rPr>
            <sz val="9"/>
            <color indexed="81"/>
            <rFont val="Tahoma"/>
            <family val="2"/>
          </rPr>
          <t xml:space="preserve">
проверити збир!</t>
        </r>
      </text>
    </comment>
    <comment ref="I16255" authorId="0" shapeId="0">
      <text>
        <r>
          <rPr>
            <b/>
            <sz val="9"/>
            <color indexed="81"/>
            <rFont val="Tahoma"/>
            <family val="2"/>
          </rPr>
          <t>LPA:</t>
        </r>
        <r>
          <rPr>
            <sz val="9"/>
            <color indexed="81"/>
            <rFont val="Tahoma"/>
            <family val="2"/>
          </rPr>
          <t xml:space="preserve">
проверити збир!</t>
        </r>
      </text>
    </comment>
    <comment ref="I16256" authorId="0" shapeId="0">
      <text>
        <r>
          <rPr>
            <b/>
            <sz val="9"/>
            <color indexed="81"/>
            <rFont val="Tahoma"/>
            <family val="2"/>
          </rPr>
          <t>LPA:</t>
        </r>
        <r>
          <rPr>
            <sz val="9"/>
            <color indexed="81"/>
            <rFont val="Tahoma"/>
            <family val="2"/>
          </rPr>
          <t xml:space="preserve">
проверити збир!
</t>
        </r>
      </text>
    </comment>
    <comment ref="I16257" authorId="0" shapeId="0">
      <text>
        <r>
          <rPr>
            <b/>
            <sz val="9"/>
            <color indexed="81"/>
            <rFont val="Tahoma"/>
            <family val="2"/>
          </rPr>
          <t>LPA:</t>
        </r>
        <r>
          <rPr>
            <sz val="9"/>
            <color indexed="81"/>
            <rFont val="Tahoma"/>
            <family val="2"/>
          </rPr>
          <t xml:space="preserve">
проверити збир!
</t>
        </r>
      </text>
    </comment>
    <comment ref="I16258" authorId="0" shapeId="0">
      <text>
        <r>
          <rPr>
            <b/>
            <sz val="9"/>
            <color indexed="81"/>
            <rFont val="Tahoma"/>
            <family val="2"/>
          </rPr>
          <t>LPA:</t>
        </r>
        <r>
          <rPr>
            <sz val="9"/>
            <color indexed="81"/>
            <rFont val="Tahoma"/>
            <family val="2"/>
          </rPr>
          <t xml:space="preserve">
проверити збир!
</t>
        </r>
      </text>
    </comment>
    <comment ref="I16259" authorId="0" shapeId="0">
      <text>
        <r>
          <rPr>
            <b/>
            <sz val="9"/>
            <color indexed="81"/>
            <rFont val="Tahoma"/>
            <family val="2"/>
          </rPr>
          <t>LPA:</t>
        </r>
        <r>
          <rPr>
            <sz val="9"/>
            <color indexed="81"/>
            <rFont val="Tahoma"/>
            <family val="2"/>
          </rPr>
          <t xml:space="preserve">
проверити збир!
</t>
        </r>
      </text>
    </comment>
    <comment ref="I16260" authorId="0" shapeId="0">
      <text>
        <r>
          <rPr>
            <b/>
            <sz val="9"/>
            <color indexed="81"/>
            <rFont val="Tahoma"/>
            <family val="2"/>
          </rPr>
          <t>LPA:</t>
        </r>
        <r>
          <rPr>
            <sz val="9"/>
            <color indexed="81"/>
            <rFont val="Tahoma"/>
            <family val="2"/>
          </rPr>
          <t xml:space="preserve">
проверити збир!
</t>
        </r>
      </text>
    </comment>
    <comment ref="I16261" authorId="0" shapeId="0">
      <text>
        <r>
          <rPr>
            <b/>
            <sz val="9"/>
            <color indexed="81"/>
            <rFont val="Tahoma"/>
            <family val="2"/>
          </rPr>
          <t>LPA:</t>
        </r>
        <r>
          <rPr>
            <sz val="9"/>
            <color indexed="81"/>
            <rFont val="Tahoma"/>
            <family val="2"/>
          </rPr>
          <t xml:space="preserve">
проверити збир!
</t>
        </r>
      </text>
    </comment>
    <comment ref="I16262" authorId="0" shapeId="0">
      <text>
        <r>
          <rPr>
            <b/>
            <sz val="9"/>
            <color indexed="81"/>
            <rFont val="Tahoma"/>
            <family val="2"/>
          </rPr>
          <t>LPA:</t>
        </r>
        <r>
          <rPr>
            <sz val="9"/>
            <color indexed="81"/>
            <rFont val="Tahoma"/>
            <family val="2"/>
          </rPr>
          <t xml:space="preserve">
проверити збир!
</t>
        </r>
      </text>
    </comment>
    <comment ref="I16263" authorId="0" shapeId="0">
      <text>
        <r>
          <rPr>
            <b/>
            <sz val="9"/>
            <color indexed="81"/>
            <rFont val="Tahoma"/>
            <family val="2"/>
          </rPr>
          <t>LPA:</t>
        </r>
        <r>
          <rPr>
            <sz val="9"/>
            <color indexed="81"/>
            <rFont val="Tahoma"/>
            <family val="2"/>
          </rPr>
          <t xml:space="preserve">
проверити збир!
</t>
        </r>
      </text>
    </comment>
    <comment ref="I16264" authorId="0" shapeId="0">
      <text>
        <r>
          <rPr>
            <b/>
            <sz val="9"/>
            <color indexed="81"/>
            <rFont val="Tahoma"/>
            <family val="2"/>
          </rPr>
          <t>LPA:</t>
        </r>
        <r>
          <rPr>
            <sz val="9"/>
            <color indexed="81"/>
            <rFont val="Tahoma"/>
            <family val="2"/>
          </rPr>
          <t xml:space="preserve">
проверити збир!
</t>
        </r>
      </text>
    </comment>
    <comment ref="I16265" authorId="0" shapeId="0">
      <text>
        <r>
          <rPr>
            <b/>
            <sz val="9"/>
            <color indexed="81"/>
            <rFont val="Tahoma"/>
            <family val="2"/>
          </rPr>
          <t>LPA:</t>
        </r>
        <r>
          <rPr>
            <sz val="9"/>
            <color indexed="81"/>
            <rFont val="Tahoma"/>
            <family val="2"/>
          </rPr>
          <t xml:space="preserve">
проверити збир!
</t>
        </r>
      </text>
    </comment>
    <comment ref="I16266" authorId="0" shapeId="0">
      <text>
        <r>
          <rPr>
            <b/>
            <sz val="9"/>
            <color indexed="81"/>
            <rFont val="Tahoma"/>
            <family val="2"/>
          </rPr>
          <t>LPA:</t>
        </r>
        <r>
          <rPr>
            <sz val="9"/>
            <color indexed="81"/>
            <rFont val="Tahoma"/>
            <family val="2"/>
          </rPr>
          <t xml:space="preserve">
проверити збир!
</t>
        </r>
      </text>
    </comment>
    <comment ref="I16267" authorId="0" shapeId="0">
      <text>
        <r>
          <rPr>
            <b/>
            <sz val="9"/>
            <color indexed="81"/>
            <rFont val="Tahoma"/>
            <family val="2"/>
          </rPr>
          <t>LPA:</t>
        </r>
        <r>
          <rPr>
            <sz val="9"/>
            <color indexed="81"/>
            <rFont val="Tahoma"/>
            <family val="2"/>
          </rPr>
          <t xml:space="preserve">
проверити збир!
</t>
        </r>
      </text>
    </comment>
    <comment ref="I16268" authorId="0" shapeId="0">
      <text>
        <r>
          <rPr>
            <b/>
            <sz val="9"/>
            <color indexed="81"/>
            <rFont val="Tahoma"/>
            <family val="2"/>
          </rPr>
          <t>LPA:</t>
        </r>
        <r>
          <rPr>
            <sz val="9"/>
            <color indexed="81"/>
            <rFont val="Tahoma"/>
            <family val="2"/>
          </rPr>
          <t xml:space="preserve">
проверити збир!
</t>
        </r>
      </text>
    </comment>
    <comment ref="I16269" authorId="0" shapeId="0">
      <text>
        <r>
          <rPr>
            <b/>
            <sz val="9"/>
            <color indexed="81"/>
            <rFont val="Tahoma"/>
            <family val="2"/>
          </rPr>
          <t>LPA:</t>
        </r>
        <r>
          <rPr>
            <sz val="9"/>
            <color indexed="81"/>
            <rFont val="Tahoma"/>
            <family val="2"/>
          </rPr>
          <t xml:space="preserve">
проверити збир!
</t>
        </r>
      </text>
    </comment>
    <comment ref="I16270" authorId="0" shapeId="0">
      <text>
        <r>
          <rPr>
            <b/>
            <sz val="9"/>
            <color indexed="81"/>
            <rFont val="Tahoma"/>
            <family val="2"/>
          </rPr>
          <t>LPA:</t>
        </r>
        <r>
          <rPr>
            <sz val="9"/>
            <color indexed="81"/>
            <rFont val="Tahoma"/>
            <family val="2"/>
          </rPr>
          <t xml:space="preserve">
проверити збир!
</t>
        </r>
      </text>
    </comment>
    <comment ref="H16274" authorId="0" shapeId="0">
      <text>
        <r>
          <rPr>
            <b/>
            <sz val="9"/>
            <color indexed="81"/>
            <rFont val="Tahoma"/>
            <family val="2"/>
          </rPr>
          <t>LPA:</t>
        </r>
        <r>
          <rPr>
            <sz val="9"/>
            <color indexed="81"/>
            <rFont val="Tahoma"/>
            <family val="2"/>
          </rPr>
          <t xml:space="preserve">
проверити збир!</t>
        </r>
      </text>
    </comment>
    <comment ref="I16274" authorId="0" shapeId="0">
      <text>
        <r>
          <rPr>
            <b/>
            <sz val="9"/>
            <color indexed="81"/>
            <rFont val="Tahoma"/>
            <family val="2"/>
          </rPr>
          <t>LPA:</t>
        </r>
        <r>
          <rPr>
            <sz val="9"/>
            <color indexed="81"/>
            <rFont val="Tahoma"/>
            <family val="2"/>
          </rPr>
          <t xml:space="preserve">
проверити збир!
</t>
        </r>
      </text>
    </comment>
    <comment ref="I16275" authorId="0" shapeId="0">
      <text>
        <r>
          <rPr>
            <b/>
            <sz val="9"/>
            <color indexed="81"/>
            <rFont val="Tahoma"/>
            <family val="2"/>
          </rPr>
          <t>LPA:</t>
        </r>
        <r>
          <rPr>
            <sz val="9"/>
            <color indexed="81"/>
            <rFont val="Tahoma"/>
            <family val="2"/>
          </rPr>
          <t xml:space="preserve">
проверити збир!
</t>
        </r>
      </text>
    </comment>
    <comment ref="I16276" authorId="0" shapeId="0">
      <text>
        <r>
          <rPr>
            <b/>
            <sz val="9"/>
            <color indexed="81"/>
            <rFont val="Tahoma"/>
            <family val="2"/>
          </rPr>
          <t>LPA:</t>
        </r>
        <r>
          <rPr>
            <sz val="9"/>
            <color indexed="81"/>
            <rFont val="Tahoma"/>
            <family val="2"/>
          </rPr>
          <t xml:space="preserve">
проверити збир!
</t>
        </r>
      </text>
    </comment>
    <comment ref="I16277" authorId="0" shapeId="0">
      <text>
        <r>
          <rPr>
            <b/>
            <sz val="9"/>
            <color indexed="81"/>
            <rFont val="Tahoma"/>
            <family val="2"/>
          </rPr>
          <t>LPA:</t>
        </r>
        <r>
          <rPr>
            <sz val="9"/>
            <color indexed="81"/>
            <rFont val="Tahoma"/>
            <family val="2"/>
          </rPr>
          <t xml:space="preserve">
проверити збир!
</t>
        </r>
      </text>
    </comment>
    <comment ref="I16278" authorId="0" shapeId="0">
      <text>
        <r>
          <rPr>
            <b/>
            <sz val="9"/>
            <color indexed="81"/>
            <rFont val="Tahoma"/>
            <family val="2"/>
          </rPr>
          <t>LPA:</t>
        </r>
        <r>
          <rPr>
            <sz val="9"/>
            <color indexed="81"/>
            <rFont val="Tahoma"/>
            <family val="2"/>
          </rPr>
          <t xml:space="preserve">
проверити збир!
</t>
        </r>
      </text>
    </comment>
    <comment ref="I16279" authorId="0" shapeId="0">
      <text>
        <r>
          <rPr>
            <b/>
            <sz val="9"/>
            <color indexed="81"/>
            <rFont val="Tahoma"/>
            <family val="2"/>
          </rPr>
          <t>LPA:</t>
        </r>
        <r>
          <rPr>
            <sz val="9"/>
            <color indexed="81"/>
            <rFont val="Tahoma"/>
            <family val="2"/>
          </rPr>
          <t xml:space="preserve">
проверити збир!
</t>
        </r>
      </text>
    </comment>
    <comment ref="I16280" authorId="0" shapeId="0">
      <text>
        <r>
          <rPr>
            <b/>
            <sz val="9"/>
            <color indexed="81"/>
            <rFont val="Tahoma"/>
            <family val="2"/>
          </rPr>
          <t>LPA:</t>
        </r>
        <r>
          <rPr>
            <sz val="9"/>
            <color indexed="81"/>
            <rFont val="Tahoma"/>
            <family val="2"/>
          </rPr>
          <t xml:space="preserve">
проверити збир!
</t>
        </r>
      </text>
    </comment>
    <comment ref="I16281" authorId="0" shapeId="0">
      <text>
        <r>
          <rPr>
            <b/>
            <sz val="9"/>
            <color indexed="81"/>
            <rFont val="Tahoma"/>
            <family val="2"/>
          </rPr>
          <t>LPA:</t>
        </r>
        <r>
          <rPr>
            <sz val="9"/>
            <color indexed="81"/>
            <rFont val="Tahoma"/>
            <family val="2"/>
          </rPr>
          <t xml:space="preserve">
проверити збир!
</t>
        </r>
      </text>
    </comment>
    <comment ref="I16282" authorId="0" shapeId="0">
      <text>
        <r>
          <rPr>
            <b/>
            <sz val="9"/>
            <color indexed="81"/>
            <rFont val="Tahoma"/>
            <family val="2"/>
          </rPr>
          <t>LPA:</t>
        </r>
        <r>
          <rPr>
            <sz val="9"/>
            <color indexed="81"/>
            <rFont val="Tahoma"/>
            <family val="2"/>
          </rPr>
          <t xml:space="preserve">
проверити збир!
</t>
        </r>
      </text>
    </comment>
    <comment ref="I16283" authorId="0" shapeId="0">
      <text>
        <r>
          <rPr>
            <b/>
            <sz val="9"/>
            <color indexed="81"/>
            <rFont val="Tahoma"/>
            <family val="2"/>
          </rPr>
          <t>LPA:</t>
        </r>
        <r>
          <rPr>
            <sz val="9"/>
            <color indexed="81"/>
            <rFont val="Tahoma"/>
            <family val="2"/>
          </rPr>
          <t xml:space="preserve">
проверити збир!
</t>
        </r>
      </text>
    </comment>
    <comment ref="I16284" authorId="0" shapeId="0">
      <text>
        <r>
          <rPr>
            <b/>
            <sz val="9"/>
            <color indexed="81"/>
            <rFont val="Tahoma"/>
            <family val="2"/>
          </rPr>
          <t>LPA:</t>
        </r>
        <r>
          <rPr>
            <sz val="9"/>
            <color indexed="81"/>
            <rFont val="Tahoma"/>
            <family val="2"/>
          </rPr>
          <t xml:space="preserve">
проверити збир!
</t>
        </r>
      </text>
    </comment>
    <comment ref="I16285" authorId="0" shapeId="0">
      <text>
        <r>
          <rPr>
            <b/>
            <sz val="9"/>
            <color indexed="81"/>
            <rFont val="Tahoma"/>
            <family val="2"/>
          </rPr>
          <t>LPA:</t>
        </r>
        <r>
          <rPr>
            <sz val="9"/>
            <color indexed="81"/>
            <rFont val="Tahoma"/>
            <family val="2"/>
          </rPr>
          <t xml:space="preserve">
проверити збир!
</t>
        </r>
      </text>
    </comment>
    <comment ref="I16286" authorId="0" shapeId="0">
      <text>
        <r>
          <rPr>
            <b/>
            <sz val="9"/>
            <color indexed="81"/>
            <rFont val="Tahoma"/>
            <family val="2"/>
          </rPr>
          <t>LPA:</t>
        </r>
        <r>
          <rPr>
            <sz val="9"/>
            <color indexed="81"/>
            <rFont val="Tahoma"/>
            <family val="2"/>
          </rPr>
          <t xml:space="preserve">
проверити збир!
</t>
        </r>
      </text>
    </comment>
    <comment ref="I16287" authorId="0" shapeId="0">
      <text>
        <r>
          <rPr>
            <b/>
            <sz val="9"/>
            <color indexed="81"/>
            <rFont val="Tahoma"/>
            <family val="2"/>
          </rPr>
          <t>LPA:</t>
        </r>
        <r>
          <rPr>
            <sz val="9"/>
            <color indexed="81"/>
            <rFont val="Tahoma"/>
            <family val="2"/>
          </rPr>
          <t xml:space="preserve">
проверити збир!
</t>
        </r>
      </text>
    </comment>
    <comment ref="I16288" authorId="0" shapeId="0">
      <text>
        <r>
          <rPr>
            <b/>
            <sz val="9"/>
            <color indexed="81"/>
            <rFont val="Tahoma"/>
            <family val="2"/>
          </rPr>
          <t>LPA:</t>
        </r>
        <r>
          <rPr>
            <sz val="9"/>
            <color indexed="81"/>
            <rFont val="Tahoma"/>
            <family val="2"/>
          </rPr>
          <t xml:space="preserve">
проверити збир!
</t>
        </r>
      </text>
    </comment>
    <comment ref="I16289" authorId="0" shapeId="0">
      <text>
        <r>
          <rPr>
            <b/>
            <sz val="9"/>
            <color indexed="81"/>
            <rFont val="Tahoma"/>
            <family val="2"/>
          </rPr>
          <t>LPA:</t>
        </r>
        <r>
          <rPr>
            <sz val="9"/>
            <color indexed="81"/>
            <rFont val="Tahoma"/>
            <family val="2"/>
          </rPr>
          <t xml:space="preserve">
проверити збир!
</t>
        </r>
      </text>
    </comment>
    <comment ref="H16293" authorId="0" shapeId="0">
      <text>
        <r>
          <rPr>
            <b/>
            <sz val="9"/>
            <color indexed="81"/>
            <rFont val="Tahoma"/>
            <family val="2"/>
          </rPr>
          <t>LPA:</t>
        </r>
        <r>
          <rPr>
            <sz val="9"/>
            <color indexed="81"/>
            <rFont val="Tahoma"/>
            <family val="2"/>
          </rPr>
          <t xml:space="preserve">
провери збир!</t>
        </r>
      </text>
    </comment>
    <comment ref="I16293" authorId="0" shapeId="0">
      <text>
        <r>
          <rPr>
            <b/>
            <sz val="9"/>
            <color indexed="81"/>
            <rFont val="Tahoma"/>
            <family val="2"/>
          </rPr>
          <t>LPA:</t>
        </r>
        <r>
          <rPr>
            <sz val="9"/>
            <color indexed="81"/>
            <rFont val="Tahoma"/>
            <family val="2"/>
          </rPr>
          <t xml:space="preserve">
проверити збир!
</t>
        </r>
      </text>
    </comment>
    <comment ref="I16294" authorId="0" shapeId="0">
      <text>
        <r>
          <rPr>
            <b/>
            <sz val="9"/>
            <color indexed="81"/>
            <rFont val="Tahoma"/>
            <family val="2"/>
          </rPr>
          <t>LPA:</t>
        </r>
        <r>
          <rPr>
            <sz val="9"/>
            <color indexed="81"/>
            <rFont val="Tahoma"/>
            <family val="2"/>
          </rPr>
          <t xml:space="preserve">
проверити збир!
</t>
        </r>
      </text>
    </comment>
    <comment ref="I16295" authorId="0" shapeId="0">
      <text>
        <r>
          <rPr>
            <b/>
            <sz val="9"/>
            <color indexed="81"/>
            <rFont val="Tahoma"/>
            <family val="2"/>
          </rPr>
          <t>LPA:</t>
        </r>
        <r>
          <rPr>
            <sz val="9"/>
            <color indexed="81"/>
            <rFont val="Tahoma"/>
            <family val="2"/>
          </rPr>
          <t xml:space="preserve">
проверити збир!
</t>
        </r>
      </text>
    </comment>
    <comment ref="I16296" authorId="0" shapeId="0">
      <text>
        <r>
          <rPr>
            <b/>
            <sz val="9"/>
            <color indexed="81"/>
            <rFont val="Tahoma"/>
            <family val="2"/>
          </rPr>
          <t>LPA:</t>
        </r>
        <r>
          <rPr>
            <sz val="9"/>
            <color indexed="81"/>
            <rFont val="Tahoma"/>
            <family val="2"/>
          </rPr>
          <t xml:space="preserve">
проверити збир!
</t>
        </r>
      </text>
    </comment>
    <comment ref="I16297" authorId="0" shapeId="0">
      <text>
        <r>
          <rPr>
            <b/>
            <sz val="9"/>
            <color indexed="81"/>
            <rFont val="Tahoma"/>
            <family val="2"/>
          </rPr>
          <t>LPA:</t>
        </r>
        <r>
          <rPr>
            <sz val="9"/>
            <color indexed="81"/>
            <rFont val="Tahoma"/>
            <family val="2"/>
          </rPr>
          <t xml:space="preserve">
проверити збир!
</t>
        </r>
      </text>
    </comment>
    <comment ref="I16298" authorId="0" shapeId="0">
      <text>
        <r>
          <rPr>
            <b/>
            <sz val="9"/>
            <color indexed="81"/>
            <rFont val="Tahoma"/>
            <family val="2"/>
          </rPr>
          <t>LPA:</t>
        </r>
        <r>
          <rPr>
            <sz val="9"/>
            <color indexed="81"/>
            <rFont val="Tahoma"/>
            <family val="2"/>
          </rPr>
          <t xml:space="preserve">
проверити збир!
</t>
        </r>
      </text>
    </comment>
    <comment ref="I16299" authorId="0" shapeId="0">
      <text>
        <r>
          <rPr>
            <b/>
            <sz val="9"/>
            <color indexed="81"/>
            <rFont val="Tahoma"/>
            <family val="2"/>
          </rPr>
          <t>LPA:</t>
        </r>
        <r>
          <rPr>
            <sz val="9"/>
            <color indexed="81"/>
            <rFont val="Tahoma"/>
            <family val="2"/>
          </rPr>
          <t xml:space="preserve">
проверити збир!
</t>
        </r>
      </text>
    </comment>
    <comment ref="I16300" authorId="0" shapeId="0">
      <text>
        <r>
          <rPr>
            <b/>
            <sz val="9"/>
            <color indexed="81"/>
            <rFont val="Tahoma"/>
            <family val="2"/>
          </rPr>
          <t>LPA:</t>
        </r>
        <r>
          <rPr>
            <sz val="9"/>
            <color indexed="81"/>
            <rFont val="Tahoma"/>
            <family val="2"/>
          </rPr>
          <t xml:space="preserve">
проверити збир!
</t>
        </r>
      </text>
    </comment>
    <comment ref="I16301" authorId="0" shapeId="0">
      <text>
        <r>
          <rPr>
            <b/>
            <sz val="9"/>
            <color indexed="81"/>
            <rFont val="Tahoma"/>
            <family val="2"/>
          </rPr>
          <t>LPA:</t>
        </r>
        <r>
          <rPr>
            <sz val="9"/>
            <color indexed="81"/>
            <rFont val="Tahoma"/>
            <family val="2"/>
          </rPr>
          <t xml:space="preserve">
проверити збир!
</t>
        </r>
      </text>
    </comment>
    <comment ref="I16302" authorId="0" shapeId="0">
      <text>
        <r>
          <rPr>
            <b/>
            <sz val="9"/>
            <color indexed="81"/>
            <rFont val="Tahoma"/>
            <family val="2"/>
          </rPr>
          <t>LPA:</t>
        </r>
        <r>
          <rPr>
            <sz val="9"/>
            <color indexed="81"/>
            <rFont val="Tahoma"/>
            <family val="2"/>
          </rPr>
          <t xml:space="preserve">
проверити збир!
</t>
        </r>
      </text>
    </comment>
    <comment ref="I16303" authorId="0" shapeId="0">
      <text>
        <r>
          <rPr>
            <b/>
            <sz val="9"/>
            <color indexed="81"/>
            <rFont val="Tahoma"/>
            <family val="2"/>
          </rPr>
          <t>LPA:</t>
        </r>
        <r>
          <rPr>
            <sz val="9"/>
            <color indexed="81"/>
            <rFont val="Tahoma"/>
            <family val="2"/>
          </rPr>
          <t xml:space="preserve">
проверити збир!
</t>
        </r>
      </text>
    </comment>
    <comment ref="I16304" authorId="0" shapeId="0">
      <text>
        <r>
          <rPr>
            <b/>
            <sz val="9"/>
            <color indexed="81"/>
            <rFont val="Tahoma"/>
            <family val="2"/>
          </rPr>
          <t>LPA:</t>
        </r>
        <r>
          <rPr>
            <sz val="9"/>
            <color indexed="81"/>
            <rFont val="Tahoma"/>
            <family val="2"/>
          </rPr>
          <t xml:space="preserve">
проверити збир!
</t>
        </r>
      </text>
    </comment>
    <comment ref="I16305" authorId="0" shapeId="0">
      <text>
        <r>
          <rPr>
            <b/>
            <sz val="9"/>
            <color indexed="81"/>
            <rFont val="Tahoma"/>
            <family val="2"/>
          </rPr>
          <t>LPA:</t>
        </r>
        <r>
          <rPr>
            <sz val="9"/>
            <color indexed="81"/>
            <rFont val="Tahoma"/>
            <family val="2"/>
          </rPr>
          <t xml:space="preserve">
проверити збир!
</t>
        </r>
      </text>
    </comment>
    <comment ref="I16306" authorId="0" shapeId="0">
      <text>
        <r>
          <rPr>
            <b/>
            <sz val="9"/>
            <color indexed="81"/>
            <rFont val="Tahoma"/>
            <family val="2"/>
          </rPr>
          <t>LPA:</t>
        </r>
        <r>
          <rPr>
            <sz val="9"/>
            <color indexed="81"/>
            <rFont val="Tahoma"/>
            <family val="2"/>
          </rPr>
          <t xml:space="preserve">
проверити збир!
</t>
        </r>
      </text>
    </comment>
    <comment ref="I16307" authorId="0" shapeId="0">
      <text>
        <r>
          <rPr>
            <b/>
            <sz val="9"/>
            <color indexed="81"/>
            <rFont val="Tahoma"/>
            <family val="2"/>
          </rPr>
          <t>LPA:</t>
        </r>
        <r>
          <rPr>
            <sz val="9"/>
            <color indexed="81"/>
            <rFont val="Tahoma"/>
            <family val="2"/>
          </rPr>
          <t xml:space="preserve">
проверити збир!
</t>
        </r>
      </text>
    </comment>
    <comment ref="I16308" authorId="0" shapeId="0">
      <text>
        <r>
          <rPr>
            <b/>
            <sz val="9"/>
            <color indexed="81"/>
            <rFont val="Tahoma"/>
            <family val="2"/>
          </rPr>
          <t>LPA:</t>
        </r>
        <r>
          <rPr>
            <sz val="9"/>
            <color indexed="81"/>
            <rFont val="Tahoma"/>
            <family val="2"/>
          </rPr>
          <t xml:space="preserve">
проверити збир!
</t>
        </r>
      </text>
    </comment>
    <comment ref="I16380" authorId="0" shapeId="0">
      <text>
        <r>
          <rPr>
            <b/>
            <sz val="9"/>
            <color indexed="81"/>
            <rFont val="Tahoma"/>
            <family val="2"/>
          </rPr>
          <t>LPA:</t>
        </r>
        <r>
          <rPr>
            <sz val="9"/>
            <color indexed="81"/>
            <rFont val="Tahoma"/>
            <family val="2"/>
          </rPr>
          <t xml:space="preserve">
проверити збир!
</t>
        </r>
      </text>
    </comment>
    <comment ref="I16381" authorId="0" shapeId="0">
      <text>
        <r>
          <rPr>
            <b/>
            <sz val="9"/>
            <color indexed="81"/>
            <rFont val="Tahoma"/>
            <family val="2"/>
          </rPr>
          <t>LPA:</t>
        </r>
        <r>
          <rPr>
            <sz val="9"/>
            <color indexed="81"/>
            <rFont val="Tahoma"/>
            <family val="2"/>
          </rPr>
          <t xml:space="preserve">
проверити збир!
</t>
        </r>
      </text>
    </comment>
    <comment ref="I16382" authorId="0" shapeId="0">
      <text>
        <r>
          <rPr>
            <b/>
            <sz val="9"/>
            <color indexed="81"/>
            <rFont val="Tahoma"/>
            <family val="2"/>
          </rPr>
          <t>LPA:</t>
        </r>
        <r>
          <rPr>
            <sz val="9"/>
            <color indexed="81"/>
            <rFont val="Tahoma"/>
            <family val="2"/>
          </rPr>
          <t xml:space="preserve">
проверити збир!
</t>
        </r>
      </text>
    </comment>
    <comment ref="I16383" authorId="0" shapeId="0">
      <text>
        <r>
          <rPr>
            <b/>
            <sz val="9"/>
            <color indexed="81"/>
            <rFont val="Tahoma"/>
            <family val="2"/>
          </rPr>
          <t>LPA:</t>
        </r>
        <r>
          <rPr>
            <sz val="9"/>
            <color indexed="81"/>
            <rFont val="Tahoma"/>
            <family val="2"/>
          </rPr>
          <t xml:space="preserve">
проверити збир!
</t>
        </r>
      </text>
    </comment>
    <comment ref="I16384" authorId="0" shapeId="0">
      <text>
        <r>
          <rPr>
            <b/>
            <sz val="9"/>
            <color indexed="81"/>
            <rFont val="Tahoma"/>
            <family val="2"/>
          </rPr>
          <t>LPA:</t>
        </r>
        <r>
          <rPr>
            <sz val="9"/>
            <color indexed="81"/>
            <rFont val="Tahoma"/>
            <family val="2"/>
          </rPr>
          <t xml:space="preserve">
проверити збир!
</t>
        </r>
      </text>
    </comment>
    <comment ref="I16385" authorId="0" shapeId="0">
      <text>
        <r>
          <rPr>
            <b/>
            <sz val="9"/>
            <color indexed="81"/>
            <rFont val="Tahoma"/>
            <family val="2"/>
          </rPr>
          <t>LPA:</t>
        </r>
        <r>
          <rPr>
            <sz val="9"/>
            <color indexed="81"/>
            <rFont val="Tahoma"/>
            <family val="2"/>
          </rPr>
          <t xml:space="preserve">
проверити збир!
</t>
        </r>
      </text>
    </comment>
    <comment ref="I16386" authorId="0" shapeId="0">
      <text>
        <r>
          <rPr>
            <b/>
            <sz val="9"/>
            <color indexed="81"/>
            <rFont val="Tahoma"/>
            <family val="2"/>
          </rPr>
          <t>LPA:</t>
        </r>
        <r>
          <rPr>
            <sz val="9"/>
            <color indexed="81"/>
            <rFont val="Tahoma"/>
            <family val="2"/>
          </rPr>
          <t xml:space="preserve">
проверити збир!
</t>
        </r>
      </text>
    </comment>
    <comment ref="I16387" authorId="0" shapeId="0">
      <text>
        <r>
          <rPr>
            <b/>
            <sz val="9"/>
            <color indexed="81"/>
            <rFont val="Tahoma"/>
            <family val="2"/>
          </rPr>
          <t>LPA:</t>
        </r>
        <r>
          <rPr>
            <sz val="9"/>
            <color indexed="81"/>
            <rFont val="Tahoma"/>
            <family val="2"/>
          </rPr>
          <t xml:space="preserve">
проверити збир!
</t>
        </r>
      </text>
    </comment>
    <comment ref="I16388" authorId="0" shapeId="0">
      <text>
        <r>
          <rPr>
            <b/>
            <sz val="9"/>
            <color indexed="81"/>
            <rFont val="Tahoma"/>
            <family val="2"/>
          </rPr>
          <t>LPA:</t>
        </r>
        <r>
          <rPr>
            <sz val="9"/>
            <color indexed="81"/>
            <rFont val="Tahoma"/>
            <family val="2"/>
          </rPr>
          <t xml:space="preserve">
проверити збир!
</t>
        </r>
      </text>
    </comment>
    <comment ref="I16389" authorId="0" shapeId="0">
      <text>
        <r>
          <rPr>
            <b/>
            <sz val="9"/>
            <color indexed="81"/>
            <rFont val="Tahoma"/>
            <family val="2"/>
          </rPr>
          <t>LPA:</t>
        </r>
        <r>
          <rPr>
            <sz val="9"/>
            <color indexed="81"/>
            <rFont val="Tahoma"/>
            <family val="2"/>
          </rPr>
          <t xml:space="preserve">
проверити збир!
</t>
        </r>
      </text>
    </comment>
    <comment ref="I16390" authorId="0" shapeId="0">
      <text>
        <r>
          <rPr>
            <b/>
            <sz val="9"/>
            <color indexed="81"/>
            <rFont val="Tahoma"/>
            <family val="2"/>
          </rPr>
          <t>LPA:</t>
        </r>
        <r>
          <rPr>
            <sz val="9"/>
            <color indexed="81"/>
            <rFont val="Tahoma"/>
            <family val="2"/>
          </rPr>
          <t xml:space="preserve">
проверити збир!
</t>
        </r>
      </text>
    </comment>
    <comment ref="I16391" authorId="0" shapeId="0">
      <text>
        <r>
          <rPr>
            <b/>
            <sz val="9"/>
            <color indexed="81"/>
            <rFont val="Tahoma"/>
            <family val="2"/>
          </rPr>
          <t>LPA:</t>
        </r>
        <r>
          <rPr>
            <sz val="9"/>
            <color indexed="81"/>
            <rFont val="Tahoma"/>
            <family val="2"/>
          </rPr>
          <t xml:space="preserve">
проверити збир!
</t>
        </r>
      </text>
    </comment>
    <comment ref="I16392" authorId="0" shapeId="0">
      <text>
        <r>
          <rPr>
            <b/>
            <sz val="9"/>
            <color indexed="81"/>
            <rFont val="Tahoma"/>
            <family val="2"/>
          </rPr>
          <t>LPA:</t>
        </r>
        <r>
          <rPr>
            <sz val="9"/>
            <color indexed="81"/>
            <rFont val="Tahoma"/>
            <family val="2"/>
          </rPr>
          <t xml:space="preserve">
проверити збир!
</t>
        </r>
      </text>
    </comment>
    <comment ref="H16395" authorId="0" shapeId="0">
      <text>
        <r>
          <rPr>
            <b/>
            <sz val="9"/>
            <color indexed="81"/>
            <rFont val="Tahoma"/>
            <family val="2"/>
          </rPr>
          <t>LPA:</t>
        </r>
        <r>
          <rPr>
            <sz val="9"/>
            <color indexed="81"/>
            <rFont val="Tahoma"/>
            <family val="2"/>
          </rPr>
          <t xml:space="preserve">
проверити збир!</t>
        </r>
      </text>
    </comment>
    <comment ref="I16395" authorId="0" shapeId="0">
      <text>
        <r>
          <rPr>
            <b/>
            <sz val="9"/>
            <color indexed="81"/>
            <rFont val="Tahoma"/>
            <family val="2"/>
          </rPr>
          <t>LPA:</t>
        </r>
        <r>
          <rPr>
            <sz val="9"/>
            <color indexed="81"/>
            <rFont val="Tahoma"/>
            <family val="2"/>
          </rPr>
          <t xml:space="preserve">
проверити збир!</t>
        </r>
      </text>
    </comment>
    <comment ref="I16396" authorId="0" shapeId="0">
      <text>
        <r>
          <rPr>
            <b/>
            <sz val="9"/>
            <color indexed="81"/>
            <rFont val="Tahoma"/>
            <family val="2"/>
          </rPr>
          <t>LPA:</t>
        </r>
        <r>
          <rPr>
            <sz val="9"/>
            <color indexed="81"/>
            <rFont val="Tahoma"/>
            <family val="2"/>
          </rPr>
          <t xml:space="preserve">
проверити збир!
</t>
        </r>
      </text>
    </comment>
    <comment ref="I16397" authorId="0" shapeId="0">
      <text>
        <r>
          <rPr>
            <b/>
            <sz val="9"/>
            <color indexed="81"/>
            <rFont val="Tahoma"/>
            <family val="2"/>
          </rPr>
          <t>LPA:</t>
        </r>
        <r>
          <rPr>
            <sz val="9"/>
            <color indexed="81"/>
            <rFont val="Tahoma"/>
            <family val="2"/>
          </rPr>
          <t xml:space="preserve">
проверити збир!
</t>
        </r>
      </text>
    </comment>
    <comment ref="I16398" authorId="0" shapeId="0">
      <text>
        <r>
          <rPr>
            <b/>
            <sz val="9"/>
            <color indexed="81"/>
            <rFont val="Tahoma"/>
            <family val="2"/>
          </rPr>
          <t>LPA:</t>
        </r>
        <r>
          <rPr>
            <sz val="9"/>
            <color indexed="81"/>
            <rFont val="Tahoma"/>
            <family val="2"/>
          </rPr>
          <t xml:space="preserve">
проверити збир!
</t>
        </r>
      </text>
    </comment>
    <comment ref="I16399" authorId="0" shapeId="0">
      <text>
        <r>
          <rPr>
            <b/>
            <sz val="9"/>
            <color indexed="81"/>
            <rFont val="Tahoma"/>
            <family val="2"/>
          </rPr>
          <t>LPA:</t>
        </r>
        <r>
          <rPr>
            <sz val="9"/>
            <color indexed="81"/>
            <rFont val="Tahoma"/>
            <family val="2"/>
          </rPr>
          <t xml:space="preserve">
проверити збир!
</t>
        </r>
      </text>
    </comment>
    <comment ref="I16400" authorId="0" shapeId="0">
      <text>
        <r>
          <rPr>
            <b/>
            <sz val="9"/>
            <color indexed="81"/>
            <rFont val="Tahoma"/>
            <family val="2"/>
          </rPr>
          <t>LPA:</t>
        </r>
        <r>
          <rPr>
            <sz val="9"/>
            <color indexed="81"/>
            <rFont val="Tahoma"/>
            <family val="2"/>
          </rPr>
          <t xml:space="preserve">
проверити збир!
</t>
        </r>
      </text>
    </comment>
    <comment ref="I16401" authorId="0" shapeId="0">
      <text>
        <r>
          <rPr>
            <b/>
            <sz val="9"/>
            <color indexed="81"/>
            <rFont val="Tahoma"/>
            <family val="2"/>
          </rPr>
          <t>LPA:</t>
        </r>
        <r>
          <rPr>
            <sz val="9"/>
            <color indexed="81"/>
            <rFont val="Tahoma"/>
            <family val="2"/>
          </rPr>
          <t xml:space="preserve">
проверити збир!
</t>
        </r>
      </text>
    </comment>
    <comment ref="I16402" authorId="0" shapeId="0">
      <text>
        <r>
          <rPr>
            <b/>
            <sz val="9"/>
            <color indexed="81"/>
            <rFont val="Tahoma"/>
            <family val="2"/>
          </rPr>
          <t>LPA:</t>
        </r>
        <r>
          <rPr>
            <sz val="9"/>
            <color indexed="81"/>
            <rFont val="Tahoma"/>
            <family val="2"/>
          </rPr>
          <t xml:space="preserve">
проверити збир!
</t>
        </r>
      </text>
    </comment>
    <comment ref="I16403" authorId="0" shapeId="0">
      <text>
        <r>
          <rPr>
            <b/>
            <sz val="9"/>
            <color indexed="81"/>
            <rFont val="Tahoma"/>
            <family val="2"/>
          </rPr>
          <t>LPA:</t>
        </r>
        <r>
          <rPr>
            <sz val="9"/>
            <color indexed="81"/>
            <rFont val="Tahoma"/>
            <family val="2"/>
          </rPr>
          <t xml:space="preserve">
проверити збир!
</t>
        </r>
      </text>
    </comment>
    <comment ref="I16404" authorId="0" shapeId="0">
      <text>
        <r>
          <rPr>
            <b/>
            <sz val="9"/>
            <color indexed="81"/>
            <rFont val="Tahoma"/>
            <family val="2"/>
          </rPr>
          <t>LPA:</t>
        </r>
        <r>
          <rPr>
            <sz val="9"/>
            <color indexed="81"/>
            <rFont val="Tahoma"/>
            <family val="2"/>
          </rPr>
          <t xml:space="preserve">
проверити збир!
</t>
        </r>
      </text>
    </comment>
    <comment ref="I16405" authorId="0" shapeId="0">
      <text>
        <r>
          <rPr>
            <b/>
            <sz val="9"/>
            <color indexed="81"/>
            <rFont val="Tahoma"/>
            <family val="2"/>
          </rPr>
          <t>LPA:</t>
        </r>
        <r>
          <rPr>
            <sz val="9"/>
            <color indexed="81"/>
            <rFont val="Tahoma"/>
            <family val="2"/>
          </rPr>
          <t xml:space="preserve">
проверити збир!
</t>
        </r>
      </text>
    </comment>
    <comment ref="I16406" authorId="0" shapeId="0">
      <text>
        <r>
          <rPr>
            <b/>
            <sz val="9"/>
            <color indexed="81"/>
            <rFont val="Tahoma"/>
            <family val="2"/>
          </rPr>
          <t>LPA:</t>
        </r>
        <r>
          <rPr>
            <sz val="9"/>
            <color indexed="81"/>
            <rFont val="Tahoma"/>
            <family val="2"/>
          </rPr>
          <t xml:space="preserve">
проверити збир!
</t>
        </r>
      </text>
    </comment>
    <comment ref="I16407" authorId="0" shapeId="0">
      <text>
        <r>
          <rPr>
            <b/>
            <sz val="9"/>
            <color indexed="81"/>
            <rFont val="Tahoma"/>
            <family val="2"/>
          </rPr>
          <t>LPA:</t>
        </r>
        <r>
          <rPr>
            <sz val="9"/>
            <color indexed="81"/>
            <rFont val="Tahoma"/>
            <family val="2"/>
          </rPr>
          <t xml:space="preserve">
проверити збир!
</t>
        </r>
      </text>
    </comment>
    <comment ref="I16408" authorId="0" shapeId="0">
      <text>
        <r>
          <rPr>
            <b/>
            <sz val="9"/>
            <color indexed="81"/>
            <rFont val="Tahoma"/>
            <family val="2"/>
          </rPr>
          <t>LPA:</t>
        </r>
        <r>
          <rPr>
            <sz val="9"/>
            <color indexed="81"/>
            <rFont val="Tahoma"/>
            <family val="2"/>
          </rPr>
          <t xml:space="preserve">
проверити збир!
</t>
        </r>
      </text>
    </comment>
    <comment ref="I16409" authorId="0" shapeId="0">
      <text>
        <r>
          <rPr>
            <b/>
            <sz val="9"/>
            <color indexed="81"/>
            <rFont val="Tahoma"/>
            <family val="2"/>
          </rPr>
          <t>LPA:</t>
        </r>
        <r>
          <rPr>
            <sz val="9"/>
            <color indexed="81"/>
            <rFont val="Tahoma"/>
            <family val="2"/>
          </rPr>
          <t xml:space="preserve">
проверити збир!
</t>
        </r>
      </text>
    </comment>
    <comment ref="I16410" authorId="0" shapeId="0">
      <text>
        <r>
          <rPr>
            <b/>
            <sz val="9"/>
            <color indexed="81"/>
            <rFont val="Tahoma"/>
            <family val="2"/>
          </rPr>
          <t>LPA:</t>
        </r>
        <r>
          <rPr>
            <sz val="9"/>
            <color indexed="81"/>
            <rFont val="Tahoma"/>
            <family val="2"/>
          </rPr>
          <t xml:space="preserve">
проверити збир!
</t>
        </r>
      </text>
    </comment>
    <comment ref="I16479" authorId="0" shapeId="0">
      <text>
        <r>
          <rPr>
            <b/>
            <sz val="9"/>
            <color indexed="81"/>
            <rFont val="Tahoma"/>
            <family val="2"/>
          </rPr>
          <t>LPA:</t>
        </r>
        <r>
          <rPr>
            <sz val="9"/>
            <color indexed="81"/>
            <rFont val="Tahoma"/>
            <family val="2"/>
          </rPr>
          <t xml:space="preserve">
проверити збир!
</t>
        </r>
      </text>
    </comment>
    <comment ref="I16480" authorId="0" shapeId="0">
      <text>
        <r>
          <rPr>
            <b/>
            <sz val="9"/>
            <color indexed="81"/>
            <rFont val="Tahoma"/>
            <family val="2"/>
          </rPr>
          <t>LPA:</t>
        </r>
        <r>
          <rPr>
            <sz val="9"/>
            <color indexed="81"/>
            <rFont val="Tahoma"/>
            <family val="2"/>
          </rPr>
          <t xml:space="preserve">
проверити збир!
</t>
        </r>
      </text>
    </comment>
    <comment ref="I16481" authorId="0" shapeId="0">
      <text>
        <r>
          <rPr>
            <b/>
            <sz val="9"/>
            <color indexed="81"/>
            <rFont val="Tahoma"/>
            <family val="2"/>
          </rPr>
          <t>LPA:</t>
        </r>
        <r>
          <rPr>
            <sz val="9"/>
            <color indexed="81"/>
            <rFont val="Tahoma"/>
            <family val="2"/>
          </rPr>
          <t xml:space="preserve">
проверити збир!
</t>
        </r>
      </text>
    </comment>
    <comment ref="I16482" authorId="0" shapeId="0">
      <text>
        <r>
          <rPr>
            <b/>
            <sz val="9"/>
            <color indexed="81"/>
            <rFont val="Tahoma"/>
            <family val="2"/>
          </rPr>
          <t>LPA:</t>
        </r>
        <r>
          <rPr>
            <sz val="9"/>
            <color indexed="81"/>
            <rFont val="Tahoma"/>
            <family val="2"/>
          </rPr>
          <t xml:space="preserve">
проверити збир!
</t>
        </r>
      </text>
    </comment>
    <comment ref="I16483" authorId="0" shapeId="0">
      <text>
        <r>
          <rPr>
            <b/>
            <sz val="9"/>
            <color indexed="81"/>
            <rFont val="Tahoma"/>
            <family val="2"/>
          </rPr>
          <t>LPA:</t>
        </r>
        <r>
          <rPr>
            <sz val="9"/>
            <color indexed="81"/>
            <rFont val="Tahoma"/>
            <family val="2"/>
          </rPr>
          <t xml:space="preserve">
проверити збир!
</t>
        </r>
      </text>
    </comment>
    <comment ref="I16484" authorId="0" shapeId="0">
      <text>
        <r>
          <rPr>
            <b/>
            <sz val="9"/>
            <color indexed="81"/>
            <rFont val="Tahoma"/>
            <family val="2"/>
          </rPr>
          <t>LPA:</t>
        </r>
        <r>
          <rPr>
            <sz val="9"/>
            <color indexed="81"/>
            <rFont val="Tahoma"/>
            <family val="2"/>
          </rPr>
          <t xml:space="preserve">
проверити збир!
</t>
        </r>
      </text>
    </comment>
    <comment ref="I16485" authorId="0" shapeId="0">
      <text>
        <r>
          <rPr>
            <b/>
            <sz val="9"/>
            <color indexed="81"/>
            <rFont val="Tahoma"/>
            <family val="2"/>
          </rPr>
          <t>LPA:</t>
        </r>
        <r>
          <rPr>
            <sz val="9"/>
            <color indexed="81"/>
            <rFont val="Tahoma"/>
            <family val="2"/>
          </rPr>
          <t xml:space="preserve">
проверити збир!
</t>
        </r>
      </text>
    </comment>
    <comment ref="I16486" authorId="0" shapeId="0">
      <text>
        <r>
          <rPr>
            <b/>
            <sz val="9"/>
            <color indexed="81"/>
            <rFont val="Tahoma"/>
            <family val="2"/>
          </rPr>
          <t>LPA:</t>
        </r>
        <r>
          <rPr>
            <sz val="9"/>
            <color indexed="81"/>
            <rFont val="Tahoma"/>
            <family val="2"/>
          </rPr>
          <t xml:space="preserve">
проверити збир!
</t>
        </r>
      </text>
    </comment>
    <comment ref="I16487" authorId="0" shapeId="0">
      <text>
        <r>
          <rPr>
            <b/>
            <sz val="9"/>
            <color indexed="81"/>
            <rFont val="Tahoma"/>
            <family val="2"/>
          </rPr>
          <t>LPA:</t>
        </r>
        <r>
          <rPr>
            <sz val="9"/>
            <color indexed="81"/>
            <rFont val="Tahoma"/>
            <family val="2"/>
          </rPr>
          <t xml:space="preserve">
проверити збир!
</t>
        </r>
      </text>
    </comment>
    <comment ref="I16488" authorId="0" shapeId="0">
      <text>
        <r>
          <rPr>
            <b/>
            <sz val="9"/>
            <color indexed="81"/>
            <rFont val="Tahoma"/>
            <family val="2"/>
          </rPr>
          <t>LPA:</t>
        </r>
        <r>
          <rPr>
            <sz val="9"/>
            <color indexed="81"/>
            <rFont val="Tahoma"/>
            <family val="2"/>
          </rPr>
          <t xml:space="preserve">
проверити збир!
</t>
        </r>
      </text>
    </comment>
    <comment ref="I16489" authorId="0" shapeId="0">
      <text>
        <r>
          <rPr>
            <b/>
            <sz val="9"/>
            <color indexed="81"/>
            <rFont val="Tahoma"/>
            <family val="2"/>
          </rPr>
          <t>LPA:</t>
        </r>
        <r>
          <rPr>
            <sz val="9"/>
            <color indexed="81"/>
            <rFont val="Tahoma"/>
            <family val="2"/>
          </rPr>
          <t xml:space="preserve">
проверити збир!
</t>
        </r>
      </text>
    </comment>
    <comment ref="I16490" authorId="0" shapeId="0">
      <text>
        <r>
          <rPr>
            <b/>
            <sz val="9"/>
            <color indexed="81"/>
            <rFont val="Tahoma"/>
            <family val="2"/>
          </rPr>
          <t>LPA:</t>
        </r>
        <r>
          <rPr>
            <sz val="9"/>
            <color indexed="81"/>
            <rFont val="Tahoma"/>
            <family val="2"/>
          </rPr>
          <t xml:space="preserve">
проверити збир!
</t>
        </r>
      </text>
    </comment>
    <comment ref="I16491" authorId="0" shapeId="0">
      <text>
        <r>
          <rPr>
            <b/>
            <sz val="9"/>
            <color indexed="81"/>
            <rFont val="Tahoma"/>
            <family val="2"/>
          </rPr>
          <t>LPA:</t>
        </r>
        <r>
          <rPr>
            <sz val="9"/>
            <color indexed="81"/>
            <rFont val="Tahoma"/>
            <family val="2"/>
          </rPr>
          <t xml:space="preserve">
проверити збир!
</t>
        </r>
      </text>
    </comment>
    <comment ref="H16494" authorId="0" shapeId="0">
      <text>
        <r>
          <rPr>
            <b/>
            <sz val="9"/>
            <color indexed="81"/>
            <rFont val="Tahoma"/>
            <family val="2"/>
          </rPr>
          <t>LPA:</t>
        </r>
        <r>
          <rPr>
            <sz val="9"/>
            <color indexed="81"/>
            <rFont val="Tahoma"/>
            <family val="2"/>
          </rPr>
          <t xml:space="preserve">
проверити збир!</t>
        </r>
      </text>
    </comment>
    <comment ref="I16494" authorId="0" shapeId="0">
      <text>
        <r>
          <rPr>
            <b/>
            <sz val="9"/>
            <color indexed="81"/>
            <rFont val="Tahoma"/>
            <family val="2"/>
          </rPr>
          <t>LPA:</t>
        </r>
        <r>
          <rPr>
            <sz val="9"/>
            <color indexed="81"/>
            <rFont val="Tahoma"/>
            <family val="2"/>
          </rPr>
          <t xml:space="preserve">
проверити збир!</t>
        </r>
      </text>
    </comment>
    <comment ref="I16495" authorId="0" shapeId="0">
      <text>
        <r>
          <rPr>
            <b/>
            <sz val="9"/>
            <color indexed="81"/>
            <rFont val="Tahoma"/>
            <family val="2"/>
          </rPr>
          <t>LPA:</t>
        </r>
        <r>
          <rPr>
            <sz val="9"/>
            <color indexed="81"/>
            <rFont val="Tahoma"/>
            <family val="2"/>
          </rPr>
          <t xml:space="preserve">
проверити збир!
</t>
        </r>
      </text>
    </comment>
    <comment ref="I16496" authorId="0" shapeId="0">
      <text>
        <r>
          <rPr>
            <b/>
            <sz val="9"/>
            <color indexed="81"/>
            <rFont val="Tahoma"/>
            <family val="2"/>
          </rPr>
          <t>LPA:</t>
        </r>
        <r>
          <rPr>
            <sz val="9"/>
            <color indexed="81"/>
            <rFont val="Tahoma"/>
            <family val="2"/>
          </rPr>
          <t xml:space="preserve">
проверити збир!
</t>
        </r>
      </text>
    </comment>
    <comment ref="I16497" authorId="0" shapeId="0">
      <text>
        <r>
          <rPr>
            <b/>
            <sz val="9"/>
            <color indexed="81"/>
            <rFont val="Tahoma"/>
            <family val="2"/>
          </rPr>
          <t>LPA:</t>
        </r>
        <r>
          <rPr>
            <sz val="9"/>
            <color indexed="81"/>
            <rFont val="Tahoma"/>
            <family val="2"/>
          </rPr>
          <t xml:space="preserve">
проверити збир!
</t>
        </r>
      </text>
    </comment>
    <comment ref="I16498" authorId="0" shapeId="0">
      <text>
        <r>
          <rPr>
            <b/>
            <sz val="9"/>
            <color indexed="81"/>
            <rFont val="Tahoma"/>
            <family val="2"/>
          </rPr>
          <t>LPA:</t>
        </r>
        <r>
          <rPr>
            <sz val="9"/>
            <color indexed="81"/>
            <rFont val="Tahoma"/>
            <family val="2"/>
          </rPr>
          <t xml:space="preserve">
проверити збир!
</t>
        </r>
      </text>
    </comment>
    <comment ref="I16499" authorId="0" shapeId="0">
      <text>
        <r>
          <rPr>
            <b/>
            <sz val="9"/>
            <color indexed="81"/>
            <rFont val="Tahoma"/>
            <family val="2"/>
          </rPr>
          <t>LPA:</t>
        </r>
        <r>
          <rPr>
            <sz val="9"/>
            <color indexed="81"/>
            <rFont val="Tahoma"/>
            <family val="2"/>
          </rPr>
          <t xml:space="preserve">
проверити збир!
</t>
        </r>
      </text>
    </comment>
    <comment ref="I16500" authorId="0" shapeId="0">
      <text>
        <r>
          <rPr>
            <b/>
            <sz val="9"/>
            <color indexed="81"/>
            <rFont val="Tahoma"/>
            <family val="2"/>
          </rPr>
          <t>LPA:</t>
        </r>
        <r>
          <rPr>
            <sz val="9"/>
            <color indexed="81"/>
            <rFont val="Tahoma"/>
            <family val="2"/>
          </rPr>
          <t xml:space="preserve">
проверити збир!
</t>
        </r>
      </text>
    </comment>
    <comment ref="I16501" authorId="0" shapeId="0">
      <text>
        <r>
          <rPr>
            <b/>
            <sz val="9"/>
            <color indexed="81"/>
            <rFont val="Tahoma"/>
            <family val="2"/>
          </rPr>
          <t>LPA:</t>
        </r>
        <r>
          <rPr>
            <sz val="9"/>
            <color indexed="81"/>
            <rFont val="Tahoma"/>
            <family val="2"/>
          </rPr>
          <t xml:space="preserve">
проверити збир!
</t>
        </r>
      </text>
    </comment>
    <comment ref="I16502" authorId="0" shapeId="0">
      <text>
        <r>
          <rPr>
            <b/>
            <sz val="9"/>
            <color indexed="81"/>
            <rFont val="Tahoma"/>
            <family val="2"/>
          </rPr>
          <t>LPA:</t>
        </r>
        <r>
          <rPr>
            <sz val="9"/>
            <color indexed="81"/>
            <rFont val="Tahoma"/>
            <family val="2"/>
          </rPr>
          <t xml:space="preserve">
проверити збир!
</t>
        </r>
      </text>
    </comment>
    <comment ref="I16503" authorId="0" shapeId="0">
      <text>
        <r>
          <rPr>
            <b/>
            <sz val="9"/>
            <color indexed="81"/>
            <rFont val="Tahoma"/>
            <family val="2"/>
          </rPr>
          <t>LPA:</t>
        </r>
        <r>
          <rPr>
            <sz val="9"/>
            <color indexed="81"/>
            <rFont val="Tahoma"/>
            <family val="2"/>
          </rPr>
          <t xml:space="preserve">
проверити збир!
</t>
        </r>
      </text>
    </comment>
    <comment ref="I16504" authorId="0" shapeId="0">
      <text>
        <r>
          <rPr>
            <b/>
            <sz val="9"/>
            <color indexed="81"/>
            <rFont val="Tahoma"/>
            <family val="2"/>
          </rPr>
          <t>LPA:</t>
        </r>
        <r>
          <rPr>
            <sz val="9"/>
            <color indexed="81"/>
            <rFont val="Tahoma"/>
            <family val="2"/>
          </rPr>
          <t xml:space="preserve">
проверити збир!
</t>
        </r>
      </text>
    </comment>
    <comment ref="I16505" authorId="0" shapeId="0">
      <text>
        <r>
          <rPr>
            <b/>
            <sz val="9"/>
            <color indexed="81"/>
            <rFont val="Tahoma"/>
            <family val="2"/>
          </rPr>
          <t>LPA:</t>
        </r>
        <r>
          <rPr>
            <sz val="9"/>
            <color indexed="81"/>
            <rFont val="Tahoma"/>
            <family val="2"/>
          </rPr>
          <t xml:space="preserve">
проверити збир!
</t>
        </r>
      </text>
    </comment>
    <comment ref="I16506" authorId="0" shapeId="0">
      <text>
        <r>
          <rPr>
            <b/>
            <sz val="9"/>
            <color indexed="81"/>
            <rFont val="Tahoma"/>
            <family val="2"/>
          </rPr>
          <t>LPA:</t>
        </r>
        <r>
          <rPr>
            <sz val="9"/>
            <color indexed="81"/>
            <rFont val="Tahoma"/>
            <family val="2"/>
          </rPr>
          <t xml:space="preserve">
проверити збир!
</t>
        </r>
      </text>
    </comment>
    <comment ref="I16507" authorId="0" shapeId="0">
      <text>
        <r>
          <rPr>
            <b/>
            <sz val="9"/>
            <color indexed="81"/>
            <rFont val="Tahoma"/>
            <family val="2"/>
          </rPr>
          <t>LPA:</t>
        </r>
        <r>
          <rPr>
            <sz val="9"/>
            <color indexed="81"/>
            <rFont val="Tahoma"/>
            <family val="2"/>
          </rPr>
          <t xml:space="preserve">
проверити збир!
</t>
        </r>
      </text>
    </comment>
    <comment ref="I16508" authorId="0" shapeId="0">
      <text>
        <r>
          <rPr>
            <b/>
            <sz val="9"/>
            <color indexed="81"/>
            <rFont val="Tahoma"/>
            <family val="2"/>
          </rPr>
          <t>LPA:</t>
        </r>
        <r>
          <rPr>
            <sz val="9"/>
            <color indexed="81"/>
            <rFont val="Tahoma"/>
            <family val="2"/>
          </rPr>
          <t xml:space="preserve">
проверити збир!
</t>
        </r>
      </text>
    </comment>
    <comment ref="I16509" authorId="0" shapeId="0">
      <text>
        <r>
          <rPr>
            <b/>
            <sz val="9"/>
            <color indexed="81"/>
            <rFont val="Tahoma"/>
            <family val="2"/>
          </rPr>
          <t>LPA:</t>
        </r>
        <r>
          <rPr>
            <sz val="9"/>
            <color indexed="81"/>
            <rFont val="Tahoma"/>
            <family val="2"/>
          </rPr>
          <t xml:space="preserve">
проверити збир!
</t>
        </r>
      </text>
    </comment>
    <comment ref="I16578" authorId="0" shapeId="0">
      <text>
        <r>
          <rPr>
            <b/>
            <sz val="9"/>
            <color indexed="81"/>
            <rFont val="Tahoma"/>
            <family val="2"/>
          </rPr>
          <t>LPA:</t>
        </r>
        <r>
          <rPr>
            <sz val="9"/>
            <color indexed="81"/>
            <rFont val="Tahoma"/>
            <family val="2"/>
          </rPr>
          <t xml:space="preserve">
проверити збир!
</t>
        </r>
      </text>
    </comment>
    <comment ref="I16579" authorId="0" shapeId="0">
      <text>
        <r>
          <rPr>
            <b/>
            <sz val="9"/>
            <color indexed="81"/>
            <rFont val="Tahoma"/>
            <family val="2"/>
          </rPr>
          <t>LPA:</t>
        </r>
        <r>
          <rPr>
            <sz val="9"/>
            <color indexed="81"/>
            <rFont val="Tahoma"/>
            <family val="2"/>
          </rPr>
          <t xml:space="preserve">
проверити збир!
</t>
        </r>
      </text>
    </comment>
    <comment ref="I16580" authorId="0" shapeId="0">
      <text>
        <r>
          <rPr>
            <b/>
            <sz val="9"/>
            <color indexed="81"/>
            <rFont val="Tahoma"/>
            <family val="2"/>
          </rPr>
          <t>LPA:</t>
        </r>
        <r>
          <rPr>
            <sz val="9"/>
            <color indexed="81"/>
            <rFont val="Tahoma"/>
            <family val="2"/>
          </rPr>
          <t xml:space="preserve">
проверити збир!
</t>
        </r>
      </text>
    </comment>
    <comment ref="I16581" authorId="0" shapeId="0">
      <text>
        <r>
          <rPr>
            <b/>
            <sz val="9"/>
            <color indexed="81"/>
            <rFont val="Tahoma"/>
            <family val="2"/>
          </rPr>
          <t>LPA:</t>
        </r>
        <r>
          <rPr>
            <sz val="9"/>
            <color indexed="81"/>
            <rFont val="Tahoma"/>
            <family val="2"/>
          </rPr>
          <t xml:space="preserve">
проверити збир!
</t>
        </r>
      </text>
    </comment>
    <comment ref="I16582" authorId="0" shapeId="0">
      <text>
        <r>
          <rPr>
            <b/>
            <sz val="9"/>
            <color indexed="81"/>
            <rFont val="Tahoma"/>
            <family val="2"/>
          </rPr>
          <t>LPA:</t>
        </r>
        <r>
          <rPr>
            <sz val="9"/>
            <color indexed="81"/>
            <rFont val="Tahoma"/>
            <family val="2"/>
          </rPr>
          <t xml:space="preserve">
проверити збир!
</t>
        </r>
      </text>
    </comment>
    <comment ref="I16583" authorId="0" shapeId="0">
      <text>
        <r>
          <rPr>
            <b/>
            <sz val="9"/>
            <color indexed="81"/>
            <rFont val="Tahoma"/>
            <family val="2"/>
          </rPr>
          <t>LPA:</t>
        </r>
        <r>
          <rPr>
            <sz val="9"/>
            <color indexed="81"/>
            <rFont val="Tahoma"/>
            <family val="2"/>
          </rPr>
          <t xml:space="preserve">
проверити збир!
</t>
        </r>
      </text>
    </comment>
    <comment ref="I16584" authorId="0" shapeId="0">
      <text>
        <r>
          <rPr>
            <b/>
            <sz val="9"/>
            <color indexed="81"/>
            <rFont val="Tahoma"/>
            <family val="2"/>
          </rPr>
          <t>LPA:</t>
        </r>
        <r>
          <rPr>
            <sz val="9"/>
            <color indexed="81"/>
            <rFont val="Tahoma"/>
            <family val="2"/>
          </rPr>
          <t xml:space="preserve">
проверити збир!
</t>
        </r>
      </text>
    </comment>
    <comment ref="I16585" authorId="0" shapeId="0">
      <text>
        <r>
          <rPr>
            <b/>
            <sz val="9"/>
            <color indexed="81"/>
            <rFont val="Tahoma"/>
            <family val="2"/>
          </rPr>
          <t>LPA:</t>
        </r>
        <r>
          <rPr>
            <sz val="9"/>
            <color indexed="81"/>
            <rFont val="Tahoma"/>
            <family val="2"/>
          </rPr>
          <t xml:space="preserve">
проверити збир!
</t>
        </r>
      </text>
    </comment>
    <comment ref="I16586" authorId="0" shapeId="0">
      <text>
        <r>
          <rPr>
            <b/>
            <sz val="9"/>
            <color indexed="81"/>
            <rFont val="Tahoma"/>
            <family val="2"/>
          </rPr>
          <t>LPA:</t>
        </r>
        <r>
          <rPr>
            <sz val="9"/>
            <color indexed="81"/>
            <rFont val="Tahoma"/>
            <family val="2"/>
          </rPr>
          <t xml:space="preserve">
проверити збир!
</t>
        </r>
      </text>
    </comment>
    <comment ref="I16587" authorId="0" shapeId="0">
      <text>
        <r>
          <rPr>
            <b/>
            <sz val="9"/>
            <color indexed="81"/>
            <rFont val="Tahoma"/>
            <family val="2"/>
          </rPr>
          <t>LPA:</t>
        </r>
        <r>
          <rPr>
            <sz val="9"/>
            <color indexed="81"/>
            <rFont val="Tahoma"/>
            <family val="2"/>
          </rPr>
          <t xml:space="preserve">
проверити збир!
</t>
        </r>
      </text>
    </comment>
    <comment ref="I16588" authorId="0" shapeId="0">
      <text>
        <r>
          <rPr>
            <b/>
            <sz val="9"/>
            <color indexed="81"/>
            <rFont val="Tahoma"/>
            <family val="2"/>
          </rPr>
          <t>LPA:</t>
        </r>
        <r>
          <rPr>
            <sz val="9"/>
            <color indexed="81"/>
            <rFont val="Tahoma"/>
            <family val="2"/>
          </rPr>
          <t xml:space="preserve">
проверити збир!
</t>
        </r>
      </text>
    </comment>
    <comment ref="I16589" authorId="0" shapeId="0">
      <text>
        <r>
          <rPr>
            <b/>
            <sz val="9"/>
            <color indexed="81"/>
            <rFont val="Tahoma"/>
            <family val="2"/>
          </rPr>
          <t>LPA:</t>
        </r>
        <r>
          <rPr>
            <sz val="9"/>
            <color indexed="81"/>
            <rFont val="Tahoma"/>
            <family val="2"/>
          </rPr>
          <t xml:space="preserve">
проверити збир!
</t>
        </r>
      </text>
    </comment>
    <comment ref="I16590" authorId="0" shapeId="0">
      <text>
        <r>
          <rPr>
            <b/>
            <sz val="9"/>
            <color indexed="81"/>
            <rFont val="Tahoma"/>
            <family val="2"/>
          </rPr>
          <t>LPA:</t>
        </r>
        <r>
          <rPr>
            <sz val="9"/>
            <color indexed="81"/>
            <rFont val="Tahoma"/>
            <family val="2"/>
          </rPr>
          <t xml:space="preserve">
проверити збир!
</t>
        </r>
      </text>
    </comment>
    <comment ref="H16593" authorId="0" shapeId="0">
      <text>
        <r>
          <rPr>
            <b/>
            <sz val="9"/>
            <color indexed="81"/>
            <rFont val="Tahoma"/>
            <family val="2"/>
          </rPr>
          <t>LPA:</t>
        </r>
        <r>
          <rPr>
            <sz val="9"/>
            <color indexed="81"/>
            <rFont val="Tahoma"/>
            <family val="2"/>
          </rPr>
          <t xml:space="preserve">
проверити збир!</t>
        </r>
      </text>
    </comment>
    <comment ref="I16593" authorId="0" shapeId="0">
      <text>
        <r>
          <rPr>
            <b/>
            <sz val="9"/>
            <color indexed="81"/>
            <rFont val="Tahoma"/>
            <family val="2"/>
          </rPr>
          <t>LPA:</t>
        </r>
        <r>
          <rPr>
            <sz val="9"/>
            <color indexed="81"/>
            <rFont val="Tahoma"/>
            <family val="2"/>
          </rPr>
          <t xml:space="preserve">
проверити збир!</t>
        </r>
      </text>
    </comment>
    <comment ref="I16594" authorId="0" shapeId="0">
      <text>
        <r>
          <rPr>
            <b/>
            <sz val="9"/>
            <color indexed="81"/>
            <rFont val="Tahoma"/>
            <family val="2"/>
          </rPr>
          <t>LPA:</t>
        </r>
        <r>
          <rPr>
            <sz val="9"/>
            <color indexed="81"/>
            <rFont val="Tahoma"/>
            <family val="2"/>
          </rPr>
          <t xml:space="preserve">
проверити збир!
</t>
        </r>
      </text>
    </comment>
    <comment ref="I16595" authorId="0" shapeId="0">
      <text>
        <r>
          <rPr>
            <b/>
            <sz val="9"/>
            <color indexed="81"/>
            <rFont val="Tahoma"/>
            <family val="2"/>
          </rPr>
          <t>LPA:</t>
        </r>
        <r>
          <rPr>
            <sz val="9"/>
            <color indexed="81"/>
            <rFont val="Tahoma"/>
            <family val="2"/>
          </rPr>
          <t xml:space="preserve">
проверити збир!
</t>
        </r>
      </text>
    </comment>
    <comment ref="I16596" authorId="0" shapeId="0">
      <text>
        <r>
          <rPr>
            <b/>
            <sz val="9"/>
            <color indexed="81"/>
            <rFont val="Tahoma"/>
            <family val="2"/>
          </rPr>
          <t>LPA:</t>
        </r>
        <r>
          <rPr>
            <sz val="9"/>
            <color indexed="81"/>
            <rFont val="Tahoma"/>
            <family val="2"/>
          </rPr>
          <t xml:space="preserve">
проверити збир!
</t>
        </r>
      </text>
    </comment>
    <comment ref="I16597" authorId="0" shapeId="0">
      <text>
        <r>
          <rPr>
            <b/>
            <sz val="9"/>
            <color indexed="81"/>
            <rFont val="Tahoma"/>
            <family val="2"/>
          </rPr>
          <t>LPA:</t>
        </r>
        <r>
          <rPr>
            <sz val="9"/>
            <color indexed="81"/>
            <rFont val="Tahoma"/>
            <family val="2"/>
          </rPr>
          <t xml:space="preserve">
проверити збир!
</t>
        </r>
      </text>
    </comment>
    <comment ref="I16598" authorId="0" shapeId="0">
      <text>
        <r>
          <rPr>
            <b/>
            <sz val="9"/>
            <color indexed="81"/>
            <rFont val="Tahoma"/>
            <family val="2"/>
          </rPr>
          <t>LPA:</t>
        </r>
        <r>
          <rPr>
            <sz val="9"/>
            <color indexed="81"/>
            <rFont val="Tahoma"/>
            <family val="2"/>
          </rPr>
          <t xml:space="preserve">
проверити збир!
</t>
        </r>
      </text>
    </comment>
    <comment ref="I16599" authorId="0" shapeId="0">
      <text>
        <r>
          <rPr>
            <b/>
            <sz val="9"/>
            <color indexed="81"/>
            <rFont val="Tahoma"/>
            <family val="2"/>
          </rPr>
          <t>LPA:</t>
        </r>
        <r>
          <rPr>
            <sz val="9"/>
            <color indexed="81"/>
            <rFont val="Tahoma"/>
            <family val="2"/>
          </rPr>
          <t xml:space="preserve">
проверити збир!
</t>
        </r>
      </text>
    </comment>
    <comment ref="I16600" authorId="0" shapeId="0">
      <text>
        <r>
          <rPr>
            <b/>
            <sz val="9"/>
            <color indexed="81"/>
            <rFont val="Tahoma"/>
            <family val="2"/>
          </rPr>
          <t>LPA:</t>
        </r>
        <r>
          <rPr>
            <sz val="9"/>
            <color indexed="81"/>
            <rFont val="Tahoma"/>
            <family val="2"/>
          </rPr>
          <t xml:space="preserve">
проверити збир!
</t>
        </r>
      </text>
    </comment>
    <comment ref="I16601" authorId="0" shapeId="0">
      <text>
        <r>
          <rPr>
            <b/>
            <sz val="9"/>
            <color indexed="81"/>
            <rFont val="Tahoma"/>
            <family val="2"/>
          </rPr>
          <t>LPA:</t>
        </r>
        <r>
          <rPr>
            <sz val="9"/>
            <color indexed="81"/>
            <rFont val="Tahoma"/>
            <family val="2"/>
          </rPr>
          <t xml:space="preserve">
проверити збир!
</t>
        </r>
      </text>
    </comment>
    <comment ref="I16602" authorId="0" shapeId="0">
      <text>
        <r>
          <rPr>
            <b/>
            <sz val="9"/>
            <color indexed="81"/>
            <rFont val="Tahoma"/>
            <family val="2"/>
          </rPr>
          <t>LPA:</t>
        </r>
        <r>
          <rPr>
            <sz val="9"/>
            <color indexed="81"/>
            <rFont val="Tahoma"/>
            <family val="2"/>
          </rPr>
          <t xml:space="preserve">
проверити збир!
</t>
        </r>
      </text>
    </comment>
    <comment ref="I16603" authorId="0" shapeId="0">
      <text>
        <r>
          <rPr>
            <b/>
            <sz val="9"/>
            <color indexed="81"/>
            <rFont val="Tahoma"/>
            <family val="2"/>
          </rPr>
          <t>LPA:</t>
        </r>
        <r>
          <rPr>
            <sz val="9"/>
            <color indexed="81"/>
            <rFont val="Tahoma"/>
            <family val="2"/>
          </rPr>
          <t xml:space="preserve">
проверити збир!
</t>
        </r>
      </text>
    </comment>
    <comment ref="I16604" authorId="0" shapeId="0">
      <text>
        <r>
          <rPr>
            <b/>
            <sz val="9"/>
            <color indexed="81"/>
            <rFont val="Tahoma"/>
            <family val="2"/>
          </rPr>
          <t>LPA:</t>
        </r>
        <r>
          <rPr>
            <sz val="9"/>
            <color indexed="81"/>
            <rFont val="Tahoma"/>
            <family val="2"/>
          </rPr>
          <t xml:space="preserve">
проверити збир!
</t>
        </r>
      </text>
    </comment>
    <comment ref="I16605" authorId="0" shapeId="0">
      <text>
        <r>
          <rPr>
            <b/>
            <sz val="9"/>
            <color indexed="81"/>
            <rFont val="Tahoma"/>
            <family val="2"/>
          </rPr>
          <t>LPA:</t>
        </r>
        <r>
          <rPr>
            <sz val="9"/>
            <color indexed="81"/>
            <rFont val="Tahoma"/>
            <family val="2"/>
          </rPr>
          <t xml:space="preserve">
проверити збир!
</t>
        </r>
      </text>
    </comment>
    <comment ref="I16606" authorId="0" shapeId="0">
      <text>
        <r>
          <rPr>
            <b/>
            <sz val="9"/>
            <color indexed="81"/>
            <rFont val="Tahoma"/>
            <family val="2"/>
          </rPr>
          <t>LPA:</t>
        </r>
        <r>
          <rPr>
            <sz val="9"/>
            <color indexed="81"/>
            <rFont val="Tahoma"/>
            <family val="2"/>
          </rPr>
          <t xml:space="preserve">
проверити збир!
</t>
        </r>
      </text>
    </comment>
    <comment ref="I16607" authorId="0" shapeId="0">
      <text>
        <r>
          <rPr>
            <b/>
            <sz val="9"/>
            <color indexed="81"/>
            <rFont val="Tahoma"/>
            <family val="2"/>
          </rPr>
          <t>LPA:</t>
        </r>
        <r>
          <rPr>
            <sz val="9"/>
            <color indexed="81"/>
            <rFont val="Tahoma"/>
            <family val="2"/>
          </rPr>
          <t xml:space="preserve">
проверити збир!
</t>
        </r>
      </text>
    </comment>
    <comment ref="I16608" authorId="0" shapeId="0">
      <text>
        <r>
          <rPr>
            <b/>
            <sz val="9"/>
            <color indexed="81"/>
            <rFont val="Tahoma"/>
            <family val="2"/>
          </rPr>
          <t>LPA:</t>
        </r>
        <r>
          <rPr>
            <sz val="9"/>
            <color indexed="81"/>
            <rFont val="Tahoma"/>
            <family val="2"/>
          </rPr>
          <t xml:space="preserve">
проверити збир!
</t>
        </r>
      </text>
    </comment>
    <comment ref="I16677" authorId="0" shapeId="0">
      <text>
        <r>
          <rPr>
            <b/>
            <sz val="9"/>
            <color indexed="81"/>
            <rFont val="Tahoma"/>
            <family val="2"/>
          </rPr>
          <t>LPA:</t>
        </r>
        <r>
          <rPr>
            <sz val="9"/>
            <color indexed="81"/>
            <rFont val="Tahoma"/>
            <family val="2"/>
          </rPr>
          <t xml:space="preserve">
проверити збир!
</t>
        </r>
      </text>
    </comment>
    <comment ref="I16678" authorId="0" shapeId="0">
      <text>
        <r>
          <rPr>
            <b/>
            <sz val="9"/>
            <color indexed="81"/>
            <rFont val="Tahoma"/>
            <family val="2"/>
          </rPr>
          <t>LPA:</t>
        </r>
        <r>
          <rPr>
            <sz val="9"/>
            <color indexed="81"/>
            <rFont val="Tahoma"/>
            <family val="2"/>
          </rPr>
          <t xml:space="preserve">
проверити збир!
</t>
        </r>
      </text>
    </comment>
    <comment ref="I16679" authorId="0" shapeId="0">
      <text>
        <r>
          <rPr>
            <b/>
            <sz val="9"/>
            <color indexed="81"/>
            <rFont val="Tahoma"/>
            <family val="2"/>
          </rPr>
          <t>LPA:</t>
        </r>
        <r>
          <rPr>
            <sz val="9"/>
            <color indexed="81"/>
            <rFont val="Tahoma"/>
            <family val="2"/>
          </rPr>
          <t xml:space="preserve">
проверити збир!
</t>
        </r>
      </text>
    </comment>
    <comment ref="I16680" authorId="0" shapeId="0">
      <text>
        <r>
          <rPr>
            <b/>
            <sz val="9"/>
            <color indexed="81"/>
            <rFont val="Tahoma"/>
            <family val="2"/>
          </rPr>
          <t>LPA:</t>
        </r>
        <r>
          <rPr>
            <sz val="9"/>
            <color indexed="81"/>
            <rFont val="Tahoma"/>
            <family val="2"/>
          </rPr>
          <t xml:space="preserve">
проверити збир!
</t>
        </r>
      </text>
    </comment>
    <comment ref="I16681" authorId="0" shapeId="0">
      <text>
        <r>
          <rPr>
            <b/>
            <sz val="9"/>
            <color indexed="81"/>
            <rFont val="Tahoma"/>
            <family val="2"/>
          </rPr>
          <t>LPA:</t>
        </r>
        <r>
          <rPr>
            <sz val="9"/>
            <color indexed="81"/>
            <rFont val="Tahoma"/>
            <family val="2"/>
          </rPr>
          <t xml:space="preserve">
проверити збир!
</t>
        </r>
      </text>
    </comment>
    <comment ref="I16682" authorId="0" shapeId="0">
      <text>
        <r>
          <rPr>
            <b/>
            <sz val="9"/>
            <color indexed="81"/>
            <rFont val="Tahoma"/>
            <family val="2"/>
          </rPr>
          <t>LPA:</t>
        </r>
        <r>
          <rPr>
            <sz val="9"/>
            <color indexed="81"/>
            <rFont val="Tahoma"/>
            <family val="2"/>
          </rPr>
          <t xml:space="preserve">
проверити збир!
</t>
        </r>
      </text>
    </comment>
    <comment ref="I16683" authorId="0" shapeId="0">
      <text>
        <r>
          <rPr>
            <b/>
            <sz val="9"/>
            <color indexed="81"/>
            <rFont val="Tahoma"/>
            <family val="2"/>
          </rPr>
          <t>LPA:</t>
        </r>
        <r>
          <rPr>
            <sz val="9"/>
            <color indexed="81"/>
            <rFont val="Tahoma"/>
            <family val="2"/>
          </rPr>
          <t xml:space="preserve">
проверити збир!
</t>
        </r>
      </text>
    </comment>
    <comment ref="I16684" authorId="0" shapeId="0">
      <text>
        <r>
          <rPr>
            <b/>
            <sz val="9"/>
            <color indexed="81"/>
            <rFont val="Tahoma"/>
            <family val="2"/>
          </rPr>
          <t>LPA:</t>
        </r>
        <r>
          <rPr>
            <sz val="9"/>
            <color indexed="81"/>
            <rFont val="Tahoma"/>
            <family val="2"/>
          </rPr>
          <t xml:space="preserve">
проверити збир!
</t>
        </r>
      </text>
    </comment>
    <comment ref="I16685" authorId="0" shapeId="0">
      <text>
        <r>
          <rPr>
            <b/>
            <sz val="9"/>
            <color indexed="81"/>
            <rFont val="Tahoma"/>
            <family val="2"/>
          </rPr>
          <t>LPA:</t>
        </r>
        <r>
          <rPr>
            <sz val="9"/>
            <color indexed="81"/>
            <rFont val="Tahoma"/>
            <family val="2"/>
          </rPr>
          <t xml:space="preserve">
проверити збир!
</t>
        </r>
      </text>
    </comment>
    <comment ref="I16686" authorId="0" shapeId="0">
      <text>
        <r>
          <rPr>
            <b/>
            <sz val="9"/>
            <color indexed="81"/>
            <rFont val="Tahoma"/>
            <family val="2"/>
          </rPr>
          <t>LPA:</t>
        </r>
        <r>
          <rPr>
            <sz val="9"/>
            <color indexed="81"/>
            <rFont val="Tahoma"/>
            <family val="2"/>
          </rPr>
          <t xml:space="preserve">
проверити збир!
</t>
        </r>
      </text>
    </comment>
    <comment ref="I16687" authorId="0" shapeId="0">
      <text>
        <r>
          <rPr>
            <b/>
            <sz val="9"/>
            <color indexed="81"/>
            <rFont val="Tahoma"/>
            <family val="2"/>
          </rPr>
          <t>LPA:</t>
        </r>
        <r>
          <rPr>
            <sz val="9"/>
            <color indexed="81"/>
            <rFont val="Tahoma"/>
            <family val="2"/>
          </rPr>
          <t xml:space="preserve">
проверити збир!
</t>
        </r>
      </text>
    </comment>
    <comment ref="I16688" authorId="0" shapeId="0">
      <text>
        <r>
          <rPr>
            <b/>
            <sz val="9"/>
            <color indexed="81"/>
            <rFont val="Tahoma"/>
            <family val="2"/>
          </rPr>
          <t>LPA:</t>
        </r>
        <r>
          <rPr>
            <sz val="9"/>
            <color indexed="81"/>
            <rFont val="Tahoma"/>
            <family val="2"/>
          </rPr>
          <t xml:space="preserve">
проверити збир!
</t>
        </r>
      </text>
    </comment>
    <comment ref="I16689" authorId="0" shapeId="0">
      <text>
        <r>
          <rPr>
            <b/>
            <sz val="9"/>
            <color indexed="81"/>
            <rFont val="Tahoma"/>
            <family val="2"/>
          </rPr>
          <t>LPA:</t>
        </r>
        <r>
          <rPr>
            <sz val="9"/>
            <color indexed="81"/>
            <rFont val="Tahoma"/>
            <family val="2"/>
          </rPr>
          <t xml:space="preserve">
проверити збир!
</t>
        </r>
      </text>
    </comment>
    <comment ref="H16692" authorId="0" shapeId="0">
      <text>
        <r>
          <rPr>
            <b/>
            <sz val="9"/>
            <color indexed="81"/>
            <rFont val="Tahoma"/>
            <family val="2"/>
          </rPr>
          <t>LPA:</t>
        </r>
        <r>
          <rPr>
            <sz val="9"/>
            <color indexed="81"/>
            <rFont val="Tahoma"/>
            <family val="2"/>
          </rPr>
          <t xml:space="preserve">
проверити збир!</t>
        </r>
      </text>
    </comment>
    <comment ref="I16692" authorId="0" shapeId="0">
      <text>
        <r>
          <rPr>
            <b/>
            <sz val="9"/>
            <color indexed="81"/>
            <rFont val="Tahoma"/>
            <family val="2"/>
          </rPr>
          <t>LPA:</t>
        </r>
        <r>
          <rPr>
            <sz val="9"/>
            <color indexed="81"/>
            <rFont val="Tahoma"/>
            <family val="2"/>
          </rPr>
          <t xml:space="preserve">
проверити збир!</t>
        </r>
      </text>
    </comment>
    <comment ref="I16693" authorId="0" shapeId="0">
      <text>
        <r>
          <rPr>
            <b/>
            <sz val="9"/>
            <color indexed="81"/>
            <rFont val="Tahoma"/>
            <family val="2"/>
          </rPr>
          <t>LPA:</t>
        </r>
        <r>
          <rPr>
            <sz val="9"/>
            <color indexed="81"/>
            <rFont val="Tahoma"/>
            <family val="2"/>
          </rPr>
          <t xml:space="preserve">
проверити збир!
</t>
        </r>
      </text>
    </comment>
    <comment ref="I16694" authorId="0" shapeId="0">
      <text>
        <r>
          <rPr>
            <b/>
            <sz val="9"/>
            <color indexed="81"/>
            <rFont val="Tahoma"/>
            <family val="2"/>
          </rPr>
          <t>LPA:</t>
        </r>
        <r>
          <rPr>
            <sz val="9"/>
            <color indexed="81"/>
            <rFont val="Tahoma"/>
            <family val="2"/>
          </rPr>
          <t xml:space="preserve">
проверити збир!
</t>
        </r>
      </text>
    </comment>
    <comment ref="I16695" authorId="0" shapeId="0">
      <text>
        <r>
          <rPr>
            <b/>
            <sz val="9"/>
            <color indexed="81"/>
            <rFont val="Tahoma"/>
            <family val="2"/>
          </rPr>
          <t>LPA:</t>
        </r>
        <r>
          <rPr>
            <sz val="9"/>
            <color indexed="81"/>
            <rFont val="Tahoma"/>
            <family val="2"/>
          </rPr>
          <t xml:space="preserve">
проверити збир!
</t>
        </r>
      </text>
    </comment>
    <comment ref="I16696" authorId="0" shapeId="0">
      <text>
        <r>
          <rPr>
            <b/>
            <sz val="9"/>
            <color indexed="81"/>
            <rFont val="Tahoma"/>
            <family val="2"/>
          </rPr>
          <t>LPA:</t>
        </r>
        <r>
          <rPr>
            <sz val="9"/>
            <color indexed="81"/>
            <rFont val="Tahoma"/>
            <family val="2"/>
          </rPr>
          <t xml:space="preserve">
проверити збир!
</t>
        </r>
      </text>
    </comment>
    <comment ref="I16697" authorId="0" shapeId="0">
      <text>
        <r>
          <rPr>
            <b/>
            <sz val="9"/>
            <color indexed="81"/>
            <rFont val="Tahoma"/>
            <family val="2"/>
          </rPr>
          <t>LPA:</t>
        </r>
        <r>
          <rPr>
            <sz val="9"/>
            <color indexed="81"/>
            <rFont val="Tahoma"/>
            <family val="2"/>
          </rPr>
          <t xml:space="preserve">
проверити збир!
</t>
        </r>
      </text>
    </comment>
    <comment ref="I16698" authorId="0" shapeId="0">
      <text>
        <r>
          <rPr>
            <b/>
            <sz val="9"/>
            <color indexed="81"/>
            <rFont val="Tahoma"/>
            <family val="2"/>
          </rPr>
          <t>LPA:</t>
        </r>
        <r>
          <rPr>
            <sz val="9"/>
            <color indexed="81"/>
            <rFont val="Tahoma"/>
            <family val="2"/>
          </rPr>
          <t xml:space="preserve">
проверити збир!
</t>
        </r>
      </text>
    </comment>
    <comment ref="I16699" authorId="0" shapeId="0">
      <text>
        <r>
          <rPr>
            <b/>
            <sz val="9"/>
            <color indexed="81"/>
            <rFont val="Tahoma"/>
            <family val="2"/>
          </rPr>
          <t>LPA:</t>
        </r>
        <r>
          <rPr>
            <sz val="9"/>
            <color indexed="81"/>
            <rFont val="Tahoma"/>
            <family val="2"/>
          </rPr>
          <t xml:space="preserve">
проверити збир!
</t>
        </r>
      </text>
    </comment>
    <comment ref="I16700" authorId="0" shapeId="0">
      <text>
        <r>
          <rPr>
            <b/>
            <sz val="9"/>
            <color indexed="81"/>
            <rFont val="Tahoma"/>
            <family val="2"/>
          </rPr>
          <t>LPA:</t>
        </r>
        <r>
          <rPr>
            <sz val="9"/>
            <color indexed="81"/>
            <rFont val="Tahoma"/>
            <family val="2"/>
          </rPr>
          <t xml:space="preserve">
проверити збир!
</t>
        </r>
      </text>
    </comment>
    <comment ref="I16701" authorId="0" shapeId="0">
      <text>
        <r>
          <rPr>
            <b/>
            <sz val="9"/>
            <color indexed="81"/>
            <rFont val="Tahoma"/>
            <family val="2"/>
          </rPr>
          <t>LPA:</t>
        </r>
        <r>
          <rPr>
            <sz val="9"/>
            <color indexed="81"/>
            <rFont val="Tahoma"/>
            <family val="2"/>
          </rPr>
          <t xml:space="preserve">
проверити збир!
</t>
        </r>
      </text>
    </comment>
    <comment ref="I16702" authorId="0" shapeId="0">
      <text>
        <r>
          <rPr>
            <b/>
            <sz val="9"/>
            <color indexed="81"/>
            <rFont val="Tahoma"/>
            <family val="2"/>
          </rPr>
          <t>LPA:</t>
        </r>
        <r>
          <rPr>
            <sz val="9"/>
            <color indexed="81"/>
            <rFont val="Tahoma"/>
            <family val="2"/>
          </rPr>
          <t xml:space="preserve">
проверити збир!
</t>
        </r>
      </text>
    </comment>
    <comment ref="I16703" authorId="0" shapeId="0">
      <text>
        <r>
          <rPr>
            <b/>
            <sz val="9"/>
            <color indexed="81"/>
            <rFont val="Tahoma"/>
            <family val="2"/>
          </rPr>
          <t>LPA:</t>
        </r>
        <r>
          <rPr>
            <sz val="9"/>
            <color indexed="81"/>
            <rFont val="Tahoma"/>
            <family val="2"/>
          </rPr>
          <t xml:space="preserve">
проверити збир!
</t>
        </r>
      </text>
    </comment>
    <comment ref="I16704" authorId="0" shapeId="0">
      <text>
        <r>
          <rPr>
            <b/>
            <sz val="9"/>
            <color indexed="81"/>
            <rFont val="Tahoma"/>
            <family val="2"/>
          </rPr>
          <t>LPA:</t>
        </r>
        <r>
          <rPr>
            <sz val="9"/>
            <color indexed="81"/>
            <rFont val="Tahoma"/>
            <family val="2"/>
          </rPr>
          <t xml:space="preserve">
проверити збир!
</t>
        </r>
      </text>
    </comment>
    <comment ref="I16705" authorId="0" shapeId="0">
      <text>
        <r>
          <rPr>
            <b/>
            <sz val="9"/>
            <color indexed="81"/>
            <rFont val="Tahoma"/>
            <family val="2"/>
          </rPr>
          <t>LPA:</t>
        </r>
        <r>
          <rPr>
            <sz val="9"/>
            <color indexed="81"/>
            <rFont val="Tahoma"/>
            <family val="2"/>
          </rPr>
          <t xml:space="preserve">
проверити збир!
</t>
        </r>
      </text>
    </comment>
    <comment ref="I16706" authorId="0" shapeId="0">
      <text>
        <r>
          <rPr>
            <b/>
            <sz val="9"/>
            <color indexed="81"/>
            <rFont val="Tahoma"/>
            <family val="2"/>
          </rPr>
          <t>LPA:</t>
        </r>
        <r>
          <rPr>
            <sz val="9"/>
            <color indexed="81"/>
            <rFont val="Tahoma"/>
            <family val="2"/>
          </rPr>
          <t xml:space="preserve">
проверити збир!
</t>
        </r>
      </text>
    </comment>
    <comment ref="I16707" authorId="0" shapeId="0">
      <text>
        <r>
          <rPr>
            <b/>
            <sz val="9"/>
            <color indexed="81"/>
            <rFont val="Tahoma"/>
            <family val="2"/>
          </rPr>
          <t>LPA:</t>
        </r>
        <r>
          <rPr>
            <sz val="9"/>
            <color indexed="81"/>
            <rFont val="Tahoma"/>
            <family val="2"/>
          </rPr>
          <t xml:space="preserve">
проверити збир!
</t>
        </r>
      </text>
    </comment>
    <comment ref="I16776" authorId="0" shapeId="0">
      <text>
        <r>
          <rPr>
            <b/>
            <sz val="9"/>
            <color indexed="81"/>
            <rFont val="Tahoma"/>
            <family val="2"/>
          </rPr>
          <t>LPA:</t>
        </r>
        <r>
          <rPr>
            <sz val="9"/>
            <color indexed="81"/>
            <rFont val="Tahoma"/>
            <family val="2"/>
          </rPr>
          <t xml:space="preserve">
проверити збир!
</t>
        </r>
      </text>
    </comment>
    <comment ref="I16777" authorId="0" shapeId="0">
      <text>
        <r>
          <rPr>
            <b/>
            <sz val="9"/>
            <color indexed="81"/>
            <rFont val="Tahoma"/>
            <family val="2"/>
          </rPr>
          <t>LPA:</t>
        </r>
        <r>
          <rPr>
            <sz val="9"/>
            <color indexed="81"/>
            <rFont val="Tahoma"/>
            <family val="2"/>
          </rPr>
          <t xml:space="preserve">
проверити збир!
</t>
        </r>
      </text>
    </comment>
    <comment ref="I16778" authorId="0" shapeId="0">
      <text>
        <r>
          <rPr>
            <b/>
            <sz val="9"/>
            <color indexed="81"/>
            <rFont val="Tahoma"/>
            <family val="2"/>
          </rPr>
          <t>LPA:</t>
        </r>
        <r>
          <rPr>
            <sz val="9"/>
            <color indexed="81"/>
            <rFont val="Tahoma"/>
            <family val="2"/>
          </rPr>
          <t xml:space="preserve">
проверити збир!
</t>
        </r>
      </text>
    </comment>
    <comment ref="I16779" authorId="0" shapeId="0">
      <text>
        <r>
          <rPr>
            <b/>
            <sz val="9"/>
            <color indexed="81"/>
            <rFont val="Tahoma"/>
            <family val="2"/>
          </rPr>
          <t>LPA:</t>
        </r>
        <r>
          <rPr>
            <sz val="9"/>
            <color indexed="81"/>
            <rFont val="Tahoma"/>
            <family val="2"/>
          </rPr>
          <t xml:space="preserve">
проверити збир!
</t>
        </r>
      </text>
    </comment>
    <comment ref="I16780" authorId="0" shapeId="0">
      <text>
        <r>
          <rPr>
            <b/>
            <sz val="9"/>
            <color indexed="81"/>
            <rFont val="Tahoma"/>
            <family val="2"/>
          </rPr>
          <t>LPA:</t>
        </r>
        <r>
          <rPr>
            <sz val="9"/>
            <color indexed="81"/>
            <rFont val="Tahoma"/>
            <family val="2"/>
          </rPr>
          <t xml:space="preserve">
проверити збир!
</t>
        </r>
      </text>
    </comment>
    <comment ref="I16781" authorId="0" shapeId="0">
      <text>
        <r>
          <rPr>
            <b/>
            <sz val="9"/>
            <color indexed="81"/>
            <rFont val="Tahoma"/>
            <family val="2"/>
          </rPr>
          <t>LPA:</t>
        </r>
        <r>
          <rPr>
            <sz val="9"/>
            <color indexed="81"/>
            <rFont val="Tahoma"/>
            <family val="2"/>
          </rPr>
          <t xml:space="preserve">
проверити збир!
</t>
        </r>
      </text>
    </comment>
    <comment ref="I16782" authorId="0" shapeId="0">
      <text>
        <r>
          <rPr>
            <b/>
            <sz val="9"/>
            <color indexed="81"/>
            <rFont val="Tahoma"/>
            <family val="2"/>
          </rPr>
          <t>LPA:</t>
        </r>
        <r>
          <rPr>
            <sz val="9"/>
            <color indexed="81"/>
            <rFont val="Tahoma"/>
            <family val="2"/>
          </rPr>
          <t xml:space="preserve">
проверити збир!
</t>
        </r>
      </text>
    </comment>
    <comment ref="I16783" authorId="0" shapeId="0">
      <text>
        <r>
          <rPr>
            <b/>
            <sz val="9"/>
            <color indexed="81"/>
            <rFont val="Tahoma"/>
            <family val="2"/>
          </rPr>
          <t>LPA:</t>
        </r>
        <r>
          <rPr>
            <sz val="9"/>
            <color indexed="81"/>
            <rFont val="Tahoma"/>
            <family val="2"/>
          </rPr>
          <t xml:space="preserve">
проверити збир!
</t>
        </r>
      </text>
    </comment>
    <comment ref="I16784" authorId="0" shapeId="0">
      <text>
        <r>
          <rPr>
            <b/>
            <sz val="9"/>
            <color indexed="81"/>
            <rFont val="Tahoma"/>
            <family val="2"/>
          </rPr>
          <t>LPA:</t>
        </r>
        <r>
          <rPr>
            <sz val="9"/>
            <color indexed="81"/>
            <rFont val="Tahoma"/>
            <family val="2"/>
          </rPr>
          <t xml:space="preserve">
проверити збир!
</t>
        </r>
      </text>
    </comment>
    <comment ref="I16785" authorId="0" shapeId="0">
      <text>
        <r>
          <rPr>
            <b/>
            <sz val="9"/>
            <color indexed="81"/>
            <rFont val="Tahoma"/>
            <family val="2"/>
          </rPr>
          <t>LPA:</t>
        </r>
        <r>
          <rPr>
            <sz val="9"/>
            <color indexed="81"/>
            <rFont val="Tahoma"/>
            <family val="2"/>
          </rPr>
          <t xml:space="preserve">
проверити збир!
</t>
        </r>
      </text>
    </comment>
    <comment ref="I16786" authorId="0" shapeId="0">
      <text>
        <r>
          <rPr>
            <b/>
            <sz val="9"/>
            <color indexed="81"/>
            <rFont val="Tahoma"/>
            <family val="2"/>
          </rPr>
          <t>LPA:</t>
        </r>
        <r>
          <rPr>
            <sz val="9"/>
            <color indexed="81"/>
            <rFont val="Tahoma"/>
            <family val="2"/>
          </rPr>
          <t xml:space="preserve">
проверити збир!
</t>
        </r>
      </text>
    </comment>
    <comment ref="I16787" authorId="0" shapeId="0">
      <text>
        <r>
          <rPr>
            <b/>
            <sz val="9"/>
            <color indexed="81"/>
            <rFont val="Tahoma"/>
            <family val="2"/>
          </rPr>
          <t>LPA:</t>
        </r>
        <r>
          <rPr>
            <sz val="9"/>
            <color indexed="81"/>
            <rFont val="Tahoma"/>
            <family val="2"/>
          </rPr>
          <t xml:space="preserve">
проверити збир!
</t>
        </r>
      </text>
    </comment>
    <comment ref="I16788" authorId="0" shapeId="0">
      <text>
        <r>
          <rPr>
            <b/>
            <sz val="9"/>
            <color indexed="81"/>
            <rFont val="Tahoma"/>
            <family val="2"/>
          </rPr>
          <t>LPA:</t>
        </r>
        <r>
          <rPr>
            <sz val="9"/>
            <color indexed="81"/>
            <rFont val="Tahoma"/>
            <family val="2"/>
          </rPr>
          <t xml:space="preserve">
проверити збир!
</t>
        </r>
      </text>
    </comment>
    <comment ref="H16791" authorId="0" shapeId="0">
      <text>
        <r>
          <rPr>
            <b/>
            <sz val="9"/>
            <color indexed="81"/>
            <rFont val="Tahoma"/>
            <family val="2"/>
          </rPr>
          <t>LPA:</t>
        </r>
        <r>
          <rPr>
            <sz val="9"/>
            <color indexed="81"/>
            <rFont val="Tahoma"/>
            <family val="2"/>
          </rPr>
          <t xml:space="preserve">
проверити збир!</t>
        </r>
      </text>
    </comment>
    <comment ref="I16791" authorId="0" shapeId="0">
      <text>
        <r>
          <rPr>
            <b/>
            <sz val="9"/>
            <color indexed="81"/>
            <rFont val="Tahoma"/>
            <family val="2"/>
          </rPr>
          <t>LPA:</t>
        </r>
        <r>
          <rPr>
            <sz val="9"/>
            <color indexed="81"/>
            <rFont val="Tahoma"/>
            <family val="2"/>
          </rPr>
          <t xml:space="preserve">
проверити збир!</t>
        </r>
      </text>
    </comment>
    <comment ref="I16792" authorId="0" shapeId="0">
      <text>
        <r>
          <rPr>
            <b/>
            <sz val="9"/>
            <color indexed="81"/>
            <rFont val="Tahoma"/>
            <family val="2"/>
          </rPr>
          <t>LPA:</t>
        </r>
        <r>
          <rPr>
            <sz val="9"/>
            <color indexed="81"/>
            <rFont val="Tahoma"/>
            <family val="2"/>
          </rPr>
          <t xml:space="preserve">
проверити збир!
</t>
        </r>
      </text>
    </comment>
    <comment ref="I16793" authorId="0" shapeId="0">
      <text>
        <r>
          <rPr>
            <b/>
            <sz val="9"/>
            <color indexed="81"/>
            <rFont val="Tahoma"/>
            <family val="2"/>
          </rPr>
          <t>LPA:</t>
        </r>
        <r>
          <rPr>
            <sz val="9"/>
            <color indexed="81"/>
            <rFont val="Tahoma"/>
            <family val="2"/>
          </rPr>
          <t xml:space="preserve">
проверити збир!
</t>
        </r>
      </text>
    </comment>
    <comment ref="I16794" authorId="0" shapeId="0">
      <text>
        <r>
          <rPr>
            <b/>
            <sz val="9"/>
            <color indexed="81"/>
            <rFont val="Tahoma"/>
            <family val="2"/>
          </rPr>
          <t>LPA:</t>
        </r>
        <r>
          <rPr>
            <sz val="9"/>
            <color indexed="81"/>
            <rFont val="Tahoma"/>
            <family val="2"/>
          </rPr>
          <t xml:space="preserve">
проверити збир!
</t>
        </r>
      </text>
    </comment>
    <comment ref="I16795" authorId="0" shapeId="0">
      <text>
        <r>
          <rPr>
            <b/>
            <sz val="9"/>
            <color indexed="81"/>
            <rFont val="Tahoma"/>
            <family val="2"/>
          </rPr>
          <t>LPA:</t>
        </r>
        <r>
          <rPr>
            <sz val="9"/>
            <color indexed="81"/>
            <rFont val="Tahoma"/>
            <family val="2"/>
          </rPr>
          <t xml:space="preserve">
проверити збир!
</t>
        </r>
      </text>
    </comment>
    <comment ref="I16796" authorId="0" shapeId="0">
      <text>
        <r>
          <rPr>
            <b/>
            <sz val="9"/>
            <color indexed="81"/>
            <rFont val="Tahoma"/>
            <family val="2"/>
          </rPr>
          <t>LPA:</t>
        </r>
        <r>
          <rPr>
            <sz val="9"/>
            <color indexed="81"/>
            <rFont val="Tahoma"/>
            <family val="2"/>
          </rPr>
          <t xml:space="preserve">
проверити збир!
</t>
        </r>
      </text>
    </comment>
    <comment ref="I16797" authorId="0" shapeId="0">
      <text>
        <r>
          <rPr>
            <b/>
            <sz val="9"/>
            <color indexed="81"/>
            <rFont val="Tahoma"/>
            <family val="2"/>
          </rPr>
          <t>LPA:</t>
        </r>
        <r>
          <rPr>
            <sz val="9"/>
            <color indexed="81"/>
            <rFont val="Tahoma"/>
            <family val="2"/>
          </rPr>
          <t xml:space="preserve">
проверити збир!
</t>
        </r>
      </text>
    </comment>
    <comment ref="I16798" authorId="0" shapeId="0">
      <text>
        <r>
          <rPr>
            <b/>
            <sz val="9"/>
            <color indexed="81"/>
            <rFont val="Tahoma"/>
            <family val="2"/>
          </rPr>
          <t>LPA:</t>
        </r>
        <r>
          <rPr>
            <sz val="9"/>
            <color indexed="81"/>
            <rFont val="Tahoma"/>
            <family val="2"/>
          </rPr>
          <t xml:space="preserve">
проверити збир!
</t>
        </r>
      </text>
    </comment>
    <comment ref="I16799" authorId="0" shapeId="0">
      <text>
        <r>
          <rPr>
            <b/>
            <sz val="9"/>
            <color indexed="81"/>
            <rFont val="Tahoma"/>
            <family val="2"/>
          </rPr>
          <t>LPA:</t>
        </r>
        <r>
          <rPr>
            <sz val="9"/>
            <color indexed="81"/>
            <rFont val="Tahoma"/>
            <family val="2"/>
          </rPr>
          <t xml:space="preserve">
проверити збир!
</t>
        </r>
      </text>
    </comment>
    <comment ref="I16800" authorId="0" shapeId="0">
      <text>
        <r>
          <rPr>
            <b/>
            <sz val="9"/>
            <color indexed="81"/>
            <rFont val="Tahoma"/>
            <family val="2"/>
          </rPr>
          <t>LPA:</t>
        </r>
        <r>
          <rPr>
            <sz val="9"/>
            <color indexed="81"/>
            <rFont val="Tahoma"/>
            <family val="2"/>
          </rPr>
          <t xml:space="preserve">
проверити збир!
</t>
        </r>
      </text>
    </comment>
    <comment ref="I16801" authorId="0" shapeId="0">
      <text>
        <r>
          <rPr>
            <b/>
            <sz val="9"/>
            <color indexed="81"/>
            <rFont val="Tahoma"/>
            <family val="2"/>
          </rPr>
          <t>LPA:</t>
        </r>
        <r>
          <rPr>
            <sz val="9"/>
            <color indexed="81"/>
            <rFont val="Tahoma"/>
            <family val="2"/>
          </rPr>
          <t xml:space="preserve">
проверити збир!
</t>
        </r>
      </text>
    </comment>
    <comment ref="I16802" authorId="0" shapeId="0">
      <text>
        <r>
          <rPr>
            <b/>
            <sz val="9"/>
            <color indexed="81"/>
            <rFont val="Tahoma"/>
            <family val="2"/>
          </rPr>
          <t>LPA:</t>
        </r>
        <r>
          <rPr>
            <sz val="9"/>
            <color indexed="81"/>
            <rFont val="Tahoma"/>
            <family val="2"/>
          </rPr>
          <t xml:space="preserve">
проверити збир!
</t>
        </r>
      </text>
    </comment>
    <comment ref="I16803" authorId="0" shapeId="0">
      <text>
        <r>
          <rPr>
            <b/>
            <sz val="9"/>
            <color indexed="81"/>
            <rFont val="Tahoma"/>
            <family val="2"/>
          </rPr>
          <t>LPA:</t>
        </r>
        <r>
          <rPr>
            <sz val="9"/>
            <color indexed="81"/>
            <rFont val="Tahoma"/>
            <family val="2"/>
          </rPr>
          <t xml:space="preserve">
проверити збир!
</t>
        </r>
      </text>
    </comment>
    <comment ref="I16804" authorId="0" shapeId="0">
      <text>
        <r>
          <rPr>
            <b/>
            <sz val="9"/>
            <color indexed="81"/>
            <rFont val="Tahoma"/>
            <family val="2"/>
          </rPr>
          <t>LPA:</t>
        </r>
        <r>
          <rPr>
            <sz val="9"/>
            <color indexed="81"/>
            <rFont val="Tahoma"/>
            <family val="2"/>
          </rPr>
          <t xml:space="preserve">
проверити збир!
</t>
        </r>
      </text>
    </comment>
    <comment ref="I16805" authorId="0" shapeId="0">
      <text>
        <r>
          <rPr>
            <b/>
            <sz val="9"/>
            <color indexed="81"/>
            <rFont val="Tahoma"/>
            <family val="2"/>
          </rPr>
          <t>LPA:</t>
        </r>
        <r>
          <rPr>
            <sz val="9"/>
            <color indexed="81"/>
            <rFont val="Tahoma"/>
            <family val="2"/>
          </rPr>
          <t xml:space="preserve">
проверити збир!
</t>
        </r>
      </text>
    </comment>
    <comment ref="I16806" authorId="0" shapeId="0">
      <text>
        <r>
          <rPr>
            <b/>
            <sz val="9"/>
            <color indexed="81"/>
            <rFont val="Tahoma"/>
            <family val="2"/>
          </rPr>
          <t>LPA:</t>
        </r>
        <r>
          <rPr>
            <sz val="9"/>
            <color indexed="81"/>
            <rFont val="Tahoma"/>
            <family val="2"/>
          </rPr>
          <t xml:space="preserve">
проверити збир!
</t>
        </r>
      </text>
    </comment>
    <comment ref="H16810" authorId="0" shapeId="0">
      <text>
        <r>
          <rPr>
            <b/>
            <sz val="9"/>
            <color indexed="81"/>
            <rFont val="Tahoma"/>
            <family val="2"/>
          </rPr>
          <t>LPA:</t>
        </r>
        <r>
          <rPr>
            <sz val="9"/>
            <color indexed="81"/>
            <rFont val="Tahoma"/>
            <family val="2"/>
          </rPr>
          <t xml:space="preserve">
проверити збир!</t>
        </r>
      </text>
    </comment>
    <comment ref="I16810" authorId="0" shapeId="0">
      <text>
        <r>
          <rPr>
            <b/>
            <sz val="9"/>
            <color indexed="81"/>
            <rFont val="Tahoma"/>
            <family val="2"/>
          </rPr>
          <t>LPA:</t>
        </r>
        <r>
          <rPr>
            <sz val="9"/>
            <color indexed="81"/>
            <rFont val="Tahoma"/>
            <family val="2"/>
          </rPr>
          <t xml:space="preserve">
проверити збир!
</t>
        </r>
      </text>
    </comment>
    <comment ref="I16811" authorId="0" shapeId="0">
      <text>
        <r>
          <rPr>
            <b/>
            <sz val="9"/>
            <color indexed="81"/>
            <rFont val="Tahoma"/>
            <family val="2"/>
          </rPr>
          <t>LPA:</t>
        </r>
        <r>
          <rPr>
            <sz val="9"/>
            <color indexed="81"/>
            <rFont val="Tahoma"/>
            <family val="2"/>
          </rPr>
          <t xml:space="preserve">
проверити збир!
</t>
        </r>
      </text>
    </comment>
    <comment ref="I16812" authorId="0" shapeId="0">
      <text>
        <r>
          <rPr>
            <b/>
            <sz val="9"/>
            <color indexed="81"/>
            <rFont val="Tahoma"/>
            <family val="2"/>
          </rPr>
          <t>LPA:</t>
        </r>
        <r>
          <rPr>
            <sz val="9"/>
            <color indexed="81"/>
            <rFont val="Tahoma"/>
            <family val="2"/>
          </rPr>
          <t xml:space="preserve">
проверити збир!
</t>
        </r>
      </text>
    </comment>
    <comment ref="I16813" authorId="0" shapeId="0">
      <text>
        <r>
          <rPr>
            <b/>
            <sz val="9"/>
            <color indexed="81"/>
            <rFont val="Tahoma"/>
            <family val="2"/>
          </rPr>
          <t>LPA:</t>
        </r>
        <r>
          <rPr>
            <sz val="9"/>
            <color indexed="81"/>
            <rFont val="Tahoma"/>
            <family val="2"/>
          </rPr>
          <t xml:space="preserve">
проверити збир!
</t>
        </r>
      </text>
    </comment>
    <comment ref="I16814" authorId="0" shapeId="0">
      <text>
        <r>
          <rPr>
            <b/>
            <sz val="9"/>
            <color indexed="81"/>
            <rFont val="Tahoma"/>
            <family val="2"/>
          </rPr>
          <t>LPA:</t>
        </r>
        <r>
          <rPr>
            <sz val="9"/>
            <color indexed="81"/>
            <rFont val="Tahoma"/>
            <family val="2"/>
          </rPr>
          <t xml:space="preserve">
проверити збир!
</t>
        </r>
      </text>
    </comment>
    <comment ref="I16815" authorId="0" shapeId="0">
      <text>
        <r>
          <rPr>
            <b/>
            <sz val="9"/>
            <color indexed="81"/>
            <rFont val="Tahoma"/>
            <family val="2"/>
          </rPr>
          <t>LPA:</t>
        </r>
        <r>
          <rPr>
            <sz val="9"/>
            <color indexed="81"/>
            <rFont val="Tahoma"/>
            <family val="2"/>
          </rPr>
          <t xml:space="preserve">
проверити збир!
</t>
        </r>
      </text>
    </comment>
    <comment ref="I16816" authorId="0" shapeId="0">
      <text>
        <r>
          <rPr>
            <b/>
            <sz val="9"/>
            <color indexed="81"/>
            <rFont val="Tahoma"/>
            <family val="2"/>
          </rPr>
          <t>LPA:</t>
        </r>
        <r>
          <rPr>
            <sz val="9"/>
            <color indexed="81"/>
            <rFont val="Tahoma"/>
            <family val="2"/>
          </rPr>
          <t xml:space="preserve">
проверити збир!
</t>
        </r>
      </text>
    </comment>
    <comment ref="I16817" authorId="0" shapeId="0">
      <text>
        <r>
          <rPr>
            <b/>
            <sz val="9"/>
            <color indexed="81"/>
            <rFont val="Tahoma"/>
            <family val="2"/>
          </rPr>
          <t>LPA:</t>
        </r>
        <r>
          <rPr>
            <sz val="9"/>
            <color indexed="81"/>
            <rFont val="Tahoma"/>
            <family val="2"/>
          </rPr>
          <t xml:space="preserve">
проверити збир!
</t>
        </r>
      </text>
    </comment>
    <comment ref="I16818" authorId="0" shapeId="0">
      <text>
        <r>
          <rPr>
            <b/>
            <sz val="9"/>
            <color indexed="81"/>
            <rFont val="Tahoma"/>
            <family val="2"/>
          </rPr>
          <t>LPA:</t>
        </r>
        <r>
          <rPr>
            <sz val="9"/>
            <color indexed="81"/>
            <rFont val="Tahoma"/>
            <family val="2"/>
          </rPr>
          <t xml:space="preserve">
проверити збир!
</t>
        </r>
      </text>
    </comment>
    <comment ref="I16819" authorId="0" shapeId="0">
      <text>
        <r>
          <rPr>
            <b/>
            <sz val="9"/>
            <color indexed="81"/>
            <rFont val="Tahoma"/>
            <family val="2"/>
          </rPr>
          <t>LPA:</t>
        </r>
        <r>
          <rPr>
            <sz val="9"/>
            <color indexed="81"/>
            <rFont val="Tahoma"/>
            <family val="2"/>
          </rPr>
          <t xml:space="preserve">
проверити збир!
</t>
        </r>
      </text>
    </comment>
    <comment ref="I16820" authorId="0" shapeId="0">
      <text>
        <r>
          <rPr>
            <b/>
            <sz val="9"/>
            <color indexed="81"/>
            <rFont val="Tahoma"/>
            <family val="2"/>
          </rPr>
          <t>LPA:</t>
        </r>
        <r>
          <rPr>
            <sz val="9"/>
            <color indexed="81"/>
            <rFont val="Tahoma"/>
            <family val="2"/>
          </rPr>
          <t xml:space="preserve">
проверити збир!
</t>
        </r>
      </text>
    </comment>
    <comment ref="I16821" authorId="0" shapeId="0">
      <text>
        <r>
          <rPr>
            <b/>
            <sz val="9"/>
            <color indexed="81"/>
            <rFont val="Tahoma"/>
            <family val="2"/>
          </rPr>
          <t>LPA:</t>
        </r>
        <r>
          <rPr>
            <sz val="9"/>
            <color indexed="81"/>
            <rFont val="Tahoma"/>
            <family val="2"/>
          </rPr>
          <t xml:space="preserve">
проверити збир!
</t>
        </r>
      </text>
    </comment>
    <comment ref="I16822" authorId="0" shapeId="0">
      <text>
        <r>
          <rPr>
            <b/>
            <sz val="9"/>
            <color indexed="81"/>
            <rFont val="Tahoma"/>
            <family val="2"/>
          </rPr>
          <t>LPA:</t>
        </r>
        <r>
          <rPr>
            <sz val="9"/>
            <color indexed="81"/>
            <rFont val="Tahoma"/>
            <family val="2"/>
          </rPr>
          <t xml:space="preserve">
проверити збир!
</t>
        </r>
      </text>
    </comment>
    <comment ref="I16823" authorId="0" shapeId="0">
      <text>
        <r>
          <rPr>
            <b/>
            <sz val="9"/>
            <color indexed="81"/>
            <rFont val="Tahoma"/>
            <family val="2"/>
          </rPr>
          <t>LPA:</t>
        </r>
        <r>
          <rPr>
            <sz val="9"/>
            <color indexed="81"/>
            <rFont val="Tahoma"/>
            <family val="2"/>
          </rPr>
          <t xml:space="preserve">
проверити збир!
</t>
        </r>
      </text>
    </comment>
    <comment ref="I16824" authorId="0" shapeId="0">
      <text>
        <r>
          <rPr>
            <b/>
            <sz val="9"/>
            <color indexed="81"/>
            <rFont val="Tahoma"/>
            <family val="2"/>
          </rPr>
          <t>LPA:</t>
        </r>
        <r>
          <rPr>
            <sz val="9"/>
            <color indexed="81"/>
            <rFont val="Tahoma"/>
            <family val="2"/>
          </rPr>
          <t xml:space="preserve">
проверити збир!
</t>
        </r>
      </text>
    </comment>
    <comment ref="I16825" authorId="0" shapeId="0">
      <text>
        <r>
          <rPr>
            <b/>
            <sz val="9"/>
            <color indexed="81"/>
            <rFont val="Tahoma"/>
            <family val="2"/>
          </rPr>
          <t>LPA:</t>
        </r>
        <r>
          <rPr>
            <sz val="9"/>
            <color indexed="81"/>
            <rFont val="Tahoma"/>
            <family val="2"/>
          </rPr>
          <t xml:space="preserve">
проверити збир!
</t>
        </r>
      </text>
    </comment>
    <comment ref="H16829" authorId="0" shapeId="0">
      <text>
        <r>
          <rPr>
            <b/>
            <sz val="9"/>
            <color indexed="81"/>
            <rFont val="Tahoma"/>
            <family val="2"/>
          </rPr>
          <t>LPA:</t>
        </r>
        <r>
          <rPr>
            <sz val="9"/>
            <color indexed="81"/>
            <rFont val="Tahoma"/>
            <family val="2"/>
          </rPr>
          <t xml:space="preserve">
провери збир!</t>
        </r>
      </text>
    </comment>
    <comment ref="I16829" authorId="0" shapeId="0">
      <text>
        <r>
          <rPr>
            <b/>
            <sz val="9"/>
            <color indexed="81"/>
            <rFont val="Tahoma"/>
            <family val="2"/>
          </rPr>
          <t>LPA:</t>
        </r>
        <r>
          <rPr>
            <sz val="9"/>
            <color indexed="81"/>
            <rFont val="Tahoma"/>
            <family val="2"/>
          </rPr>
          <t xml:space="preserve">
проверити збир!
</t>
        </r>
      </text>
    </comment>
    <comment ref="I16830" authorId="0" shapeId="0">
      <text>
        <r>
          <rPr>
            <b/>
            <sz val="9"/>
            <color indexed="81"/>
            <rFont val="Tahoma"/>
            <family val="2"/>
          </rPr>
          <t>LPA:</t>
        </r>
        <r>
          <rPr>
            <sz val="9"/>
            <color indexed="81"/>
            <rFont val="Tahoma"/>
            <family val="2"/>
          </rPr>
          <t xml:space="preserve">
проверити збир!
</t>
        </r>
      </text>
    </comment>
    <comment ref="I16831" authorId="0" shapeId="0">
      <text>
        <r>
          <rPr>
            <b/>
            <sz val="9"/>
            <color indexed="81"/>
            <rFont val="Tahoma"/>
            <family val="2"/>
          </rPr>
          <t>LPA:</t>
        </r>
        <r>
          <rPr>
            <sz val="9"/>
            <color indexed="81"/>
            <rFont val="Tahoma"/>
            <family val="2"/>
          </rPr>
          <t xml:space="preserve">
проверити збир!
</t>
        </r>
      </text>
    </comment>
    <comment ref="I16832" authorId="0" shapeId="0">
      <text>
        <r>
          <rPr>
            <b/>
            <sz val="9"/>
            <color indexed="81"/>
            <rFont val="Tahoma"/>
            <family val="2"/>
          </rPr>
          <t>LPA:</t>
        </r>
        <r>
          <rPr>
            <sz val="9"/>
            <color indexed="81"/>
            <rFont val="Tahoma"/>
            <family val="2"/>
          </rPr>
          <t xml:space="preserve">
проверити збир!
</t>
        </r>
      </text>
    </comment>
    <comment ref="I16833" authorId="0" shapeId="0">
      <text>
        <r>
          <rPr>
            <b/>
            <sz val="9"/>
            <color indexed="81"/>
            <rFont val="Tahoma"/>
            <family val="2"/>
          </rPr>
          <t>LPA:</t>
        </r>
        <r>
          <rPr>
            <sz val="9"/>
            <color indexed="81"/>
            <rFont val="Tahoma"/>
            <family val="2"/>
          </rPr>
          <t xml:space="preserve">
проверити збир!
</t>
        </r>
      </text>
    </comment>
    <comment ref="I16834" authorId="0" shapeId="0">
      <text>
        <r>
          <rPr>
            <b/>
            <sz val="9"/>
            <color indexed="81"/>
            <rFont val="Tahoma"/>
            <family val="2"/>
          </rPr>
          <t>LPA:</t>
        </r>
        <r>
          <rPr>
            <sz val="9"/>
            <color indexed="81"/>
            <rFont val="Tahoma"/>
            <family val="2"/>
          </rPr>
          <t xml:space="preserve">
проверити збир!
</t>
        </r>
      </text>
    </comment>
    <comment ref="I16835" authorId="0" shapeId="0">
      <text>
        <r>
          <rPr>
            <b/>
            <sz val="9"/>
            <color indexed="81"/>
            <rFont val="Tahoma"/>
            <family val="2"/>
          </rPr>
          <t>LPA:</t>
        </r>
        <r>
          <rPr>
            <sz val="9"/>
            <color indexed="81"/>
            <rFont val="Tahoma"/>
            <family val="2"/>
          </rPr>
          <t xml:space="preserve">
проверити збир!
</t>
        </r>
      </text>
    </comment>
    <comment ref="I16836" authorId="0" shapeId="0">
      <text>
        <r>
          <rPr>
            <b/>
            <sz val="9"/>
            <color indexed="81"/>
            <rFont val="Tahoma"/>
            <family val="2"/>
          </rPr>
          <t>LPA:</t>
        </r>
        <r>
          <rPr>
            <sz val="9"/>
            <color indexed="81"/>
            <rFont val="Tahoma"/>
            <family val="2"/>
          </rPr>
          <t xml:space="preserve">
проверити збир!
</t>
        </r>
      </text>
    </comment>
    <comment ref="I16837" authorId="0" shapeId="0">
      <text>
        <r>
          <rPr>
            <b/>
            <sz val="9"/>
            <color indexed="81"/>
            <rFont val="Tahoma"/>
            <family val="2"/>
          </rPr>
          <t>LPA:</t>
        </r>
        <r>
          <rPr>
            <sz val="9"/>
            <color indexed="81"/>
            <rFont val="Tahoma"/>
            <family val="2"/>
          </rPr>
          <t xml:space="preserve">
проверити збир!
</t>
        </r>
      </text>
    </comment>
    <comment ref="I16838" authorId="0" shapeId="0">
      <text>
        <r>
          <rPr>
            <b/>
            <sz val="9"/>
            <color indexed="81"/>
            <rFont val="Tahoma"/>
            <family val="2"/>
          </rPr>
          <t>LPA:</t>
        </r>
        <r>
          <rPr>
            <sz val="9"/>
            <color indexed="81"/>
            <rFont val="Tahoma"/>
            <family val="2"/>
          </rPr>
          <t xml:space="preserve">
проверити збир!
</t>
        </r>
      </text>
    </comment>
    <comment ref="I16839" authorId="0" shapeId="0">
      <text>
        <r>
          <rPr>
            <b/>
            <sz val="9"/>
            <color indexed="81"/>
            <rFont val="Tahoma"/>
            <family val="2"/>
          </rPr>
          <t>LPA:</t>
        </r>
        <r>
          <rPr>
            <sz val="9"/>
            <color indexed="81"/>
            <rFont val="Tahoma"/>
            <family val="2"/>
          </rPr>
          <t xml:space="preserve">
проверити збир!
</t>
        </r>
      </text>
    </comment>
    <comment ref="I16840" authorId="0" shapeId="0">
      <text>
        <r>
          <rPr>
            <b/>
            <sz val="9"/>
            <color indexed="81"/>
            <rFont val="Tahoma"/>
            <family val="2"/>
          </rPr>
          <t>LPA:</t>
        </r>
        <r>
          <rPr>
            <sz val="9"/>
            <color indexed="81"/>
            <rFont val="Tahoma"/>
            <family val="2"/>
          </rPr>
          <t xml:space="preserve">
проверити збир!
</t>
        </r>
      </text>
    </comment>
    <comment ref="I16841" authorId="0" shapeId="0">
      <text>
        <r>
          <rPr>
            <b/>
            <sz val="9"/>
            <color indexed="81"/>
            <rFont val="Tahoma"/>
            <family val="2"/>
          </rPr>
          <t>LPA:</t>
        </r>
        <r>
          <rPr>
            <sz val="9"/>
            <color indexed="81"/>
            <rFont val="Tahoma"/>
            <family val="2"/>
          </rPr>
          <t xml:space="preserve">
проверити збир!
</t>
        </r>
      </text>
    </comment>
    <comment ref="I16842" authorId="0" shapeId="0">
      <text>
        <r>
          <rPr>
            <b/>
            <sz val="9"/>
            <color indexed="81"/>
            <rFont val="Tahoma"/>
            <family val="2"/>
          </rPr>
          <t>LPA:</t>
        </r>
        <r>
          <rPr>
            <sz val="9"/>
            <color indexed="81"/>
            <rFont val="Tahoma"/>
            <family val="2"/>
          </rPr>
          <t xml:space="preserve">
проверити збир!
</t>
        </r>
      </text>
    </comment>
    <comment ref="I16843" authorId="0" shapeId="0">
      <text>
        <r>
          <rPr>
            <b/>
            <sz val="9"/>
            <color indexed="81"/>
            <rFont val="Tahoma"/>
            <family val="2"/>
          </rPr>
          <t>LPA:</t>
        </r>
        <r>
          <rPr>
            <sz val="9"/>
            <color indexed="81"/>
            <rFont val="Tahoma"/>
            <family val="2"/>
          </rPr>
          <t xml:space="preserve">
проверити збир!
</t>
        </r>
      </text>
    </comment>
    <comment ref="I16844" authorId="0" shapeId="0">
      <text>
        <r>
          <rPr>
            <b/>
            <sz val="9"/>
            <color indexed="81"/>
            <rFont val="Tahoma"/>
            <family val="2"/>
          </rPr>
          <t>LPA:</t>
        </r>
        <r>
          <rPr>
            <sz val="9"/>
            <color indexed="81"/>
            <rFont val="Tahoma"/>
            <family val="2"/>
          </rPr>
          <t xml:space="preserve">
проверити збир!
</t>
        </r>
      </text>
    </comment>
    <comment ref="I16915" authorId="0" shapeId="0">
      <text>
        <r>
          <rPr>
            <b/>
            <sz val="9"/>
            <color indexed="81"/>
            <rFont val="Tahoma"/>
            <family val="2"/>
          </rPr>
          <t>LPA:</t>
        </r>
        <r>
          <rPr>
            <sz val="9"/>
            <color indexed="81"/>
            <rFont val="Tahoma"/>
            <family val="2"/>
          </rPr>
          <t xml:space="preserve">
проверити збир!
</t>
        </r>
      </text>
    </comment>
    <comment ref="I16916" authorId="0" shapeId="0">
      <text>
        <r>
          <rPr>
            <b/>
            <sz val="9"/>
            <color indexed="81"/>
            <rFont val="Tahoma"/>
            <family val="2"/>
          </rPr>
          <t>LPA:</t>
        </r>
        <r>
          <rPr>
            <sz val="9"/>
            <color indexed="81"/>
            <rFont val="Tahoma"/>
            <family val="2"/>
          </rPr>
          <t xml:space="preserve">
проверити збир!
</t>
        </r>
      </text>
    </comment>
    <comment ref="I16917" authorId="0" shapeId="0">
      <text>
        <r>
          <rPr>
            <b/>
            <sz val="9"/>
            <color indexed="81"/>
            <rFont val="Tahoma"/>
            <family val="2"/>
          </rPr>
          <t>LPA:</t>
        </r>
        <r>
          <rPr>
            <sz val="9"/>
            <color indexed="81"/>
            <rFont val="Tahoma"/>
            <family val="2"/>
          </rPr>
          <t xml:space="preserve">
проверити збир!
</t>
        </r>
      </text>
    </comment>
    <comment ref="I16918" authorId="0" shapeId="0">
      <text>
        <r>
          <rPr>
            <b/>
            <sz val="9"/>
            <color indexed="81"/>
            <rFont val="Tahoma"/>
            <family val="2"/>
          </rPr>
          <t>LPA:</t>
        </r>
        <r>
          <rPr>
            <sz val="9"/>
            <color indexed="81"/>
            <rFont val="Tahoma"/>
            <family val="2"/>
          </rPr>
          <t xml:space="preserve">
проверити збир!
</t>
        </r>
      </text>
    </comment>
    <comment ref="I16919" authorId="0" shapeId="0">
      <text>
        <r>
          <rPr>
            <b/>
            <sz val="9"/>
            <color indexed="81"/>
            <rFont val="Tahoma"/>
            <family val="2"/>
          </rPr>
          <t>LPA:</t>
        </r>
        <r>
          <rPr>
            <sz val="9"/>
            <color indexed="81"/>
            <rFont val="Tahoma"/>
            <family val="2"/>
          </rPr>
          <t xml:space="preserve">
проверити збир!
</t>
        </r>
      </text>
    </comment>
    <comment ref="I16920" authorId="0" shapeId="0">
      <text>
        <r>
          <rPr>
            <b/>
            <sz val="9"/>
            <color indexed="81"/>
            <rFont val="Tahoma"/>
            <family val="2"/>
          </rPr>
          <t>LPA:</t>
        </r>
        <r>
          <rPr>
            <sz val="9"/>
            <color indexed="81"/>
            <rFont val="Tahoma"/>
            <family val="2"/>
          </rPr>
          <t xml:space="preserve">
проверити збир!
</t>
        </r>
      </text>
    </comment>
    <comment ref="I16921" authorId="0" shapeId="0">
      <text>
        <r>
          <rPr>
            <b/>
            <sz val="9"/>
            <color indexed="81"/>
            <rFont val="Tahoma"/>
            <family val="2"/>
          </rPr>
          <t>LPA:</t>
        </r>
        <r>
          <rPr>
            <sz val="9"/>
            <color indexed="81"/>
            <rFont val="Tahoma"/>
            <family val="2"/>
          </rPr>
          <t xml:space="preserve">
проверити збир!
</t>
        </r>
      </text>
    </comment>
    <comment ref="I16922" authorId="0" shapeId="0">
      <text>
        <r>
          <rPr>
            <b/>
            <sz val="9"/>
            <color indexed="81"/>
            <rFont val="Tahoma"/>
            <family val="2"/>
          </rPr>
          <t>LPA:</t>
        </r>
        <r>
          <rPr>
            <sz val="9"/>
            <color indexed="81"/>
            <rFont val="Tahoma"/>
            <family val="2"/>
          </rPr>
          <t xml:space="preserve">
проверити збир!
</t>
        </r>
      </text>
    </comment>
    <comment ref="I16923" authorId="0" shapeId="0">
      <text>
        <r>
          <rPr>
            <b/>
            <sz val="9"/>
            <color indexed="81"/>
            <rFont val="Tahoma"/>
            <family val="2"/>
          </rPr>
          <t>LPA:</t>
        </r>
        <r>
          <rPr>
            <sz val="9"/>
            <color indexed="81"/>
            <rFont val="Tahoma"/>
            <family val="2"/>
          </rPr>
          <t xml:space="preserve">
проверити збир!
</t>
        </r>
      </text>
    </comment>
    <comment ref="I16924" authorId="0" shapeId="0">
      <text>
        <r>
          <rPr>
            <b/>
            <sz val="9"/>
            <color indexed="81"/>
            <rFont val="Tahoma"/>
            <family val="2"/>
          </rPr>
          <t>LPA:</t>
        </r>
        <r>
          <rPr>
            <sz val="9"/>
            <color indexed="81"/>
            <rFont val="Tahoma"/>
            <family val="2"/>
          </rPr>
          <t xml:space="preserve">
проверити збир!
</t>
        </r>
      </text>
    </comment>
    <comment ref="I16925" authorId="0" shapeId="0">
      <text>
        <r>
          <rPr>
            <b/>
            <sz val="9"/>
            <color indexed="81"/>
            <rFont val="Tahoma"/>
            <family val="2"/>
          </rPr>
          <t>LPA:</t>
        </r>
        <r>
          <rPr>
            <sz val="9"/>
            <color indexed="81"/>
            <rFont val="Tahoma"/>
            <family val="2"/>
          </rPr>
          <t xml:space="preserve">
проверити збир!
</t>
        </r>
      </text>
    </comment>
    <comment ref="I16926" authorId="0" shapeId="0">
      <text>
        <r>
          <rPr>
            <b/>
            <sz val="9"/>
            <color indexed="81"/>
            <rFont val="Tahoma"/>
            <family val="2"/>
          </rPr>
          <t>LPA:</t>
        </r>
        <r>
          <rPr>
            <sz val="9"/>
            <color indexed="81"/>
            <rFont val="Tahoma"/>
            <family val="2"/>
          </rPr>
          <t xml:space="preserve">
проверити збир!
</t>
        </r>
      </text>
    </comment>
    <comment ref="I16927" authorId="0" shapeId="0">
      <text>
        <r>
          <rPr>
            <b/>
            <sz val="9"/>
            <color indexed="81"/>
            <rFont val="Tahoma"/>
            <family val="2"/>
          </rPr>
          <t>LPA:</t>
        </r>
        <r>
          <rPr>
            <sz val="9"/>
            <color indexed="81"/>
            <rFont val="Tahoma"/>
            <family val="2"/>
          </rPr>
          <t xml:space="preserve">
проверити збир!
</t>
        </r>
      </text>
    </comment>
    <comment ref="H16930" authorId="0" shapeId="0">
      <text>
        <r>
          <rPr>
            <b/>
            <sz val="9"/>
            <color indexed="81"/>
            <rFont val="Tahoma"/>
            <family val="2"/>
          </rPr>
          <t>LPA:</t>
        </r>
        <r>
          <rPr>
            <sz val="9"/>
            <color indexed="81"/>
            <rFont val="Tahoma"/>
            <family val="2"/>
          </rPr>
          <t xml:space="preserve">
проверити збир!</t>
        </r>
      </text>
    </comment>
    <comment ref="I16930" authorId="0" shapeId="0">
      <text>
        <r>
          <rPr>
            <b/>
            <sz val="9"/>
            <color indexed="81"/>
            <rFont val="Tahoma"/>
            <family val="2"/>
          </rPr>
          <t>LPA:</t>
        </r>
        <r>
          <rPr>
            <sz val="9"/>
            <color indexed="81"/>
            <rFont val="Tahoma"/>
            <family val="2"/>
          </rPr>
          <t xml:space="preserve">
проверити збир!</t>
        </r>
      </text>
    </comment>
    <comment ref="I16931" authorId="0" shapeId="0">
      <text>
        <r>
          <rPr>
            <b/>
            <sz val="9"/>
            <color indexed="81"/>
            <rFont val="Tahoma"/>
            <family val="2"/>
          </rPr>
          <t>LPA:</t>
        </r>
        <r>
          <rPr>
            <sz val="9"/>
            <color indexed="81"/>
            <rFont val="Tahoma"/>
            <family val="2"/>
          </rPr>
          <t xml:space="preserve">
проверити збир!
</t>
        </r>
      </text>
    </comment>
    <comment ref="I16932" authorId="0" shapeId="0">
      <text>
        <r>
          <rPr>
            <b/>
            <sz val="9"/>
            <color indexed="81"/>
            <rFont val="Tahoma"/>
            <family val="2"/>
          </rPr>
          <t>LPA:</t>
        </r>
        <r>
          <rPr>
            <sz val="9"/>
            <color indexed="81"/>
            <rFont val="Tahoma"/>
            <family val="2"/>
          </rPr>
          <t xml:space="preserve">
проверити збир!
</t>
        </r>
      </text>
    </comment>
    <comment ref="I16933" authorId="0" shapeId="0">
      <text>
        <r>
          <rPr>
            <b/>
            <sz val="9"/>
            <color indexed="81"/>
            <rFont val="Tahoma"/>
            <family val="2"/>
          </rPr>
          <t>LPA:</t>
        </r>
        <r>
          <rPr>
            <sz val="9"/>
            <color indexed="81"/>
            <rFont val="Tahoma"/>
            <family val="2"/>
          </rPr>
          <t xml:space="preserve">
проверити збир!
</t>
        </r>
      </text>
    </comment>
    <comment ref="I16934" authorId="0" shapeId="0">
      <text>
        <r>
          <rPr>
            <b/>
            <sz val="9"/>
            <color indexed="81"/>
            <rFont val="Tahoma"/>
            <family val="2"/>
          </rPr>
          <t>LPA:</t>
        </r>
        <r>
          <rPr>
            <sz val="9"/>
            <color indexed="81"/>
            <rFont val="Tahoma"/>
            <family val="2"/>
          </rPr>
          <t xml:space="preserve">
проверити збир!
</t>
        </r>
      </text>
    </comment>
    <comment ref="I16935" authorId="0" shapeId="0">
      <text>
        <r>
          <rPr>
            <b/>
            <sz val="9"/>
            <color indexed="81"/>
            <rFont val="Tahoma"/>
            <family val="2"/>
          </rPr>
          <t>LPA:</t>
        </r>
        <r>
          <rPr>
            <sz val="9"/>
            <color indexed="81"/>
            <rFont val="Tahoma"/>
            <family val="2"/>
          </rPr>
          <t xml:space="preserve">
проверити збир!
</t>
        </r>
      </text>
    </comment>
    <comment ref="I16936" authorId="0" shapeId="0">
      <text>
        <r>
          <rPr>
            <b/>
            <sz val="9"/>
            <color indexed="81"/>
            <rFont val="Tahoma"/>
            <family val="2"/>
          </rPr>
          <t>LPA:</t>
        </r>
        <r>
          <rPr>
            <sz val="9"/>
            <color indexed="81"/>
            <rFont val="Tahoma"/>
            <family val="2"/>
          </rPr>
          <t xml:space="preserve">
проверити збир!
</t>
        </r>
      </text>
    </comment>
    <comment ref="I16937" authorId="0" shapeId="0">
      <text>
        <r>
          <rPr>
            <b/>
            <sz val="9"/>
            <color indexed="81"/>
            <rFont val="Tahoma"/>
            <family val="2"/>
          </rPr>
          <t>LPA:</t>
        </r>
        <r>
          <rPr>
            <sz val="9"/>
            <color indexed="81"/>
            <rFont val="Tahoma"/>
            <family val="2"/>
          </rPr>
          <t xml:space="preserve">
проверити збир!
</t>
        </r>
      </text>
    </comment>
    <comment ref="I16938" authorId="0" shapeId="0">
      <text>
        <r>
          <rPr>
            <b/>
            <sz val="9"/>
            <color indexed="81"/>
            <rFont val="Tahoma"/>
            <family val="2"/>
          </rPr>
          <t>LPA:</t>
        </r>
        <r>
          <rPr>
            <sz val="9"/>
            <color indexed="81"/>
            <rFont val="Tahoma"/>
            <family val="2"/>
          </rPr>
          <t xml:space="preserve">
проверити збир!
</t>
        </r>
      </text>
    </comment>
    <comment ref="I16939" authorId="0" shapeId="0">
      <text>
        <r>
          <rPr>
            <b/>
            <sz val="9"/>
            <color indexed="81"/>
            <rFont val="Tahoma"/>
            <family val="2"/>
          </rPr>
          <t>LPA:</t>
        </r>
        <r>
          <rPr>
            <sz val="9"/>
            <color indexed="81"/>
            <rFont val="Tahoma"/>
            <family val="2"/>
          </rPr>
          <t xml:space="preserve">
проверити збир!
</t>
        </r>
      </text>
    </comment>
    <comment ref="I16940" authorId="0" shapeId="0">
      <text>
        <r>
          <rPr>
            <b/>
            <sz val="9"/>
            <color indexed="81"/>
            <rFont val="Tahoma"/>
            <family val="2"/>
          </rPr>
          <t>LPA:</t>
        </r>
        <r>
          <rPr>
            <sz val="9"/>
            <color indexed="81"/>
            <rFont val="Tahoma"/>
            <family val="2"/>
          </rPr>
          <t xml:space="preserve">
проверити збир!
</t>
        </r>
      </text>
    </comment>
    <comment ref="I16941" authorId="0" shapeId="0">
      <text>
        <r>
          <rPr>
            <b/>
            <sz val="9"/>
            <color indexed="81"/>
            <rFont val="Tahoma"/>
            <family val="2"/>
          </rPr>
          <t>LPA:</t>
        </r>
        <r>
          <rPr>
            <sz val="9"/>
            <color indexed="81"/>
            <rFont val="Tahoma"/>
            <family val="2"/>
          </rPr>
          <t xml:space="preserve">
проверити збир!
</t>
        </r>
      </text>
    </comment>
    <comment ref="I16942" authorId="0" shapeId="0">
      <text>
        <r>
          <rPr>
            <b/>
            <sz val="9"/>
            <color indexed="81"/>
            <rFont val="Tahoma"/>
            <family val="2"/>
          </rPr>
          <t>LPA:</t>
        </r>
        <r>
          <rPr>
            <sz val="9"/>
            <color indexed="81"/>
            <rFont val="Tahoma"/>
            <family val="2"/>
          </rPr>
          <t xml:space="preserve">
проверити збир!
</t>
        </r>
      </text>
    </comment>
    <comment ref="I16943" authorId="0" shapeId="0">
      <text>
        <r>
          <rPr>
            <b/>
            <sz val="9"/>
            <color indexed="81"/>
            <rFont val="Tahoma"/>
            <family val="2"/>
          </rPr>
          <t>LPA:</t>
        </r>
        <r>
          <rPr>
            <sz val="9"/>
            <color indexed="81"/>
            <rFont val="Tahoma"/>
            <family val="2"/>
          </rPr>
          <t xml:space="preserve">
проверити збир!
</t>
        </r>
      </text>
    </comment>
    <comment ref="I16944" authorId="0" shapeId="0">
      <text>
        <r>
          <rPr>
            <b/>
            <sz val="9"/>
            <color indexed="81"/>
            <rFont val="Tahoma"/>
            <family val="2"/>
          </rPr>
          <t>LPA:</t>
        </r>
        <r>
          <rPr>
            <sz val="9"/>
            <color indexed="81"/>
            <rFont val="Tahoma"/>
            <family val="2"/>
          </rPr>
          <t xml:space="preserve">
проверити збир!
</t>
        </r>
      </text>
    </comment>
    <comment ref="I16945" authorId="0" shapeId="0">
      <text>
        <r>
          <rPr>
            <b/>
            <sz val="9"/>
            <color indexed="81"/>
            <rFont val="Tahoma"/>
            <family val="2"/>
          </rPr>
          <t>LPA:</t>
        </r>
        <r>
          <rPr>
            <sz val="9"/>
            <color indexed="81"/>
            <rFont val="Tahoma"/>
            <family val="2"/>
          </rPr>
          <t xml:space="preserve">
проверити збир!
</t>
        </r>
      </text>
    </comment>
    <comment ref="I17014" authorId="0" shapeId="0">
      <text>
        <r>
          <rPr>
            <b/>
            <sz val="9"/>
            <color indexed="81"/>
            <rFont val="Tahoma"/>
            <family val="2"/>
          </rPr>
          <t>LPA:</t>
        </r>
        <r>
          <rPr>
            <sz val="9"/>
            <color indexed="81"/>
            <rFont val="Tahoma"/>
            <family val="2"/>
          </rPr>
          <t xml:space="preserve">
проверити збир!
</t>
        </r>
      </text>
    </comment>
    <comment ref="I17015" authorId="0" shapeId="0">
      <text>
        <r>
          <rPr>
            <b/>
            <sz val="9"/>
            <color indexed="81"/>
            <rFont val="Tahoma"/>
            <family val="2"/>
          </rPr>
          <t>LPA:</t>
        </r>
        <r>
          <rPr>
            <sz val="9"/>
            <color indexed="81"/>
            <rFont val="Tahoma"/>
            <family val="2"/>
          </rPr>
          <t xml:space="preserve">
проверити збир!
</t>
        </r>
      </text>
    </comment>
    <comment ref="I17016" authorId="0" shapeId="0">
      <text>
        <r>
          <rPr>
            <b/>
            <sz val="9"/>
            <color indexed="81"/>
            <rFont val="Tahoma"/>
            <family val="2"/>
          </rPr>
          <t>LPA:</t>
        </r>
        <r>
          <rPr>
            <sz val="9"/>
            <color indexed="81"/>
            <rFont val="Tahoma"/>
            <family val="2"/>
          </rPr>
          <t xml:space="preserve">
проверити збир!
</t>
        </r>
      </text>
    </comment>
    <comment ref="I17017" authorId="0" shapeId="0">
      <text>
        <r>
          <rPr>
            <b/>
            <sz val="9"/>
            <color indexed="81"/>
            <rFont val="Tahoma"/>
            <family val="2"/>
          </rPr>
          <t>LPA:</t>
        </r>
        <r>
          <rPr>
            <sz val="9"/>
            <color indexed="81"/>
            <rFont val="Tahoma"/>
            <family val="2"/>
          </rPr>
          <t xml:space="preserve">
проверити збир!
</t>
        </r>
      </text>
    </comment>
    <comment ref="I17018" authorId="0" shapeId="0">
      <text>
        <r>
          <rPr>
            <b/>
            <sz val="9"/>
            <color indexed="81"/>
            <rFont val="Tahoma"/>
            <family val="2"/>
          </rPr>
          <t>LPA:</t>
        </r>
        <r>
          <rPr>
            <sz val="9"/>
            <color indexed="81"/>
            <rFont val="Tahoma"/>
            <family val="2"/>
          </rPr>
          <t xml:space="preserve">
проверити збир!
</t>
        </r>
      </text>
    </comment>
    <comment ref="I17019" authorId="0" shapeId="0">
      <text>
        <r>
          <rPr>
            <b/>
            <sz val="9"/>
            <color indexed="81"/>
            <rFont val="Tahoma"/>
            <family val="2"/>
          </rPr>
          <t>LPA:</t>
        </r>
        <r>
          <rPr>
            <sz val="9"/>
            <color indexed="81"/>
            <rFont val="Tahoma"/>
            <family val="2"/>
          </rPr>
          <t xml:space="preserve">
проверити збир!
</t>
        </r>
      </text>
    </comment>
    <comment ref="I17020" authorId="0" shapeId="0">
      <text>
        <r>
          <rPr>
            <b/>
            <sz val="9"/>
            <color indexed="81"/>
            <rFont val="Tahoma"/>
            <family val="2"/>
          </rPr>
          <t>LPA:</t>
        </r>
        <r>
          <rPr>
            <sz val="9"/>
            <color indexed="81"/>
            <rFont val="Tahoma"/>
            <family val="2"/>
          </rPr>
          <t xml:space="preserve">
проверити збир!
</t>
        </r>
      </text>
    </comment>
    <comment ref="I17021" authorId="0" shapeId="0">
      <text>
        <r>
          <rPr>
            <b/>
            <sz val="9"/>
            <color indexed="81"/>
            <rFont val="Tahoma"/>
            <family val="2"/>
          </rPr>
          <t>LPA:</t>
        </r>
        <r>
          <rPr>
            <sz val="9"/>
            <color indexed="81"/>
            <rFont val="Tahoma"/>
            <family val="2"/>
          </rPr>
          <t xml:space="preserve">
проверити збир!
</t>
        </r>
      </text>
    </comment>
    <comment ref="I17022" authorId="0" shapeId="0">
      <text>
        <r>
          <rPr>
            <b/>
            <sz val="9"/>
            <color indexed="81"/>
            <rFont val="Tahoma"/>
            <family val="2"/>
          </rPr>
          <t>LPA:</t>
        </r>
        <r>
          <rPr>
            <sz val="9"/>
            <color indexed="81"/>
            <rFont val="Tahoma"/>
            <family val="2"/>
          </rPr>
          <t xml:space="preserve">
проверити збир!
</t>
        </r>
      </text>
    </comment>
    <comment ref="I17023" authorId="0" shapeId="0">
      <text>
        <r>
          <rPr>
            <b/>
            <sz val="9"/>
            <color indexed="81"/>
            <rFont val="Tahoma"/>
            <family val="2"/>
          </rPr>
          <t>LPA:</t>
        </r>
        <r>
          <rPr>
            <sz val="9"/>
            <color indexed="81"/>
            <rFont val="Tahoma"/>
            <family val="2"/>
          </rPr>
          <t xml:space="preserve">
проверити збир!
</t>
        </r>
      </text>
    </comment>
    <comment ref="I17024" authorId="0" shapeId="0">
      <text>
        <r>
          <rPr>
            <b/>
            <sz val="9"/>
            <color indexed="81"/>
            <rFont val="Tahoma"/>
            <family val="2"/>
          </rPr>
          <t>LPA:</t>
        </r>
        <r>
          <rPr>
            <sz val="9"/>
            <color indexed="81"/>
            <rFont val="Tahoma"/>
            <family val="2"/>
          </rPr>
          <t xml:space="preserve">
проверити збир!
</t>
        </r>
      </text>
    </comment>
    <comment ref="I17025" authorId="0" shapeId="0">
      <text>
        <r>
          <rPr>
            <b/>
            <sz val="9"/>
            <color indexed="81"/>
            <rFont val="Tahoma"/>
            <family val="2"/>
          </rPr>
          <t>LPA:</t>
        </r>
        <r>
          <rPr>
            <sz val="9"/>
            <color indexed="81"/>
            <rFont val="Tahoma"/>
            <family val="2"/>
          </rPr>
          <t xml:space="preserve">
проверити збир!
</t>
        </r>
      </text>
    </comment>
    <comment ref="I17026" authorId="0" shapeId="0">
      <text>
        <r>
          <rPr>
            <b/>
            <sz val="9"/>
            <color indexed="81"/>
            <rFont val="Tahoma"/>
            <family val="2"/>
          </rPr>
          <t>LPA:</t>
        </r>
        <r>
          <rPr>
            <sz val="9"/>
            <color indexed="81"/>
            <rFont val="Tahoma"/>
            <family val="2"/>
          </rPr>
          <t xml:space="preserve">
проверити збир!
</t>
        </r>
      </text>
    </comment>
    <comment ref="H17029" authorId="0" shapeId="0">
      <text>
        <r>
          <rPr>
            <b/>
            <sz val="9"/>
            <color indexed="81"/>
            <rFont val="Tahoma"/>
            <family val="2"/>
          </rPr>
          <t>LPA:</t>
        </r>
        <r>
          <rPr>
            <sz val="9"/>
            <color indexed="81"/>
            <rFont val="Tahoma"/>
            <family val="2"/>
          </rPr>
          <t xml:space="preserve">
проверити збир!</t>
        </r>
      </text>
    </comment>
    <comment ref="I17029" authorId="0" shapeId="0">
      <text>
        <r>
          <rPr>
            <b/>
            <sz val="9"/>
            <color indexed="81"/>
            <rFont val="Tahoma"/>
            <family val="2"/>
          </rPr>
          <t>LPA:</t>
        </r>
        <r>
          <rPr>
            <sz val="9"/>
            <color indexed="81"/>
            <rFont val="Tahoma"/>
            <family val="2"/>
          </rPr>
          <t xml:space="preserve">
проверити збир!</t>
        </r>
      </text>
    </comment>
    <comment ref="I17030" authorId="0" shapeId="0">
      <text>
        <r>
          <rPr>
            <b/>
            <sz val="9"/>
            <color indexed="81"/>
            <rFont val="Tahoma"/>
            <family val="2"/>
          </rPr>
          <t>LPA:</t>
        </r>
        <r>
          <rPr>
            <sz val="9"/>
            <color indexed="81"/>
            <rFont val="Tahoma"/>
            <family val="2"/>
          </rPr>
          <t xml:space="preserve">
проверити збир!
</t>
        </r>
      </text>
    </comment>
    <comment ref="I17031" authorId="0" shapeId="0">
      <text>
        <r>
          <rPr>
            <b/>
            <sz val="9"/>
            <color indexed="81"/>
            <rFont val="Tahoma"/>
            <family val="2"/>
          </rPr>
          <t>LPA:</t>
        </r>
        <r>
          <rPr>
            <sz val="9"/>
            <color indexed="81"/>
            <rFont val="Tahoma"/>
            <family val="2"/>
          </rPr>
          <t xml:space="preserve">
проверити збир!
</t>
        </r>
      </text>
    </comment>
    <comment ref="I17032" authorId="0" shapeId="0">
      <text>
        <r>
          <rPr>
            <b/>
            <sz val="9"/>
            <color indexed="81"/>
            <rFont val="Tahoma"/>
            <family val="2"/>
          </rPr>
          <t>LPA:</t>
        </r>
        <r>
          <rPr>
            <sz val="9"/>
            <color indexed="81"/>
            <rFont val="Tahoma"/>
            <family val="2"/>
          </rPr>
          <t xml:space="preserve">
проверити збир!
</t>
        </r>
      </text>
    </comment>
    <comment ref="I17033" authorId="0" shapeId="0">
      <text>
        <r>
          <rPr>
            <b/>
            <sz val="9"/>
            <color indexed="81"/>
            <rFont val="Tahoma"/>
            <family val="2"/>
          </rPr>
          <t>LPA:</t>
        </r>
        <r>
          <rPr>
            <sz val="9"/>
            <color indexed="81"/>
            <rFont val="Tahoma"/>
            <family val="2"/>
          </rPr>
          <t xml:space="preserve">
проверити збир!
</t>
        </r>
      </text>
    </comment>
    <comment ref="I17034" authorId="0" shapeId="0">
      <text>
        <r>
          <rPr>
            <b/>
            <sz val="9"/>
            <color indexed="81"/>
            <rFont val="Tahoma"/>
            <family val="2"/>
          </rPr>
          <t>LPA:</t>
        </r>
        <r>
          <rPr>
            <sz val="9"/>
            <color indexed="81"/>
            <rFont val="Tahoma"/>
            <family val="2"/>
          </rPr>
          <t xml:space="preserve">
проверити збир!
</t>
        </r>
      </text>
    </comment>
    <comment ref="I17035" authorId="0" shapeId="0">
      <text>
        <r>
          <rPr>
            <b/>
            <sz val="9"/>
            <color indexed="81"/>
            <rFont val="Tahoma"/>
            <family val="2"/>
          </rPr>
          <t>LPA:</t>
        </r>
        <r>
          <rPr>
            <sz val="9"/>
            <color indexed="81"/>
            <rFont val="Tahoma"/>
            <family val="2"/>
          </rPr>
          <t xml:space="preserve">
проверити збир!
</t>
        </r>
      </text>
    </comment>
    <comment ref="I17036" authorId="0" shapeId="0">
      <text>
        <r>
          <rPr>
            <b/>
            <sz val="9"/>
            <color indexed="81"/>
            <rFont val="Tahoma"/>
            <family val="2"/>
          </rPr>
          <t>LPA:</t>
        </r>
        <r>
          <rPr>
            <sz val="9"/>
            <color indexed="81"/>
            <rFont val="Tahoma"/>
            <family val="2"/>
          </rPr>
          <t xml:space="preserve">
проверити збир!
</t>
        </r>
      </text>
    </comment>
    <comment ref="I17037" authorId="0" shapeId="0">
      <text>
        <r>
          <rPr>
            <b/>
            <sz val="9"/>
            <color indexed="81"/>
            <rFont val="Tahoma"/>
            <family val="2"/>
          </rPr>
          <t>LPA:</t>
        </r>
        <r>
          <rPr>
            <sz val="9"/>
            <color indexed="81"/>
            <rFont val="Tahoma"/>
            <family val="2"/>
          </rPr>
          <t xml:space="preserve">
проверити збир!
</t>
        </r>
      </text>
    </comment>
    <comment ref="I17038" authorId="0" shapeId="0">
      <text>
        <r>
          <rPr>
            <b/>
            <sz val="9"/>
            <color indexed="81"/>
            <rFont val="Tahoma"/>
            <family val="2"/>
          </rPr>
          <t>LPA:</t>
        </r>
        <r>
          <rPr>
            <sz val="9"/>
            <color indexed="81"/>
            <rFont val="Tahoma"/>
            <family val="2"/>
          </rPr>
          <t xml:space="preserve">
проверити збир!
</t>
        </r>
      </text>
    </comment>
    <comment ref="I17039" authorId="0" shapeId="0">
      <text>
        <r>
          <rPr>
            <b/>
            <sz val="9"/>
            <color indexed="81"/>
            <rFont val="Tahoma"/>
            <family val="2"/>
          </rPr>
          <t>LPA:</t>
        </r>
        <r>
          <rPr>
            <sz val="9"/>
            <color indexed="81"/>
            <rFont val="Tahoma"/>
            <family val="2"/>
          </rPr>
          <t xml:space="preserve">
проверити збир!
</t>
        </r>
      </text>
    </comment>
    <comment ref="I17040" authorId="0" shapeId="0">
      <text>
        <r>
          <rPr>
            <b/>
            <sz val="9"/>
            <color indexed="81"/>
            <rFont val="Tahoma"/>
            <family val="2"/>
          </rPr>
          <t>LPA:</t>
        </r>
        <r>
          <rPr>
            <sz val="9"/>
            <color indexed="81"/>
            <rFont val="Tahoma"/>
            <family val="2"/>
          </rPr>
          <t xml:space="preserve">
проверити збир!
</t>
        </r>
      </text>
    </comment>
    <comment ref="I17041" authorId="0" shapeId="0">
      <text>
        <r>
          <rPr>
            <b/>
            <sz val="9"/>
            <color indexed="81"/>
            <rFont val="Tahoma"/>
            <family val="2"/>
          </rPr>
          <t>LPA:</t>
        </r>
        <r>
          <rPr>
            <sz val="9"/>
            <color indexed="81"/>
            <rFont val="Tahoma"/>
            <family val="2"/>
          </rPr>
          <t xml:space="preserve">
проверити збир!
</t>
        </r>
      </text>
    </comment>
    <comment ref="I17042" authorId="0" shapeId="0">
      <text>
        <r>
          <rPr>
            <b/>
            <sz val="9"/>
            <color indexed="81"/>
            <rFont val="Tahoma"/>
            <family val="2"/>
          </rPr>
          <t>LPA:</t>
        </r>
        <r>
          <rPr>
            <sz val="9"/>
            <color indexed="81"/>
            <rFont val="Tahoma"/>
            <family val="2"/>
          </rPr>
          <t xml:space="preserve">
проверити збир!
</t>
        </r>
      </text>
    </comment>
    <comment ref="I17043" authorId="0" shapeId="0">
      <text>
        <r>
          <rPr>
            <b/>
            <sz val="9"/>
            <color indexed="81"/>
            <rFont val="Tahoma"/>
            <family val="2"/>
          </rPr>
          <t>LPA:</t>
        </r>
        <r>
          <rPr>
            <sz val="9"/>
            <color indexed="81"/>
            <rFont val="Tahoma"/>
            <family val="2"/>
          </rPr>
          <t xml:space="preserve">
проверити збир!
</t>
        </r>
      </text>
    </comment>
    <comment ref="I17044" authorId="0" shapeId="0">
      <text>
        <r>
          <rPr>
            <b/>
            <sz val="9"/>
            <color indexed="81"/>
            <rFont val="Tahoma"/>
            <family val="2"/>
          </rPr>
          <t>LPA:</t>
        </r>
        <r>
          <rPr>
            <sz val="9"/>
            <color indexed="81"/>
            <rFont val="Tahoma"/>
            <family val="2"/>
          </rPr>
          <t xml:space="preserve">
проверити збир!
</t>
        </r>
      </text>
    </comment>
    <comment ref="H17048" authorId="0" shapeId="0">
      <text>
        <r>
          <rPr>
            <b/>
            <sz val="9"/>
            <color indexed="81"/>
            <rFont val="Tahoma"/>
            <family val="2"/>
          </rPr>
          <t>LPA:</t>
        </r>
        <r>
          <rPr>
            <sz val="9"/>
            <color indexed="81"/>
            <rFont val="Tahoma"/>
            <family val="2"/>
          </rPr>
          <t xml:space="preserve">
проверити збир!</t>
        </r>
      </text>
    </comment>
    <comment ref="I17048" authorId="0" shapeId="0">
      <text>
        <r>
          <rPr>
            <b/>
            <sz val="9"/>
            <color indexed="81"/>
            <rFont val="Tahoma"/>
            <family val="2"/>
          </rPr>
          <t>LPA:</t>
        </r>
        <r>
          <rPr>
            <sz val="9"/>
            <color indexed="81"/>
            <rFont val="Tahoma"/>
            <family val="2"/>
          </rPr>
          <t xml:space="preserve">
проверити збир!
</t>
        </r>
      </text>
    </comment>
    <comment ref="I17049" authorId="0" shapeId="0">
      <text>
        <r>
          <rPr>
            <b/>
            <sz val="9"/>
            <color indexed="81"/>
            <rFont val="Tahoma"/>
            <family val="2"/>
          </rPr>
          <t>LPA:</t>
        </r>
        <r>
          <rPr>
            <sz val="9"/>
            <color indexed="81"/>
            <rFont val="Tahoma"/>
            <family val="2"/>
          </rPr>
          <t xml:space="preserve">
проверити збир!
</t>
        </r>
      </text>
    </comment>
    <comment ref="I17050" authorId="0" shapeId="0">
      <text>
        <r>
          <rPr>
            <b/>
            <sz val="9"/>
            <color indexed="81"/>
            <rFont val="Tahoma"/>
            <family val="2"/>
          </rPr>
          <t>LPA:</t>
        </r>
        <r>
          <rPr>
            <sz val="9"/>
            <color indexed="81"/>
            <rFont val="Tahoma"/>
            <family val="2"/>
          </rPr>
          <t xml:space="preserve">
проверити збир!
</t>
        </r>
      </text>
    </comment>
    <comment ref="I17051" authorId="0" shapeId="0">
      <text>
        <r>
          <rPr>
            <b/>
            <sz val="9"/>
            <color indexed="81"/>
            <rFont val="Tahoma"/>
            <family val="2"/>
          </rPr>
          <t>LPA:</t>
        </r>
        <r>
          <rPr>
            <sz val="9"/>
            <color indexed="81"/>
            <rFont val="Tahoma"/>
            <family val="2"/>
          </rPr>
          <t xml:space="preserve">
проверити збир!
</t>
        </r>
      </text>
    </comment>
    <comment ref="I17052" authorId="0" shapeId="0">
      <text>
        <r>
          <rPr>
            <b/>
            <sz val="9"/>
            <color indexed="81"/>
            <rFont val="Tahoma"/>
            <family val="2"/>
          </rPr>
          <t>LPA:</t>
        </r>
        <r>
          <rPr>
            <sz val="9"/>
            <color indexed="81"/>
            <rFont val="Tahoma"/>
            <family val="2"/>
          </rPr>
          <t xml:space="preserve">
проверити збир!
</t>
        </r>
      </text>
    </comment>
    <comment ref="I17053" authorId="0" shapeId="0">
      <text>
        <r>
          <rPr>
            <b/>
            <sz val="9"/>
            <color indexed="81"/>
            <rFont val="Tahoma"/>
            <family val="2"/>
          </rPr>
          <t>LPA:</t>
        </r>
        <r>
          <rPr>
            <sz val="9"/>
            <color indexed="81"/>
            <rFont val="Tahoma"/>
            <family val="2"/>
          </rPr>
          <t xml:space="preserve">
проверити збир!
</t>
        </r>
      </text>
    </comment>
    <comment ref="I17054" authorId="0" shapeId="0">
      <text>
        <r>
          <rPr>
            <b/>
            <sz val="9"/>
            <color indexed="81"/>
            <rFont val="Tahoma"/>
            <family val="2"/>
          </rPr>
          <t>LPA:</t>
        </r>
        <r>
          <rPr>
            <sz val="9"/>
            <color indexed="81"/>
            <rFont val="Tahoma"/>
            <family val="2"/>
          </rPr>
          <t xml:space="preserve">
проверити збир!
</t>
        </r>
      </text>
    </comment>
    <comment ref="I17055" authorId="0" shapeId="0">
      <text>
        <r>
          <rPr>
            <b/>
            <sz val="9"/>
            <color indexed="81"/>
            <rFont val="Tahoma"/>
            <family val="2"/>
          </rPr>
          <t>LPA:</t>
        </r>
        <r>
          <rPr>
            <sz val="9"/>
            <color indexed="81"/>
            <rFont val="Tahoma"/>
            <family val="2"/>
          </rPr>
          <t xml:space="preserve">
проверити збир!
</t>
        </r>
      </text>
    </comment>
    <comment ref="I17056" authorId="0" shapeId="0">
      <text>
        <r>
          <rPr>
            <b/>
            <sz val="9"/>
            <color indexed="81"/>
            <rFont val="Tahoma"/>
            <family val="2"/>
          </rPr>
          <t>LPA:</t>
        </r>
        <r>
          <rPr>
            <sz val="9"/>
            <color indexed="81"/>
            <rFont val="Tahoma"/>
            <family val="2"/>
          </rPr>
          <t xml:space="preserve">
проверити збир!
</t>
        </r>
      </text>
    </comment>
    <comment ref="I17057" authorId="0" shapeId="0">
      <text>
        <r>
          <rPr>
            <b/>
            <sz val="9"/>
            <color indexed="81"/>
            <rFont val="Tahoma"/>
            <family val="2"/>
          </rPr>
          <t>LPA:</t>
        </r>
        <r>
          <rPr>
            <sz val="9"/>
            <color indexed="81"/>
            <rFont val="Tahoma"/>
            <family val="2"/>
          </rPr>
          <t xml:space="preserve">
проверити збир!
</t>
        </r>
      </text>
    </comment>
    <comment ref="I17058" authorId="0" shapeId="0">
      <text>
        <r>
          <rPr>
            <b/>
            <sz val="9"/>
            <color indexed="81"/>
            <rFont val="Tahoma"/>
            <family val="2"/>
          </rPr>
          <t>LPA:</t>
        </r>
        <r>
          <rPr>
            <sz val="9"/>
            <color indexed="81"/>
            <rFont val="Tahoma"/>
            <family val="2"/>
          </rPr>
          <t xml:space="preserve">
проверити збир!
</t>
        </r>
      </text>
    </comment>
    <comment ref="I17059" authorId="0" shapeId="0">
      <text>
        <r>
          <rPr>
            <b/>
            <sz val="9"/>
            <color indexed="81"/>
            <rFont val="Tahoma"/>
            <family val="2"/>
          </rPr>
          <t>LPA:</t>
        </r>
        <r>
          <rPr>
            <sz val="9"/>
            <color indexed="81"/>
            <rFont val="Tahoma"/>
            <family val="2"/>
          </rPr>
          <t xml:space="preserve">
проверити збир!
</t>
        </r>
      </text>
    </comment>
    <comment ref="I17060" authorId="0" shapeId="0">
      <text>
        <r>
          <rPr>
            <b/>
            <sz val="9"/>
            <color indexed="81"/>
            <rFont val="Tahoma"/>
            <family val="2"/>
          </rPr>
          <t>LPA:</t>
        </r>
        <r>
          <rPr>
            <sz val="9"/>
            <color indexed="81"/>
            <rFont val="Tahoma"/>
            <family val="2"/>
          </rPr>
          <t xml:space="preserve">
проверити збир!
</t>
        </r>
      </text>
    </comment>
    <comment ref="I17061" authorId="0" shapeId="0">
      <text>
        <r>
          <rPr>
            <b/>
            <sz val="9"/>
            <color indexed="81"/>
            <rFont val="Tahoma"/>
            <family val="2"/>
          </rPr>
          <t>LPA:</t>
        </r>
        <r>
          <rPr>
            <sz val="9"/>
            <color indexed="81"/>
            <rFont val="Tahoma"/>
            <family val="2"/>
          </rPr>
          <t xml:space="preserve">
проверити збир!
</t>
        </r>
      </text>
    </comment>
    <comment ref="I17062" authorId="0" shapeId="0">
      <text>
        <r>
          <rPr>
            <b/>
            <sz val="9"/>
            <color indexed="81"/>
            <rFont val="Tahoma"/>
            <family val="2"/>
          </rPr>
          <t>LPA:</t>
        </r>
        <r>
          <rPr>
            <sz val="9"/>
            <color indexed="81"/>
            <rFont val="Tahoma"/>
            <family val="2"/>
          </rPr>
          <t xml:space="preserve">
проверити збир!
</t>
        </r>
      </text>
    </comment>
    <comment ref="I17063" authorId="0" shapeId="0">
      <text>
        <r>
          <rPr>
            <b/>
            <sz val="9"/>
            <color indexed="81"/>
            <rFont val="Tahoma"/>
            <family val="2"/>
          </rPr>
          <t>LPA:</t>
        </r>
        <r>
          <rPr>
            <sz val="9"/>
            <color indexed="81"/>
            <rFont val="Tahoma"/>
            <family val="2"/>
          </rPr>
          <t xml:space="preserve">
проверити збир!
</t>
        </r>
      </text>
    </comment>
    <comment ref="H17067" authorId="0" shapeId="0">
      <text>
        <r>
          <rPr>
            <b/>
            <sz val="9"/>
            <color indexed="81"/>
            <rFont val="Tahoma"/>
            <family val="2"/>
          </rPr>
          <t>LPA:</t>
        </r>
        <r>
          <rPr>
            <sz val="9"/>
            <color indexed="81"/>
            <rFont val="Tahoma"/>
            <family val="2"/>
          </rPr>
          <t xml:space="preserve">
провери збир!</t>
        </r>
      </text>
    </comment>
    <comment ref="I17067" authorId="0" shapeId="0">
      <text>
        <r>
          <rPr>
            <b/>
            <sz val="9"/>
            <color indexed="81"/>
            <rFont val="Tahoma"/>
            <family val="2"/>
          </rPr>
          <t>LPA:</t>
        </r>
        <r>
          <rPr>
            <sz val="9"/>
            <color indexed="81"/>
            <rFont val="Tahoma"/>
            <family val="2"/>
          </rPr>
          <t xml:space="preserve">
проверити збир!
</t>
        </r>
      </text>
    </comment>
    <comment ref="I17068" authorId="0" shapeId="0">
      <text>
        <r>
          <rPr>
            <b/>
            <sz val="9"/>
            <color indexed="81"/>
            <rFont val="Tahoma"/>
            <family val="2"/>
          </rPr>
          <t>LPA:</t>
        </r>
        <r>
          <rPr>
            <sz val="9"/>
            <color indexed="81"/>
            <rFont val="Tahoma"/>
            <family val="2"/>
          </rPr>
          <t xml:space="preserve">
проверити збир!
</t>
        </r>
      </text>
    </comment>
    <comment ref="I17069" authorId="0" shapeId="0">
      <text>
        <r>
          <rPr>
            <b/>
            <sz val="9"/>
            <color indexed="81"/>
            <rFont val="Tahoma"/>
            <family val="2"/>
          </rPr>
          <t>LPA:</t>
        </r>
        <r>
          <rPr>
            <sz val="9"/>
            <color indexed="81"/>
            <rFont val="Tahoma"/>
            <family val="2"/>
          </rPr>
          <t xml:space="preserve">
проверити збир!
</t>
        </r>
      </text>
    </comment>
    <comment ref="I17070" authorId="0" shapeId="0">
      <text>
        <r>
          <rPr>
            <b/>
            <sz val="9"/>
            <color indexed="81"/>
            <rFont val="Tahoma"/>
            <family val="2"/>
          </rPr>
          <t>LPA:</t>
        </r>
        <r>
          <rPr>
            <sz val="9"/>
            <color indexed="81"/>
            <rFont val="Tahoma"/>
            <family val="2"/>
          </rPr>
          <t xml:space="preserve">
проверити збир!
</t>
        </r>
      </text>
    </comment>
    <comment ref="I17071" authorId="0" shapeId="0">
      <text>
        <r>
          <rPr>
            <b/>
            <sz val="9"/>
            <color indexed="81"/>
            <rFont val="Tahoma"/>
            <family val="2"/>
          </rPr>
          <t>LPA:</t>
        </r>
        <r>
          <rPr>
            <sz val="9"/>
            <color indexed="81"/>
            <rFont val="Tahoma"/>
            <family val="2"/>
          </rPr>
          <t xml:space="preserve">
проверити збир!
</t>
        </r>
      </text>
    </comment>
    <comment ref="I17072" authorId="0" shapeId="0">
      <text>
        <r>
          <rPr>
            <b/>
            <sz val="9"/>
            <color indexed="81"/>
            <rFont val="Tahoma"/>
            <family val="2"/>
          </rPr>
          <t>LPA:</t>
        </r>
        <r>
          <rPr>
            <sz val="9"/>
            <color indexed="81"/>
            <rFont val="Tahoma"/>
            <family val="2"/>
          </rPr>
          <t xml:space="preserve">
проверити збир!
</t>
        </r>
      </text>
    </comment>
    <comment ref="I17073" authorId="0" shapeId="0">
      <text>
        <r>
          <rPr>
            <b/>
            <sz val="9"/>
            <color indexed="81"/>
            <rFont val="Tahoma"/>
            <family val="2"/>
          </rPr>
          <t>LPA:</t>
        </r>
        <r>
          <rPr>
            <sz val="9"/>
            <color indexed="81"/>
            <rFont val="Tahoma"/>
            <family val="2"/>
          </rPr>
          <t xml:space="preserve">
проверити збир!
</t>
        </r>
      </text>
    </comment>
    <comment ref="I17074" authorId="0" shapeId="0">
      <text>
        <r>
          <rPr>
            <b/>
            <sz val="9"/>
            <color indexed="81"/>
            <rFont val="Tahoma"/>
            <family val="2"/>
          </rPr>
          <t>LPA:</t>
        </r>
        <r>
          <rPr>
            <sz val="9"/>
            <color indexed="81"/>
            <rFont val="Tahoma"/>
            <family val="2"/>
          </rPr>
          <t xml:space="preserve">
проверити збир!
</t>
        </r>
      </text>
    </comment>
    <comment ref="I17075" authorId="0" shapeId="0">
      <text>
        <r>
          <rPr>
            <b/>
            <sz val="9"/>
            <color indexed="81"/>
            <rFont val="Tahoma"/>
            <family val="2"/>
          </rPr>
          <t>LPA:</t>
        </r>
        <r>
          <rPr>
            <sz val="9"/>
            <color indexed="81"/>
            <rFont val="Tahoma"/>
            <family val="2"/>
          </rPr>
          <t xml:space="preserve">
проверити збир!
</t>
        </r>
      </text>
    </comment>
    <comment ref="I17076" authorId="0" shapeId="0">
      <text>
        <r>
          <rPr>
            <b/>
            <sz val="9"/>
            <color indexed="81"/>
            <rFont val="Tahoma"/>
            <family val="2"/>
          </rPr>
          <t>LPA:</t>
        </r>
        <r>
          <rPr>
            <sz val="9"/>
            <color indexed="81"/>
            <rFont val="Tahoma"/>
            <family val="2"/>
          </rPr>
          <t xml:space="preserve">
проверити збир!
</t>
        </r>
      </text>
    </comment>
    <comment ref="I17077" authorId="0" shapeId="0">
      <text>
        <r>
          <rPr>
            <b/>
            <sz val="9"/>
            <color indexed="81"/>
            <rFont val="Tahoma"/>
            <family val="2"/>
          </rPr>
          <t>LPA:</t>
        </r>
        <r>
          <rPr>
            <sz val="9"/>
            <color indexed="81"/>
            <rFont val="Tahoma"/>
            <family val="2"/>
          </rPr>
          <t xml:space="preserve">
проверити збир!
</t>
        </r>
      </text>
    </comment>
    <comment ref="I17078" authorId="0" shapeId="0">
      <text>
        <r>
          <rPr>
            <b/>
            <sz val="9"/>
            <color indexed="81"/>
            <rFont val="Tahoma"/>
            <family val="2"/>
          </rPr>
          <t>LPA:</t>
        </r>
        <r>
          <rPr>
            <sz val="9"/>
            <color indexed="81"/>
            <rFont val="Tahoma"/>
            <family val="2"/>
          </rPr>
          <t xml:space="preserve">
проверити збир!
</t>
        </r>
      </text>
    </comment>
    <comment ref="I17079" authorId="0" shapeId="0">
      <text>
        <r>
          <rPr>
            <b/>
            <sz val="9"/>
            <color indexed="81"/>
            <rFont val="Tahoma"/>
            <family val="2"/>
          </rPr>
          <t>LPA:</t>
        </r>
        <r>
          <rPr>
            <sz val="9"/>
            <color indexed="81"/>
            <rFont val="Tahoma"/>
            <family val="2"/>
          </rPr>
          <t xml:space="preserve">
проверити збир!
</t>
        </r>
      </text>
    </comment>
    <comment ref="I17080" authorId="0" shapeId="0">
      <text>
        <r>
          <rPr>
            <b/>
            <sz val="9"/>
            <color indexed="81"/>
            <rFont val="Tahoma"/>
            <family val="2"/>
          </rPr>
          <t>LPA:</t>
        </r>
        <r>
          <rPr>
            <sz val="9"/>
            <color indexed="81"/>
            <rFont val="Tahoma"/>
            <family val="2"/>
          </rPr>
          <t xml:space="preserve">
проверити збир!
</t>
        </r>
      </text>
    </comment>
    <comment ref="I17081" authorId="0" shapeId="0">
      <text>
        <r>
          <rPr>
            <b/>
            <sz val="9"/>
            <color indexed="81"/>
            <rFont val="Tahoma"/>
            <family val="2"/>
          </rPr>
          <t>LPA:</t>
        </r>
        <r>
          <rPr>
            <sz val="9"/>
            <color indexed="81"/>
            <rFont val="Tahoma"/>
            <family val="2"/>
          </rPr>
          <t xml:space="preserve">
проверити збир!
</t>
        </r>
      </text>
    </comment>
    <comment ref="I17082" authorId="0" shapeId="0">
      <text>
        <r>
          <rPr>
            <b/>
            <sz val="9"/>
            <color indexed="81"/>
            <rFont val="Tahoma"/>
            <family val="2"/>
          </rPr>
          <t>LPA:</t>
        </r>
        <r>
          <rPr>
            <sz val="9"/>
            <color indexed="81"/>
            <rFont val="Tahoma"/>
            <family val="2"/>
          </rPr>
          <t xml:space="preserve">
проверити збир!
</t>
        </r>
      </text>
    </comment>
    <comment ref="H17087" authorId="0" shapeId="0">
      <text>
        <r>
          <rPr>
            <b/>
            <sz val="9"/>
            <color indexed="81"/>
            <rFont val="Tahoma"/>
            <family val="2"/>
          </rPr>
          <t>LPA:</t>
        </r>
        <r>
          <rPr>
            <sz val="9"/>
            <color indexed="81"/>
            <rFont val="Tahoma"/>
            <family val="2"/>
          </rPr>
          <t xml:space="preserve">
провери збир!</t>
        </r>
      </text>
    </comment>
    <comment ref="I17087" authorId="0" shapeId="0">
      <text>
        <r>
          <rPr>
            <b/>
            <sz val="9"/>
            <color indexed="81"/>
            <rFont val="Tahoma"/>
            <family val="2"/>
          </rPr>
          <t>LPA:</t>
        </r>
        <r>
          <rPr>
            <sz val="9"/>
            <color indexed="81"/>
            <rFont val="Tahoma"/>
            <family val="2"/>
          </rPr>
          <t xml:space="preserve">
проверити збир!
</t>
        </r>
      </text>
    </comment>
    <comment ref="I17088" authorId="0" shapeId="0">
      <text>
        <r>
          <rPr>
            <b/>
            <sz val="9"/>
            <color indexed="81"/>
            <rFont val="Tahoma"/>
            <family val="2"/>
          </rPr>
          <t>LPA:</t>
        </r>
        <r>
          <rPr>
            <sz val="9"/>
            <color indexed="81"/>
            <rFont val="Tahoma"/>
            <family val="2"/>
          </rPr>
          <t xml:space="preserve">
проверити збир!
</t>
        </r>
      </text>
    </comment>
    <comment ref="I17089" authorId="0" shapeId="0">
      <text>
        <r>
          <rPr>
            <b/>
            <sz val="9"/>
            <color indexed="81"/>
            <rFont val="Tahoma"/>
            <family val="2"/>
          </rPr>
          <t>LPA:</t>
        </r>
        <r>
          <rPr>
            <sz val="9"/>
            <color indexed="81"/>
            <rFont val="Tahoma"/>
            <family val="2"/>
          </rPr>
          <t xml:space="preserve">
проверити збир!
</t>
        </r>
      </text>
    </comment>
    <comment ref="I17090" authorId="0" shapeId="0">
      <text>
        <r>
          <rPr>
            <b/>
            <sz val="9"/>
            <color indexed="81"/>
            <rFont val="Tahoma"/>
            <family val="2"/>
          </rPr>
          <t>LPA:</t>
        </r>
        <r>
          <rPr>
            <sz val="9"/>
            <color indexed="81"/>
            <rFont val="Tahoma"/>
            <family val="2"/>
          </rPr>
          <t xml:space="preserve">
проверити збир!
</t>
        </r>
      </text>
    </comment>
    <comment ref="I17091" authorId="0" shapeId="0">
      <text>
        <r>
          <rPr>
            <b/>
            <sz val="9"/>
            <color indexed="81"/>
            <rFont val="Tahoma"/>
            <family val="2"/>
          </rPr>
          <t>LPA:</t>
        </r>
        <r>
          <rPr>
            <sz val="9"/>
            <color indexed="81"/>
            <rFont val="Tahoma"/>
            <family val="2"/>
          </rPr>
          <t xml:space="preserve">
проверити збир!
</t>
        </r>
      </text>
    </comment>
    <comment ref="I17092" authorId="0" shapeId="0">
      <text>
        <r>
          <rPr>
            <b/>
            <sz val="9"/>
            <color indexed="81"/>
            <rFont val="Tahoma"/>
            <family val="2"/>
          </rPr>
          <t>LPA:</t>
        </r>
        <r>
          <rPr>
            <sz val="9"/>
            <color indexed="81"/>
            <rFont val="Tahoma"/>
            <family val="2"/>
          </rPr>
          <t xml:space="preserve">
проверити збир!
</t>
        </r>
      </text>
    </comment>
    <comment ref="I17093" authorId="0" shapeId="0">
      <text>
        <r>
          <rPr>
            <b/>
            <sz val="9"/>
            <color indexed="81"/>
            <rFont val="Tahoma"/>
            <family val="2"/>
          </rPr>
          <t>LPA:</t>
        </r>
        <r>
          <rPr>
            <sz val="9"/>
            <color indexed="81"/>
            <rFont val="Tahoma"/>
            <family val="2"/>
          </rPr>
          <t xml:space="preserve">
проверити збир!
</t>
        </r>
      </text>
    </comment>
    <comment ref="I17094" authorId="0" shapeId="0">
      <text>
        <r>
          <rPr>
            <b/>
            <sz val="9"/>
            <color indexed="81"/>
            <rFont val="Tahoma"/>
            <family val="2"/>
          </rPr>
          <t>LPA:</t>
        </r>
        <r>
          <rPr>
            <sz val="9"/>
            <color indexed="81"/>
            <rFont val="Tahoma"/>
            <family val="2"/>
          </rPr>
          <t xml:space="preserve">
проверити збир!
</t>
        </r>
      </text>
    </comment>
    <comment ref="I17095" authorId="0" shapeId="0">
      <text>
        <r>
          <rPr>
            <b/>
            <sz val="9"/>
            <color indexed="81"/>
            <rFont val="Tahoma"/>
            <family val="2"/>
          </rPr>
          <t>LPA:</t>
        </r>
        <r>
          <rPr>
            <sz val="9"/>
            <color indexed="81"/>
            <rFont val="Tahoma"/>
            <family val="2"/>
          </rPr>
          <t xml:space="preserve">
проверити збир!
</t>
        </r>
      </text>
    </comment>
    <comment ref="I17096" authorId="0" shapeId="0">
      <text>
        <r>
          <rPr>
            <b/>
            <sz val="9"/>
            <color indexed="81"/>
            <rFont val="Tahoma"/>
            <family val="2"/>
          </rPr>
          <t>LPA:</t>
        </r>
        <r>
          <rPr>
            <sz val="9"/>
            <color indexed="81"/>
            <rFont val="Tahoma"/>
            <family val="2"/>
          </rPr>
          <t xml:space="preserve">
проверити збир!
</t>
        </r>
      </text>
    </comment>
    <comment ref="I17097" authorId="0" shapeId="0">
      <text>
        <r>
          <rPr>
            <b/>
            <sz val="9"/>
            <color indexed="81"/>
            <rFont val="Tahoma"/>
            <family val="2"/>
          </rPr>
          <t>LPA:</t>
        </r>
        <r>
          <rPr>
            <sz val="9"/>
            <color indexed="81"/>
            <rFont val="Tahoma"/>
            <family val="2"/>
          </rPr>
          <t xml:space="preserve">
проверити збир!
</t>
        </r>
      </text>
    </comment>
    <comment ref="I17098" authorId="0" shapeId="0">
      <text>
        <r>
          <rPr>
            <b/>
            <sz val="9"/>
            <color indexed="81"/>
            <rFont val="Tahoma"/>
            <family val="2"/>
          </rPr>
          <t>LPA:</t>
        </r>
        <r>
          <rPr>
            <sz val="9"/>
            <color indexed="81"/>
            <rFont val="Tahoma"/>
            <family val="2"/>
          </rPr>
          <t xml:space="preserve">
проверити збир!
</t>
        </r>
      </text>
    </comment>
    <comment ref="I17099" authorId="0" shapeId="0">
      <text>
        <r>
          <rPr>
            <b/>
            <sz val="9"/>
            <color indexed="81"/>
            <rFont val="Tahoma"/>
            <family val="2"/>
          </rPr>
          <t>LPA:</t>
        </r>
        <r>
          <rPr>
            <sz val="9"/>
            <color indexed="81"/>
            <rFont val="Tahoma"/>
            <family val="2"/>
          </rPr>
          <t xml:space="preserve">
проверити збир!
</t>
        </r>
      </text>
    </comment>
    <comment ref="I17100" authorId="0" shapeId="0">
      <text>
        <r>
          <rPr>
            <b/>
            <sz val="9"/>
            <color indexed="81"/>
            <rFont val="Tahoma"/>
            <family val="2"/>
          </rPr>
          <t>LPA:</t>
        </r>
        <r>
          <rPr>
            <sz val="9"/>
            <color indexed="81"/>
            <rFont val="Tahoma"/>
            <family val="2"/>
          </rPr>
          <t xml:space="preserve">
проверити збир!
</t>
        </r>
      </text>
    </comment>
    <comment ref="I17101" authorId="0" shapeId="0">
      <text>
        <r>
          <rPr>
            <b/>
            <sz val="9"/>
            <color indexed="81"/>
            <rFont val="Tahoma"/>
            <family val="2"/>
          </rPr>
          <t>LPA:</t>
        </r>
        <r>
          <rPr>
            <sz val="9"/>
            <color indexed="81"/>
            <rFont val="Tahoma"/>
            <family val="2"/>
          </rPr>
          <t xml:space="preserve">
проверити збир!
</t>
        </r>
      </text>
    </comment>
    <comment ref="I17102" authorId="0" shapeId="0">
      <text>
        <r>
          <rPr>
            <b/>
            <sz val="9"/>
            <color indexed="81"/>
            <rFont val="Tahoma"/>
            <family val="2"/>
          </rPr>
          <t>LPA:</t>
        </r>
        <r>
          <rPr>
            <sz val="9"/>
            <color indexed="81"/>
            <rFont val="Tahoma"/>
            <family val="2"/>
          </rPr>
          <t xml:space="preserve">
проверити збир!
</t>
        </r>
      </text>
    </comment>
    <comment ref="I17173" authorId="0" shapeId="0">
      <text>
        <r>
          <rPr>
            <b/>
            <sz val="9"/>
            <color indexed="81"/>
            <rFont val="Tahoma"/>
            <family val="2"/>
          </rPr>
          <t>LPA:</t>
        </r>
        <r>
          <rPr>
            <sz val="9"/>
            <color indexed="81"/>
            <rFont val="Tahoma"/>
            <family val="2"/>
          </rPr>
          <t xml:space="preserve">
проверити збир!
</t>
        </r>
      </text>
    </comment>
    <comment ref="I17174" authorId="0" shapeId="0">
      <text>
        <r>
          <rPr>
            <b/>
            <sz val="9"/>
            <color indexed="81"/>
            <rFont val="Tahoma"/>
            <family val="2"/>
          </rPr>
          <t>LPA:</t>
        </r>
        <r>
          <rPr>
            <sz val="9"/>
            <color indexed="81"/>
            <rFont val="Tahoma"/>
            <family val="2"/>
          </rPr>
          <t xml:space="preserve">
проверити збир!
</t>
        </r>
      </text>
    </comment>
    <comment ref="I17175" authorId="0" shapeId="0">
      <text>
        <r>
          <rPr>
            <b/>
            <sz val="9"/>
            <color indexed="81"/>
            <rFont val="Tahoma"/>
            <family val="2"/>
          </rPr>
          <t>LPA:</t>
        </r>
        <r>
          <rPr>
            <sz val="9"/>
            <color indexed="81"/>
            <rFont val="Tahoma"/>
            <family val="2"/>
          </rPr>
          <t xml:space="preserve">
проверити збир!
</t>
        </r>
      </text>
    </comment>
    <comment ref="I17176" authorId="0" shapeId="0">
      <text>
        <r>
          <rPr>
            <b/>
            <sz val="9"/>
            <color indexed="81"/>
            <rFont val="Tahoma"/>
            <family val="2"/>
          </rPr>
          <t>LPA:</t>
        </r>
        <r>
          <rPr>
            <sz val="9"/>
            <color indexed="81"/>
            <rFont val="Tahoma"/>
            <family val="2"/>
          </rPr>
          <t xml:space="preserve">
проверити збир!
</t>
        </r>
      </text>
    </comment>
    <comment ref="I17177" authorId="0" shapeId="0">
      <text>
        <r>
          <rPr>
            <b/>
            <sz val="9"/>
            <color indexed="81"/>
            <rFont val="Tahoma"/>
            <family val="2"/>
          </rPr>
          <t>LPA:</t>
        </r>
        <r>
          <rPr>
            <sz val="9"/>
            <color indexed="81"/>
            <rFont val="Tahoma"/>
            <family val="2"/>
          </rPr>
          <t xml:space="preserve">
проверити збир!
</t>
        </r>
      </text>
    </comment>
    <comment ref="I17178" authorId="0" shapeId="0">
      <text>
        <r>
          <rPr>
            <b/>
            <sz val="9"/>
            <color indexed="81"/>
            <rFont val="Tahoma"/>
            <family val="2"/>
          </rPr>
          <t>LPA:</t>
        </r>
        <r>
          <rPr>
            <sz val="9"/>
            <color indexed="81"/>
            <rFont val="Tahoma"/>
            <family val="2"/>
          </rPr>
          <t xml:space="preserve">
проверити збир!
</t>
        </r>
      </text>
    </comment>
    <comment ref="I17179" authorId="0" shapeId="0">
      <text>
        <r>
          <rPr>
            <b/>
            <sz val="9"/>
            <color indexed="81"/>
            <rFont val="Tahoma"/>
            <family val="2"/>
          </rPr>
          <t>LPA:</t>
        </r>
        <r>
          <rPr>
            <sz val="9"/>
            <color indexed="81"/>
            <rFont val="Tahoma"/>
            <family val="2"/>
          </rPr>
          <t xml:space="preserve">
проверити збир!
</t>
        </r>
      </text>
    </comment>
    <comment ref="I17180" authorId="0" shapeId="0">
      <text>
        <r>
          <rPr>
            <b/>
            <sz val="9"/>
            <color indexed="81"/>
            <rFont val="Tahoma"/>
            <family val="2"/>
          </rPr>
          <t>LPA:</t>
        </r>
        <r>
          <rPr>
            <sz val="9"/>
            <color indexed="81"/>
            <rFont val="Tahoma"/>
            <family val="2"/>
          </rPr>
          <t xml:space="preserve">
проверити збир!
</t>
        </r>
      </text>
    </comment>
    <comment ref="I17181" authorId="0" shapeId="0">
      <text>
        <r>
          <rPr>
            <b/>
            <sz val="9"/>
            <color indexed="81"/>
            <rFont val="Tahoma"/>
            <family val="2"/>
          </rPr>
          <t>LPA:</t>
        </r>
        <r>
          <rPr>
            <sz val="9"/>
            <color indexed="81"/>
            <rFont val="Tahoma"/>
            <family val="2"/>
          </rPr>
          <t xml:space="preserve">
проверити збир!
</t>
        </r>
      </text>
    </comment>
    <comment ref="I17182" authorId="0" shapeId="0">
      <text>
        <r>
          <rPr>
            <b/>
            <sz val="9"/>
            <color indexed="81"/>
            <rFont val="Tahoma"/>
            <family val="2"/>
          </rPr>
          <t>LPA:</t>
        </r>
        <r>
          <rPr>
            <sz val="9"/>
            <color indexed="81"/>
            <rFont val="Tahoma"/>
            <family val="2"/>
          </rPr>
          <t xml:space="preserve">
проверити збир!
</t>
        </r>
      </text>
    </comment>
    <comment ref="I17183" authorId="0" shapeId="0">
      <text>
        <r>
          <rPr>
            <b/>
            <sz val="9"/>
            <color indexed="81"/>
            <rFont val="Tahoma"/>
            <family val="2"/>
          </rPr>
          <t>LPA:</t>
        </r>
        <r>
          <rPr>
            <sz val="9"/>
            <color indexed="81"/>
            <rFont val="Tahoma"/>
            <family val="2"/>
          </rPr>
          <t xml:space="preserve">
проверити збир!
</t>
        </r>
      </text>
    </comment>
    <comment ref="I17184" authorId="0" shapeId="0">
      <text>
        <r>
          <rPr>
            <b/>
            <sz val="9"/>
            <color indexed="81"/>
            <rFont val="Tahoma"/>
            <family val="2"/>
          </rPr>
          <t>LPA:</t>
        </r>
        <r>
          <rPr>
            <sz val="9"/>
            <color indexed="81"/>
            <rFont val="Tahoma"/>
            <family val="2"/>
          </rPr>
          <t xml:space="preserve">
проверити збир!
</t>
        </r>
      </text>
    </comment>
    <comment ref="I17185" authorId="0" shapeId="0">
      <text>
        <r>
          <rPr>
            <b/>
            <sz val="9"/>
            <color indexed="81"/>
            <rFont val="Tahoma"/>
            <family val="2"/>
          </rPr>
          <t>LPA:</t>
        </r>
        <r>
          <rPr>
            <sz val="9"/>
            <color indexed="81"/>
            <rFont val="Tahoma"/>
            <family val="2"/>
          </rPr>
          <t xml:space="preserve">
проверити збир!
</t>
        </r>
      </text>
    </comment>
    <comment ref="H17188" authorId="0" shapeId="0">
      <text>
        <r>
          <rPr>
            <b/>
            <sz val="9"/>
            <color indexed="81"/>
            <rFont val="Tahoma"/>
            <family val="2"/>
          </rPr>
          <t>LPA:</t>
        </r>
        <r>
          <rPr>
            <sz val="9"/>
            <color indexed="81"/>
            <rFont val="Tahoma"/>
            <family val="2"/>
          </rPr>
          <t xml:space="preserve">
проверити збир!</t>
        </r>
      </text>
    </comment>
    <comment ref="I17188" authorId="0" shapeId="0">
      <text>
        <r>
          <rPr>
            <b/>
            <sz val="9"/>
            <color indexed="81"/>
            <rFont val="Tahoma"/>
            <family val="2"/>
          </rPr>
          <t>LPA:</t>
        </r>
        <r>
          <rPr>
            <sz val="9"/>
            <color indexed="81"/>
            <rFont val="Tahoma"/>
            <family val="2"/>
          </rPr>
          <t xml:space="preserve">
проверити збир!</t>
        </r>
      </text>
    </comment>
    <comment ref="I17189" authorId="0" shapeId="0">
      <text>
        <r>
          <rPr>
            <b/>
            <sz val="9"/>
            <color indexed="81"/>
            <rFont val="Tahoma"/>
            <family val="2"/>
          </rPr>
          <t>LPA:</t>
        </r>
        <r>
          <rPr>
            <sz val="9"/>
            <color indexed="81"/>
            <rFont val="Tahoma"/>
            <family val="2"/>
          </rPr>
          <t xml:space="preserve">
проверити збир!
</t>
        </r>
      </text>
    </comment>
    <comment ref="I17190" authorId="0" shapeId="0">
      <text>
        <r>
          <rPr>
            <b/>
            <sz val="9"/>
            <color indexed="81"/>
            <rFont val="Tahoma"/>
            <family val="2"/>
          </rPr>
          <t>LPA:</t>
        </r>
        <r>
          <rPr>
            <sz val="9"/>
            <color indexed="81"/>
            <rFont val="Tahoma"/>
            <family val="2"/>
          </rPr>
          <t xml:space="preserve">
проверити збир!
</t>
        </r>
      </text>
    </comment>
    <comment ref="I17191" authorId="0" shapeId="0">
      <text>
        <r>
          <rPr>
            <b/>
            <sz val="9"/>
            <color indexed="81"/>
            <rFont val="Tahoma"/>
            <family val="2"/>
          </rPr>
          <t>LPA:</t>
        </r>
        <r>
          <rPr>
            <sz val="9"/>
            <color indexed="81"/>
            <rFont val="Tahoma"/>
            <family val="2"/>
          </rPr>
          <t xml:space="preserve">
проверити збир!
</t>
        </r>
      </text>
    </comment>
    <comment ref="I17192" authorId="0" shapeId="0">
      <text>
        <r>
          <rPr>
            <b/>
            <sz val="9"/>
            <color indexed="81"/>
            <rFont val="Tahoma"/>
            <family val="2"/>
          </rPr>
          <t>LPA:</t>
        </r>
        <r>
          <rPr>
            <sz val="9"/>
            <color indexed="81"/>
            <rFont val="Tahoma"/>
            <family val="2"/>
          </rPr>
          <t xml:space="preserve">
проверити збир!
</t>
        </r>
      </text>
    </comment>
    <comment ref="I17193" authorId="0" shapeId="0">
      <text>
        <r>
          <rPr>
            <b/>
            <sz val="9"/>
            <color indexed="81"/>
            <rFont val="Tahoma"/>
            <family val="2"/>
          </rPr>
          <t>LPA:</t>
        </r>
        <r>
          <rPr>
            <sz val="9"/>
            <color indexed="81"/>
            <rFont val="Tahoma"/>
            <family val="2"/>
          </rPr>
          <t xml:space="preserve">
проверити збир!
</t>
        </r>
      </text>
    </comment>
    <comment ref="I17194" authorId="0" shapeId="0">
      <text>
        <r>
          <rPr>
            <b/>
            <sz val="9"/>
            <color indexed="81"/>
            <rFont val="Tahoma"/>
            <family val="2"/>
          </rPr>
          <t>LPA:</t>
        </r>
        <r>
          <rPr>
            <sz val="9"/>
            <color indexed="81"/>
            <rFont val="Tahoma"/>
            <family val="2"/>
          </rPr>
          <t xml:space="preserve">
проверити збир!
</t>
        </r>
      </text>
    </comment>
    <comment ref="I17195" authorId="0" shapeId="0">
      <text>
        <r>
          <rPr>
            <b/>
            <sz val="9"/>
            <color indexed="81"/>
            <rFont val="Tahoma"/>
            <family val="2"/>
          </rPr>
          <t>LPA:</t>
        </r>
        <r>
          <rPr>
            <sz val="9"/>
            <color indexed="81"/>
            <rFont val="Tahoma"/>
            <family val="2"/>
          </rPr>
          <t xml:space="preserve">
проверити збир!
</t>
        </r>
      </text>
    </comment>
    <comment ref="I17196" authorId="0" shapeId="0">
      <text>
        <r>
          <rPr>
            <b/>
            <sz val="9"/>
            <color indexed="81"/>
            <rFont val="Tahoma"/>
            <family val="2"/>
          </rPr>
          <t>LPA:</t>
        </r>
        <r>
          <rPr>
            <sz val="9"/>
            <color indexed="81"/>
            <rFont val="Tahoma"/>
            <family val="2"/>
          </rPr>
          <t xml:space="preserve">
проверити збир!
</t>
        </r>
      </text>
    </comment>
    <comment ref="I17197" authorId="0" shapeId="0">
      <text>
        <r>
          <rPr>
            <b/>
            <sz val="9"/>
            <color indexed="81"/>
            <rFont val="Tahoma"/>
            <family val="2"/>
          </rPr>
          <t>LPA:</t>
        </r>
        <r>
          <rPr>
            <sz val="9"/>
            <color indexed="81"/>
            <rFont val="Tahoma"/>
            <family val="2"/>
          </rPr>
          <t xml:space="preserve">
проверити збир!
</t>
        </r>
      </text>
    </comment>
    <comment ref="I17198" authorId="0" shapeId="0">
      <text>
        <r>
          <rPr>
            <b/>
            <sz val="9"/>
            <color indexed="81"/>
            <rFont val="Tahoma"/>
            <family val="2"/>
          </rPr>
          <t>LPA:</t>
        </r>
        <r>
          <rPr>
            <sz val="9"/>
            <color indexed="81"/>
            <rFont val="Tahoma"/>
            <family val="2"/>
          </rPr>
          <t xml:space="preserve">
проверити збир!
</t>
        </r>
      </text>
    </comment>
    <comment ref="I17199" authorId="0" shapeId="0">
      <text>
        <r>
          <rPr>
            <b/>
            <sz val="9"/>
            <color indexed="81"/>
            <rFont val="Tahoma"/>
            <family val="2"/>
          </rPr>
          <t>LPA:</t>
        </r>
        <r>
          <rPr>
            <sz val="9"/>
            <color indexed="81"/>
            <rFont val="Tahoma"/>
            <family val="2"/>
          </rPr>
          <t xml:space="preserve">
проверити збир!
</t>
        </r>
      </text>
    </comment>
    <comment ref="I17200" authorId="0" shapeId="0">
      <text>
        <r>
          <rPr>
            <b/>
            <sz val="9"/>
            <color indexed="81"/>
            <rFont val="Tahoma"/>
            <family val="2"/>
          </rPr>
          <t>LPA:</t>
        </r>
        <r>
          <rPr>
            <sz val="9"/>
            <color indexed="81"/>
            <rFont val="Tahoma"/>
            <family val="2"/>
          </rPr>
          <t xml:space="preserve">
проверити збир!
</t>
        </r>
      </text>
    </comment>
    <comment ref="I17201" authorId="0" shapeId="0">
      <text>
        <r>
          <rPr>
            <b/>
            <sz val="9"/>
            <color indexed="81"/>
            <rFont val="Tahoma"/>
            <family val="2"/>
          </rPr>
          <t>LPA:</t>
        </r>
        <r>
          <rPr>
            <sz val="9"/>
            <color indexed="81"/>
            <rFont val="Tahoma"/>
            <family val="2"/>
          </rPr>
          <t xml:space="preserve">
проверити збир!
</t>
        </r>
      </text>
    </comment>
    <comment ref="I17202" authorId="0" shapeId="0">
      <text>
        <r>
          <rPr>
            <b/>
            <sz val="9"/>
            <color indexed="81"/>
            <rFont val="Tahoma"/>
            <family val="2"/>
          </rPr>
          <t>LPA:</t>
        </r>
        <r>
          <rPr>
            <sz val="9"/>
            <color indexed="81"/>
            <rFont val="Tahoma"/>
            <family val="2"/>
          </rPr>
          <t xml:space="preserve">
проверити збир!
</t>
        </r>
      </text>
    </comment>
    <comment ref="I17203" authorId="0" shapeId="0">
      <text>
        <r>
          <rPr>
            <b/>
            <sz val="9"/>
            <color indexed="81"/>
            <rFont val="Tahoma"/>
            <family val="2"/>
          </rPr>
          <t>LPA:</t>
        </r>
        <r>
          <rPr>
            <sz val="9"/>
            <color indexed="81"/>
            <rFont val="Tahoma"/>
            <family val="2"/>
          </rPr>
          <t xml:space="preserve">
проверити збир!
</t>
        </r>
      </text>
    </comment>
    <comment ref="H17207" authorId="0" shapeId="0">
      <text>
        <r>
          <rPr>
            <b/>
            <sz val="9"/>
            <color indexed="81"/>
            <rFont val="Tahoma"/>
            <family val="2"/>
          </rPr>
          <t>LPA:</t>
        </r>
        <r>
          <rPr>
            <sz val="9"/>
            <color indexed="81"/>
            <rFont val="Tahoma"/>
            <family val="2"/>
          </rPr>
          <t xml:space="preserve">
проверити збир!</t>
        </r>
      </text>
    </comment>
    <comment ref="I17207" authorId="0" shapeId="0">
      <text>
        <r>
          <rPr>
            <b/>
            <sz val="9"/>
            <color indexed="81"/>
            <rFont val="Tahoma"/>
            <family val="2"/>
          </rPr>
          <t>LPA:</t>
        </r>
        <r>
          <rPr>
            <sz val="9"/>
            <color indexed="81"/>
            <rFont val="Tahoma"/>
            <family val="2"/>
          </rPr>
          <t xml:space="preserve">
проверити збир!
</t>
        </r>
      </text>
    </comment>
    <comment ref="I17208" authorId="0" shapeId="0">
      <text>
        <r>
          <rPr>
            <b/>
            <sz val="9"/>
            <color indexed="81"/>
            <rFont val="Tahoma"/>
            <family val="2"/>
          </rPr>
          <t>LPA:</t>
        </r>
        <r>
          <rPr>
            <sz val="9"/>
            <color indexed="81"/>
            <rFont val="Tahoma"/>
            <family val="2"/>
          </rPr>
          <t xml:space="preserve">
проверити збир!
</t>
        </r>
      </text>
    </comment>
    <comment ref="I17209" authorId="0" shapeId="0">
      <text>
        <r>
          <rPr>
            <b/>
            <sz val="9"/>
            <color indexed="81"/>
            <rFont val="Tahoma"/>
            <family val="2"/>
          </rPr>
          <t>LPA:</t>
        </r>
        <r>
          <rPr>
            <sz val="9"/>
            <color indexed="81"/>
            <rFont val="Tahoma"/>
            <family val="2"/>
          </rPr>
          <t xml:space="preserve">
проверити збир!
</t>
        </r>
      </text>
    </comment>
    <comment ref="I17210" authorId="0" shapeId="0">
      <text>
        <r>
          <rPr>
            <b/>
            <sz val="9"/>
            <color indexed="81"/>
            <rFont val="Tahoma"/>
            <family val="2"/>
          </rPr>
          <t>LPA:</t>
        </r>
        <r>
          <rPr>
            <sz val="9"/>
            <color indexed="81"/>
            <rFont val="Tahoma"/>
            <family val="2"/>
          </rPr>
          <t xml:space="preserve">
проверити збир!
</t>
        </r>
      </text>
    </comment>
    <comment ref="I17211" authorId="0" shapeId="0">
      <text>
        <r>
          <rPr>
            <b/>
            <sz val="9"/>
            <color indexed="81"/>
            <rFont val="Tahoma"/>
            <family val="2"/>
          </rPr>
          <t>LPA:</t>
        </r>
        <r>
          <rPr>
            <sz val="9"/>
            <color indexed="81"/>
            <rFont val="Tahoma"/>
            <family val="2"/>
          </rPr>
          <t xml:space="preserve">
проверити збир!
</t>
        </r>
      </text>
    </comment>
    <comment ref="I17212" authorId="0" shapeId="0">
      <text>
        <r>
          <rPr>
            <b/>
            <sz val="9"/>
            <color indexed="81"/>
            <rFont val="Tahoma"/>
            <family val="2"/>
          </rPr>
          <t>LPA:</t>
        </r>
        <r>
          <rPr>
            <sz val="9"/>
            <color indexed="81"/>
            <rFont val="Tahoma"/>
            <family val="2"/>
          </rPr>
          <t xml:space="preserve">
проверити збир!
</t>
        </r>
      </text>
    </comment>
    <comment ref="I17213" authorId="0" shapeId="0">
      <text>
        <r>
          <rPr>
            <b/>
            <sz val="9"/>
            <color indexed="81"/>
            <rFont val="Tahoma"/>
            <family val="2"/>
          </rPr>
          <t>LPA:</t>
        </r>
        <r>
          <rPr>
            <sz val="9"/>
            <color indexed="81"/>
            <rFont val="Tahoma"/>
            <family val="2"/>
          </rPr>
          <t xml:space="preserve">
проверити збир!
</t>
        </r>
      </text>
    </comment>
    <comment ref="I17214" authorId="0" shapeId="0">
      <text>
        <r>
          <rPr>
            <b/>
            <sz val="9"/>
            <color indexed="81"/>
            <rFont val="Tahoma"/>
            <family val="2"/>
          </rPr>
          <t>LPA:</t>
        </r>
        <r>
          <rPr>
            <sz val="9"/>
            <color indexed="81"/>
            <rFont val="Tahoma"/>
            <family val="2"/>
          </rPr>
          <t xml:space="preserve">
проверити збир!
</t>
        </r>
      </text>
    </comment>
    <comment ref="I17215" authorId="0" shapeId="0">
      <text>
        <r>
          <rPr>
            <b/>
            <sz val="9"/>
            <color indexed="81"/>
            <rFont val="Tahoma"/>
            <family val="2"/>
          </rPr>
          <t>LPA:</t>
        </r>
        <r>
          <rPr>
            <sz val="9"/>
            <color indexed="81"/>
            <rFont val="Tahoma"/>
            <family val="2"/>
          </rPr>
          <t xml:space="preserve">
проверити збир!
</t>
        </r>
      </text>
    </comment>
    <comment ref="I17216" authorId="0" shapeId="0">
      <text>
        <r>
          <rPr>
            <b/>
            <sz val="9"/>
            <color indexed="81"/>
            <rFont val="Tahoma"/>
            <family val="2"/>
          </rPr>
          <t>LPA:</t>
        </r>
        <r>
          <rPr>
            <sz val="9"/>
            <color indexed="81"/>
            <rFont val="Tahoma"/>
            <family val="2"/>
          </rPr>
          <t xml:space="preserve">
проверити збир!
</t>
        </r>
      </text>
    </comment>
    <comment ref="I17217" authorId="0" shapeId="0">
      <text>
        <r>
          <rPr>
            <b/>
            <sz val="9"/>
            <color indexed="81"/>
            <rFont val="Tahoma"/>
            <family val="2"/>
          </rPr>
          <t>LPA:</t>
        </r>
        <r>
          <rPr>
            <sz val="9"/>
            <color indexed="81"/>
            <rFont val="Tahoma"/>
            <family val="2"/>
          </rPr>
          <t xml:space="preserve">
проверити збир!
</t>
        </r>
      </text>
    </comment>
    <comment ref="I17218" authorId="0" shapeId="0">
      <text>
        <r>
          <rPr>
            <b/>
            <sz val="9"/>
            <color indexed="81"/>
            <rFont val="Tahoma"/>
            <family val="2"/>
          </rPr>
          <t>LPA:</t>
        </r>
        <r>
          <rPr>
            <sz val="9"/>
            <color indexed="81"/>
            <rFont val="Tahoma"/>
            <family val="2"/>
          </rPr>
          <t xml:space="preserve">
проверити збир!
</t>
        </r>
      </text>
    </comment>
    <comment ref="I17219" authorId="0" shapeId="0">
      <text>
        <r>
          <rPr>
            <b/>
            <sz val="9"/>
            <color indexed="81"/>
            <rFont val="Tahoma"/>
            <family val="2"/>
          </rPr>
          <t>LPA:</t>
        </r>
        <r>
          <rPr>
            <sz val="9"/>
            <color indexed="81"/>
            <rFont val="Tahoma"/>
            <family val="2"/>
          </rPr>
          <t xml:space="preserve">
проверити збир!
</t>
        </r>
      </text>
    </comment>
    <comment ref="I17220" authorId="0" shapeId="0">
      <text>
        <r>
          <rPr>
            <b/>
            <sz val="9"/>
            <color indexed="81"/>
            <rFont val="Tahoma"/>
            <family val="2"/>
          </rPr>
          <t>LPA:</t>
        </r>
        <r>
          <rPr>
            <sz val="9"/>
            <color indexed="81"/>
            <rFont val="Tahoma"/>
            <family val="2"/>
          </rPr>
          <t xml:space="preserve">
проверити збир!
</t>
        </r>
      </text>
    </comment>
    <comment ref="I17221" authorId="0" shapeId="0">
      <text>
        <r>
          <rPr>
            <b/>
            <sz val="9"/>
            <color indexed="81"/>
            <rFont val="Tahoma"/>
            <family val="2"/>
          </rPr>
          <t>LPA:</t>
        </r>
        <r>
          <rPr>
            <sz val="9"/>
            <color indexed="81"/>
            <rFont val="Tahoma"/>
            <family val="2"/>
          </rPr>
          <t xml:space="preserve">
проверити збир!
</t>
        </r>
      </text>
    </comment>
    <comment ref="I17222" authorId="0" shapeId="0">
      <text>
        <r>
          <rPr>
            <b/>
            <sz val="9"/>
            <color indexed="81"/>
            <rFont val="Tahoma"/>
            <family val="2"/>
          </rPr>
          <t>LPA:</t>
        </r>
        <r>
          <rPr>
            <sz val="9"/>
            <color indexed="81"/>
            <rFont val="Tahoma"/>
            <family val="2"/>
          </rPr>
          <t xml:space="preserve">
проверити збир!
</t>
        </r>
      </text>
    </comment>
    <comment ref="H17226" authorId="0" shapeId="0">
      <text>
        <r>
          <rPr>
            <b/>
            <sz val="9"/>
            <color indexed="81"/>
            <rFont val="Tahoma"/>
            <family val="2"/>
          </rPr>
          <t>LPA:</t>
        </r>
        <r>
          <rPr>
            <sz val="9"/>
            <color indexed="81"/>
            <rFont val="Tahoma"/>
            <family val="2"/>
          </rPr>
          <t xml:space="preserve">
провери збир!</t>
        </r>
      </text>
    </comment>
    <comment ref="I17226" authorId="0" shapeId="0">
      <text>
        <r>
          <rPr>
            <b/>
            <sz val="9"/>
            <color indexed="81"/>
            <rFont val="Tahoma"/>
            <family val="2"/>
          </rPr>
          <t>LPA:</t>
        </r>
        <r>
          <rPr>
            <sz val="9"/>
            <color indexed="81"/>
            <rFont val="Tahoma"/>
            <family val="2"/>
          </rPr>
          <t xml:space="preserve">
проверити збир!
</t>
        </r>
      </text>
    </comment>
    <comment ref="I17227" authorId="0" shapeId="0">
      <text>
        <r>
          <rPr>
            <b/>
            <sz val="9"/>
            <color indexed="81"/>
            <rFont val="Tahoma"/>
            <family val="2"/>
          </rPr>
          <t>LPA:</t>
        </r>
        <r>
          <rPr>
            <sz val="9"/>
            <color indexed="81"/>
            <rFont val="Tahoma"/>
            <family val="2"/>
          </rPr>
          <t xml:space="preserve">
проверити збир!
</t>
        </r>
      </text>
    </comment>
    <comment ref="I17228" authorId="0" shapeId="0">
      <text>
        <r>
          <rPr>
            <b/>
            <sz val="9"/>
            <color indexed="81"/>
            <rFont val="Tahoma"/>
            <family val="2"/>
          </rPr>
          <t>LPA:</t>
        </r>
        <r>
          <rPr>
            <sz val="9"/>
            <color indexed="81"/>
            <rFont val="Tahoma"/>
            <family val="2"/>
          </rPr>
          <t xml:space="preserve">
проверити збир!
</t>
        </r>
      </text>
    </comment>
    <comment ref="I17229" authorId="0" shapeId="0">
      <text>
        <r>
          <rPr>
            <b/>
            <sz val="9"/>
            <color indexed="81"/>
            <rFont val="Tahoma"/>
            <family val="2"/>
          </rPr>
          <t>LPA:</t>
        </r>
        <r>
          <rPr>
            <sz val="9"/>
            <color indexed="81"/>
            <rFont val="Tahoma"/>
            <family val="2"/>
          </rPr>
          <t xml:space="preserve">
проверити збир!
</t>
        </r>
      </text>
    </comment>
    <comment ref="I17230" authorId="0" shapeId="0">
      <text>
        <r>
          <rPr>
            <b/>
            <sz val="9"/>
            <color indexed="81"/>
            <rFont val="Tahoma"/>
            <family val="2"/>
          </rPr>
          <t>LPA:</t>
        </r>
        <r>
          <rPr>
            <sz val="9"/>
            <color indexed="81"/>
            <rFont val="Tahoma"/>
            <family val="2"/>
          </rPr>
          <t xml:space="preserve">
проверити збир!
</t>
        </r>
      </text>
    </comment>
    <comment ref="I17231" authorId="0" shapeId="0">
      <text>
        <r>
          <rPr>
            <b/>
            <sz val="9"/>
            <color indexed="81"/>
            <rFont val="Tahoma"/>
            <family val="2"/>
          </rPr>
          <t>LPA:</t>
        </r>
        <r>
          <rPr>
            <sz val="9"/>
            <color indexed="81"/>
            <rFont val="Tahoma"/>
            <family val="2"/>
          </rPr>
          <t xml:space="preserve">
проверити збир!
</t>
        </r>
      </text>
    </comment>
    <comment ref="I17232" authorId="0" shapeId="0">
      <text>
        <r>
          <rPr>
            <b/>
            <sz val="9"/>
            <color indexed="81"/>
            <rFont val="Tahoma"/>
            <family val="2"/>
          </rPr>
          <t>LPA:</t>
        </r>
        <r>
          <rPr>
            <sz val="9"/>
            <color indexed="81"/>
            <rFont val="Tahoma"/>
            <family val="2"/>
          </rPr>
          <t xml:space="preserve">
проверити збир!
</t>
        </r>
      </text>
    </comment>
    <comment ref="I17233" authorId="0" shapeId="0">
      <text>
        <r>
          <rPr>
            <b/>
            <sz val="9"/>
            <color indexed="81"/>
            <rFont val="Tahoma"/>
            <family val="2"/>
          </rPr>
          <t>LPA:</t>
        </r>
        <r>
          <rPr>
            <sz val="9"/>
            <color indexed="81"/>
            <rFont val="Tahoma"/>
            <family val="2"/>
          </rPr>
          <t xml:space="preserve">
проверити збир!
</t>
        </r>
      </text>
    </comment>
    <comment ref="I17234" authorId="0" shapeId="0">
      <text>
        <r>
          <rPr>
            <b/>
            <sz val="9"/>
            <color indexed="81"/>
            <rFont val="Tahoma"/>
            <family val="2"/>
          </rPr>
          <t>LPA:</t>
        </r>
        <r>
          <rPr>
            <sz val="9"/>
            <color indexed="81"/>
            <rFont val="Tahoma"/>
            <family val="2"/>
          </rPr>
          <t xml:space="preserve">
проверити збир!
</t>
        </r>
      </text>
    </comment>
    <comment ref="I17235" authorId="0" shapeId="0">
      <text>
        <r>
          <rPr>
            <b/>
            <sz val="9"/>
            <color indexed="81"/>
            <rFont val="Tahoma"/>
            <family val="2"/>
          </rPr>
          <t>LPA:</t>
        </r>
        <r>
          <rPr>
            <sz val="9"/>
            <color indexed="81"/>
            <rFont val="Tahoma"/>
            <family val="2"/>
          </rPr>
          <t xml:space="preserve">
проверити збир!
</t>
        </r>
      </text>
    </comment>
    <comment ref="I17236" authorId="0" shapeId="0">
      <text>
        <r>
          <rPr>
            <b/>
            <sz val="9"/>
            <color indexed="81"/>
            <rFont val="Tahoma"/>
            <family val="2"/>
          </rPr>
          <t>LPA:</t>
        </r>
        <r>
          <rPr>
            <sz val="9"/>
            <color indexed="81"/>
            <rFont val="Tahoma"/>
            <family val="2"/>
          </rPr>
          <t xml:space="preserve">
проверити збир!
</t>
        </r>
      </text>
    </comment>
    <comment ref="I17237" authorId="0" shapeId="0">
      <text>
        <r>
          <rPr>
            <b/>
            <sz val="9"/>
            <color indexed="81"/>
            <rFont val="Tahoma"/>
            <family val="2"/>
          </rPr>
          <t>LPA:</t>
        </r>
        <r>
          <rPr>
            <sz val="9"/>
            <color indexed="81"/>
            <rFont val="Tahoma"/>
            <family val="2"/>
          </rPr>
          <t xml:space="preserve">
проверити збир!
</t>
        </r>
      </text>
    </comment>
    <comment ref="I17238" authorId="0" shapeId="0">
      <text>
        <r>
          <rPr>
            <b/>
            <sz val="9"/>
            <color indexed="81"/>
            <rFont val="Tahoma"/>
            <family val="2"/>
          </rPr>
          <t>LPA:</t>
        </r>
        <r>
          <rPr>
            <sz val="9"/>
            <color indexed="81"/>
            <rFont val="Tahoma"/>
            <family val="2"/>
          </rPr>
          <t xml:space="preserve">
проверити збир!
</t>
        </r>
      </text>
    </comment>
    <comment ref="I17239" authorId="0" shapeId="0">
      <text>
        <r>
          <rPr>
            <b/>
            <sz val="9"/>
            <color indexed="81"/>
            <rFont val="Tahoma"/>
            <family val="2"/>
          </rPr>
          <t>LPA:</t>
        </r>
        <r>
          <rPr>
            <sz val="9"/>
            <color indexed="81"/>
            <rFont val="Tahoma"/>
            <family val="2"/>
          </rPr>
          <t xml:space="preserve">
проверити збир!
</t>
        </r>
      </text>
    </comment>
    <comment ref="I17240" authorId="0" shapeId="0">
      <text>
        <r>
          <rPr>
            <b/>
            <sz val="9"/>
            <color indexed="81"/>
            <rFont val="Tahoma"/>
            <family val="2"/>
          </rPr>
          <t>LPA:</t>
        </r>
        <r>
          <rPr>
            <sz val="9"/>
            <color indexed="81"/>
            <rFont val="Tahoma"/>
            <family val="2"/>
          </rPr>
          <t xml:space="preserve">
проверити збир!
</t>
        </r>
      </text>
    </comment>
    <comment ref="I17241" authorId="0" shapeId="0">
      <text>
        <r>
          <rPr>
            <b/>
            <sz val="9"/>
            <color indexed="81"/>
            <rFont val="Tahoma"/>
            <family val="2"/>
          </rPr>
          <t>LPA:</t>
        </r>
        <r>
          <rPr>
            <sz val="9"/>
            <color indexed="81"/>
            <rFont val="Tahoma"/>
            <family val="2"/>
          </rPr>
          <t xml:space="preserve">
проверити збир!
</t>
        </r>
      </text>
    </comment>
    <comment ref="H17245" authorId="0" shapeId="0">
      <text>
        <r>
          <rPr>
            <b/>
            <sz val="9"/>
            <color indexed="81"/>
            <rFont val="Tahoma"/>
            <family val="2"/>
          </rPr>
          <t>LPA:</t>
        </r>
        <r>
          <rPr>
            <sz val="9"/>
            <color indexed="81"/>
            <rFont val="Tahoma"/>
            <family val="2"/>
          </rPr>
          <t xml:space="preserve">
провери збир!</t>
        </r>
      </text>
    </comment>
    <comment ref="I17245" authorId="0" shapeId="0">
      <text>
        <r>
          <rPr>
            <b/>
            <sz val="9"/>
            <color indexed="81"/>
            <rFont val="Tahoma"/>
            <family val="2"/>
          </rPr>
          <t>LPA:</t>
        </r>
        <r>
          <rPr>
            <sz val="9"/>
            <color indexed="81"/>
            <rFont val="Tahoma"/>
            <family val="2"/>
          </rPr>
          <t xml:space="preserve">
проверити збир!
</t>
        </r>
      </text>
    </comment>
    <comment ref="I17246" authorId="0" shapeId="0">
      <text>
        <r>
          <rPr>
            <b/>
            <sz val="9"/>
            <color indexed="81"/>
            <rFont val="Tahoma"/>
            <family val="2"/>
          </rPr>
          <t>LPA:</t>
        </r>
        <r>
          <rPr>
            <sz val="9"/>
            <color indexed="81"/>
            <rFont val="Tahoma"/>
            <family val="2"/>
          </rPr>
          <t xml:space="preserve">
проверити збир!
</t>
        </r>
      </text>
    </comment>
    <comment ref="I17247" authorId="0" shapeId="0">
      <text>
        <r>
          <rPr>
            <b/>
            <sz val="9"/>
            <color indexed="81"/>
            <rFont val="Tahoma"/>
            <family val="2"/>
          </rPr>
          <t>LPA:</t>
        </r>
        <r>
          <rPr>
            <sz val="9"/>
            <color indexed="81"/>
            <rFont val="Tahoma"/>
            <family val="2"/>
          </rPr>
          <t xml:space="preserve">
проверити збир!
</t>
        </r>
      </text>
    </comment>
    <comment ref="I17248" authorId="0" shapeId="0">
      <text>
        <r>
          <rPr>
            <b/>
            <sz val="9"/>
            <color indexed="81"/>
            <rFont val="Tahoma"/>
            <family val="2"/>
          </rPr>
          <t>LPA:</t>
        </r>
        <r>
          <rPr>
            <sz val="9"/>
            <color indexed="81"/>
            <rFont val="Tahoma"/>
            <family val="2"/>
          </rPr>
          <t xml:space="preserve">
проверити збир!
</t>
        </r>
      </text>
    </comment>
    <comment ref="I17249" authorId="0" shapeId="0">
      <text>
        <r>
          <rPr>
            <b/>
            <sz val="9"/>
            <color indexed="81"/>
            <rFont val="Tahoma"/>
            <family val="2"/>
          </rPr>
          <t>LPA:</t>
        </r>
        <r>
          <rPr>
            <sz val="9"/>
            <color indexed="81"/>
            <rFont val="Tahoma"/>
            <family val="2"/>
          </rPr>
          <t xml:space="preserve">
проверити збир!
</t>
        </r>
      </text>
    </comment>
    <comment ref="I17250" authorId="0" shapeId="0">
      <text>
        <r>
          <rPr>
            <b/>
            <sz val="9"/>
            <color indexed="81"/>
            <rFont val="Tahoma"/>
            <family val="2"/>
          </rPr>
          <t>LPA:</t>
        </r>
        <r>
          <rPr>
            <sz val="9"/>
            <color indexed="81"/>
            <rFont val="Tahoma"/>
            <family val="2"/>
          </rPr>
          <t xml:space="preserve">
проверити збир!
</t>
        </r>
      </text>
    </comment>
    <comment ref="I17251" authorId="0" shapeId="0">
      <text>
        <r>
          <rPr>
            <b/>
            <sz val="9"/>
            <color indexed="81"/>
            <rFont val="Tahoma"/>
            <family val="2"/>
          </rPr>
          <t>LPA:</t>
        </r>
        <r>
          <rPr>
            <sz val="9"/>
            <color indexed="81"/>
            <rFont val="Tahoma"/>
            <family val="2"/>
          </rPr>
          <t xml:space="preserve">
проверити збир!
</t>
        </r>
      </text>
    </comment>
    <comment ref="I17252" authorId="0" shapeId="0">
      <text>
        <r>
          <rPr>
            <b/>
            <sz val="9"/>
            <color indexed="81"/>
            <rFont val="Tahoma"/>
            <family val="2"/>
          </rPr>
          <t>LPA:</t>
        </r>
        <r>
          <rPr>
            <sz val="9"/>
            <color indexed="81"/>
            <rFont val="Tahoma"/>
            <family val="2"/>
          </rPr>
          <t xml:space="preserve">
проверити збир!
</t>
        </r>
      </text>
    </comment>
    <comment ref="I17253" authorId="0" shapeId="0">
      <text>
        <r>
          <rPr>
            <b/>
            <sz val="9"/>
            <color indexed="81"/>
            <rFont val="Tahoma"/>
            <family val="2"/>
          </rPr>
          <t>LPA:</t>
        </r>
        <r>
          <rPr>
            <sz val="9"/>
            <color indexed="81"/>
            <rFont val="Tahoma"/>
            <family val="2"/>
          </rPr>
          <t xml:space="preserve">
проверити збир!
</t>
        </r>
      </text>
    </comment>
    <comment ref="I17254" authorId="0" shapeId="0">
      <text>
        <r>
          <rPr>
            <b/>
            <sz val="9"/>
            <color indexed="81"/>
            <rFont val="Tahoma"/>
            <family val="2"/>
          </rPr>
          <t>LPA:</t>
        </r>
        <r>
          <rPr>
            <sz val="9"/>
            <color indexed="81"/>
            <rFont val="Tahoma"/>
            <family val="2"/>
          </rPr>
          <t xml:space="preserve">
проверити збир!
</t>
        </r>
      </text>
    </comment>
    <comment ref="I17255" authorId="0" shapeId="0">
      <text>
        <r>
          <rPr>
            <b/>
            <sz val="9"/>
            <color indexed="81"/>
            <rFont val="Tahoma"/>
            <family val="2"/>
          </rPr>
          <t>LPA:</t>
        </r>
        <r>
          <rPr>
            <sz val="9"/>
            <color indexed="81"/>
            <rFont val="Tahoma"/>
            <family val="2"/>
          </rPr>
          <t xml:space="preserve">
проверити збир!
</t>
        </r>
      </text>
    </comment>
    <comment ref="I17256" authorId="0" shapeId="0">
      <text>
        <r>
          <rPr>
            <b/>
            <sz val="9"/>
            <color indexed="81"/>
            <rFont val="Tahoma"/>
            <family val="2"/>
          </rPr>
          <t>LPA:</t>
        </r>
        <r>
          <rPr>
            <sz val="9"/>
            <color indexed="81"/>
            <rFont val="Tahoma"/>
            <family val="2"/>
          </rPr>
          <t xml:space="preserve">
проверити збир!
</t>
        </r>
      </text>
    </comment>
    <comment ref="I17257" authorId="0" shapeId="0">
      <text>
        <r>
          <rPr>
            <b/>
            <sz val="9"/>
            <color indexed="81"/>
            <rFont val="Tahoma"/>
            <family val="2"/>
          </rPr>
          <t>LPA:</t>
        </r>
        <r>
          <rPr>
            <sz val="9"/>
            <color indexed="81"/>
            <rFont val="Tahoma"/>
            <family val="2"/>
          </rPr>
          <t xml:space="preserve">
проверити збир!
</t>
        </r>
      </text>
    </comment>
    <comment ref="I17258" authorId="0" shapeId="0">
      <text>
        <r>
          <rPr>
            <b/>
            <sz val="9"/>
            <color indexed="81"/>
            <rFont val="Tahoma"/>
            <family val="2"/>
          </rPr>
          <t>LPA:</t>
        </r>
        <r>
          <rPr>
            <sz val="9"/>
            <color indexed="81"/>
            <rFont val="Tahoma"/>
            <family val="2"/>
          </rPr>
          <t xml:space="preserve">
проверити збир!
</t>
        </r>
      </text>
    </comment>
    <comment ref="I17259" authorId="0" shapeId="0">
      <text>
        <r>
          <rPr>
            <b/>
            <sz val="9"/>
            <color indexed="81"/>
            <rFont val="Tahoma"/>
            <family val="2"/>
          </rPr>
          <t>LPA:</t>
        </r>
        <r>
          <rPr>
            <sz val="9"/>
            <color indexed="81"/>
            <rFont val="Tahoma"/>
            <family val="2"/>
          </rPr>
          <t xml:space="preserve">
проверити збир!
</t>
        </r>
      </text>
    </comment>
    <comment ref="I17260" authorId="0" shapeId="0">
      <text>
        <r>
          <rPr>
            <b/>
            <sz val="9"/>
            <color indexed="81"/>
            <rFont val="Tahoma"/>
            <family val="2"/>
          </rPr>
          <t>LPA:</t>
        </r>
        <r>
          <rPr>
            <sz val="9"/>
            <color indexed="81"/>
            <rFont val="Tahoma"/>
            <family val="2"/>
          </rPr>
          <t xml:space="preserve">
проверити збир!
</t>
        </r>
      </text>
    </comment>
    <comment ref="H17265" authorId="0" shapeId="0">
      <text>
        <r>
          <rPr>
            <b/>
            <sz val="9"/>
            <color indexed="81"/>
            <rFont val="Tahoma"/>
            <family val="2"/>
          </rPr>
          <t>LPA:</t>
        </r>
        <r>
          <rPr>
            <sz val="9"/>
            <color indexed="81"/>
            <rFont val="Tahoma"/>
            <family val="2"/>
          </rPr>
          <t xml:space="preserve">
провери збир!</t>
        </r>
      </text>
    </comment>
    <comment ref="I17265" authorId="0" shapeId="0">
      <text>
        <r>
          <rPr>
            <b/>
            <sz val="9"/>
            <color indexed="81"/>
            <rFont val="Tahoma"/>
            <family val="2"/>
          </rPr>
          <t>LPA:</t>
        </r>
        <r>
          <rPr>
            <sz val="9"/>
            <color indexed="81"/>
            <rFont val="Tahoma"/>
            <family val="2"/>
          </rPr>
          <t xml:space="preserve">
проверити збир!
</t>
        </r>
      </text>
    </comment>
    <comment ref="I17266" authorId="0" shapeId="0">
      <text>
        <r>
          <rPr>
            <b/>
            <sz val="9"/>
            <color indexed="81"/>
            <rFont val="Tahoma"/>
            <family val="2"/>
          </rPr>
          <t>LPA:</t>
        </r>
        <r>
          <rPr>
            <sz val="9"/>
            <color indexed="81"/>
            <rFont val="Tahoma"/>
            <family val="2"/>
          </rPr>
          <t xml:space="preserve">
проверити збир!
</t>
        </r>
      </text>
    </comment>
    <comment ref="I17267" authorId="0" shapeId="0">
      <text>
        <r>
          <rPr>
            <b/>
            <sz val="9"/>
            <color indexed="81"/>
            <rFont val="Tahoma"/>
            <family val="2"/>
          </rPr>
          <t>LPA:</t>
        </r>
        <r>
          <rPr>
            <sz val="9"/>
            <color indexed="81"/>
            <rFont val="Tahoma"/>
            <family val="2"/>
          </rPr>
          <t xml:space="preserve">
проверити збир!
</t>
        </r>
      </text>
    </comment>
    <comment ref="I17268" authorId="0" shapeId="0">
      <text>
        <r>
          <rPr>
            <b/>
            <sz val="9"/>
            <color indexed="81"/>
            <rFont val="Tahoma"/>
            <family val="2"/>
          </rPr>
          <t>LPA:</t>
        </r>
        <r>
          <rPr>
            <sz val="9"/>
            <color indexed="81"/>
            <rFont val="Tahoma"/>
            <family val="2"/>
          </rPr>
          <t xml:space="preserve">
проверити збир!
</t>
        </r>
      </text>
    </comment>
    <comment ref="I17269" authorId="0" shapeId="0">
      <text>
        <r>
          <rPr>
            <b/>
            <sz val="9"/>
            <color indexed="81"/>
            <rFont val="Tahoma"/>
            <family val="2"/>
          </rPr>
          <t>LPA:</t>
        </r>
        <r>
          <rPr>
            <sz val="9"/>
            <color indexed="81"/>
            <rFont val="Tahoma"/>
            <family val="2"/>
          </rPr>
          <t xml:space="preserve">
проверити збир!
</t>
        </r>
      </text>
    </comment>
    <comment ref="I17270" authorId="0" shapeId="0">
      <text>
        <r>
          <rPr>
            <b/>
            <sz val="9"/>
            <color indexed="81"/>
            <rFont val="Tahoma"/>
            <family val="2"/>
          </rPr>
          <t>LPA:</t>
        </r>
        <r>
          <rPr>
            <sz val="9"/>
            <color indexed="81"/>
            <rFont val="Tahoma"/>
            <family val="2"/>
          </rPr>
          <t xml:space="preserve">
проверити збир!
</t>
        </r>
      </text>
    </comment>
    <comment ref="I17271" authorId="0" shapeId="0">
      <text>
        <r>
          <rPr>
            <b/>
            <sz val="9"/>
            <color indexed="81"/>
            <rFont val="Tahoma"/>
            <family val="2"/>
          </rPr>
          <t>LPA:</t>
        </r>
        <r>
          <rPr>
            <sz val="9"/>
            <color indexed="81"/>
            <rFont val="Tahoma"/>
            <family val="2"/>
          </rPr>
          <t xml:space="preserve">
проверити збир!
</t>
        </r>
      </text>
    </comment>
    <comment ref="I17272" authorId="0" shapeId="0">
      <text>
        <r>
          <rPr>
            <b/>
            <sz val="9"/>
            <color indexed="81"/>
            <rFont val="Tahoma"/>
            <family val="2"/>
          </rPr>
          <t>LPA:</t>
        </r>
        <r>
          <rPr>
            <sz val="9"/>
            <color indexed="81"/>
            <rFont val="Tahoma"/>
            <family val="2"/>
          </rPr>
          <t xml:space="preserve">
проверити збир!
</t>
        </r>
      </text>
    </comment>
    <comment ref="I17273" authorId="0" shapeId="0">
      <text>
        <r>
          <rPr>
            <b/>
            <sz val="9"/>
            <color indexed="81"/>
            <rFont val="Tahoma"/>
            <family val="2"/>
          </rPr>
          <t>LPA:</t>
        </r>
        <r>
          <rPr>
            <sz val="9"/>
            <color indexed="81"/>
            <rFont val="Tahoma"/>
            <family val="2"/>
          </rPr>
          <t xml:space="preserve">
проверити збир!
</t>
        </r>
      </text>
    </comment>
    <comment ref="I17274" authorId="0" shapeId="0">
      <text>
        <r>
          <rPr>
            <b/>
            <sz val="9"/>
            <color indexed="81"/>
            <rFont val="Tahoma"/>
            <family val="2"/>
          </rPr>
          <t>LPA:</t>
        </r>
        <r>
          <rPr>
            <sz val="9"/>
            <color indexed="81"/>
            <rFont val="Tahoma"/>
            <family val="2"/>
          </rPr>
          <t xml:space="preserve">
проверити збир!
</t>
        </r>
      </text>
    </comment>
    <comment ref="I17275" authorId="0" shapeId="0">
      <text>
        <r>
          <rPr>
            <b/>
            <sz val="9"/>
            <color indexed="81"/>
            <rFont val="Tahoma"/>
            <family val="2"/>
          </rPr>
          <t>LPA:</t>
        </r>
        <r>
          <rPr>
            <sz val="9"/>
            <color indexed="81"/>
            <rFont val="Tahoma"/>
            <family val="2"/>
          </rPr>
          <t xml:space="preserve">
проверити збир!
</t>
        </r>
      </text>
    </comment>
    <comment ref="I17276" authorId="0" shapeId="0">
      <text>
        <r>
          <rPr>
            <b/>
            <sz val="9"/>
            <color indexed="81"/>
            <rFont val="Tahoma"/>
            <family val="2"/>
          </rPr>
          <t>LPA:</t>
        </r>
        <r>
          <rPr>
            <sz val="9"/>
            <color indexed="81"/>
            <rFont val="Tahoma"/>
            <family val="2"/>
          </rPr>
          <t xml:space="preserve">
проверити збир!
</t>
        </r>
      </text>
    </comment>
    <comment ref="I17277" authorId="0" shapeId="0">
      <text>
        <r>
          <rPr>
            <b/>
            <sz val="9"/>
            <color indexed="81"/>
            <rFont val="Tahoma"/>
            <family val="2"/>
          </rPr>
          <t>LPA:</t>
        </r>
        <r>
          <rPr>
            <sz val="9"/>
            <color indexed="81"/>
            <rFont val="Tahoma"/>
            <family val="2"/>
          </rPr>
          <t xml:space="preserve">
проверити збир!
</t>
        </r>
      </text>
    </comment>
    <comment ref="I17278" authorId="0" shapeId="0">
      <text>
        <r>
          <rPr>
            <b/>
            <sz val="9"/>
            <color indexed="81"/>
            <rFont val="Tahoma"/>
            <family val="2"/>
          </rPr>
          <t>LPA:</t>
        </r>
        <r>
          <rPr>
            <sz val="9"/>
            <color indexed="81"/>
            <rFont val="Tahoma"/>
            <family val="2"/>
          </rPr>
          <t xml:space="preserve">
проверити збир!
</t>
        </r>
      </text>
    </comment>
    <comment ref="I17279" authorId="0" shapeId="0">
      <text>
        <r>
          <rPr>
            <b/>
            <sz val="9"/>
            <color indexed="81"/>
            <rFont val="Tahoma"/>
            <family val="2"/>
          </rPr>
          <t>LPA:</t>
        </r>
        <r>
          <rPr>
            <sz val="9"/>
            <color indexed="81"/>
            <rFont val="Tahoma"/>
            <family val="2"/>
          </rPr>
          <t xml:space="preserve">
проверити збир!
</t>
        </r>
      </text>
    </comment>
    <comment ref="I17280" authorId="0" shapeId="0">
      <text>
        <r>
          <rPr>
            <b/>
            <sz val="9"/>
            <color indexed="81"/>
            <rFont val="Tahoma"/>
            <family val="2"/>
          </rPr>
          <t>LPA:</t>
        </r>
        <r>
          <rPr>
            <sz val="9"/>
            <color indexed="81"/>
            <rFont val="Tahoma"/>
            <family val="2"/>
          </rPr>
          <t xml:space="preserve">
проверити збир!
</t>
        </r>
      </text>
    </comment>
  </commentList>
</comments>
</file>

<file path=xl/sharedStrings.xml><?xml version="1.0" encoding="utf-8"?>
<sst xmlns="http://schemas.openxmlformats.org/spreadsheetml/2006/main" count="27573" uniqueCount="5486">
  <si>
    <t>А.</t>
  </si>
  <si>
    <t>РАЧУН ПРИХОДА И ПРИМАЊА</t>
  </si>
  <si>
    <t>Економска класификација</t>
  </si>
  <si>
    <t>Укупни приходи и примања остварени по основу продаје нефинансијске имовине</t>
  </si>
  <si>
    <t>7 + 8</t>
  </si>
  <si>
    <t>Укупни расходи и издаци за набавку нефинансијске имовине</t>
  </si>
  <si>
    <t>4 + 5</t>
  </si>
  <si>
    <t>Буџетски суфицит/дефицит</t>
  </si>
  <si>
    <t>(7+8) - (4+5)</t>
  </si>
  <si>
    <t xml:space="preserve">Укупан фискални суфицит/дефицит </t>
  </si>
  <si>
    <t>Б.</t>
  </si>
  <si>
    <t xml:space="preserve"> РАЧУН ФИНАНСИРАЊА</t>
  </si>
  <si>
    <t>Примања од задуживања</t>
  </si>
  <si>
    <t>Издаци за отплату главнице дуга</t>
  </si>
  <si>
    <t>Нето финансирање</t>
  </si>
  <si>
    <t>1.</t>
  </si>
  <si>
    <t>2.</t>
  </si>
  <si>
    <t>3.</t>
  </si>
  <si>
    <t>4.</t>
  </si>
  <si>
    <t>5.</t>
  </si>
  <si>
    <t>6.</t>
  </si>
  <si>
    <t>Р.бр.</t>
  </si>
  <si>
    <t>ОПИС</t>
  </si>
  <si>
    <t>Шифра економске класификације</t>
  </si>
  <si>
    <t>Средства из буџета</t>
  </si>
  <si>
    <t>I</t>
  </si>
  <si>
    <t>УКУПНИ ПРИХОДИ И ПРИМАЊА ОД ПРОДАЈЕ НЕФИНАНСИЈСКЕ ИМОВИНЕ</t>
  </si>
  <si>
    <t>7+8</t>
  </si>
  <si>
    <t>Порески приходи</t>
  </si>
  <si>
    <t>1.1.</t>
  </si>
  <si>
    <t>Порез на доходак, добит и капиталне добитке (осим самодоприноса)</t>
  </si>
  <si>
    <t>1.2.</t>
  </si>
  <si>
    <t>Самодопринос</t>
  </si>
  <si>
    <t>1.3.</t>
  </si>
  <si>
    <t>Порез на имовину</t>
  </si>
  <si>
    <t>1.6.</t>
  </si>
  <si>
    <t>Остали порески приходи</t>
  </si>
  <si>
    <t xml:space="preserve">Непорески приходи </t>
  </si>
  <si>
    <t>2.1</t>
  </si>
  <si>
    <t>Накнада за коришћење природних добара</t>
  </si>
  <si>
    <t>2.2</t>
  </si>
  <si>
    <t>Накнада за коришћење шумског и пољопривредног земљишта</t>
  </si>
  <si>
    <t>Накнада за коришћење грађевинског земљишта</t>
  </si>
  <si>
    <t>Накнада за коришћење природног лековитог фактора</t>
  </si>
  <si>
    <t>2.3</t>
  </si>
  <si>
    <t>Приход од имовине који припада имаоцима полисе осигурања</t>
  </si>
  <si>
    <t>2.4</t>
  </si>
  <si>
    <t>Накнада за обавезни здравствени преглед биља</t>
  </si>
  <si>
    <t>2.5</t>
  </si>
  <si>
    <t>Накнада за уређивање грађевинског земљишта</t>
  </si>
  <si>
    <t>2.6</t>
  </si>
  <si>
    <t>Приходи настали продајом услуга корисника средстава буџета јединице локлане самоуправе чије је пружање уговорено са физичким и правним лицима</t>
  </si>
  <si>
    <t>Остали непорески приходи</t>
  </si>
  <si>
    <t>Донације</t>
  </si>
  <si>
    <t>731+732</t>
  </si>
  <si>
    <t>Трансфери</t>
  </si>
  <si>
    <t>Меморандумске ставке за рефундацију расхода</t>
  </si>
  <si>
    <t>Примања од продаје нефинансијске имовине</t>
  </si>
  <si>
    <t>II</t>
  </si>
  <si>
    <t>УКУПНИ РАСХОДИ И ИЗДАЦИ ЗА НАБАВКУ НЕФИНАНСИЈСКЕ ИМОВИНЕ</t>
  </si>
  <si>
    <t>4+5</t>
  </si>
  <si>
    <t>Текући расходи</t>
  </si>
  <si>
    <t>4 - 463</t>
  </si>
  <si>
    <t>Расходи за запослене</t>
  </si>
  <si>
    <t>Коришћење роба и услуга</t>
  </si>
  <si>
    <t>Употреба основних средстава</t>
  </si>
  <si>
    <t>1.4.</t>
  </si>
  <si>
    <t>Отплата камата</t>
  </si>
  <si>
    <t>1.5.</t>
  </si>
  <si>
    <t>Субвенције</t>
  </si>
  <si>
    <t>Социјална заштита из буџета</t>
  </si>
  <si>
    <t>1.7.</t>
  </si>
  <si>
    <t>Остали расходи</t>
  </si>
  <si>
    <t>48+49</t>
  </si>
  <si>
    <t>Издаци за набавку нефинансијске имовине</t>
  </si>
  <si>
    <t>Издаци за набавку финансијске имовине (осим 6211)</t>
  </si>
  <si>
    <t>III</t>
  </si>
  <si>
    <t>ПРИМАЊА ОД ПРОДАЈЕ ФИНАНСИЈСКЕ ИМОВИНЕ И ЗАДУЖИВАЊА</t>
  </si>
  <si>
    <t>Задуживање</t>
  </si>
  <si>
    <t>Задуживање код домаћих кредитора</t>
  </si>
  <si>
    <t>Задуживање код страних кредитора</t>
  </si>
  <si>
    <t>Примања по основу отплате кредита и продаје финансијске имовине</t>
  </si>
  <si>
    <t>IV</t>
  </si>
  <si>
    <t>ОТПЛАТА ДУГА И НАБАВКА ФИНАНСИЈСКЕ ИМОВИНЕ</t>
  </si>
  <si>
    <t>Отплата дуга</t>
  </si>
  <si>
    <t>Отплата дуга домаћим кредиторима</t>
  </si>
  <si>
    <t>Отплата дуга страним кредиторима</t>
  </si>
  <si>
    <t>Отплата дуга по гаранцијама</t>
  </si>
  <si>
    <t>Набавка финансијске имовине</t>
  </si>
  <si>
    <t>V</t>
  </si>
  <si>
    <t>НЕРАСПОРЕЂЕНИ ВИШАК ПРИХОДА ИЗ РАНИЈИХ ГОДИНА</t>
  </si>
  <si>
    <t>2.7</t>
  </si>
  <si>
    <t>2.8</t>
  </si>
  <si>
    <t>ФУНКЦИОНАЛНА КЛАСИФИКАЦИЈА</t>
  </si>
  <si>
    <t>СОЦИЈАЛНА ЗАШТИТА</t>
  </si>
  <si>
    <t>Болест и инвалидност</t>
  </si>
  <si>
    <t>Старост</t>
  </si>
  <si>
    <t>Корисници породичне пензије</t>
  </si>
  <si>
    <t>Породица и деца</t>
  </si>
  <si>
    <t>Незапосленост</t>
  </si>
  <si>
    <t>Становање</t>
  </si>
  <si>
    <t>Социјална помоћ угроженом становништву, некласификована на другом месту</t>
  </si>
  <si>
    <r>
      <t xml:space="preserve">Социјална заштита - </t>
    </r>
    <r>
      <rPr>
        <sz val="7"/>
        <color rgb="FF000000"/>
        <rFont val="Times New Roman Italic"/>
      </rPr>
      <t xml:space="preserve"> </t>
    </r>
    <r>
      <rPr>
        <sz val="9"/>
        <color rgb="FF000000"/>
        <rFont val="Times New Roman Italic"/>
      </rPr>
      <t>истраживање и развој</t>
    </r>
  </si>
  <si>
    <t>Социјална заштита некласификована на другом месту</t>
  </si>
  <si>
    <t>ОПШТЕ ЈАВНЕ УСЛУГЕ</t>
  </si>
  <si>
    <t>Извршни и законодавни органи, финансијски и фискални послови и спољни послови</t>
  </si>
  <si>
    <t>Извршни и законодавни органи</t>
  </si>
  <si>
    <t>Финансијски и фискални послови</t>
  </si>
  <si>
    <t>Спољни послови</t>
  </si>
  <si>
    <t>Економска помоћ иностранству</t>
  </si>
  <si>
    <t>Економска помоћ земљама у развоју и земљама у транзицији</t>
  </si>
  <si>
    <t>Економска помоћ преко међународних организација</t>
  </si>
  <si>
    <t>Опште услуге</t>
  </si>
  <si>
    <t>Опште кадровске услуге</t>
  </si>
  <si>
    <t>Опште услуге планирања и статистике</t>
  </si>
  <si>
    <t>Остале опште услуге</t>
  </si>
  <si>
    <t>Основно истраживање</t>
  </si>
  <si>
    <r>
      <t xml:space="preserve">Опште јавне услуге - </t>
    </r>
    <r>
      <rPr>
        <sz val="7"/>
        <color rgb="FF000000"/>
        <rFont val="Times New Roman Italic"/>
      </rPr>
      <t xml:space="preserve"> </t>
    </r>
    <r>
      <rPr>
        <sz val="9"/>
        <color rgb="FF000000"/>
        <rFont val="Times New Roman Italic"/>
      </rPr>
      <t>истраживање и развој</t>
    </r>
  </si>
  <si>
    <t>Опште јавне услуге некласификоване на другом месту</t>
  </si>
  <si>
    <t>Трансакције јавног  дуга</t>
  </si>
  <si>
    <t>Трансфери општег карактера између различитих нивоа власти</t>
  </si>
  <si>
    <t>ОДБРАНА</t>
  </si>
  <si>
    <t>Војна одбрана</t>
  </si>
  <si>
    <t>Цивилна одбрана</t>
  </si>
  <si>
    <t>Војна помоћ иностранству</t>
  </si>
  <si>
    <r>
      <t>Одбрана</t>
    </r>
    <r>
      <rPr>
        <sz val="7"/>
        <color rgb="FF000000"/>
        <rFont val="Times New Roman Italic"/>
      </rPr>
      <t xml:space="preserve"> </t>
    </r>
    <r>
      <rPr>
        <sz val="9"/>
        <color rgb="FF000000"/>
        <rFont val="Times New Roman Italic"/>
      </rPr>
      <t>-</t>
    </r>
    <r>
      <rPr>
        <sz val="7"/>
        <color rgb="FF000000"/>
        <rFont val="Times New Roman Italic"/>
      </rPr>
      <t xml:space="preserve"> </t>
    </r>
    <r>
      <rPr>
        <sz val="9"/>
        <color rgb="FF000000"/>
        <rFont val="Times New Roman Italic"/>
      </rPr>
      <t>истраживање и развој</t>
    </r>
  </si>
  <si>
    <t>Одбрана некласификована на другом месту</t>
  </si>
  <si>
    <t>ЈАВНИ РЕД И БЕЗБЕДНОСТ</t>
  </si>
  <si>
    <t>Услуге полиције</t>
  </si>
  <si>
    <t>Услуге противпожарне заштите</t>
  </si>
  <si>
    <t>Судови</t>
  </si>
  <si>
    <t>Јавни ред и безбедност - истраживање и развој</t>
  </si>
  <si>
    <t>Јавни ред и безбедност  некласификован на другом месту</t>
  </si>
  <si>
    <t>ЕКОНОМСКИ ПОСЛОВИ</t>
  </si>
  <si>
    <t>Општи економски и комерцијални послови и послови по питању рада</t>
  </si>
  <si>
    <t>Општи економски и комерцијални послови</t>
  </si>
  <si>
    <t>Општи послови по питању рада</t>
  </si>
  <si>
    <t>Пољопривреда, шумарство, лов и риболов</t>
  </si>
  <si>
    <t>Пољопривреда</t>
  </si>
  <si>
    <t>Шумарство</t>
  </si>
  <si>
    <t>Лов и риболов</t>
  </si>
  <si>
    <t>Гориво и енергија</t>
  </si>
  <si>
    <t>Угаљ и остала чврста минерална горива</t>
  </si>
  <si>
    <t>Нафта и природни гас</t>
  </si>
  <si>
    <t>Нуклеарно гориво</t>
  </si>
  <si>
    <t>Остала горива</t>
  </si>
  <si>
    <t>Електрична енергија</t>
  </si>
  <si>
    <t>Остала енергија</t>
  </si>
  <si>
    <t>Рударство, производња и изградња</t>
  </si>
  <si>
    <t>Ископавање минералних ресурса, изузев минералних горива</t>
  </si>
  <si>
    <t>Производња</t>
  </si>
  <si>
    <t>Изградња</t>
  </si>
  <si>
    <t>Саобраћај</t>
  </si>
  <si>
    <t>Друмски саобраћај</t>
  </si>
  <si>
    <t>Водени саобраћај</t>
  </si>
  <si>
    <t>Железнички саобраћај</t>
  </si>
  <si>
    <t>Ваздушни саобраћај</t>
  </si>
  <si>
    <t>Цевоводи и други облици саобраћаја</t>
  </si>
  <si>
    <t>Комуникације</t>
  </si>
  <si>
    <t>Остале делатности</t>
  </si>
  <si>
    <t>Трговина, смештај и складиштење</t>
  </si>
  <si>
    <t>Хотели и ресторани</t>
  </si>
  <si>
    <t>Туризам</t>
  </si>
  <si>
    <t>Вишенаменски развојни пројекти</t>
  </si>
  <si>
    <r>
      <t xml:space="preserve">Економски послови - </t>
    </r>
    <r>
      <rPr>
        <sz val="7"/>
        <color rgb="FF000000"/>
        <rFont val="Times New Roman Italic"/>
      </rPr>
      <t xml:space="preserve"> </t>
    </r>
    <r>
      <rPr>
        <sz val="9"/>
        <color rgb="FF000000"/>
        <rFont val="Times New Roman Italic"/>
      </rPr>
      <t>истраживање и развој</t>
    </r>
  </si>
  <si>
    <t>Истраживање и развој - Општи економски и комерцијални послови и послови по питању рада</t>
  </si>
  <si>
    <t>Истраживање и развој - Пољопривреда, шумарство, лов и риболов</t>
  </si>
  <si>
    <t>Истраживање и развој - Гориво и енергија</t>
  </si>
  <si>
    <t>Истраживање и развој - Рударство, производња и изградња</t>
  </si>
  <si>
    <t>Истраживање и развој - Саобраћај</t>
  </si>
  <si>
    <t>Истраживање и развој - Комуникације</t>
  </si>
  <si>
    <t>Истраживање и развој - Остале делатности</t>
  </si>
  <si>
    <t>Економски послови некласификовани на другом месту</t>
  </si>
  <si>
    <t>ЗАШТИТА ЖИВОТНЕ СРЕДИНЕ</t>
  </si>
  <si>
    <t>Управљање отпадом</t>
  </si>
  <si>
    <t>Управљање отпадним водама</t>
  </si>
  <si>
    <t>Смањење загађености</t>
  </si>
  <si>
    <t>Заштита биљног и животињског света  и крајолика</t>
  </si>
  <si>
    <r>
      <t xml:space="preserve">Заштита животне средине - </t>
    </r>
    <r>
      <rPr>
        <sz val="7"/>
        <color rgb="FF000000"/>
        <rFont val="Times New Roman Italic"/>
      </rPr>
      <t xml:space="preserve"> </t>
    </r>
    <r>
      <rPr>
        <sz val="9"/>
        <color rgb="FF000000"/>
        <rFont val="Times New Roman Italic"/>
      </rPr>
      <t>истраживање и развој</t>
    </r>
  </si>
  <si>
    <t>Заштита животне средине некласификована на другом месту</t>
  </si>
  <si>
    <t>ПОСЛОВИ СТАНОВАЊА И  ЗАЈЕДНИЦЕ</t>
  </si>
  <si>
    <t>Стамбени развој</t>
  </si>
  <si>
    <t>Развој заједнице</t>
  </si>
  <si>
    <t>Водоснабдевање</t>
  </si>
  <si>
    <t>Улична расвета</t>
  </si>
  <si>
    <t>Послови становања и заједнице - истраживање и развој</t>
  </si>
  <si>
    <t>Послови становања и заједнице некласификовани на другом месту</t>
  </si>
  <si>
    <t>ЗДРАВСТВО</t>
  </si>
  <si>
    <t>Медицински производи, помагала и опрема</t>
  </si>
  <si>
    <t>Фармацеутски производи</t>
  </si>
  <si>
    <t>Остали медицински производи</t>
  </si>
  <si>
    <t>Терапеутска помагала и опрема</t>
  </si>
  <si>
    <t>Ванболничке услуге</t>
  </si>
  <si>
    <t>Опште медицинске услуге</t>
  </si>
  <si>
    <t>Специјализоване медицинске услуге</t>
  </si>
  <si>
    <t>Стоматолошке услуге</t>
  </si>
  <si>
    <t>Парамедицинске услуге</t>
  </si>
  <si>
    <t>Болничке услуге</t>
  </si>
  <si>
    <t>Опште болничке услуге</t>
  </si>
  <si>
    <t>Специјализоване болничке услуге</t>
  </si>
  <si>
    <t>Услуге медицинских центара и породилишта</t>
  </si>
  <si>
    <t>Услуге домова  за негу и опоравак</t>
  </si>
  <si>
    <t>Услуге јавног здравства</t>
  </si>
  <si>
    <r>
      <t xml:space="preserve">Здравство </t>
    </r>
    <r>
      <rPr>
        <sz val="7"/>
        <color rgb="FF000000"/>
        <rFont val="Times New Roman Italic"/>
      </rPr>
      <t xml:space="preserve"> </t>
    </r>
    <r>
      <rPr>
        <sz val="9"/>
        <color rgb="FF000000"/>
        <rFont val="Times New Roman Italic"/>
      </rPr>
      <t>истраживање и развој</t>
    </r>
  </si>
  <si>
    <t>Здравство некласификовано на другом месту</t>
  </si>
  <si>
    <t>РЕКРЕАЦИЈА, СПОРТ, КУЛТУРА И ВЕРЕ</t>
  </si>
  <si>
    <t>Услуге рекреације и спорта</t>
  </si>
  <si>
    <t>Услуге културе</t>
  </si>
  <si>
    <t>Услуге емитовања и штампања</t>
  </si>
  <si>
    <t>Верске  и остале услуге заједнице</t>
  </si>
  <si>
    <r>
      <t>Рекреација, спорт, култура и вере</t>
    </r>
    <r>
      <rPr>
        <sz val="7"/>
        <color rgb="FF000000"/>
        <rFont val="Times New Roman Italic"/>
      </rPr>
      <t xml:space="preserve">  </t>
    </r>
    <r>
      <rPr>
        <sz val="9"/>
        <color rgb="FF000000"/>
        <rFont val="Times New Roman Italic"/>
      </rPr>
      <t>-</t>
    </r>
    <r>
      <rPr>
        <sz val="7"/>
        <color rgb="FF000000"/>
        <rFont val="Times New Roman Italic"/>
      </rPr>
      <t xml:space="preserve"> </t>
    </r>
    <r>
      <rPr>
        <sz val="9"/>
        <color rgb="FF000000"/>
        <rFont val="Times New Roman Italic"/>
      </rPr>
      <t>истраживање и развој</t>
    </r>
  </si>
  <si>
    <t>Рекреација, спорт, култура и вере, некласификовано на другом месту</t>
  </si>
  <si>
    <t>ОБРАЗОВАЊЕ</t>
  </si>
  <si>
    <t>Предшколско и основно образовање</t>
  </si>
  <si>
    <t>Предшколско образовање</t>
  </si>
  <si>
    <t>Основно образовање</t>
  </si>
  <si>
    <t>Основно образовање са домом ученика</t>
  </si>
  <si>
    <t>Основно образовање са средњом школом</t>
  </si>
  <si>
    <t>Специјално основно образовање</t>
  </si>
  <si>
    <t>Основно образовање са средњом школом и домом ученика</t>
  </si>
  <si>
    <t>Средње образовање</t>
  </si>
  <si>
    <t>Ниже средње образовање</t>
  </si>
  <si>
    <t>Више средње образовање</t>
  </si>
  <si>
    <t>Средње образовање са домом ученика</t>
  </si>
  <si>
    <t>Више образовање</t>
  </si>
  <si>
    <t>Више образовање са студентским домом</t>
  </si>
  <si>
    <t>Високо образовање</t>
  </si>
  <si>
    <t>Високо образовање - први степен</t>
  </si>
  <si>
    <t>Високо образовање -  други степен</t>
  </si>
  <si>
    <t>Образовање које није дефинисано нивоом</t>
  </si>
  <si>
    <t>Помоћне услуге образовању</t>
  </si>
  <si>
    <r>
      <t xml:space="preserve">Образовање - </t>
    </r>
    <r>
      <rPr>
        <sz val="7"/>
        <color rgb="FF000000"/>
        <rFont val="Times New Roman Italic"/>
      </rPr>
      <t xml:space="preserve"> </t>
    </r>
    <r>
      <rPr>
        <sz val="9"/>
        <color rgb="FF000000"/>
        <rFont val="Times New Roman Italic"/>
      </rPr>
      <t>истраживање и развој</t>
    </r>
  </si>
  <si>
    <t>Образовање некласификовано на другом месту</t>
  </si>
  <si>
    <t>КЛАСИФИКАЦИЈА ПО ИЗВОРИМА ФИНАНСИРАЊА</t>
  </si>
  <si>
    <t>01</t>
  </si>
  <si>
    <t>Приходи из буџета</t>
  </si>
  <si>
    <t>02</t>
  </si>
  <si>
    <t>Трансфери између корисника на истом нивоу</t>
  </si>
  <si>
    <t>03</t>
  </si>
  <si>
    <t>Социјални доприноси</t>
  </si>
  <si>
    <t>04</t>
  </si>
  <si>
    <t>Сопствени приходи буџетских корисника</t>
  </si>
  <si>
    <t>05</t>
  </si>
  <si>
    <t>Донације од иностраних земаља</t>
  </si>
  <si>
    <t>06</t>
  </si>
  <si>
    <t>Донације од међународних организација</t>
  </si>
  <si>
    <t>07</t>
  </si>
  <si>
    <t>Донације од осталих нивоа власти</t>
  </si>
  <si>
    <t>08</t>
  </si>
  <si>
    <t>Донације од невладиних организација и појединаца</t>
  </si>
  <si>
    <t>09</t>
  </si>
  <si>
    <t>10</t>
  </si>
  <si>
    <t>Примања од домаћих задуживања</t>
  </si>
  <si>
    <t>11</t>
  </si>
  <si>
    <t>Примања од иностраних задуживања</t>
  </si>
  <si>
    <t>12</t>
  </si>
  <si>
    <t>Примања од отплате датих кредита и продаје финансијске имовине</t>
  </si>
  <si>
    <t>13</t>
  </si>
  <si>
    <t>Нераспоређени вишак прихода из ранијих година</t>
  </si>
  <si>
    <t>14</t>
  </si>
  <si>
    <t>Неутрошена средства од приватизације из претходних година</t>
  </si>
  <si>
    <t>15</t>
  </si>
  <si>
    <t>Неутрошена средства донација из претходних година</t>
  </si>
  <si>
    <t>16</t>
  </si>
  <si>
    <t>Родитељски динар за ваннаставне активности</t>
  </si>
  <si>
    <t>Опис</t>
  </si>
  <si>
    <t>ЕКОНОМСКА КЛАСИФИКАЦИЈА</t>
  </si>
  <si>
    <t xml:space="preserve">Нефинансијска имовина                                                                     </t>
  </si>
  <si>
    <t xml:space="preserve">Нефинансијска имовина у сталним средствима                                                                  </t>
  </si>
  <si>
    <t xml:space="preserve">Некретнине и опрема                                                                    </t>
  </si>
  <si>
    <t xml:space="preserve">Зграде и грађевински објекти                                                                   </t>
  </si>
  <si>
    <t xml:space="preserve">Стамбене зграде и станови                                                                   </t>
  </si>
  <si>
    <t xml:space="preserve">Стамбене зграде за јавне службенике                                                                  </t>
  </si>
  <si>
    <t xml:space="preserve">Стамбени простор за социјалне групе                                                                  </t>
  </si>
  <si>
    <t xml:space="preserve">Стамбени простор за избеглице                                                                   </t>
  </si>
  <si>
    <t xml:space="preserve">Остале стамбене зграде                                                                    </t>
  </si>
  <si>
    <t xml:space="preserve">Лизинг стамбених зграда и станова                                                                  </t>
  </si>
  <si>
    <t xml:space="preserve">Добити које су резултат промене вредности стамбених зграда и станова                                                             </t>
  </si>
  <si>
    <t xml:space="preserve">Друге промене у обиму стамбених зграда и станова                                                               </t>
  </si>
  <si>
    <t xml:space="preserve">Исправка вредности стамбених зграда и станова                                                                 </t>
  </si>
  <si>
    <t xml:space="preserve">Пословне зграде                                                                     </t>
  </si>
  <si>
    <t xml:space="preserve">Болнице, домови здравља и старачки домови                                                                 </t>
  </si>
  <si>
    <t xml:space="preserve">Остале пословне зграде                                                                    </t>
  </si>
  <si>
    <t xml:space="preserve">Лизинг пословних зграда                                                                    </t>
  </si>
  <si>
    <t xml:space="preserve">Добити које су резултат промене вредности пословних зграда                                                               </t>
  </si>
  <si>
    <t xml:space="preserve">Друге промене у обиму пословних зграда                                                                 </t>
  </si>
  <si>
    <t xml:space="preserve">Исправка вредности пословних зграда                                                                   </t>
  </si>
  <si>
    <t xml:space="preserve">Пословни простор и други објекти                                                                  </t>
  </si>
  <si>
    <t xml:space="preserve">Објекти за потребе образовања                                                                   </t>
  </si>
  <si>
    <t xml:space="preserve">Ресторани, одмаралишта                                                                     </t>
  </si>
  <si>
    <t xml:space="preserve">Складишта, силоси, гараже и сл.                                                                  </t>
  </si>
  <si>
    <t xml:space="preserve">Гранични прелази                                                                     </t>
  </si>
  <si>
    <t xml:space="preserve">Фабричке хале                                                                     </t>
  </si>
  <si>
    <t xml:space="preserve">Лизинг пословног простора и других објеката                                                                 </t>
  </si>
  <si>
    <t xml:space="preserve">Добити које су резултат промене вредности пословног простора и других објеката                                                            </t>
  </si>
  <si>
    <t xml:space="preserve">Друге промене у обиму пословног простора и других објеката                                                              </t>
  </si>
  <si>
    <t xml:space="preserve">Исправка вредности пословног простора и других објеката                                                                </t>
  </si>
  <si>
    <t xml:space="preserve">Саобраћајни објекти                                                                     </t>
  </si>
  <si>
    <t xml:space="preserve">Аутопутеви, мостови, надвожњаци и тунели                                                                  </t>
  </si>
  <si>
    <t xml:space="preserve">Пруге                                                                      </t>
  </si>
  <si>
    <t xml:space="preserve">Аеродромске писте                                                                     </t>
  </si>
  <si>
    <t xml:space="preserve">Остали саобраћајни објекти                                                                    </t>
  </si>
  <si>
    <t xml:space="preserve">Лизинг саобраћајних објеката                                                                    </t>
  </si>
  <si>
    <t xml:space="preserve">Добити које су резултат промене вредности саобраћајних објеката                                                               </t>
  </si>
  <si>
    <t xml:space="preserve">Друге промене у обиму саобраћајних објеката                                                                 </t>
  </si>
  <si>
    <t xml:space="preserve">Исправка вредности саобраћајних објеката                                                                   </t>
  </si>
  <si>
    <t xml:space="preserve">Водоводна инфраструктура                                                                     </t>
  </si>
  <si>
    <t xml:space="preserve">Водовод                                                                      </t>
  </si>
  <si>
    <t xml:space="preserve">Канализација                                                                      </t>
  </si>
  <si>
    <t xml:space="preserve">Луке                                                                      </t>
  </si>
  <si>
    <t xml:space="preserve">Бране                                                                      </t>
  </si>
  <si>
    <t xml:space="preserve">Остали облици водоводне инфраструктуре                                                                   </t>
  </si>
  <si>
    <t xml:space="preserve">Лизинг водоводне инфраструктуре                                                                    </t>
  </si>
  <si>
    <t xml:space="preserve">Добити које су резултат промене вредности водоводне инфраструктуре                                                               </t>
  </si>
  <si>
    <t xml:space="preserve">Друге промене у обиму водоводне инфраструктуре                                                                 </t>
  </si>
  <si>
    <t xml:space="preserve">Исправка вредности водоводне инфраструктуре                                                                   </t>
  </si>
  <si>
    <t xml:space="preserve">Остали објекти                                                                     </t>
  </si>
  <si>
    <t xml:space="preserve">Плиноводи                                                                      </t>
  </si>
  <si>
    <t xml:space="preserve">Комуникациони и електрични водови                                                                   </t>
  </si>
  <si>
    <t xml:space="preserve">Спортски и рекреациони објекти                                                                   </t>
  </si>
  <si>
    <t xml:space="preserve">Установе културе                                                                     </t>
  </si>
  <si>
    <t xml:space="preserve">Затвори                                                                      </t>
  </si>
  <si>
    <t xml:space="preserve">Лизинг осталих објеката                                                                    </t>
  </si>
  <si>
    <t xml:space="preserve">Добити које су резултат промене вредности осталих објеката                                                               </t>
  </si>
  <si>
    <t xml:space="preserve">Друге промене у обиму осталих објеката                                                                 </t>
  </si>
  <si>
    <t xml:space="preserve">Исправка вредности осталих објеката                                                                   </t>
  </si>
  <si>
    <t xml:space="preserve">Опрема                                                                      </t>
  </si>
  <si>
    <t xml:space="preserve">Опрема за саобраћај                                                                    </t>
  </si>
  <si>
    <t xml:space="preserve">Опрема за копнени саобраћај                                                                   </t>
  </si>
  <si>
    <t xml:space="preserve">Пловни објекти                                                                     </t>
  </si>
  <si>
    <t xml:space="preserve">Опрема за ваздушни саобраћај                                                                   </t>
  </si>
  <si>
    <t xml:space="preserve">Остала опрема за саобраћај                                                                   </t>
  </si>
  <si>
    <t xml:space="preserve">Лизинг опреме за саобраћај                                                                   </t>
  </si>
  <si>
    <t xml:space="preserve">Добити које су резултат промене вредности саобраћајне опреме                                                               </t>
  </si>
  <si>
    <t xml:space="preserve">Друге промене у обиму саобраћајне опреме                                                                 </t>
  </si>
  <si>
    <t xml:space="preserve">Исправка вредности саобраћајне опреме                                                                   </t>
  </si>
  <si>
    <t xml:space="preserve">Административна опрема                                                                     </t>
  </si>
  <si>
    <t xml:space="preserve">Канцеларијска опрема                                                                     </t>
  </si>
  <si>
    <t xml:space="preserve">Рачунарска опрема                                                                     </t>
  </si>
  <si>
    <t xml:space="preserve">Комуникациона опрема                                                                     </t>
  </si>
  <si>
    <t xml:space="preserve">Електронска и фотографска опрема                                                                   </t>
  </si>
  <si>
    <t xml:space="preserve">Опрема за домаћинство и угоститељство                                                                  </t>
  </si>
  <si>
    <t xml:space="preserve">Лизинг административне опреме                                                                    </t>
  </si>
  <si>
    <t xml:space="preserve">Добити које су резултат промене вредности административне опреме                                                               </t>
  </si>
  <si>
    <t xml:space="preserve">Друге промене у обиму административне опреме                                                                 </t>
  </si>
  <si>
    <t xml:space="preserve">Исправка вредности административне опреме                                                                   </t>
  </si>
  <si>
    <t xml:space="preserve">Опрема за пољопривреду                                                                    </t>
  </si>
  <si>
    <t xml:space="preserve">Лизинг опреме за пољопривреду                                                                   </t>
  </si>
  <si>
    <t xml:space="preserve">Добити које су резултат промене вредности пољопривредне опреме                                                               </t>
  </si>
  <si>
    <t xml:space="preserve">Друге промене у обиму пољопривредне опреме                                                                 </t>
  </si>
  <si>
    <t xml:space="preserve">Исправка  вредности пољопривредне опреме                                                                  </t>
  </si>
  <si>
    <t xml:space="preserve">Опрема за заштиту животне средине                                                                  </t>
  </si>
  <si>
    <t xml:space="preserve">Лизинг опреме за заштиту животне средине                                                                 </t>
  </si>
  <si>
    <t xml:space="preserve">Добити које су резултат промене вредности опреме за заштиту животне средине                                                            </t>
  </si>
  <si>
    <t xml:space="preserve">Друге промене у обиму опреме за заштиту животне средине                                                              </t>
  </si>
  <si>
    <t xml:space="preserve">Исправка вредности опреме за заштиту животне околине                                                                </t>
  </si>
  <si>
    <t xml:space="preserve">Медицинска и лабораторијска опрема                                                                   </t>
  </si>
  <si>
    <t xml:space="preserve">Медицинска опрема                                                                     </t>
  </si>
  <si>
    <t xml:space="preserve">Лабораторијска опрема                                                                     </t>
  </si>
  <si>
    <t xml:space="preserve">Мерни и контролни инструменти                                                                   </t>
  </si>
  <si>
    <t xml:space="preserve">Остала медицинска и лабораторијска опрема                                                                  </t>
  </si>
  <si>
    <t xml:space="preserve">Лизинг медицинске и лабораторијске опреме                                                                  </t>
  </si>
  <si>
    <t xml:space="preserve">Добити које су резултат промене вредности медицинске и лабораторијске опреме                                                             </t>
  </si>
  <si>
    <t xml:space="preserve">Друге промене у обиму медицинске и лабораторијске опреме                                                               </t>
  </si>
  <si>
    <t xml:space="preserve">Исправка вредности медицинске и лабораторијске опреме                                                                 </t>
  </si>
  <si>
    <t xml:space="preserve">Опрема за образовање, науку, културу и спорт                                                                </t>
  </si>
  <si>
    <t xml:space="preserve">Опрема за образовање                                                                    </t>
  </si>
  <si>
    <t xml:space="preserve">Опрема за науку                                                                    </t>
  </si>
  <si>
    <t xml:space="preserve">Опрема за културу                                                                    </t>
  </si>
  <si>
    <t xml:space="preserve">Опрема за спорт                                                                    </t>
  </si>
  <si>
    <t xml:space="preserve">Лизинг опреме за образовање, науку, културу и спорт                                                               </t>
  </si>
  <si>
    <t xml:space="preserve">Добити које су резултат промене вредности опреме за образовање, науку, културу и спорт                                                          </t>
  </si>
  <si>
    <t xml:space="preserve">Друге промене у обиму опреме за образовање, науку, културу и спорт                                                            </t>
  </si>
  <si>
    <t xml:space="preserve">Исправка вредности опреме за образовање, науку, културу и спорт                                                              </t>
  </si>
  <si>
    <t xml:space="preserve">Опрема за војску                                                                    </t>
  </si>
  <si>
    <t xml:space="preserve">Лизинг опреме за војску                                                                   </t>
  </si>
  <si>
    <t xml:space="preserve">Добити које су резултат промене вредности опреме за војску                                                              </t>
  </si>
  <si>
    <t xml:space="preserve">Друге промене у обиму опреме за војску                                                                </t>
  </si>
  <si>
    <t xml:space="preserve">Исправка вредности опреме за војску                                                                  </t>
  </si>
  <si>
    <t xml:space="preserve">Опрема за јавну безбедност                                                                   </t>
  </si>
  <si>
    <t xml:space="preserve">Лизинг опреме за јавну безбедност                                                                  </t>
  </si>
  <si>
    <t xml:space="preserve">Добити које су резултат промене вредности опреме за јавну безбедност                                                             </t>
  </si>
  <si>
    <t xml:space="preserve">Друге промене у обиму опреме зa јавну безбедност                                                               </t>
  </si>
  <si>
    <t xml:space="preserve">Исправка вредности опреме за јавну безбедност                                                                 </t>
  </si>
  <si>
    <t xml:space="preserve">Опрема за производњу, моторна, непокретна и немоторна опрема                                                               </t>
  </si>
  <si>
    <t xml:space="preserve">Производна опрема                                                                     </t>
  </si>
  <si>
    <t xml:space="preserve">Моторна опрема                                                                     </t>
  </si>
  <si>
    <t xml:space="preserve">Непокретна опрема                                                                     </t>
  </si>
  <si>
    <t xml:space="preserve">Немоторна опрема                                                                     </t>
  </si>
  <si>
    <t xml:space="preserve">Лизинг опреме за производњу, моторну, непокретну и немоторну опрему                                                              </t>
  </si>
  <si>
    <t xml:space="preserve">Добити које су резултат промене вредности опреме за производњу, моторне, непокретне и немоторне опреме                                                         </t>
  </si>
  <si>
    <t xml:space="preserve">Друге промене у обиму опреме за производњу, моторне, непокретне и немоторне опреме                                                           </t>
  </si>
  <si>
    <t xml:space="preserve">Исправка вредности опреме за производњу, моторне, непокретне и немоторне опреме                                                             </t>
  </si>
  <si>
    <t xml:space="preserve">Остале некретнине и опрема                                                                   </t>
  </si>
  <si>
    <t xml:space="preserve">Лизинг-Остале некретнине и опрема                                                                   </t>
  </si>
  <si>
    <t xml:space="preserve">Добити које су резултат промене вредности-остале некретнине и опрема                                                              </t>
  </si>
  <si>
    <t xml:space="preserve">Друге промене у обиму-остале некретнине и опрема                                                                </t>
  </si>
  <si>
    <t xml:space="preserve">Исправка вредности-остале некретнине и опрема                                                                  </t>
  </si>
  <si>
    <t xml:space="preserve">Култивисана имовина                                                                     </t>
  </si>
  <si>
    <t xml:space="preserve">Основно стадо                                                                     </t>
  </si>
  <si>
    <t xml:space="preserve">Вишегодишњи засади                                                                     </t>
  </si>
  <si>
    <t xml:space="preserve">Добити које су резултат промене вредности култивисане имовине                                                               </t>
  </si>
  <si>
    <t xml:space="preserve">Друге промене у обиму култивисане имовине                                                                 </t>
  </si>
  <si>
    <t xml:space="preserve">Исправка вредности култивисане имовине                                                                   </t>
  </si>
  <si>
    <t xml:space="preserve">Драгоцености                                                                      </t>
  </si>
  <si>
    <t xml:space="preserve">Злато                                                                      </t>
  </si>
  <si>
    <t xml:space="preserve">Сребро                                                                      </t>
  </si>
  <si>
    <t xml:space="preserve">Накит од племенитих метала                                                                   </t>
  </si>
  <si>
    <t xml:space="preserve">Антика и други предмети                                                                   </t>
  </si>
  <si>
    <t xml:space="preserve">Остале драгоцености                                                                     </t>
  </si>
  <si>
    <t xml:space="preserve">Добити које су резултат промене вредности драгоцености                                                                </t>
  </si>
  <si>
    <t xml:space="preserve">Друге промене у обиму драгоцености                                                                  </t>
  </si>
  <si>
    <t xml:space="preserve">Исправка вредности драгоцености                                                                    </t>
  </si>
  <si>
    <t xml:space="preserve">Природна имовина                                                                     </t>
  </si>
  <si>
    <t xml:space="preserve">Земљиште                                                                      </t>
  </si>
  <si>
    <t xml:space="preserve">Пољопривредно земљиште                                                                     </t>
  </si>
  <si>
    <t xml:space="preserve">Грађевинско земљиште                                                                     </t>
  </si>
  <si>
    <t xml:space="preserve">Земља која је испод зграда и објеката                                                                </t>
  </si>
  <si>
    <t xml:space="preserve">Спортски терени и придружена водена површина                                                                 </t>
  </si>
  <si>
    <t xml:space="preserve">Остало земљиште и придружена водена површина                                                                 </t>
  </si>
  <si>
    <t xml:space="preserve">Добити које су резултат промене вредности земљишта                                                                </t>
  </si>
  <si>
    <t xml:space="preserve">Друге промене у обиму земљишта                                                                  </t>
  </si>
  <si>
    <t xml:space="preserve">Исправка вредности земљишта                                                                    </t>
  </si>
  <si>
    <t xml:space="preserve">Подземна блага                                                                     </t>
  </si>
  <si>
    <t xml:space="preserve">Копови                                                                      </t>
  </si>
  <si>
    <t xml:space="preserve">Угаљ, нафта и природни гас                                                                  </t>
  </si>
  <si>
    <t xml:space="preserve">Минералне резерве метала                                                                    </t>
  </si>
  <si>
    <t xml:space="preserve">Добити које су резултат промене вредности подземних блага                                                               </t>
  </si>
  <si>
    <t xml:space="preserve">Друге промене у обиму подземних блага                                                                 </t>
  </si>
  <si>
    <t xml:space="preserve">Исправка вредности подземних блага                                                                   </t>
  </si>
  <si>
    <t xml:space="preserve">Шуме и воде                                                                    </t>
  </si>
  <si>
    <t xml:space="preserve">Шуме                                                                      </t>
  </si>
  <si>
    <t xml:space="preserve">Добити које су резултат промене вредности шума                                                                </t>
  </si>
  <si>
    <t xml:space="preserve">Друге промене у обиму шума                                                                  </t>
  </si>
  <si>
    <t xml:space="preserve">Трошење вредности шума                                                                    </t>
  </si>
  <si>
    <t xml:space="preserve">Воде                                                                      </t>
  </si>
  <si>
    <t xml:space="preserve">Добити које су резултат промене вредности воде                                                                </t>
  </si>
  <si>
    <t xml:space="preserve">Друге промене у обиму воде                                                                  </t>
  </si>
  <si>
    <t xml:space="preserve">Исправка вредности воде                                                                    </t>
  </si>
  <si>
    <t xml:space="preserve">Нефинансијска имовина у припреми и аванси                                                                 </t>
  </si>
  <si>
    <t xml:space="preserve">Нефинансијска имовина у припреми                                                                   </t>
  </si>
  <si>
    <t xml:space="preserve">Грађевински објекти у припреми                                                                   </t>
  </si>
  <si>
    <t xml:space="preserve">Стамбени грађевински објекти у припреми                                                                  </t>
  </si>
  <si>
    <t xml:space="preserve">Пословне зграде и други грађевински објекти у припреми                                                               </t>
  </si>
  <si>
    <t xml:space="preserve">Саобраћајни објекти у припреми                                                                   </t>
  </si>
  <si>
    <t xml:space="preserve">Водоводна инфраструктура у припреми                                                                   </t>
  </si>
  <si>
    <t xml:space="preserve">Други објекти у припреми                                                                   </t>
  </si>
  <si>
    <t xml:space="preserve">Опрема у припреми                                                                    </t>
  </si>
  <si>
    <t xml:space="preserve">Саобраћајна опрема у припреми                                                                   </t>
  </si>
  <si>
    <t xml:space="preserve">Административна опрема у припреми                                                                   </t>
  </si>
  <si>
    <t xml:space="preserve">Пољопривредна опрема у припреми                                                                   </t>
  </si>
  <si>
    <t xml:space="preserve">Опрема за заштиту животне средине у припреми                                                                </t>
  </si>
  <si>
    <t xml:space="preserve">Медицинска и лабораторијска опрема у припреми                                                                 </t>
  </si>
  <si>
    <t xml:space="preserve">Опрема за образовање, науку, културу и спорт у припреми                                                              </t>
  </si>
  <si>
    <t xml:space="preserve">Опрема за војску у припреми                                                                  </t>
  </si>
  <si>
    <t xml:space="preserve">Опрема за јавну безбедност у припреми                                                                 </t>
  </si>
  <si>
    <t xml:space="preserve">Опрема за производњу, моторна, непокретна и немоторна опрема у припреми                                                             </t>
  </si>
  <si>
    <t xml:space="preserve">Остале некретнине и опрема у припреми                                                                 </t>
  </si>
  <si>
    <t xml:space="preserve">Култивисана имовина у припреми                                                                   </t>
  </si>
  <si>
    <t xml:space="preserve">Драгоцености у припреми                                                                    </t>
  </si>
  <si>
    <t xml:space="preserve">Земљиште у припреми                                                                    </t>
  </si>
  <si>
    <t xml:space="preserve">Подземна блага у припреми                                                                   </t>
  </si>
  <si>
    <t xml:space="preserve">Шуме и воде у припреми                                                                  </t>
  </si>
  <si>
    <t xml:space="preserve">Шуме у припреми                                                                    </t>
  </si>
  <si>
    <t xml:space="preserve">Вода у припреми                                                                    </t>
  </si>
  <si>
    <t xml:space="preserve">Аванси за нефинансијску имовину                                                                   </t>
  </si>
  <si>
    <t xml:space="preserve">Аванси за грађевинске објекте                                                                   </t>
  </si>
  <si>
    <t xml:space="preserve">Аванси за стамбене објекте                                                                   </t>
  </si>
  <si>
    <t xml:space="preserve">Аванси за пословне зграде и друге објекте                                                                </t>
  </si>
  <si>
    <t xml:space="preserve">Аванси за саобраћајне објекте                                                                   </t>
  </si>
  <si>
    <t xml:space="preserve">Аванси за водоводну инфраструктуру                                                                   </t>
  </si>
  <si>
    <t xml:space="preserve">Аванси за друге објекте                                                                   </t>
  </si>
  <si>
    <t xml:space="preserve">Аванси за опрему                                                                    </t>
  </si>
  <si>
    <t xml:space="preserve">Аванси за саобраћајну опрему                                                                   </t>
  </si>
  <si>
    <t xml:space="preserve">Аванси за административну опрему                                                                   </t>
  </si>
  <si>
    <t xml:space="preserve">Аванси за пољопривредну опрему                                                                   </t>
  </si>
  <si>
    <t xml:space="preserve">Аванси за опрему за заштиту животне средине                                                                </t>
  </si>
  <si>
    <t xml:space="preserve">Аванси за медицинску и лабораторијску опрему                                                                 </t>
  </si>
  <si>
    <t xml:space="preserve">Аванси за опрему за образовање, науку, културу и спорт                                                              </t>
  </si>
  <si>
    <t xml:space="preserve">Аванси за опрему за војску                                                                  </t>
  </si>
  <si>
    <t xml:space="preserve">Аванси за опрему за јавну безбедност                                                                 </t>
  </si>
  <si>
    <t xml:space="preserve">Аванси за опрему за производњу, моторну, непокретну и немоторну опрему                                                             </t>
  </si>
  <si>
    <t xml:space="preserve">Аванси за остале некретнине и опрему                                                                 </t>
  </si>
  <si>
    <t xml:space="preserve">Аванси за култивисану имовину                                                                   </t>
  </si>
  <si>
    <t xml:space="preserve">Аванси за драгоцености                                                                    </t>
  </si>
  <si>
    <t xml:space="preserve">Аванси за земљиште                                                                    </t>
  </si>
  <si>
    <t xml:space="preserve">Аванси за подземна блага                                                                   </t>
  </si>
  <si>
    <t xml:space="preserve">Аванси за шуме и воде                                                                  </t>
  </si>
  <si>
    <t xml:space="preserve">Аванси за шуме                                                                    </t>
  </si>
  <si>
    <t xml:space="preserve">Аванси за воде                                                                    </t>
  </si>
  <si>
    <t xml:space="preserve">Нематеријална имовина                                                                     </t>
  </si>
  <si>
    <t xml:space="preserve">Компјутерски софтвер                                                                     </t>
  </si>
  <si>
    <t xml:space="preserve">Добити које су резултат промене компјутерског софтвера                                                                </t>
  </si>
  <si>
    <t xml:space="preserve">Друге промене у обиму компјутерског софтвера                                                                 </t>
  </si>
  <si>
    <t xml:space="preserve">Исправка вредности нематеријалних улагања у компјутерски софтвер                                                                </t>
  </si>
  <si>
    <t xml:space="preserve">Књижевна и уметничка дела                                                                   </t>
  </si>
  <si>
    <t xml:space="preserve">Добити које су резултат промене књижевних и уметничких дела                                                              </t>
  </si>
  <si>
    <t xml:space="preserve">Друге промене у обиму нематеријалних књижевних и уметничких дела                                                              </t>
  </si>
  <si>
    <t xml:space="preserve">Исправка вредности нематеријалних улагања у књижевна и уметничка дела                                                              </t>
  </si>
  <si>
    <t xml:space="preserve">Патенти                                                                      </t>
  </si>
  <si>
    <t xml:space="preserve">Добити које су резултат промене патената                                                                 </t>
  </si>
  <si>
    <t xml:space="preserve">Друге промене у обиму нематеријалних патената                                                                 </t>
  </si>
  <si>
    <t xml:space="preserve">Исправка вредности нематеријалних улагања у патенте                                                                 </t>
  </si>
  <si>
    <t xml:space="preserve">Goodwill                                                                      </t>
  </si>
  <si>
    <t xml:space="preserve">Добити које су резултат промене goodwill-а                                                                 </t>
  </si>
  <si>
    <t xml:space="preserve">Друге промене у обиму goodwill-а                                                                  </t>
  </si>
  <si>
    <t xml:space="preserve">Исправка вредности нематеријалних улагања у goodwill                                                                 </t>
  </si>
  <si>
    <t xml:space="preserve">Трошкови за развој                                                                    </t>
  </si>
  <si>
    <t xml:space="preserve">Добити које су резултат промене нематеријалних основних средстава                                                               </t>
  </si>
  <si>
    <t xml:space="preserve">Друге промене у обиму нематеријалних основних средстава                                                                </t>
  </si>
  <si>
    <t xml:space="preserve">Исправка вредности нематеријалних улагања у основна средства                                                                </t>
  </si>
  <si>
    <t xml:space="preserve">Остала нематеријална основна средства                                                                   </t>
  </si>
  <si>
    <t xml:space="preserve">Добити које су резултат промене осталих нематеријалних основних средстава                                                              </t>
  </si>
  <si>
    <t xml:space="preserve">Друге промене у обиму осталих нематеријалних основних средстава                                                               </t>
  </si>
  <si>
    <t xml:space="preserve">Исправка вредности нематеријалних улагања у остала нематеријална основна средстава                                                              </t>
  </si>
  <si>
    <t xml:space="preserve">Остала нематеријална имовина                                                                    </t>
  </si>
  <si>
    <t xml:space="preserve">Добити које су резултат промене остале нематеријалне имовине                                                               </t>
  </si>
  <si>
    <t xml:space="preserve">Друге промене у обиму остале нематеријалне имовине                                                                </t>
  </si>
  <si>
    <t xml:space="preserve">Исправка вредности  нематеријалних улагања у осталу нематеријалну имовину                                                              </t>
  </si>
  <si>
    <t xml:space="preserve">Нематеријална имовина у припреми                                                                   </t>
  </si>
  <si>
    <t xml:space="preserve">Аванси за нематеријалну имовину                                                                   </t>
  </si>
  <si>
    <t xml:space="preserve">Нефинансијска имовина у залихама                                                                   </t>
  </si>
  <si>
    <t xml:space="preserve">Залихе                                                                      </t>
  </si>
  <si>
    <t xml:space="preserve">Робне резерве                                                                     </t>
  </si>
  <si>
    <t xml:space="preserve">Добити које су резултат промене вредности робних резерви                                                               </t>
  </si>
  <si>
    <t xml:space="preserve">Друге промене у обиму робних резерви                                                                 </t>
  </si>
  <si>
    <t xml:space="preserve">Исправка вредности робних резерви                                                                   </t>
  </si>
  <si>
    <t xml:space="preserve">Залихе производње                                                                     </t>
  </si>
  <si>
    <t xml:space="preserve">Материјали                                                                      </t>
  </si>
  <si>
    <t xml:space="preserve">Недовршена производња                                                                     </t>
  </si>
  <si>
    <t xml:space="preserve">Готови производи                                                                     </t>
  </si>
  <si>
    <t xml:space="preserve">Роба за даљу продају                                                                   </t>
  </si>
  <si>
    <t xml:space="preserve">Роба за даљу продају у промету на велико                                                               </t>
  </si>
  <si>
    <t xml:space="preserve">Робa за даљу продају у промету на мало                                                               </t>
  </si>
  <si>
    <t xml:space="preserve">Укалкулисана разлика у цени робе за даљу продају                                                               </t>
  </si>
  <si>
    <t xml:space="preserve">Укалкулисани порез робе за даљу продају                                                                 </t>
  </si>
  <si>
    <t xml:space="preserve">Исправка вредности робе за даљу продају                                                                 </t>
  </si>
  <si>
    <t xml:space="preserve">Залихе ситног инвентара и потрошног материјала                                                                 </t>
  </si>
  <si>
    <t xml:space="preserve">Залихе ситног инвентара                                                                    </t>
  </si>
  <si>
    <t xml:space="preserve">Ситан инвентар у употреби                                                                   </t>
  </si>
  <si>
    <t xml:space="preserve">Исправка вредности ситног инвентара                                                                   </t>
  </si>
  <si>
    <t xml:space="preserve">Залихе потрошног материјала                                                                    </t>
  </si>
  <si>
    <t xml:space="preserve">Залихе материјала за сталне трошкове                                                                  </t>
  </si>
  <si>
    <t xml:space="preserve">Залихе материјала за грејање                                                                   </t>
  </si>
  <si>
    <t xml:space="preserve">Залихе материјала за поправке и одржавање                                                                 </t>
  </si>
  <si>
    <t xml:space="preserve">Залихе материјала за поправке зграда                                                                  </t>
  </si>
  <si>
    <t xml:space="preserve">Залихе материјала за поправке опреме                                                                  </t>
  </si>
  <si>
    <t xml:space="preserve">Залихе материјала у делатности                                                                   </t>
  </si>
  <si>
    <t xml:space="preserve">Залихе административног материјала                                                                    </t>
  </si>
  <si>
    <t xml:space="preserve">Залихе материјала за пољопривреду                                                                   </t>
  </si>
  <si>
    <t xml:space="preserve">Залихе материјала за образовање запослених                                                                  </t>
  </si>
  <si>
    <t xml:space="preserve">Залихе материјала за саобраћај                                                                   </t>
  </si>
  <si>
    <t xml:space="preserve">Залихе материјала за очување животне средине                                                                 </t>
  </si>
  <si>
    <t xml:space="preserve">Залихе материјала за образовање, науку, културу и спорт                                                               </t>
  </si>
  <si>
    <t xml:space="preserve">Залихе медицинског и лабораторијског материјала                                                                  </t>
  </si>
  <si>
    <t xml:space="preserve">Залихе материјала за домаћинство и угоститељство                                                                 </t>
  </si>
  <si>
    <t xml:space="preserve">Залихе материјала за посебне намене                                                                  </t>
  </si>
  <si>
    <t xml:space="preserve">Исправка вредности залиха потрошног материјала                                                                  </t>
  </si>
  <si>
    <t xml:space="preserve">Исправка вредности залиха материјала за сталне трошкове                                                                </t>
  </si>
  <si>
    <t xml:space="preserve">Исправка вредности залиха материјала за поправке и одржавање                                                               </t>
  </si>
  <si>
    <t xml:space="preserve">Исправка вредности залиха материјала делатности                                                                  </t>
  </si>
  <si>
    <t xml:space="preserve">Финансијска имовина                                                                     </t>
  </si>
  <si>
    <t xml:space="preserve">Дугорочна финансијска имовина                                                                    </t>
  </si>
  <si>
    <t xml:space="preserve">Дугорочна домаћа финансијска имовина                                                                   </t>
  </si>
  <si>
    <t xml:space="preserve">Дугорочне домаће хартије од вредности, изузев акција                                                                </t>
  </si>
  <si>
    <t xml:space="preserve">Набавка домаћих дугорочних хартија од вредности, изузев акција                                                               </t>
  </si>
  <si>
    <t xml:space="preserve">Исправка вредности дугорочних домаћих хартија од вредности, изузев акција                                                              </t>
  </si>
  <si>
    <t xml:space="preserve">Кредити осталим нивоима власти                                                                   </t>
  </si>
  <si>
    <t xml:space="preserve">Кредити нивоу републике                                                                    </t>
  </si>
  <si>
    <t xml:space="preserve">Кредити нивоу територијалних аутономија                                                                   </t>
  </si>
  <si>
    <t xml:space="preserve">Кредити нивоу градова                                                                    </t>
  </si>
  <si>
    <t xml:space="preserve">Кредити нивоу општина                                                                    </t>
  </si>
  <si>
    <t xml:space="preserve">Кредити организацијама обавезног социјалног осигурања                                                                  </t>
  </si>
  <si>
    <t xml:space="preserve">Кредити републичком фонду за здравствено осигурање                                                                 </t>
  </si>
  <si>
    <t xml:space="preserve">Кредити републичком фонду за пио                                                                  </t>
  </si>
  <si>
    <t xml:space="preserve">Кредити националној служби за запошљавање                                                                  </t>
  </si>
  <si>
    <t xml:space="preserve">Исправка вредности кредита осталим нивоима власти                                                                 </t>
  </si>
  <si>
    <t xml:space="preserve">Исправка вредности кредита нивоу републике                                                                  </t>
  </si>
  <si>
    <t xml:space="preserve">Исправка вредности кредита нивоу територијалних аутономија                                                                 </t>
  </si>
  <si>
    <t xml:space="preserve">Исправка вредности кредита нивоу градова                                                                  </t>
  </si>
  <si>
    <t xml:space="preserve">Исправка вредности кредита нивоу општина                                                                  </t>
  </si>
  <si>
    <t xml:space="preserve">Исправка вредности кредита организацијама обавезног социјалног осигурања                                                                </t>
  </si>
  <si>
    <t xml:space="preserve">Кредити домаћим јавним финансијским институцијама                                                                  </t>
  </si>
  <si>
    <t xml:space="preserve">Кредити народној банци србије                                                                   </t>
  </si>
  <si>
    <t xml:space="preserve">Кредити осталим домаћим јавним финансијским институцијама                                                                 </t>
  </si>
  <si>
    <t xml:space="preserve">Исправка вредности кредита домаћим јавним финансијским институцијама                                                                </t>
  </si>
  <si>
    <t xml:space="preserve">Исправка вредности кредита народној банци србије                                                                 </t>
  </si>
  <si>
    <t xml:space="preserve">Исправка вредности кредита осталим домаћим јавним финансијским институцијама                                                               </t>
  </si>
  <si>
    <t xml:space="preserve">Кредити домаћим  пословним банкама                                                                  </t>
  </si>
  <si>
    <t xml:space="preserve">Кредити домаћим пословним банкама                                                                   </t>
  </si>
  <si>
    <t xml:space="preserve">Исправка вредности кредита домаћим пословним банкама                                                                 </t>
  </si>
  <si>
    <t xml:space="preserve">Кредити домаћим јавним нефинансијским институцијама                                                                  </t>
  </si>
  <si>
    <t xml:space="preserve">Исправка вредности кредита домаћим јавним нефинансијским институцијама                                                                </t>
  </si>
  <si>
    <t xml:space="preserve">Кредити физичким лицима и домаћинствима у земљи                                                                </t>
  </si>
  <si>
    <t xml:space="preserve">Кредити физичким лицима у земљи за потребе становања                                                               </t>
  </si>
  <si>
    <t xml:space="preserve">Кредити физичким лицима у земљи за комерцијалне потребе                                                               </t>
  </si>
  <si>
    <t xml:space="preserve">Кредити студентима и ученицима у земљи                                                                 </t>
  </si>
  <si>
    <t xml:space="preserve">Исправка вредности кредита физичким лицима и домаћинствима у земљи                                                              </t>
  </si>
  <si>
    <t xml:space="preserve">Кредити домаћим невладиним организацијама                                                                   </t>
  </si>
  <si>
    <t xml:space="preserve">Кредити удружењима грађана у земљи                                                                  </t>
  </si>
  <si>
    <t xml:space="preserve">Кредити непрофитним организацијама у земљи                                                                  </t>
  </si>
  <si>
    <t xml:space="preserve">Исправка вредности кредита домаћим невладиним организацијама                                                                 </t>
  </si>
  <si>
    <t xml:space="preserve">Кредити домаћим нефинансијским приватним предузећима                                                                  </t>
  </si>
  <si>
    <t xml:space="preserve">Исправка вредности кредита домаћим нефинансијским приватним предузећима                                                                </t>
  </si>
  <si>
    <t xml:space="preserve">Домаће акције и остали капитал                                                                  </t>
  </si>
  <si>
    <t xml:space="preserve">Учешће капитала у домаћим јавним нефинансијским предузећима и институцијама                                                              </t>
  </si>
  <si>
    <t xml:space="preserve">Учешће капитала у домаћим јавним финансијским институцијама                                                                </t>
  </si>
  <si>
    <t xml:space="preserve">Учешће капитала у народној банци србије                                                                 </t>
  </si>
  <si>
    <t xml:space="preserve">Учешће капитала у осталим домаћим финансијским институцијама                                                                </t>
  </si>
  <si>
    <t xml:space="preserve">Учешће капитала у домаћим нефинансијским приватним предузећима                                                                </t>
  </si>
  <si>
    <t xml:space="preserve">Учешће капитала у домаћим пословним банкама                                                                 </t>
  </si>
  <si>
    <t xml:space="preserve">Исправка вредности домаћих акција и осталог капитала                                                                </t>
  </si>
  <si>
    <t xml:space="preserve">Исправка вредности учешћa капитала у домаћим јавним нефинансијским предузећима и институцијама                                                            </t>
  </si>
  <si>
    <t xml:space="preserve">Исправка вредности учешћа капитала у домаћим јавним финансијским институцијама                                                              </t>
  </si>
  <si>
    <t xml:space="preserve">Исправка вредности учешћа капитала у домаћим приватним нефинансијским предузећима                                                              </t>
  </si>
  <si>
    <t xml:space="preserve">Исправка вредности учешћа капитала у домаћим пословним банкама                                                               </t>
  </si>
  <si>
    <t xml:space="preserve">Дугорочна страна финансијска имовина                                                                   </t>
  </si>
  <si>
    <t xml:space="preserve">Дугорочне стране хартије од вредности, изузев акција                                                                </t>
  </si>
  <si>
    <t xml:space="preserve">Исправка вредности дугорочних страних хартија од вредности, изузев акција                                                              </t>
  </si>
  <si>
    <t xml:space="preserve">Кредити страним владама                                                                    </t>
  </si>
  <si>
    <t xml:space="preserve">Исправка вредности кредита датих страним владама                                                                 </t>
  </si>
  <si>
    <t xml:space="preserve">Кредити међународним организацијама                                                                    </t>
  </si>
  <si>
    <t xml:space="preserve">Исправка вредности кредита међународним организацијама                                                                  </t>
  </si>
  <si>
    <t xml:space="preserve">Кредити страним пословним банкама                                                                   </t>
  </si>
  <si>
    <t xml:space="preserve">Исправка вредности кредита страним пословним банкама                                                                 </t>
  </si>
  <si>
    <t xml:space="preserve">Кредити страним нефинансијским институцијама                                                                   </t>
  </si>
  <si>
    <t xml:space="preserve">Исправка вредности кредита страним нефинансијским институцијама                                                                 </t>
  </si>
  <si>
    <t xml:space="preserve">Кредити страним невладиним организацијама                                                                   </t>
  </si>
  <si>
    <t xml:space="preserve">Кредити страним удружењима грађана                                                                   </t>
  </si>
  <si>
    <t xml:space="preserve">Кредити страним непрофитним институцијама                                                                   </t>
  </si>
  <si>
    <t xml:space="preserve">Исправка вредности кредита страним невладиним организацијама                                                                 </t>
  </si>
  <si>
    <t xml:space="preserve">Стране акције и остали капитал                                                                  </t>
  </si>
  <si>
    <t xml:space="preserve">Учешће капитала у међународним финансијским институцијама                                                                 </t>
  </si>
  <si>
    <t xml:space="preserve">Учешће капитала у страним компанијама и нефинансијским институцијама                                                               </t>
  </si>
  <si>
    <t xml:space="preserve">Исправка вредности страних акција и осталог капитала                                                                </t>
  </si>
  <si>
    <t xml:space="preserve">Исправка вредности учешћa капитала у међународним финансијским институцијама                                                               </t>
  </si>
  <si>
    <t xml:space="preserve">Исправка вредности учешћа капитала у страним компанијама и нефинансијским институцијама                                                             </t>
  </si>
  <si>
    <t xml:space="preserve">Страни финансијски деривати                                                                    </t>
  </si>
  <si>
    <t xml:space="preserve">Новчана средства, племенити метали, хартије од вредности, потраживања и краткорочни пласмани                                                            </t>
  </si>
  <si>
    <t xml:space="preserve">Новчана средства, племенити метали, хартије од вредности                                                                </t>
  </si>
  <si>
    <t xml:space="preserve">Жиро и текући рачуни                                                                   </t>
  </si>
  <si>
    <t xml:space="preserve">Жиро рачуни                                                                     </t>
  </si>
  <si>
    <t xml:space="preserve">Текући рачуни                                                                     </t>
  </si>
  <si>
    <t xml:space="preserve">Прелазни рачун                                                                     </t>
  </si>
  <si>
    <t xml:space="preserve">Издвојена новчана средства и акредитиви                                                                  </t>
  </si>
  <si>
    <t xml:space="preserve">Издвојена новчана средства за инвестиције                                                                  </t>
  </si>
  <si>
    <t xml:space="preserve">Издвојена новчана средства за исплату чекова                                                                 </t>
  </si>
  <si>
    <t xml:space="preserve">Издвојена новчана средства за плаћање царина и осталих дажбина                                                              </t>
  </si>
  <si>
    <t xml:space="preserve">Издвојена средства за сталне резерве                                                                  </t>
  </si>
  <si>
    <t xml:space="preserve">Издвојена средства за посебне намене                                                                  </t>
  </si>
  <si>
    <t xml:space="preserve">Издвојена средства за стамбену изградњу                                                                  </t>
  </si>
  <si>
    <t xml:space="preserve">Неопозиви документарни акредитиви                                                                    </t>
  </si>
  <si>
    <t xml:space="preserve">Остали акредитиви                                                                     </t>
  </si>
  <si>
    <t xml:space="preserve">Остала издвојена средства                                                                    </t>
  </si>
  <si>
    <t xml:space="preserve">Благајна                                                                      </t>
  </si>
  <si>
    <t xml:space="preserve">Главна благајна                                                                     </t>
  </si>
  <si>
    <t xml:space="preserve">Помоћна благајна                                                                     </t>
  </si>
  <si>
    <t xml:space="preserve">Благајна поштанских марака                                                                    </t>
  </si>
  <si>
    <t xml:space="preserve">Благајна судских марака                                                                    </t>
  </si>
  <si>
    <t xml:space="preserve">Благајна бонова за гориво                                                                   </t>
  </si>
  <si>
    <t xml:space="preserve">Остале благајне                                                                     </t>
  </si>
  <si>
    <t xml:space="preserve">Девизни рачун                                                                     </t>
  </si>
  <si>
    <t xml:space="preserve">Девизни рачун код домаћих банака                                                                  </t>
  </si>
  <si>
    <t xml:space="preserve">Девизни рачун код банака у иностранству                                                                 </t>
  </si>
  <si>
    <t xml:space="preserve">Девизни рачун за улог страног лица                                                                 </t>
  </si>
  <si>
    <t xml:space="preserve">Остали девизни рачуни                                                                    </t>
  </si>
  <si>
    <t xml:space="preserve">Добити које су резултат промене вредности девизних рачуна                                                               </t>
  </si>
  <si>
    <t xml:space="preserve">Прелазни девизни рачун                                                                    </t>
  </si>
  <si>
    <t xml:space="preserve">Девизни акредитиви                                                                     </t>
  </si>
  <si>
    <t xml:space="preserve">Акредитиви за плаћање увоза робе                                                                  </t>
  </si>
  <si>
    <t xml:space="preserve">Акредитиви за плаћање услуга у иностранству                                                                 </t>
  </si>
  <si>
    <t xml:space="preserve">Остали девизни акредитиви                                                                    </t>
  </si>
  <si>
    <t xml:space="preserve">Добити које су резултат промене вредности девизних акредитива                                                               </t>
  </si>
  <si>
    <t xml:space="preserve">Девизна благајна                                                                     </t>
  </si>
  <si>
    <t xml:space="preserve">Главна девизна благајна                                                                    </t>
  </si>
  <si>
    <t xml:space="preserve">Девизна благајна мењачнице                                                                    </t>
  </si>
  <si>
    <t xml:space="preserve">Добити које су резултат промене вредности девизних средстава у благајни                                                             </t>
  </si>
  <si>
    <t xml:space="preserve">Остале девизне благајне                                                                    </t>
  </si>
  <si>
    <t xml:space="preserve">Остала новчана средства                                                                    </t>
  </si>
  <si>
    <t xml:space="preserve">Новчана средства депонована за неисплаћене зараде запослених                                                                </t>
  </si>
  <si>
    <t xml:space="preserve">Новчана средства за накнаде зарада за рефундирано боловање, војне вежбе и слично                                                           </t>
  </si>
  <si>
    <t xml:space="preserve">Новчана средства евидентног рачуна прихода буџетских корисника                                                                </t>
  </si>
  <si>
    <t xml:space="preserve">Новчана средства судског депозита                                                                   </t>
  </si>
  <si>
    <t xml:space="preserve">Новчана средства код банке за куповину девиза                                                                </t>
  </si>
  <si>
    <t xml:space="preserve">Новчана средства код банке од продаје девиза                                                                </t>
  </si>
  <si>
    <t xml:space="preserve">Новчана средства упутница код поште                                                                  </t>
  </si>
  <si>
    <t xml:space="preserve">Новчана средства упутница код управе за трезор                                                                </t>
  </si>
  <si>
    <t xml:space="preserve">Племенити метали                                                                     </t>
  </si>
  <si>
    <t xml:space="preserve">Монетарно злато                                                                     </t>
  </si>
  <si>
    <t xml:space="preserve">Специјална права вучења                                                                    </t>
  </si>
  <si>
    <t xml:space="preserve">Хартије од вредности                                                                    </t>
  </si>
  <si>
    <t xml:space="preserve">Чекови                                                                      </t>
  </si>
  <si>
    <t xml:space="preserve">Динарски чекови правних лица                                                                   </t>
  </si>
  <si>
    <t xml:space="preserve">Динарски чекови предузетника                                                                    </t>
  </si>
  <si>
    <t xml:space="preserve">Динарски чекови грађана                                                                    </t>
  </si>
  <si>
    <t xml:space="preserve">Остали динарски чекови                                                                    </t>
  </si>
  <si>
    <t xml:space="preserve">Чекови дати на наплату                                                                   </t>
  </si>
  <si>
    <t xml:space="preserve">Протестовани чекови                                                                     </t>
  </si>
  <si>
    <t xml:space="preserve">Чекови у страној валути                                                                   </t>
  </si>
  <si>
    <t xml:space="preserve">Остале хартије од вредности                                                                   </t>
  </si>
  <si>
    <t xml:space="preserve">Обвезнице                                                                      </t>
  </si>
  <si>
    <t xml:space="preserve">Менице                                                                      </t>
  </si>
  <si>
    <t xml:space="preserve">Исправка вредности                                                                     </t>
  </si>
  <si>
    <t xml:space="preserve">Исправка вредности чекова                                                                    </t>
  </si>
  <si>
    <t xml:space="preserve">Исправка вредности осталих хартија од вредности                                                                 </t>
  </si>
  <si>
    <t xml:space="preserve">Краткорочна потраживања                                                                     </t>
  </si>
  <si>
    <t xml:space="preserve">Потраживања по основу продаје и друга потраживања                                                                </t>
  </si>
  <si>
    <t xml:space="preserve">Купци у земљи                                                                    </t>
  </si>
  <si>
    <t xml:space="preserve">Потраживања од купаца                                                                    </t>
  </si>
  <si>
    <t xml:space="preserve">Потраживања за продату комисиону и консигнациону робу                                                                </t>
  </si>
  <si>
    <t xml:space="preserve">Спорна потраживања од купаца                                                                   </t>
  </si>
  <si>
    <t xml:space="preserve">Исправка вредности потраживања од купаца у земљи                                                                </t>
  </si>
  <si>
    <t xml:space="preserve">Купци у иностранству                                                                    </t>
  </si>
  <si>
    <t xml:space="preserve">Исправка вредности потраживања од купаца у иностранству                                                                </t>
  </si>
  <si>
    <t xml:space="preserve">Потраживања за камате и дивиденде                                                                  </t>
  </si>
  <si>
    <t xml:space="preserve">Потраживања за уговорене камате                                                                   </t>
  </si>
  <si>
    <t xml:space="preserve">Потраживања за затезне камате                                                                   </t>
  </si>
  <si>
    <t xml:space="preserve">Потраживања за дивиденде                                                                    </t>
  </si>
  <si>
    <t xml:space="preserve">Исправка вредности потраживања за камате и дивиденде                                                                </t>
  </si>
  <si>
    <t xml:space="preserve">Потраживања од запослених                                                                    </t>
  </si>
  <si>
    <t xml:space="preserve">Аконтације за службено путовање у земљи                                                                 </t>
  </si>
  <si>
    <t xml:space="preserve">Аконтације за службено путовање у иностранство                                                                 </t>
  </si>
  <si>
    <t xml:space="preserve">Потраживања по основу накнаде штете                                                                  </t>
  </si>
  <si>
    <t xml:space="preserve">Потраживања по основу мањкова                                                                   </t>
  </si>
  <si>
    <t xml:space="preserve">Потраживања по основу бензинских бонова                                                                  </t>
  </si>
  <si>
    <t xml:space="preserve">Потраживања за откупљене станове                                                                   </t>
  </si>
  <si>
    <t xml:space="preserve">Потраживања за стамбене кредите                                                                   </t>
  </si>
  <si>
    <t xml:space="preserve">Остала потраживања од запослених                                                                   </t>
  </si>
  <si>
    <t xml:space="preserve">Исправка вредности потраживања од запослених                                                                  </t>
  </si>
  <si>
    <t xml:space="preserve">Потраживања од других органа и организација                                                                 </t>
  </si>
  <si>
    <t xml:space="preserve">Потраживања од јавних прихода за мање дозначена средства                                                               </t>
  </si>
  <si>
    <t xml:space="preserve">Потраживања на основу субвенција и дотација                                                                 </t>
  </si>
  <si>
    <t xml:space="preserve">Потраживања за регресе, премије и компензације                                                                 </t>
  </si>
  <si>
    <t xml:space="preserve">Потраживања за повраћај царина и других дажбина                                                                </t>
  </si>
  <si>
    <t xml:space="preserve">Остала потраживања од државних органа и организација                                                                </t>
  </si>
  <si>
    <t xml:space="preserve">Потраживања за неосигурана лица                                                                   </t>
  </si>
  <si>
    <t xml:space="preserve">Спорна потраживања                                                                     </t>
  </si>
  <si>
    <t xml:space="preserve">Исправка вредности потраживања од других органа и организација                                                               </t>
  </si>
  <si>
    <t xml:space="preserve">Потраживања по основу преплаћених пореза и доприноса                                                                </t>
  </si>
  <si>
    <t xml:space="preserve">Потраживања за преплаћене порезе на промет производа и услуга                                                              </t>
  </si>
  <si>
    <t xml:space="preserve">Потраживања за преплаћене порезе на зараде и накнаде зарада                                                              </t>
  </si>
  <si>
    <t xml:space="preserve">Потраживања за преплаћене доприносе на зараде и накнаде зарада                                                              </t>
  </si>
  <si>
    <t xml:space="preserve">Потраживања за преплаћене остале порезе и доприносе                                                                </t>
  </si>
  <si>
    <t xml:space="preserve">Накнадно враћен порез на додату вредност купцима – страним држављанима                                                             </t>
  </si>
  <si>
    <t xml:space="preserve">Исправка вредности потраживања по основу преплаћених пореза и доприноса                                                              </t>
  </si>
  <si>
    <t xml:space="preserve">Остала потраживања                                                                     </t>
  </si>
  <si>
    <t xml:space="preserve">Потраживања по основу позајмице из сталне буџетске резерве                                                               </t>
  </si>
  <si>
    <t xml:space="preserve">Потраживања од фондова по основу исплаћених накнада запосленима                                                               </t>
  </si>
  <si>
    <t xml:space="preserve">Потраживања од осигуравајућих организација за накнаду штете                                                                </t>
  </si>
  <si>
    <t xml:space="preserve">Потраживања од других правних и физичких лица за накнаду штете                                                             </t>
  </si>
  <si>
    <t xml:space="preserve">Потраживања за доспеле отплате по дугорочним пласманима                                                                </t>
  </si>
  <si>
    <t xml:space="preserve">Депозити код судова за вештачење и за учешће на лицитацији                                                             </t>
  </si>
  <si>
    <t xml:space="preserve">Остала краткорочна потраживања                                                                    </t>
  </si>
  <si>
    <t xml:space="preserve">Исправка вредности осталих потраживања                                                                   </t>
  </si>
  <si>
    <t xml:space="preserve">Краткорочни пласмани                                                                     </t>
  </si>
  <si>
    <t xml:space="preserve">Краткорочни кредити                                                                     </t>
  </si>
  <si>
    <t xml:space="preserve">Краткорочни кредити дати у земљи                                                                  </t>
  </si>
  <si>
    <t xml:space="preserve">Кредити дати осталим нивоима власти                                                                  </t>
  </si>
  <si>
    <t xml:space="preserve">Кредити дати запосленима у складу са прописима                                                                </t>
  </si>
  <si>
    <t xml:space="preserve">Дати потрошачки кредити                                                                    </t>
  </si>
  <si>
    <t xml:space="preserve">Остали домаћи дати кредити                                                                   </t>
  </si>
  <si>
    <t xml:space="preserve">Краткорочни кредити дати у иностранству                                                                  </t>
  </si>
  <si>
    <t xml:space="preserve">Кредити дати страним владама                                                                   </t>
  </si>
  <si>
    <t xml:space="preserve">Кредити дати страним појединцима                                                                   </t>
  </si>
  <si>
    <t xml:space="preserve">Остали страни кредити                                                                    </t>
  </si>
  <si>
    <t xml:space="preserve">Исправка вредности краткорочних кредита                                                                   </t>
  </si>
  <si>
    <t xml:space="preserve">Дати аванси, депозити и кауције                                                                  </t>
  </si>
  <si>
    <t xml:space="preserve">Аванси за набавку материјала                                                                   </t>
  </si>
  <si>
    <t xml:space="preserve">Аванси за набавку робе                                                                   </t>
  </si>
  <si>
    <t xml:space="preserve">Аванси за обављање услуга                                                                   </t>
  </si>
  <si>
    <t xml:space="preserve">Аванси за остале потребе                                                                   </t>
  </si>
  <si>
    <t xml:space="preserve">Краткорочни депозити                                                                     </t>
  </si>
  <si>
    <t xml:space="preserve">Краткорочне кауције                                                                     </t>
  </si>
  <si>
    <t xml:space="preserve">Исправка вредности аванса, депозита и кауција                                                                 </t>
  </si>
  <si>
    <t xml:space="preserve">Хартије од вредности намењене продаји                                                                  </t>
  </si>
  <si>
    <t xml:space="preserve">Акције                                                                      </t>
  </si>
  <si>
    <t xml:space="preserve">Благајнички записи                                                                     </t>
  </si>
  <si>
    <t xml:space="preserve">Комерцијални записи                                                                     </t>
  </si>
  <si>
    <t xml:space="preserve">Државни записи и сертификати о депозиту                                                                 </t>
  </si>
  <si>
    <t xml:space="preserve">Финансијски деривати којима се тргује на берзи                                                                </t>
  </si>
  <si>
    <t xml:space="preserve">Остале краткорочне и дугорочне хартије од вредности намењене продаји                                                              </t>
  </si>
  <si>
    <t xml:space="preserve">Удео у капиталу другог правног лица                                                                 </t>
  </si>
  <si>
    <t xml:space="preserve">Исправка вредности хартија од вредности намењених продаји                                                                </t>
  </si>
  <si>
    <t xml:space="preserve">Остали краткорочни пласмани                                                                    </t>
  </si>
  <si>
    <t xml:space="preserve">Краткорочно орочена динарска средства                                                                   </t>
  </si>
  <si>
    <t xml:space="preserve">Краткорочно орочена девизна средства                                                                   </t>
  </si>
  <si>
    <t xml:space="preserve">Остали краткорочни пласмани у земљи                                                                  </t>
  </si>
  <si>
    <t xml:space="preserve">Остали краткорочни пласмани у иностранству                                                                  </t>
  </si>
  <si>
    <t xml:space="preserve">Спорни остали краткорочни пласмани                                                                   </t>
  </si>
  <si>
    <t xml:space="preserve">Порез на додату вредност                                                                   </t>
  </si>
  <si>
    <t xml:space="preserve">Порез на додату вредност у примљеним фактурама по општој стопи (осим плаћених аванса)                                                          </t>
  </si>
  <si>
    <t xml:space="preserve">Порез на додату вредност у примљеним фактурама по посебној стопи (осим плаћених аванса)                                                          </t>
  </si>
  <si>
    <t xml:space="preserve">Порез на додату вредност у датим авансима по општој стопи                                                             </t>
  </si>
  <si>
    <t xml:space="preserve">Порез на додату вредност у датим авансима по посебној стопи                                                             </t>
  </si>
  <si>
    <t xml:space="preserve">Порез на додату вредност плаћен при увозу добара по општој стопи                                                            </t>
  </si>
  <si>
    <t xml:space="preserve">Порез на додату вредност плаћен при увозу добара по посебној стопи                                                            </t>
  </si>
  <si>
    <t xml:space="preserve">Порез на додату вредност обрачунат на услуге иностраних лица                                                              </t>
  </si>
  <si>
    <t xml:space="preserve">Пдв надокнада плаћена пољопривреднику                                                                   </t>
  </si>
  <si>
    <t xml:space="preserve">Потраживање за више плаћени порез на додату вредност                                                               </t>
  </si>
  <si>
    <t xml:space="preserve">Исправка вредности осталих краткорочних пласмана                                                                  </t>
  </si>
  <si>
    <t xml:space="preserve">Активна временска разграничења                                                                    </t>
  </si>
  <si>
    <t xml:space="preserve">Разграничени расходи до једне године                                                                  </t>
  </si>
  <si>
    <t xml:space="preserve">Унапред плаћена премија осигурања                                                                   </t>
  </si>
  <si>
    <t xml:space="preserve">Унапред плаћена закупнина                                                                    </t>
  </si>
  <si>
    <t xml:space="preserve">Унапред плаћена претплата за стручне часописе и публикације                                                               </t>
  </si>
  <si>
    <t xml:space="preserve">Унапред плаћени расходи грејања                                                                   </t>
  </si>
  <si>
    <t xml:space="preserve">Остали унапред плаћени расходи                                                                   </t>
  </si>
  <si>
    <t xml:space="preserve">Обрачунати неплаћени расходи и издаци                                                                  </t>
  </si>
  <si>
    <t xml:space="preserve">Обрачунати неплаћени расходи                                                                    </t>
  </si>
  <si>
    <t xml:space="preserve">Обрачунати неплаћени издаци                                                                    </t>
  </si>
  <si>
    <t xml:space="preserve">Остала активна временска разграничења                                                                   </t>
  </si>
  <si>
    <t xml:space="preserve">Обрачунати приходи од камата које се односе на обрачунски период а доспевају за наплату у наредном периоду                                                      </t>
  </si>
  <si>
    <t xml:space="preserve">Обавезе                                                                      </t>
  </si>
  <si>
    <t xml:space="preserve">Дугорочне обавезе                                                                     </t>
  </si>
  <si>
    <t xml:space="preserve">Домаће дугорочне обавезе                                                                    </t>
  </si>
  <si>
    <t xml:space="preserve">Обавезе по основу емитованих хартија од вредности, изузев акција                                                              </t>
  </si>
  <si>
    <t xml:space="preserve">Обавезе по основу дугорочних кредита од осталих нивоа власти                                                              </t>
  </si>
  <si>
    <t xml:space="preserve">Обавезе по основу дугорочних кредита од нивоа републике                                                               </t>
  </si>
  <si>
    <t xml:space="preserve">Обавезе по основу дугорочних кредита од нивоа територијалних аутономија                                                              </t>
  </si>
  <si>
    <t xml:space="preserve">Обавезе по основу дугорочних кредита од нивоа градова                                                               </t>
  </si>
  <si>
    <t xml:space="preserve">Обавезе по основу дугорочних кредита од нивоа општина                                                               </t>
  </si>
  <si>
    <t xml:space="preserve">Обавезе по основу дугорочних кредита од организација обавезног социјалног осигурања                                                             </t>
  </si>
  <si>
    <t xml:space="preserve">Обавезе по основу дугорочних кредита од републичког фонда за здравствено осигурање                                                            </t>
  </si>
  <si>
    <t xml:space="preserve">Обавезе по основу дугорочних кредита од републичког фонда за пио                                                             </t>
  </si>
  <si>
    <t xml:space="preserve">Обавезе по основу дугорочних кредита од националне службе за запошљавање                                                             </t>
  </si>
  <si>
    <t xml:space="preserve">Обавезе по основу дугорочних кредита од домаћих јавних финансијских институција                                                             </t>
  </si>
  <si>
    <t xml:space="preserve">Обавезе по основу дугорочних кредита од нбс                                                                </t>
  </si>
  <si>
    <t xml:space="preserve">Обавезе по основу дугорочних кредита од осталих домаћих јавних финансијских институција                                                            </t>
  </si>
  <si>
    <t xml:space="preserve">Обавезе по основу дугорочних кредита од домаћих пословних банака                                                              </t>
  </si>
  <si>
    <t xml:space="preserve">Обавезе по основу дугорочних кредита од осталих домаћих кредитора                                                              </t>
  </si>
  <si>
    <t xml:space="preserve">Обавезе по основу дугорочних кредита од домаћинстава у земљи                                                              </t>
  </si>
  <si>
    <t xml:space="preserve">Дугорочне обавезе по основу домаћих финансијских деривата                                                                </t>
  </si>
  <si>
    <t xml:space="preserve">Дугорочне обавезе по основу домаћих меница                                                                 </t>
  </si>
  <si>
    <t xml:space="preserve">Дугорочне обавезе за финансијске лизинге                                                                  </t>
  </si>
  <si>
    <t xml:space="preserve">Дугорочне обавезе за финансијске лизинге за зграде и грађевинске објекте                                                             </t>
  </si>
  <si>
    <t xml:space="preserve">Дугорочне обавезе за финансијске лизинге за опрему                                                                </t>
  </si>
  <si>
    <t xml:space="preserve">Дугорочне обавезе за финансијске лизинге за осталу нефинансијску имовину                                                              </t>
  </si>
  <si>
    <t xml:space="preserve">Стране дугорочне обавезе                                                                    </t>
  </si>
  <si>
    <t xml:space="preserve">Дугорочне стране обавезе по основу емитованих хартија од вредности, изузев акција                                                            </t>
  </si>
  <si>
    <t xml:space="preserve">Обавезе по основу дугорочних кредита од страних влада                                                               </t>
  </si>
  <si>
    <t xml:space="preserve">Обавезе по основу дугорочних кредита од париског клуба                                                               </t>
  </si>
  <si>
    <t xml:space="preserve">Обавезе по основу дугорочних кредита од извозно увозних банака                                                              </t>
  </si>
  <si>
    <t xml:space="preserve">Обавезе по основу дугорочних кредита од осталих страних влада                                                              </t>
  </si>
  <si>
    <t xml:space="preserve">Обавезе по основу дугорочних кредита од мултилатералних институција                                                               </t>
  </si>
  <si>
    <t xml:space="preserve">Обавезе по основу дугорочних кредита од светске банке                                                               </t>
  </si>
  <si>
    <t xml:space="preserve">Обавезе по основу дугорочних кредита од ibrd                                                                </t>
  </si>
  <si>
    <t xml:space="preserve">Обавезе по основу дугорочних кредита од ebrd                                                                </t>
  </si>
  <si>
    <t xml:space="preserve">Обавезе по основу дугорочних кредита од eib                                                                </t>
  </si>
  <si>
    <t xml:space="preserve">Обавезе по основу дугорочних кредита од ceb                                                                </t>
  </si>
  <si>
    <t xml:space="preserve">Обавезе по основу дугорочних кредита од осталих мултилатералних институција                                                              </t>
  </si>
  <si>
    <t xml:space="preserve">Обавезе по основу дугорочних кредита од страних пословних банака                                                              </t>
  </si>
  <si>
    <t xml:space="preserve">Обавезе по основу дугорочних кредита од лондонског клуба                                                               </t>
  </si>
  <si>
    <t xml:space="preserve">Обавезе по основу дугорочних кредита од осталих страних пословних банака                                                             </t>
  </si>
  <si>
    <t xml:space="preserve">Обавезе по основу дугорочних кредита од осталих страних кредитора                                                              </t>
  </si>
  <si>
    <t xml:space="preserve">Дугорочне обавезе по основу страних финансијских деривата                                                                </t>
  </si>
  <si>
    <t xml:space="preserve">Дугорочне обавезе по основу гаранција                                                                  </t>
  </si>
  <si>
    <t xml:space="preserve">Краткорочне обавезе                                                                     </t>
  </si>
  <si>
    <t xml:space="preserve">Краткорочне домаће обавезе                                                                    </t>
  </si>
  <si>
    <t xml:space="preserve">Краткорочне домаће обавезе по основу емитованих хартија од вредности, изузев акција                                                            </t>
  </si>
  <si>
    <t xml:space="preserve">Обавезе по основу краткорочних кредита од осталих нивоа власти                                                              </t>
  </si>
  <si>
    <t xml:space="preserve">Обавезе по основу краткорочних кредита од нивоа републике                                                               </t>
  </si>
  <si>
    <t xml:space="preserve">Обавезе по основу краткорочних кредита од нивоа територијалних аутономија                                                              </t>
  </si>
  <si>
    <t xml:space="preserve">Обавезе по основу краткорочних кредита од нивоа градова                                                               </t>
  </si>
  <si>
    <t xml:space="preserve">Обавезе по основу краткорочних кредита од нивоа општина                                                               </t>
  </si>
  <si>
    <t xml:space="preserve">Обавезе по основу краткорочних кредита од организација обавезног социјалног осигурања                                                             </t>
  </si>
  <si>
    <t xml:space="preserve">Обавезе по основу краткорочних кредита од републичког фонда за здравствено осигурање                                                            </t>
  </si>
  <si>
    <t xml:space="preserve">Обавезе по основу краткорочних кредита од републичког фонда за пио                                                             </t>
  </si>
  <si>
    <t xml:space="preserve">Обавезе по основу краткорочних кредита од националне службе за запошљавање                                                             </t>
  </si>
  <si>
    <t xml:space="preserve">Обавезе по основу краткорочних кредита од домаћих јавних финансијских институција                                                             </t>
  </si>
  <si>
    <t xml:space="preserve">Обавезе по основу краткорочних кредита од нбс                                                                </t>
  </si>
  <si>
    <t xml:space="preserve">Обавезе по основу краткорочних кредита од осталих домаћих јавних финансијских институција                                                            </t>
  </si>
  <si>
    <t xml:space="preserve">Обавезе по основу краткорочних кредита од домаћих пословних банака                                                              </t>
  </si>
  <si>
    <t xml:space="preserve">Обавезе по основу краткорочних кредита од осталих домаћих кредитора                                                              </t>
  </si>
  <si>
    <t xml:space="preserve">Обавезе по основу краткорочних кредита од домаћинстава у земљи                                                              </t>
  </si>
  <si>
    <t xml:space="preserve">Краткорочне обавезе по основу домаћих финансијских деривата                                                                </t>
  </si>
  <si>
    <t xml:space="preserve">Краткорочне обавезе по основу домаћих меница                                                                 </t>
  </si>
  <si>
    <t xml:space="preserve">Краткорочне стране обавезе                                                                    </t>
  </si>
  <si>
    <t xml:space="preserve">Краткорочне стране обавезе по основу емитованих хартија од вредности, изузев акција                                                            </t>
  </si>
  <si>
    <t xml:space="preserve">Обавезе по основу краткорочних крeдита од страних влада                                                               </t>
  </si>
  <si>
    <t xml:space="preserve">Обавезе по основу краткорочних кредита од париског клуба                                                               </t>
  </si>
  <si>
    <t xml:space="preserve">Обавезе по основу краткорочних кредита од извозно - увозних банака                                                             </t>
  </si>
  <si>
    <t xml:space="preserve">Обавезе по основу краткорочних кредита од осталих страних влада                                                              </t>
  </si>
  <si>
    <t xml:space="preserve">Обавезе по основу краткорочних кредита од мултилатералних институција                                                               </t>
  </si>
  <si>
    <t xml:space="preserve">Обавезе по основу краткорочних кредита од светске банке                                                               </t>
  </si>
  <si>
    <t xml:space="preserve">Обавезе по основу краткорочних кредита од ibrd                                                                </t>
  </si>
  <si>
    <t xml:space="preserve">Обавезе по основу краткорочних кредита од ebrd                                                                </t>
  </si>
  <si>
    <t xml:space="preserve">Обавезе по основу краткорочних кредита од eib                                                                </t>
  </si>
  <si>
    <t xml:space="preserve">Обавезе по основу краткорочних кредита од ceb                                                                </t>
  </si>
  <si>
    <t xml:space="preserve">Обавезе по основу краткорочних кредита од осталих мултилатералних институција                                                              </t>
  </si>
  <si>
    <t xml:space="preserve">Обавезе по основу краткорочних кредита од страних пословних банака                                                              </t>
  </si>
  <si>
    <t xml:space="preserve">Обавезе по основу краткорочних кредита од лондонског клуба                                                               </t>
  </si>
  <si>
    <t xml:space="preserve">Обавезе по основу краткорочних кредита од осталих страних пословних банака                                                             </t>
  </si>
  <si>
    <t xml:space="preserve">Обавезе по основу краткорочних кредита од осталих страних кредитора                                                              </t>
  </si>
  <si>
    <t xml:space="preserve">Краткорочне обавезе по основу страних финансијских деривата                                                                </t>
  </si>
  <si>
    <t xml:space="preserve">Краткорочне обавезе по основу гаранција                                                                  </t>
  </si>
  <si>
    <t xml:space="preserve">Обавезе по основу расхода за запослене                                                                 </t>
  </si>
  <si>
    <t xml:space="preserve">Обавезе за плате и додатке                                                                  </t>
  </si>
  <si>
    <t xml:space="preserve">Обавезе за нето плате и додатке                                                                 </t>
  </si>
  <si>
    <t xml:space="preserve">Обавезе по основу пореза на плате и додатке                                                               </t>
  </si>
  <si>
    <t xml:space="preserve">Обавезе по основу доприноса за пензијско и инвалидско осигурање на плате и додатке                                                          </t>
  </si>
  <si>
    <t xml:space="preserve">Обавезе по основу доприноса за здравствено осигурање на плате и додатке                                                            </t>
  </si>
  <si>
    <t xml:space="preserve">Обавезе по основу доприноса за незапосленост на плате и додатке                                                             </t>
  </si>
  <si>
    <t xml:space="preserve">Обавезе по основу накнада запосленима                                                                  </t>
  </si>
  <si>
    <t xml:space="preserve">Обавезе по основу нето накнада запосленима                                                                 </t>
  </si>
  <si>
    <t xml:space="preserve">Обавезе по основу пореза за накнаде запосленима                                                                </t>
  </si>
  <si>
    <t xml:space="preserve">Обавезе по основу доприноса за пензијско и инвалидско осигурање за накнаде запосленима                                                           </t>
  </si>
  <si>
    <t xml:space="preserve">Обавезе по основу доприноса за здравствено осигурање за накнаде запосленима                                                             </t>
  </si>
  <si>
    <t xml:space="preserve">Обавезе по основу доприноса за незапосленост за накнаде запосленима                                                              </t>
  </si>
  <si>
    <t xml:space="preserve">Обавезе за награде и остале посебне расходе                                                                </t>
  </si>
  <si>
    <t xml:space="preserve">Обавезе по основу нето исплата награда и осталих посебних расхода                                                             </t>
  </si>
  <si>
    <t xml:space="preserve">Обавезе по основу пореза на награде и остале посебне расходе                                                             </t>
  </si>
  <si>
    <t xml:space="preserve">Обавезе по основу доприноса за пензијско и инвалидско осигурање за награде и остале посебне расходе                                                        </t>
  </si>
  <si>
    <t xml:space="preserve">Обавезе по основу доприноса за здравствено осигурање за награде и остале посебне расходе                                                          </t>
  </si>
  <si>
    <t xml:space="preserve">Обавезе по основу доприноса за случај незапослености за награде и остале посебне расходе                                                          </t>
  </si>
  <si>
    <t xml:space="preserve">Обавезе по основу социјалних доприноса на терет послодавца                                                               </t>
  </si>
  <si>
    <t xml:space="preserve">Обавезе по основу доприноса за пензијско и инвалидско осигурање на терет послодавца                                                           </t>
  </si>
  <si>
    <t xml:space="preserve">Обавезе по основу доприноса за здравствено осигурање на терет послодавца                                                             </t>
  </si>
  <si>
    <t xml:space="preserve">Обавезе по основу доприноса за случај незапослености на терет послодавца                                                             </t>
  </si>
  <si>
    <t xml:space="preserve">Обавезе по основу накнада у натури                                                                 </t>
  </si>
  <si>
    <t xml:space="preserve">Обавезе по основу нето накнада у натури                                                                </t>
  </si>
  <si>
    <t xml:space="preserve">Обавезе по основу пореза на накнаде у натури                                                               </t>
  </si>
  <si>
    <t xml:space="preserve">Обавезе по основу доприноса за пензијско и инвалидско осигурање за накнаде у натури                                                          </t>
  </si>
  <si>
    <t xml:space="preserve">Обавезе по основу доприноса за здравствено осигурање за накнаде у натури                                                            </t>
  </si>
  <si>
    <t xml:space="preserve">Обавезе по основу доприноса за случај незапослености за накнаде у натури                                                            </t>
  </si>
  <si>
    <t xml:space="preserve">Обавезе по основу социјалне помоћи запосленима                                                                 </t>
  </si>
  <si>
    <t xml:space="preserve">Обавезе по основу нето исплата социјалне помоћи запосленима                                                               </t>
  </si>
  <si>
    <t xml:space="preserve">Обавезе по основу нето накнада рефундације                                                                 </t>
  </si>
  <si>
    <t xml:space="preserve">Обавезе по основу нето накнада за породиљско одсуство                                                               </t>
  </si>
  <si>
    <t xml:space="preserve">Обавезе по основу нето накнада за боловање преко 30 дана                                                             </t>
  </si>
  <si>
    <t xml:space="preserve">Обавезе по основу нето накнада за инвалидност другог степена                                                              </t>
  </si>
  <si>
    <t xml:space="preserve">Обавезе по основу пореза на социјалну помоћ запосленима                                                               </t>
  </si>
  <si>
    <t xml:space="preserve">Обавезе по основу доприноса за пензијско и инвалидско осигурање за социјалну помоћ запосленима                                                          </t>
  </si>
  <si>
    <t xml:space="preserve">Обавезе по основу доприноса за здравствено осигурање за социјалну помоћ запосленима                                                            </t>
  </si>
  <si>
    <t xml:space="preserve">Обавезе по основу доприноса за случај незапослености за социјалну помоћ запосленима                                                            </t>
  </si>
  <si>
    <t xml:space="preserve">Службена путовања и услуге по уговору                                                                 </t>
  </si>
  <si>
    <t xml:space="preserve">Обавезе по основу нето исплата за службена путовања                                                               </t>
  </si>
  <si>
    <t xml:space="preserve">Обавезе по основу нето исплата за службена путовања  у земљи                                                            </t>
  </si>
  <si>
    <t xml:space="preserve">Обавезе по основу нето исплата за службена путовања  у иностранство                                                            </t>
  </si>
  <si>
    <t xml:space="preserve">Обавезе по основу пореза на исплате за службена путовања                                                              </t>
  </si>
  <si>
    <t xml:space="preserve">Обавезе по основу нето исплата за услуге по уговору                                                              </t>
  </si>
  <si>
    <t xml:space="preserve">Обавезе по основу пореза на исплате за услуге по уговору                                                             </t>
  </si>
  <si>
    <t xml:space="preserve">Обавезе по основу доприноса за пензијско и инвалидско осигурање за услуге по уговору                                                          </t>
  </si>
  <si>
    <t xml:space="preserve">Обавезе по основу доприноса за здравствено осигурање за услуге по уговору                                                            </t>
  </si>
  <si>
    <t xml:space="preserve">Обавезе по основу доприноса за случај незапослености за услуге по уговору                                                            </t>
  </si>
  <si>
    <t xml:space="preserve">Обавезе по основу посланичких додатака                                                                  </t>
  </si>
  <si>
    <t xml:space="preserve">Обавезе за нето исплаћени посланички додатак                                                                 </t>
  </si>
  <si>
    <t xml:space="preserve">Обавезе по основу пореза на исплаћени посланички додатак                                                               </t>
  </si>
  <si>
    <t xml:space="preserve">Обавезе по основу доприноса за пензијско и инвалидско осигурање за посланички додатак                                                           </t>
  </si>
  <si>
    <t xml:space="preserve">Обавезе по основу доприноса за здравствено осигурање за посланички додатак                                                             </t>
  </si>
  <si>
    <t xml:space="preserve">Обавезе по основу доприноса за случај незапослености за посланички додатак                                                             </t>
  </si>
  <si>
    <t xml:space="preserve">Обавезе по основу судијских  додатака                                                                 </t>
  </si>
  <si>
    <t xml:space="preserve">Обавезе за нето исплаћени судијски додатак                                                                 </t>
  </si>
  <si>
    <t xml:space="preserve">Обавезе по основу пореза на исплаћени судијски додатак                                                               </t>
  </si>
  <si>
    <t xml:space="preserve">Обавезе по основу доприноса за пензијско и инвалидско осигурање за судијски додатак                                                           </t>
  </si>
  <si>
    <t xml:space="preserve">Обавезе по основу доприноса за здравствено осигурање за судијски додатак                                                             </t>
  </si>
  <si>
    <t xml:space="preserve">Обавезе по основу доприноса за случај незапослености за судијски додатак                                                             </t>
  </si>
  <si>
    <t xml:space="preserve">Обавезе по основу осталих расхода, изузев расхода за запослене                                                              </t>
  </si>
  <si>
    <t xml:space="preserve">Обавезе по основу отплате камата и пратећих трошкова задуживања                                                              </t>
  </si>
  <si>
    <t xml:space="preserve">Обавезе по основу отплате домаћих камата                                                                 </t>
  </si>
  <si>
    <t xml:space="preserve">Обавезе по основу отплате камата на домаће хартије од вредности                                                             </t>
  </si>
  <si>
    <t xml:space="preserve">Обавезе по основу отплате камата на краткорочне домаће хартије од вредности                                                            </t>
  </si>
  <si>
    <t xml:space="preserve">Обавезе по основу отплате камата на дугорочне домаће хартије од вредности                                                            </t>
  </si>
  <si>
    <t xml:space="preserve">Обавезе по основу отплате камата осталим нивоима власти                                                               </t>
  </si>
  <si>
    <t xml:space="preserve">Обавезе по основу отплате камата нивоу републике                                                                </t>
  </si>
  <si>
    <t xml:space="preserve">Обавезе по основу отплате камата нивоу територијалних аутономија                                                               </t>
  </si>
  <si>
    <t xml:space="preserve">Обавезе по основу отплате камата нивоу градова                                                                </t>
  </si>
  <si>
    <t xml:space="preserve">Обавезе по основу отплате камата нивоу општина                                                                </t>
  </si>
  <si>
    <t xml:space="preserve">Обавезе по основу отплате камата организацијама обавезног социјалног осигурања                                                              </t>
  </si>
  <si>
    <t xml:space="preserve">Обавезе по основу отплате камата домаћим јавним финансијским институцијама                                                              </t>
  </si>
  <si>
    <t xml:space="preserve">Обавезе по основу отплате камата нбс                                                                 </t>
  </si>
  <si>
    <t xml:space="preserve">Обавезе по основу отплате камата осталим домаћим јавним финансијским институцијама                                                             </t>
  </si>
  <si>
    <t xml:space="preserve">Обавезе по основу отплате камата домаћим пословним банкама                                                               </t>
  </si>
  <si>
    <t xml:space="preserve">Обавезе по основу отплате камата осталим домаћим кредиторима                                                               </t>
  </si>
  <si>
    <t xml:space="preserve">Обавезе по основу отплате камата домаћинствима у земљи                                                               </t>
  </si>
  <si>
    <t xml:space="preserve">Обавезе по основу отплате камата на домаће финансијске деривате                                                              </t>
  </si>
  <si>
    <t xml:space="preserve">Обавезе по основу отплате камата на менице                                                                </t>
  </si>
  <si>
    <t xml:space="preserve">Обавезе по основу отплате страних камата                                                                 </t>
  </si>
  <si>
    <t xml:space="preserve">Обавезе по основу отплате камата на стране хартије од вредности                                                             </t>
  </si>
  <si>
    <t xml:space="preserve">Обавезе по основу отплате камата на краткорочне стране хартије од вредности                                                            </t>
  </si>
  <si>
    <t xml:space="preserve">Обавезе по основу отплате камата на дугорочне стране хартије од вредности                                                            </t>
  </si>
  <si>
    <t xml:space="preserve">Обавезе по основу отплате камата страним владама                                                                </t>
  </si>
  <si>
    <t xml:space="preserve">Обавезе по основу отплате камата париском клубу                                                                </t>
  </si>
  <si>
    <t xml:space="preserve">Обавезе по основу отплате камата извозно увозним банкама                                                               </t>
  </si>
  <si>
    <t xml:space="preserve">Обавезе по основу отплате камата осталим страним владама                                                               </t>
  </si>
  <si>
    <t xml:space="preserve">Обавезе по основу отплате камата мултилатералним институцијама                                                                </t>
  </si>
  <si>
    <t xml:space="preserve">Обавезе по основу отплате камата светској банци                                                                </t>
  </si>
  <si>
    <t xml:space="preserve">Обавезе по основу отплате камата ibrd                                                                 </t>
  </si>
  <si>
    <t xml:space="preserve">Обавезе по основу отплате камата ebrd                                                                 </t>
  </si>
  <si>
    <t xml:space="preserve">Обавезе по основу отплате камата eib                                                                 </t>
  </si>
  <si>
    <t xml:space="preserve">Обавезе по основу отплате камата ceb                                                                 </t>
  </si>
  <si>
    <t xml:space="preserve">Обавезе по основу отплате камата осталим мултилатералним институцијама                                                               </t>
  </si>
  <si>
    <t xml:space="preserve">Обавезе по основу отплате камата страним пословним банкама                                                               </t>
  </si>
  <si>
    <t xml:space="preserve">Обавезе по основу отплате камата лондонском клубу                                                                </t>
  </si>
  <si>
    <t xml:space="preserve">Обавезе по основу отплате камата осталим страним пословним банкама                                                              </t>
  </si>
  <si>
    <t xml:space="preserve">Обавезе по основу отплате камата осталим страним кредиторима                                                               </t>
  </si>
  <si>
    <t xml:space="preserve">Обавезе по основу отплате камата на стране финансијске деривате                                                              </t>
  </si>
  <si>
    <t xml:space="preserve">Обавезе по основу отплате камата по гаранцијама                                                                </t>
  </si>
  <si>
    <t xml:space="preserve">Обавезе по основу пратећих трошкова задуживања                                                                 </t>
  </si>
  <si>
    <t xml:space="preserve">Негативна курсна разлика                                                                    </t>
  </si>
  <si>
    <t xml:space="preserve">Затезне камате                                                                     </t>
  </si>
  <si>
    <t xml:space="preserve">Таксе везане за задуживање                                                                   </t>
  </si>
  <si>
    <t xml:space="preserve">Обавезе по основу субвенција                                                                   </t>
  </si>
  <si>
    <t xml:space="preserve">Обавезе по основу субвенција нефинансијским предузећима                                                                 </t>
  </si>
  <si>
    <t xml:space="preserve">Обавезе по основу текућих субвенција нефинансијским предузећима                                                                </t>
  </si>
  <si>
    <t xml:space="preserve">Обавезе по основу текућих субвенција јавном градском саобраћају                                                               </t>
  </si>
  <si>
    <t xml:space="preserve">Обавезе по основу текућих субвенција у јавном железничком саобраћају                                                              </t>
  </si>
  <si>
    <t xml:space="preserve">Обавезе по основу текућих субвенција водопривреди                                                                 </t>
  </si>
  <si>
    <t xml:space="preserve">Обавезе по основу текућих субвенција у пољопривреди                                                                </t>
  </si>
  <si>
    <t xml:space="preserve">Обавезе по основу текућих субвенција осталим јавним нефинансијским предузећима                                                              </t>
  </si>
  <si>
    <t xml:space="preserve">Обавеза по основу капиталних субвенција јавним нефинансијским предузећима                                                               </t>
  </si>
  <si>
    <t xml:space="preserve">Обавезе по основу капиталних субвенција јавном градском саобраћају                                                               </t>
  </si>
  <si>
    <t xml:space="preserve">Обавезе по основу капиталних субвенција у јавном железничком саобраћају                                                              </t>
  </si>
  <si>
    <t xml:space="preserve">Обавезе по основу капиталних субвенција водопривреди                                                                 </t>
  </si>
  <si>
    <t xml:space="preserve">Обавезе по основу капиталних субвенција у пољопривреди                                                                </t>
  </si>
  <si>
    <t xml:space="preserve">Обавезе по основу капиталних субвенција осталим јавним нефинансијским предузећима                                                              </t>
  </si>
  <si>
    <t xml:space="preserve">Обавезе по основу субвенција приватним финансијским предузећима                                                                </t>
  </si>
  <si>
    <t xml:space="preserve">Обавезе по основу текућих субвенција приватним финансијским предузећима                                                               </t>
  </si>
  <si>
    <t xml:space="preserve">Обавезе по основу текућих субвенција пословним и трговачким банкама                                                              </t>
  </si>
  <si>
    <t xml:space="preserve">Обавезе по основу текућих субвенција осталим приватним финансијским предузећима                                                              </t>
  </si>
  <si>
    <t xml:space="preserve">Обавезе по основу капиталних субвенција приватним финансијским предузећима                                                               </t>
  </si>
  <si>
    <t xml:space="preserve">Обавезе по основу капиталних субвенција пословним и трговачким банкама                                                              </t>
  </si>
  <si>
    <t xml:space="preserve">Обавезе по основу капиталних субвенција осталим приватним финансијским предузећима                                                              </t>
  </si>
  <si>
    <t xml:space="preserve">Обавезе по основу субвенција јавним финансијским установама                                                                </t>
  </si>
  <si>
    <t xml:space="preserve">Обавезе по основу текућих субвенција јавним финансијским установама                                                               </t>
  </si>
  <si>
    <t xml:space="preserve">Обавезе по основу текућих субвенција нбс                                                                 </t>
  </si>
  <si>
    <t xml:space="preserve">Обавезе по основу текућих субвенција осталим домаћим јавним финансијским установама                                                             </t>
  </si>
  <si>
    <t xml:space="preserve">Обавезе по основу капиталних субвенција јавним финансијским установама                                                               </t>
  </si>
  <si>
    <t xml:space="preserve">Обавезе по основу капиталних субвенција нбс                                                                 </t>
  </si>
  <si>
    <t xml:space="preserve">Обавезе по основу капиталних субвенција осталим домаћим јавним финансијским установама                                                             </t>
  </si>
  <si>
    <t xml:space="preserve">Обавезе по основу субвенција приватним предузећима                                                                 </t>
  </si>
  <si>
    <t xml:space="preserve">Обавезе по основу текућих субвенција приватним предузећима                                                                </t>
  </si>
  <si>
    <t xml:space="preserve">Обавезе по основу капиталних субвенција приватним предузећима                                                                </t>
  </si>
  <si>
    <t xml:space="preserve">Обавезе по основу донација, дотација и трансфера                                                                </t>
  </si>
  <si>
    <t xml:space="preserve">Обавезе по основу донација страним владама                                                                 </t>
  </si>
  <si>
    <t xml:space="preserve">Обавезе по основу текућих донација страним владама                                                                </t>
  </si>
  <si>
    <t xml:space="preserve">Обавезе по основу капиталних донација страним владама                                                                </t>
  </si>
  <si>
    <t xml:space="preserve">Обавезе по основу дотација међународним организацијама                                                                 </t>
  </si>
  <si>
    <t xml:space="preserve">Обавезе по основу текућих дотација међународним организацијама                                                                </t>
  </si>
  <si>
    <t xml:space="preserve">Обавезе по основу текућих дотација црвеном крсту                                                                </t>
  </si>
  <si>
    <t xml:space="preserve">Обавезе по основу текућих дотација за међународне чланарине                                                               </t>
  </si>
  <si>
    <t xml:space="preserve">Обавезе по основу текућих дотација осталим међународним организацијама                                                               </t>
  </si>
  <si>
    <t xml:space="preserve">Обавезе по основу капиталних дотација међународним организацијама                                                                </t>
  </si>
  <si>
    <t xml:space="preserve">Обавезе по основу капиталних дотација црвеном крсту                                                                </t>
  </si>
  <si>
    <t xml:space="preserve">Обавезе по основу капиталних дотација за међународне чланарине                                                               </t>
  </si>
  <si>
    <t xml:space="preserve">Обавезе по основу капиталних дотација осталим међународним организацијама                                                               </t>
  </si>
  <si>
    <t xml:space="preserve">Обавезе по основу трансфера осталим нивоима власти                                                                </t>
  </si>
  <si>
    <t xml:space="preserve">Обавезе по основу текућих трансфера осталим нивоима власти                                                               </t>
  </si>
  <si>
    <t xml:space="preserve">Обавезе по основу текућих трансфера нивоу републике                                                                </t>
  </si>
  <si>
    <t xml:space="preserve">Обавезе по основу текућих трансфера нивоу територијалних аутономија                                                               </t>
  </si>
  <si>
    <t xml:space="preserve">Обавезе по основу текућих трансфера нивоу градова                                                                </t>
  </si>
  <si>
    <t xml:space="preserve">Обавезе по основу текућих трансфера нивоу општина                                                                </t>
  </si>
  <si>
    <t xml:space="preserve">Обавезе по основу капиталних трансфера осталим нивоима власти                                                               </t>
  </si>
  <si>
    <t xml:space="preserve">Обавезе по основу капиталних трансфера нивоу републике                                                                </t>
  </si>
  <si>
    <t xml:space="preserve">Обавезе по основу капиталних трансфера нивоу територијалних аутономија                                                               </t>
  </si>
  <si>
    <t xml:space="preserve">Обавезе по основу капиталних трансфера нивоу градова                                                                </t>
  </si>
  <si>
    <t xml:space="preserve">Обавезе по основу капиталних трансфера нивоу општина                                                                </t>
  </si>
  <si>
    <t xml:space="preserve">Обавезе по основу дотација организацијама обавезног социјалног осигурања                                                               </t>
  </si>
  <si>
    <t xml:space="preserve">Обавезе по основу текућих дотација организацијама обавезног социјалног осигурања                                                              </t>
  </si>
  <si>
    <t xml:space="preserve">Обавезе по основу текућих дотација републичком фонду за здравствено осигурање                                                             </t>
  </si>
  <si>
    <t xml:space="preserve">Обавезе по основу текућих дотација републичком фонду за пио за осигуранике запослене                                                           </t>
  </si>
  <si>
    <t xml:space="preserve">Обавезе по основу текућих дотација републичком фонду за пио за осигуранике пољопривреднике                                                           </t>
  </si>
  <si>
    <t xml:space="preserve">Обавезе по основу текућих дотација републичком фонду за пио за осигуранике  самосталних делатности                                                         </t>
  </si>
  <si>
    <t xml:space="preserve">Обавезе по основу текућих дотација националној служби за запошљавање                                                              </t>
  </si>
  <si>
    <t xml:space="preserve">Обавезе по основу капиталних дотација организацијама обавезног социјалног осигурања                                                              </t>
  </si>
  <si>
    <t xml:space="preserve">Обавезе по основу капиталних дотација републичком фонду за здравствено осигурање                                                             </t>
  </si>
  <si>
    <t xml:space="preserve">Обавезе по основу капиталних дотација републичком фонду за пио                                                              </t>
  </si>
  <si>
    <t xml:space="preserve">Обавезе по основу капиталних дотација националној служби за запошљавање                                                              </t>
  </si>
  <si>
    <t xml:space="preserve">Обавезе за социјално осигурање                                                                   </t>
  </si>
  <si>
    <t xml:space="preserve">Обавезе по основу права из социјалног осигурања код организација обавезног социјалног осигурања                                                           </t>
  </si>
  <si>
    <t xml:space="preserve">Обавезе по основу социјалног осигурања које се исплаћује непосредно домаћинствима                                                             </t>
  </si>
  <si>
    <t xml:space="preserve">Обавезе по основу накнада зарада осигураницима услед привремене неспособности за рад                                                            </t>
  </si>
  <si>
    <t xml:space="preserve">Обавезе по основу права из пензијског осигурања                                                                </t>
  </si>
  <si>
    <t xml:space="preserve">Обавезе по основу накнада из инвалидског осигурања                                                                </t>
  </si>
  <si>
    <t xml:space="preserve">Обавезе по основу накнада које исплаћује национална служба за запошљавање                                                             </t>
  </si>
  <si>
    <t xml:space="preserve">Обавезе по основу осталих социјалних давања исплаћених непосредно домаћинствима                                                              </t>
  </si>
  <si>
    <t xml:space="preserve">Обавезе по основу права из социјалног осигурања исплаћених непосредно пружаоцима услуга                                                            </t>
  </si>
  <si>
    <t xml:space="preserve">Обавезе по основу трошкова здравствене заштите у земљи плаћених непосредно пружаоцима услуга                                                           </t>
  </si>
  <si>
    <t xml:space="preserve">Обавезе по основу услуга здравствене заштите у иностранству плаћених непосредно пружаоцима услуга                                                           </t>
  </si>
  <si>
    <t xml:space="preserve">Обавезе по основу бриге о пензионисаним лицима                                                                </t>
  </si>
  <si>
    <t xml:space="preserve">Обавезе по основу бриге о инвалидима                                                                 </t>
  </si>
  <si>
    <t xml:space="preserve">Обавезе по основу исплата послодавцима које врши национална служба за запошљавање                                                            </t>
  </si>
  <si>
    <t xml:space="preserve">Обавезе по основу пружања услуга обуке преко националне службе за запошљавање                                                            </t>
  </si>
  <si>
    <t xml:space="preserve">Обавезе по основу осталих права која се плаћају непосредно пружаоцима услуга                                                            </t>
  </si>
  <si>
    <t xml:space="preserve">Обавезе по основу дотација другим организацијама обавезног социјалног осигурања за доприносе за осигурање                                                          </t>
  </si>
  <si>
    <t xml:space="preserve">Обавезе по основу дотација републичком фонду за здравствено осигурање за доприносе за осигурање                                                          </t>
  </si>
  <si>
    <t xml:space="preserve">Обавезе по основу дотација републичком фонду за пио за осигуранике запослене за доприносе за осигурање                                                        </t>
  </si>
  <si>
    <t xml:space="preserve">Обавезе по основу дотација републичком фонду за пио за осигуранике пољопривреднике за доприносе за осигурање                                                        </t>
  </si>
  <si>
    <t xml:space="preserve">Обавезе по основу дотација републичком фонду за пио за осигуранике самосталних делатности за доприносе за осигурање                                                       </t>
  </si>
  <si>
    <t xml:space="preserve">Обавезе по основу дотација националној служби за запошљавање                                                               </t>
  </si>
  <si>
    <t xml:space="preserve">Обавезе по основу социјалне помоћи из буџета                                                                </t>
  </si>
  <si>
    <t xml:space="preserve">Обавезе по основу боловања и инвалиднина из буџета                                                               </t>
  </si>
  <si>
    <t xml:space="preserve">Боловање                                                                      </t>
  </si>
  <si>
    <t xml:space="preserve">Инвалиднине                                                                      </t>
  </si>
  <si>
    <t xml:space="preserve">Инвалиднине ратним инвалидима                                                                    </t>
  </si>
  <si>
    <t xml:space="preserve">Обавезе по основу накнада из буџета за породиљско боловање                                                              </t>
  </si>
  <si>
    <t xml:space="preserve">Обавезе по основу накнада из буџета за децу и породицу                                                             </t>
  </si>
  <si>
    <t xml:space="preserve">Обавезе по основу накнада из буџета за случај незапослености                                                              </t>
  </si>
  <si>
    <t xml:space="preserve">Обавезе по основу старосних и породичних пензија из буџета                                                              </t>
  </si>
  <si>
    <t xml:space="preserve">Обавезе по основу права из редовног пензијског осигурања из буџета                                                             </t>
  </si>
  <si>
    <t xml:space="preserve">Обавезе по основу права из коришћења породичних пензија, из буџета                                                             </t>
  </si>
  <si>
    <t xml:space="preserve">Обавезе по основу накнада из буџета за случај смрти                                                              </t>
  </si>
  <si>
    <t xml:space="preserve">Обавезе по основу накнада из буџета за образовање, културу, науку и спорт                                                           </t>
  </si>
  <si>
    <t xml:space="preserve">Обавезе по основу накнада за образовање                                                                 </t>
  </si>
  <si>
    <t xml:space="preserve">Обавезе по основу накнада за културу                                                                 </t>
  </si>
  <si>
    <t xml:space="preserve">Обавезе по основу накнада за науку                                                                 </t>
  </si>
  <si>
    <t xml:space="preserve">Обавезе по основу накнада за спорт                                                                 </t>
  </si>
  <si>
    <t xml:space="preserve">Обавезе по основу накнада из буџета за становање и живот                                                             </t>
  </si>
  <si>
    <t xml:space="preserve">Обавезе по основу осталих накнада из буџета                                                                </t>
  </si>
  <si>
    <t xml:space="preserve">Обавезе по основу накнада бившим политичким затвореницима                                                                </t>
  </si>
  <si>
    <t xml:space="preserve">Обавезе по основу накнада затвореницима                                                                  </t>
  </si>
  <si>
    <t xml:space="preserve">Обавезе по основу једнократне помоћи из буџета                                                                </t>
  </si>
  <si>
    <t xml:space="preserve">Обавезе за остале расходе                                                                   </t>
  </si>
  <si>
    <t xml:space="preserve">Обавезе по основу дотација невладиним организацијама                                                                 </t>
  </si>
  <si>
    <t xml:space="preserve">Обавезе по основу дотација непрофитним институцијама које пружају услуге домаћинствима                                                             </t>
  </si>
  <si>
    <t xml:space="preserve">Обавезе по основу неновчаних дотација непрофитним организацијама које пружају услуге домаћинствима                                                            </t>
  </si>
  <si>
    <t xml:space="preserve">Обавезе по основу дотација црвеном крсту србије                                                                </t>
  </si>
  <si>
    <t xml:space="preserve">Обавезе по основу дотација осталим непрофитним институцијама                                                                </t>
  </si>
  <si>
    <t xml:space="preserve">Обавезе по основу дотација спортским и омладинским организацијама                                                               </t>
  </si>
  <si>
    <t xml:space="preserve">Обавезе по основу дотација етничким заједницама и мањинама                                                               </t>
  </si>
  <si>
    <t xml:space="preserve">Обавезе по основу дотација верским заједницама                                                                 </t>
  </si>
  <si>
    <t xml:space="preserve">Обавезе по основу дотација осталим удружењима грађана и политичким странкама                                                             </t>
  </si>
  <si>
    <t xml:space="preserve">Обавезе по основу дотација привредној комори                                                                 </t>
  </si>
  <si>
    <t xml:space="preserve">Обавезе по основу дотација приватним и алтернативним школама                                                               </t>
  </si>
  <si>
    <t xml:space="preserve">Обавезе за остале порезе, обавезне таксе и казне                                                               </t>
  </si>
  <si>
    <t xml:space="preserve">Обавезе по основу осталих пореза                                                                  </t>
  </si>
  <si>
    <t xml:space="preserve">Обавезе по основу пореза на имовину                                                                 </t>
  </si>
  <si>
    <t xml:space="preserve">Обавезе по основу пореза на робе и услуге                                                               </t>
  </si>
  <si>
    <t xml:space="preserve">Обавезе по основу пореза на коришћење роба или обављање услуга                                                             </t>
  </si>
  <si>
    <t xml:space="preserve">Обавезе по основу пореза на међународну трговину                                                                </t>
  </si>
  <si>
    <t xml:space="preserve">Обавезе по основу других пореза                                                                  </t>
  </si>
  <si>
    <t xml:space="preserve">Обавезе по основу обавезних такси                                                                  </t>
  </si>
  <si>
    <t xml:space="preserve">Републичке таксе                                                                     </t>
  </si>
  <si>
    <t xml:space="preserve">Покрајинске таксе                                                                     </t>
  </si>
  <si>
    <t xml:space="preserve">Градске таксе                                                                     </t>
  </si>
  <si>
    <t xml:space="preserve">Општинске таксе                                                                     </t>
  </si>
  <si>
    <t xml:space="preserve">Судске таксе                                                                     </t>
  </si>
  <si>
    <t xml:space="preserve">Обавезе за новчане казне                                                                   </t>
  </si>
  <si>
    <t xml:space="preserve">Републичке казне                                                                     </t>
  </si>
  <si>
    <t xml:space="preserve">Покрајинске казне                                                                     </t>
  </si>
  <si>
    <t xml:space="preserve">Градске казне                                                                     </t>
  </si>
  <si>
    <t xml:space="preserve">Општинске казне                                                                     </t>
  </si>
  <si>
    <t xml:space="preserve">Обавезе за порез на додату вредност                                                                 </t>
  </si>
  <si>
    <t xml:space="preserve">Обавеза за порез на додату вредност по издатим фактурама по општој стопи (осим примљених аванса)                                                        </t>
  </si>
  <si>
    <t xml:space="preserve">Обавеза за порез на додату вредност по издатим фактурама по посебној стопи (осим примљених аванса)                                                        </t>
  </si>
  <si>
    <t xml:space="preserve">Обавеза за порез на додату вредност по примљеним авансима по општој стопи                                                           </t>
  </si>
  <si>
    <t xml:space="preserve">Обавеза за порез на додату вредност по примљеним авансима по посебној стопи                                                           </t>
  </si>
  <si>
    <t xml:space="preserve">Обавеза за порез на додату вредност по основу сопствене потрошње по општој стопи                                                          </t>
  </si>
  <si>
    <t xml:space="preserve">Обавеза за порез на додату вредност по основу сопствене потрошње по посебној стопи                                                          </t>
  </si>
  <si>
    <t xml:space="preserve">Обавеза за порез на додату вредност по основу продаје за готовину                                                            </t>
  </si>
  <si>
    <t xml:space="preserve">Обавеза по основу пдв надокнаде пољопривреднику                                                                 </t>
  </si>
  <si>
    <t xml:space="preserve">Обавеза за порез на додату вредност по основу разлике обрачунатог пореза на додату вредност и претходног пореза                                                      </t>
  </si>
  <si>
    <t xml:space="preserve">Обавезе по основу казни и пенала по решењима судова                                                              </t>
  </si>
  <si>
    <t xml:space="preserve">Обавезе по основу накнаде штете за повреде и штете услед елементарних непогода                                                           </t>
  </si>
  <si>
    <t xml:space="preserve">Обавезе по основу накнаде штете од дивљачи                                                                </t>
  </si>
  <si>
    <t xml:space="preserve">Обавезе по основу накнаде штете или повреда нанетих од стране државних органа                                                           </t>
  </si>
  <si>
    <t xml:space="preserve">Обавезе из пословања                                                                    </t>
  </si>
  <si>
    <t xml:space="preserve">Примљени аванси, депозити и кауције                                                                  </t>
  </si>
  <si>
    <t xml:space="preserve">Примљени аванси                                                                     </t>
  </si>
  <si>
    <t xml:space="preserve">Примљени депозити                                                                     </t>
  </si>
  <si>
    <t xml:space="preserve">Примљени судски депозити                                                                    </t>
  </si>
  <si>
    <t xml:space="preserve">Примљени остали депозити                                                                    </t>
  </si>
  <si>
    <t xml:space="preserve">Примљене кауције                                                                     </t>
  </si>
  <si>
    <t xml:space="preserve">Обавезе према добављачима                                                                    </t>
  </si>
  <si>
    <t xml:space="preserve">Добављачи у земљи                                                                    </t>
  </si>
  <si>
    <t xml:space="preserve">Добављачи у иностранству                                                                    </t>
  </si>
  <si>
    <t xml:space="preserve">Обавезе за издате чекове и обвезнице                                                                 </t>
  </si>
  <si>
    <t xml:space="preserve">Обавезе за издате чекове                                                                   </t>
  </si>
  <si>
    <t xml:space="preserve">Обавезе за издате обвезнице                                                                   </t>
  </si>
  <si>
    <t xml:space="preserve">Остале обавезе                                                                     </t>
  </si>
  <si>
    <t xml:space="preserve">Обавезе из односа буџета и буџетских корисника                                                                </t>
  </si>
  <si>
    <t xml:space="preserve">Обавезе према буџету                                                                    </t>
  </si>
  <si>
    <t xml:space="preserve">Обавезе према буџетским корисницима                                                                   </t>
  </si>
  <si>
    <t xml:space="preserve">Обавезе за преузете обавезе из односа буџета и буџетских корисника                                                             </t>
  </si>
  <si>
    <t xml:space="preserve">Oбавезе према  јавним предузећима                                                                  </t>
  </si>
  <si>
    <t xml:space="preserve">Остале обавезе буџета                                                                    </t>
  </si>
  <si>
    <t xml:space="preserve">Остале обавезе из пословања                                                                   </t>
  </si>
  <si>
    <t xml:space="preserve">Обавезе према запосленима                                                                    </t>
  </si>
  <si>
    <t xml:space="preserve">Обавезе по судским и административним забранама                                                                 </t>
  </si>
  <si>
    <t xml:space="preserve">Обавезе за синдикалне чланарине                                                                   </t>
  </si>
  <si>
    <t xml:space="preserve">Обавезе за неисплаћене плате                                                                   </t>
  </si>
  <si>
    <t xml:space="preserve">Обавезе према члановима управног и надзорног одбора и комисија                                                              </t>
  </si>
  <si>
    <t xml:space="preserve">Обавезе према члановима управног и надзорног одбора                                                                </t>
  </si>
  <si>
    <t xml:space="preserve">Обавезе према члановима комисија                                                                   </t>
  </si>
  <si>
    <t xml:space="preserve">Обавезе по упутницама                                                                    </t>
  </si>
  <si>
    <t xml:space="preserve">Обавезе за враћене упутнице                                                                   </t>
  </si>
  <si>
    <t xml:space="preserve">Пасивна временска разграничења                                                                    </t>
  </si>
  <si>
    <t xml:space="preserve">Разграничени приходи и примања                                                                   </t>
  </si>
  <si>
    <t xml:space="preserve">Разграничени приходи из донација                                                                   </t>
  </si>
  <si>
    <t xml:space="preserve">Разграничени остали приходи и примања                                                                  </t>
  </si>
  <si>
    <t xml:space="preserve">Разграничени плаћени расходи и издаци                                                                  </t>
  </si>
  <si>
    <t xml:space="preserve">Плаћени аванси                                                                     </t>
  </si>
  <si>
    <t xml:space="preserve">Плаћени аванси за набавку материјала                                                                  </t>
  </si>
  <si>
    <t xml:space="preserve">Плаћени аванси за нематеријална улагања и основна средства                                                               </t>
  </si>
  <si>
    <t xml:space="preserve">Плаћени аванси за куповину услуга                                                                  </t>
  </si>
  <si>
    <t xml:space="preserve">Аконтације за пословна путовања                                                                   </t>
  </si>
  <si>
    <t xml:space="preserve">Обрачунати ненаплаћени приходи и примања                                                                  </t>
  </si>
  <si>
    <t xml:space="preserve">Обрачунати ненаплаћени приходи                                                                    </t>
  </si>
  <si>
    <t xml:space="preserve">Обрачуната ненаплаћена примања из продаје нефинансијске имовине                                                                </t>
  </si>
  <si>
    <t xml:space="preserve">Остала пасивна временска разграничења                                                                   </t>
  </si>
  <si>
    <t xml:space="preserve">Обавезе фондова за исплаћене обавезе по основу накнада запосленима                                                              </t>
  </si>
  <si>
    <t xml:space="preserve">Капитал, утврђивање резултата пословања и ванбилансна евиденција                                                                </t>
  </si>
  <si>
    <t xml:space="preserve">Капитал                                                                      </t>
  </si>
  <si>
    <t xml:space="preserve">Основна средства                                                                     </t>
  </si>
  <si>
    <t xml:space="preserve">Природна богатства                                                                     </t>
  </si>
  <si>
    <t xml:space="preserve">Залихе робних резерви                                                                    </t>
  </si>
  <si>
    <t xml:space="preserve">Залихе материјала за производњу                                                                   </t>
  </si>
  <si>
    <t xml:space="preserve">Залихе недовршене производње                                                                    </t>
  </si>
  <si>
    <t xml:space="preserve">Залихе готових производа                                                                    </t>
  </si>
  <si>
    <t xml:space="preserve">Залихе робе за даљу продају                                                                  </t>
  </si>
  <si>
    <t xml:space="preserve">Исправка вредности сопствених извора нефинансијске имовине, у сталним средствима, за набавке из кредита                                                          </t>
  </si>
  <si>
    <t xml:space="preserve">Дугорочна финансијска  имовина у страним владама, компанијама, организацијама  и институцијама                                                           </t>
  </si>
  <si>
    <t xml:space="preserve">Остала финансијска имовина                                                                    </t>
  </si>
  <si>
    <t xml:space="preserve">Извори новчаних средстава                                                                    </t>
  </si>
  <si>
    <t xml:space="preserve">Примања од продаје финансијске имовине                                                                  </t>
  </si>
  <si>
    <t xml:space="preserve">Примања од отплате датих кредита                                                                  </t>
  </si>
  <si>
    <t xml:space="preserve">Примања од продаје стране валуте                                                                  </t>
  </si>
  <si>
    <t xml:space="preserve">Остали извори новчаних средстава                                                                   </t>
  </si>
  <si>
    <t xml:space="preserve">Утрошена средства текућих прихода и примања од продаје нефинансијске имовине                                                             </t>
  </si>
  <si>
    <t xml:space="preserve">Утрошена средства текућих прихода и примања од продаје нефинансијске имовине у току једне године                                                         </t>
  </si>
  <si>
    <t xml:space="preserve">Утрошена средства текућих прихода и примања од продаје нефинансијске имовине за отплату обавеза по кредитима                                                        </t>
  </si>
  <si>
    <t xml:space="preserve">Утрошена средства текућих прихода и примања од продаје нефинансијске имовине за набавку финансијске имовине                                                         </t>
  </si>
  <si>
    <t xml:space="preserve">Пренета неутрошена средства из ранијих година                                                                 </t>
  </si>
  <si>
    <t xml:space="preserve">Пренета неутрошена средства од приватизације                                                                  </t>
  </si>
  <si>
    <t xml:space="preserve">Пренета неутрошена средства за посебне намене                                                                 </t>
  </si>
  <si>
    <t xml:space="preserve">Пренета неутрошена средства за стамбену изградњу                                                                 </t>
  </si>
  <si>
    <t xml:space="preserve">Остали сопствени извори                                                                    </t>
  </si>
  <si>
    <t xml:space="preserve">Утврђивање резултата пословања                                                                    </t>
  </si>
  <si>
    <t xml:space="preserve">Обрачун прихода и примања и расхода и издатака пословања                                                              </t>
  </si>
  <si>
    <t xml:space="preserve">Вишак или мањак прихода и примања                                                                 </t>
  </si>
  <si>
    <t xml:space="preserve">Вишак прихода и примања– суфицит                                                                  </t>
  </si>
  <si>
    <t xml:space="preserve">Мањак прихода и примања– дефицит                                                                  </t>
  </si>
  <si>
    <t xml:space="preserve">Распоред вишка прихода и примања                                                                  </t>
  </si>
  <si>
    <t xml:space="preserve">Нераспоређени вишак прихода и примања или дефицит из ранијих година                                                             </t>
  </si>
  <si>
    <t xml:space="preserve">Нераспоређени вишак прихода и примања из ранијих година                                                               </t>
  </si>
  <si>
    <t xml:space="preserve">Дефицит из ранијих година                                                                   </t>
  </si>
  <si>
    <t xml:space="preserve">Добити које су резултат промене вредности                                                                 </t>
  </si>
  <si>
    <t xml:space="preserve">Добити које су резултат промене вредности пословних зграда и других објеката                                                            </t>
  </si>
  <si>
    <t xml:space="preserve">Добити које су резултат промене вредности опреме                                                                </t>
  </si>
  <si>
    <t xml:space="preserve">Добити који су резултат промене вредности култивисане имовине                                                               </t>
  </si>
  <si>
    <t xml:space="preserve">Добити које су резултат промене вредности природног богатства                                                               </t>
  </si>
  <si>
    <t xml:space="preserve">Добити које су резултат промене вредности природне имовине                                                               </t>
  </si>
  <si>
    <t xml:space="preserve">Добити које су резултат промене вредности нематеријалних основних средстава                                                              </t>
  </si>
  <si>
    <t xml:space="preserve">Добити које су резултат промене вредности залиха                                                                </t>
  </si>
  <si>
    <t xml:space="preserve">Друге промене у обиму                                                                   </t>
  </si>
  <si>
    <t xml:space="preserve">Друге промене у обиму пословних зграда и других објеката                                                              </t>
  </si>
  <si>
    <t xml:space="preserve">Друге промене у обиму опреме                                                                  </t>
  </si>
  <si>
    <t xml:space="preserve">Друге промене у обиму природних богатстава                                                                 </t>
  </si>
  <si>
    <t xml:space="preserve">Друге промене у обиму залиха                                                                  </t>
  </si>
  <si>
    <t xml:space="preserve">Ванбилансна евиденција                                                                     </t>
  </si>
  <si>
    <t xml:space="preserve">Ванбилансна актива                                                                     </t>
  </si>
  <si>
    <t xml:space="preserve">Основна средства у закупу                                                                   </t>
  </si>
  <si>
    <t xml:space="preserve">Примљена туђа роба и материјал                                                                  </t>
  </si>
  <si>
    <t xml:space="preserve">Примљена роба у јавном складишту                                                                  </t>
  </si>
  <si>
    <t xml:space="preserve">Примљена роба у комисион                                                                   </t>
  </si>
  <si>
    <t xml:space="preserve">Примљен материјал на обраду и дораду                                                                 </t>
  </si>
  <si>
    <t xml:space="preserve">Хартије од вредности ван промета                                                                  </t>
  </si>
  <si>
    <t xml:space="preserve">Авали и друге гаранције                                                                   </t>
  </si>
  <si>
    <t xml:space="preserve">Остала ванбилансна актива                                                                    </t>
  </si>
  <si>
    <t xml:space="preserve">Ванбилансна пасива                                                                     </t>
  </si>
  <si>
    <t xml:space="preserve">Обавезе за основна средства у закупу                                                                 </t>
  </si>
  <si>
    <t xml:space="preserve">Обавезе за примљену туђу робу и материјал                                                                </t>
  </si>
  <si>
    <t xml:space="preserve">Обавезе за робу у јавном складишту                                                                 </t>
  </si>
  <si>
    <t xml:space="preserve">Обавезе за робу у комисиону                                                                  </t>
  </si>
  <si>
    <t xml:space="preserve">Обавезе за материјале примљене на обраду и дораду                                                               </t>
  </si>
  <si>
    <t xml:space="preserve">Обавезе за хартије од вредности ван промета                                                                </t>
  </si>
  <si>
    <t xml:space="preserve">Обавезе за авале и остале гаранције                                                                 </t>
  </si>
  <si>
    <t xml:space="preserve">Остала ванбилансна пасива                                                                    </t>
  </si>
  <si>
    <t xml:space="preserve">Текући расходи                                                                     </t>
  </si>
  <si>
    <t xml:space="preserve">Расходи за запослене                                                                    </t>
  </si>
  <si>
    <t xml:space="preserve">Плате, додаци и накнаде запослених (зараде)                                                                 </t>
  </si>
  <si>
    <t xml:space="preserve">Плате, додаци и накнаде запослених                                                                  </t>
  </si>
  <si>
    <t xml:space="preserve">Плате по основу цене рада                                                                  </t>
  </si>
  <si>
    <t xml:space="preserve">Додатак за рад дужи од пуног радног времена                                                               </t>
  </si>
  <si>
    <t xml:space="preserve">Додатак за рад на дан државног и верског празника                                                              </t>
  </si>
  <si>
    <t xml:space="preserve">Додатак за рад ноћу                                                                   </t>
  </si>
  <si>
    <t xml:space="preserve">Додатак за време проведено на раду (минули рад)                                                               </t>
  </si>
  <si>
    <t xml:space="preserve">Теренски додатак                                                                     </t>
  </si>
  <si>
    <t xml:space="preserve">Накнада зараде за време привремене спречености за рад до 30 дана услед болести                                                          </t>
  </si>
  <si>
    <t xml:space="preserve">Накнада зараде за време одсуствовања са рада на дан празника који је нерадни дан, годишњег одмора, плаћеног одсуства, војне вежбе и одазивања на позив државног органа                                             </t>
  </si>
  <si>
    <t xml:space="preserve">Остали додаци и накнаде запосленима                                                                  </t>
  </si>
  <si>
    <t xml:space="preserve">Плате приправника                                                                     </t>
  </si>
  <si>
    <t xml:space="preserve">Плате приправника које плаћа послодавац                                                                  </t>
  </si>
  <si>
    <t xml:space="preserve">Плате приправника које плаћа национална служба за запошљавање                                                               </t>
  </si>
  <si>
    <t xml:space="preserve">Плате привремено запослених                                                                    </t>
  </si>
  <si>
    <t xml:space="preserve">Плате по основу судских пресуда                                                                  </t>
  </si>
  <si>
    <t xml:space="preserve">Накнада штете запослених                                                                    </t>
  </si>
  <si>
    <t xml:space="preserve">Накнада штете запосленом за неискоришћени годишњи одмор                                                                </t>
  </si>
  <si>
    <t xml:space="preserve">Остале накнаде штете запосленом                                                                   </t>
  </si>
  <si>
    <t xml:space="preserve">Остале исплате зарада за специјалне задатке или пројекте                                                               </t>
  </si>
  <si>
    <t xml:space="preserve">Социјални доприноси на терет послодавца                                                                  </t>
  </si>
  <si>
    <t xml:space="preserve">Допринос за пензијско и инвалидско осигурање                                                                 </t>
  </si>
  <si>
    <t xml:space="preserve">Допринос за добровољно пензијско и инвалидско осигурање                                                                </t>
  </si>
  <si>
    <t xml:space="preserve">Допринос за пензијско и инвалидско осигурање – за радни стаж који се рачуна са увећаним доприносом                                                       </t>
  </si>
  <si>
    <t xml:space="preserve">Допринос за здравствено осигурање                                                                   </t>
  </si>
  <si>
    <t xml:space="preserve">Допринос за добровољно здравствено осигурање                                                                  </t>
  </si>
  <si>
    <t xml:space="preserve">Допринос за незапосленост                                                                    </t>
  </si>
  <si>
    <t xml:space="preserve">Накнаде у натури                                                                    </t>
  </si>
  <si>
    <t xml:space="preserve">Оброци (храна)                                                                     </t>
  </si>
  <si>
    <t xml:space="preserve">Пиће                                                                      </t>
  </si>
  <si>
    <t xml:space="preserve">Остале накнаде у натури у смислу заштите здравља запослених                                                              </t>
  </si>
  <si>
    <t xml:space="preserve">Обезбеђивање стамбеног простора запосленима                                                                   </t>
  </si>
  <si>
    <t xml:space="preserve">Дуготрајна роба                                                                     </t>
  </si>
  <si>
    <t xml:space="preserve">Возила за приватне и пословне потребе                                                                 </t>
  </si>
  <si>
    <t xml:space="preserve">Остала дуготрајна роба                                                                    </t>
  </si>
  <si>
    <t xml:space="preserve">Роба и услуге које обезбеђује послодавац                                                                 </t>
  </si>
  <si>
    <t xml:space="preserve">Одмаралишта, спортски и рекреациони објекти                                                                  </t>
  </si>
  <si>
    <t xml:space="preserve">Поклони за децу запослених                                                                   </t>
  </si>
  <si>
    <t xml:space="preserve">Превоз на посао и са посла (маркица)                                                                </t>
  </si>
  <si>
    <t xml:space="preserve">Паркирање                                                                      </t>
  </si>
  <si>
    <t xml:space="preserve">Дечији вртић који плаћа послодавац                                                                  </t>
  </si>
  <si>
    <t xml:space="preserve">Износ разлике између редовне и снижене каматне стопе код давања кредита запосленима                                                           </t>
  </si>
  <si>
    <t xml:space="preserve">Социјална давања запосленима                                                                    </t>
  </si>
  <si>
    <t xml:space="preserve">Исплата накнада за време одсуствовања с посла на терет фондова                                                             </t>
  </si>
  <si>
    <t xml:space="preserve">Породиљско боловање                                                                     </t>
  </si>
  <si>
    <t xml:space="preserve">Боловање преко 30 дана                                                                   </t>
  </si>
  <si>
    <t xml:space="preserve">Инвалидност рада другог степена                                                                   </t>
  </si>
  <si>
    <t xml:space="preserve">Расходи за образовање деце запослених                                                                  </t>
  </si>
  <si>
    <t xml:space="preserve">Отпремнине и помоћи                                                                    </t>
  </si>
  <si>
    <t xml:space="preserve">Отпремнина приликом одласка у пензију                                                                  </t>
  </si>
  <si>
    <t xml:space="preserve">Отпремнина у случају отпуштања с посла                                                                 </t>
  </si>
  <si>
    <t xml:space="preserve">Помоћ у случају смрти запосленог или члана уже породице                                                              </t>
  </si>
  <si>
    <t xml:space="preserve">Помоћ у медицинском лечењу запосленог или чланова уже породице и друге помоћи запосленом                                                          </t>
  </si>
  <si>
    <t xml:space="preserve">Помоћ у медицинском лечењу запосленог или члана уже породице                                                              </t>
  </si>
  <si>
    <t xml:space="preserve">Помоћ у случају оштећења или уништења имовине                                                                </t>
  </si>
  <si>
    <t xml:space="preserve">Остале помоћи запосленим радницима                                                                   </t>
  </si>
  <si>
    <t xml:space="preserve">Накнаде трошкова за запослене                                                                   </t>
  </si>
  <si>
    <t xml:space="preserve">Накнаде трошкова за одвојен живот од породице                                                                </t>
  </si>
  <si>
    <t xml:space="preserve">Накнаде трошкова за превоз на посао и са посла                                                              </t>
  </si>
  <si>
    <t xml:space="preserve">Накнаде трошкова за смештај изабраних, постављених и именованих лица                                                              </t>
  </si>
  <si>
    <t xml:space="preserve">Накнаде за селидбене трошкове запослених                                                                  </t>
  </si>
  <si>
    <t xml:space="preserve">Остале накнаде трошкова запослених                                                                   </t>
  </si>
  <si>
    <t xml:space="preserve">Награде запосленима и остали посебни расходи                                                                 </t>
  </si>
  <si>
    <t xml:space="preserve">Награде запосленима                                                                     </t>
  </si>
  <si>
    <t xml:space="preserve">Јубиларне награде                                                                     </t>
  </si>
  <si>
    <t xml:space="preserve">Награде за посебне резултате рада                                                                  </t>
  </si>
  <si>
    <t xml:space="preserve">Остале награде запосленима                                                                    </t>
  </si>
  <si>
    <t xml:space="preserve">Бонуси                                                                      </t>
  </si>
  <si>
    <t xml:space="preserve">Бонуси за државне празнике                                                                   </t>
  </si>
  <si>
    <t xml:space="preserve">Накнаде члановима управних, надзорних одбора и комисија                                                                </t>
  </si>
  <si>
    <t xml:space="preserve">Накнаде члановима управних и надзорних одбора                                                                 </t>
  </si>
  <si>
    <t xml:space="preserve">Накнаде члановима комисија                                                                    </t>
  </si>
  <si>
    <t xml:space="preserve">Посланички додатак                                                                     </t>
  </si>
  <si>
    <t xml:space="preserve">Судијски додатак                                                                     </t>
  </si>
  <si>
    <t xml:space="preserve">Коришћење услуга и роба                                                                   </t>
  </si>
  <si>
    <t xml:space="preserve">Стални трошкови                                                                     </t>
  </si>
  <si>
    <t xml:space="preserve">Трошкови платног промета и банкарских услуга                                                                 </t>
  </si>
  <si>
    <t xml:space="preserve">Трошкови платног промета                                                                    </t>
  </si>
  <si>
    <t xml:space="preserve">Трошкови банкарских услуга                                                                    </t>
  </si>
  <si>
    <t xml:space="preserve">Енергетске услуге                                                                     </t>
  </si>
  <si>
    <t xml:space="preserve">Услуге за електричну енергију                                                                   </t>
  </si>
  <si>
    <t xml:space="preserve">Трошкови грејања                                                                     </t>
  </si>
  <si>
    <t xml:space="preserve">Природни гас                                                                     </t>
  </si>
  <si>
    <t xml:space="preserve">Угаљ                                                                      </t>
  </si>
  <si>
    <t xml:space="preserve">Дрво                                                                      </t>
  </si>
  <si>
    <t xml:space="preserve">Лож-Уље                                                                      </t>
  </si>
  <si>
    <t xml:space="preserve">Централно грејање                                                                     </t>
  </si>
  <si>
    <t xml:space="preserve">Комуналне услуге                                                                     </t>
  </si>
  <si>
    <t xml:space="preserve">Услуге водовода и канализације                                                                   </t>
  </si>
  <si>
    <t xml:space="preserve">Услуге редовног одржавања и старања                                                                  </t>
  </si>
  <si>
    <t xml:space="preserve">Дератизација                                                                      </t>
  </si>
  <si>
    <t xml:space="preserve">Димњачарске услуге                                                                     </t>
  </si>
  <si>
    <t xml:space="preserve">Услуга заштите имовине                                                                    </t>
  </si>
  <si>
    <t xml:space="preserve">Одвоз отпада                                                                     </t>
  </si>
  <si>
    <t xml:space="preserve">Услуге чишћења                                                                     </t>
  </si>
  <si>
    <t xml:space="preserve">Остале комуналне услуге                                                                    </t>
  </si>
  <si>
    <t xml:space="preserve">Допринос за коришћење градског земљишта и слично                                                                </t>
  </si>
  <si>
    <t xml:space="preserve">Допринос за коришћење вода                                                                   </t>
  </si>
  <si>
    <t xml:space="preserve">Услуге комуникација                                                                     </t>
  </si>
  <si>
    <t xml:space="preserve">Телефони                                                                      </t>
  </si>
  <si>
    <t xml:space="preserve">Телефон, телекс и телефакс                                                                   </t>
  </si>
  <si>
    <t xml:space="preserve">Интернет и слично                                                                    </t>
  </si>
  <si>
    <t xml:space="preserve">Претплата на пејџер                                                                    </t>
  </si>
  <si>
    <t xml:space="preserve">Услуге мобилног телефона                                                                    </t>
  </si>
  <si>
    <t xml:space="preserve">Остале услуге комуникације                                                                    </t>
  </si>
  <si>
    <t xml:space="preserve">Услуге поште и доставе                                                                   </t>
  </si>
  <si>
    <t xml:space="preserve">Пошта                                                                      </t>
  </si>
  <si>
    <t xml:space="preserve">Услуге доставе                                                                     </t>
  </si>
  <si>
    <t xml:space="preserve">Остале птт услуге                                                                    </t>
  </si>
  <si>
    <t xml:space="preserve">Трошкови осигурања                                                                     </t>
  </si>
  <si>
    <t xml:space="preserve">Осигурање имовине                                                                     </t>
  </si>
  <si>
    <t xml:space="preserve">Осигурање зграда                                                                     </t>
  </si>
  <si>
    <t xml:space="preserve">Осигурање возила                                                                     </t>
  </si>
  <si>
    <t xml:space="preserve">Осигурање опреме                                                                     </t>
  </si>
  <si>
    <t xml:space="preserve">Осигурање остале дугорочне имовине                                                                   </t>
  </si>
  <si>
    <t xml:space="preserve">Осигурање запослених                                                                     </t>
  </si>
  <si>
    <t xml:space="preserve">Осигурање запослених у случају несреће на раду                                                                </t>
  </si>
  <si>
    <t xml:space="preserve">Здравствено осигурање запослених                                                                    </t>
  </si>
  <si>
    <t xml:space="preserve">Осигурање од одговорности према трећим лицима                                                                 </t>
  </si>
  <si>
    <t xml:space="preserve">Закуп имовине и опреме                                                                   </t>
  </si>
  <si>
    <t xml:space="preserve">Закуп имовине                                                                     </t>
  </si>
  <si>
    <t xml:space="preserve">Закуп стамбеног простора                                                                    </t>
  </si>
  <si>
    <t xml:space="preserve">Закуп нестамбеног простора                                                                    </t>
  </si>
  <si>
    <t xml:space="preserve">Закуп осталог простора                                                                    </t>
  </si>
  <si>
    <t xml:space="preserve">Закуп опреме                                                                     </t>
  </si>
  <si>
    <t xml:space="preserve">Закуп опреме за саобраћај                                                                   </t>
  </si>
  <si>
    <t xml:space="preserve">Закуп административне опреме                                                                    </t>
  </si>
  <si>
    <t xml:space="preserve">Закуп опреме за пољопривреду                                                                   </t>
  </si>
  <si>
    <t xml:space="preserve">Закуп опреме за очување животне средине и науку                                                               </t>
  </si>
  <si>
    <t xml:space="preserve">Закуп медицинске и лабораторијске опреме                                                                  </t>
  </si>
  <si>
    <t xml:space="preserve">Закуп опреме за образовање, културу и спорт                                                                </t>
  </si>
  <si>
    <t xml:space="preserve">Закуп опреме за војску                                                                   </t>
  </si>
  <si>
    <t xml:space="preserve">Закуп опреме за јавну безбедност                                                                  </t>
  </si>
  <si>
    <t xml:space="preserve">Закуп опреме за производњу, моторна, непокретна и немоторна                                                               </t>
  </si>
  <si>
    <t xml:space="preserve">Остали трошкови                                                                     </t>
  </si>
  <si>
    <t xml:space="preserve">Радио – телевизијска претплата                                                                   </t>
  </si>
  <si>
    <t xml:space="preserve">Остали непоменути трошкови                                                                    </t>
  </si>
  <si>
    <t xml:space="preserve">Трошкови путовања                                                                     </t>
  </si>
  <si>
    <t xml:space="preserve">Трошкови службених путовања у земљи                                                                  </t>
  </si>
  <si>
    <t xml:space="preserve">Трошкови дневница (исхране) на службеном путу                                                                 </t>
  </si>
  <si>
    <t xml:space="preserve">Трошкови превоза на службеном путу у земљи (авион, аутобус, воз, и сл.)                                                           </t>
  </si>
  <si>
    <t xml:space="preserve">Трошкови смештаја на службеном путу                                                                  </t>
  </si>
  <si>
    <t xml:space="preserve">Остале услуге службеног превоза                                                                   </t>
  </si>
  <si>
    <t xml:space="preserve">Превоз у јавном саобраћају                                                                   </t>
  </si>
  <si>
    <t xml:space="preserve">Такси превоз                                                                     </t>
  </si>
  <si>
    <t xml:space="preserve">Превоз у граду по службеном послу                                                                 </t>
  </si>
  <si>
    <t xml:space="preserve">Накнада за употребу сопственог возила                                                                  </t>
  </si>
  <si>
    <t xml:space="preserve">Остали трошкови за пословна путовања у земљи                                                                </t>
  </si>
  <si>
    <t xml:space="preserve">Трошкови службених путовања у иностранство                                                                  </t>
  </si>
  <si>
    <t xml:space="preserve">Трошкови дневница за службени пут у иностранство                                                                </t>
  </si>
  <si>
    <t xml:space="preserve">Трошкови превоза за службени пут у иностранство (авион, аутобус, воз и сл.)                                                           </t>
  </si>
  <si>
    <t xml:space="preserve">Трошкови смештаја на службеном путу у иностранство                                                                </t>
  </si>
  <si>
    <t xml:space="preserve">Услуге превоза у јавном саобраћају                                                                  </t>
  </si>
  <si>
    <t xml:space="preserve">Остали трошкови за пословна путовања у иностранство                                                                </t>
  </si>
  <si>
    <t xml:space="preserve">Трошкови путовања у оквиру редовног рада                                                                 </t>
  </si>
  <si>
    <t xml:space="preserve">Дневница (исхрана) за путовање у оквиру редовног рада                                                               </t>
  </si>
  <si>
    <t xml:space="preserve">Трошкови путовања у оквиру редовног рада (авион, аутобус, воз)                                                              </t>
  </si>
  <si>
    <t xml:space="preserve">Трошкови смештаја на путовању у оквиру редовног рада                                                               </t>
  </si>
  <si>
    <t xml:space="preserve">Остале услуге путовања у оквиру редовног рада                                                                </t>
  </si>
  <si>
    <t xml:space="preserve">Превоз средствима јавног превоза                                                                   </t>
  </si>
  <si>
    <t xml:space="preserve">Накнада за превоз у граду по службеном послу                                                               </t>
  </si>
  <si>
    <t xml:space="preserve">Накнада за коришћење сопственог аутомобила                                                                  </t>
  </si>
  <si>
    <t xml:space="preserve">Остали трошкови превоза у оквиру редовног рада                                                                </t>
  </si>
  <si>
    <t xml:space="preserve">Трошкови путовања ученика                                                                    </t>
  </si>
  <si>
    <t xml:space="preserve">Превоз ученика                                                                     </t>
  </si>
  <si>
    <t xml:space="preserve">Трошкови путовања ученика који учествују на републичким и међународним такмичењима                                                             </t>
  </si>
  <si>
    <t xml:space="preserve">Остали трошкови транспорта                                                                    </t>
  </si>
  <si>
    <t xml:space="preserve">Трошкови селидбе и превоза                                                                   </t>
  </si>
  <si>
    <t xml:space="preserve">Услуге по уговору                                                                    </t>
  </si>
  <si>
    <t xml:space="preserve">Административне услуге                                                                     </t>
  </si>
  <si>
    <t xml:space="preserve">Услуге превођења                                                                     </t>
  </si>
  <si>
    <t xml:space="preserve">Секретарске услуге                                                                     </t>
  </si>
  <si>
    <t xml:space="preserve">Рачуноводствене услуге                                                                     </t>
  </si>
  <si>
    <t xml:space="preserve">Остале административне услуге                                                                    </t>
  </si>
  <si>
    <t xml:space="preserve">Компјутерске услуге                                                                     </t>
  </si>
  <si>
    <t xml:space="preserve">Услуге за израду и одржавање софтвера                                                                 </t>
  </si>
  <si>
    <t xml:space="preserve">Услуге за израду софтвера                                                                   </t>
  </si>
  <si>
    <t xml:space="preserve">Услуге за одржавање софтвера                                                                   </t>
  </si>
  <si>
    <t xml:space="preserve">Услуге одржавања рачунара                                                                    </t>
  </si>
  <si>
    <t xml:space="preserve">Остале компјутерске услуге                                                                    </t>
  </si>
  <si>
    <t xml:space="preserve">Услуге образовања и усавршавања запослених                                                                  </t>
  </si>
  <si>
    <t xml:space="preserve">Котизације                                                                      </t>
  </si>
  <si>
    <t xml:space="preserve">Котизација за семинаре                                                                    </t>
  </si>
  <si>
    <t xml:space="preserve">Котизација за стручна саветовања                                                                   </t>
  </si>
  <si>
    <t xml:space="preserve">Котизација за учествовање на сајмовима                                                                  </t>
  </si>
  <si>
    <t xml:space="preserve">Друге услуге образовања и усавршавања запослених                                                                 </t>
  </si>
  <si>
    <t xml:space="preserve">Издаци за стручне испите                                                                   </t>
  </si>
  <si>
    <t xml:space="preserve">Остали издаци за стручно образовање                                                                  </t>
  </si>
  <si>
    <t xml:space="preserve">Услуге информисања                                                                     </t>
  </si>
  <si>
    <t xml:space="preserve">Услуге штампања                                                                     </t>
  </si>
  <si>
    <t xml:space="preserve">Услуге штампања билтена                                                                    </t>
  </si>
  <si>
    <t xml:space="preserve">Услуге штампања часописа                                                                    </t>
  </si>
  <si>
    <t xml:space="preserve">Услуге штампања публикација                                                                    </t>
  </si>
  <si>
    <t xml:space="preserve">Остале услуге штампања                                                                    </t>
  </si>
  <si>
    <t xml:space="preserve">Услуге информисања јавности и односа са јавношћу                                                                </t>
  </si>
  <si>
    <t xml:space="preserve">Услуге информисања јавности                                                                    </t>
  </si>
  <si>
    <t xml:space="preserve">Односи са јавношћу                                                                    </t>
  </si>
  <si>
    <t xml:space="preserve">Услуге рекламе и пропаганде                                                                   </t>
  </si>
  <si>
    <t xml:space="preserve">Објављивање тендера и информативних огласа                                                                  </t>
  </si>
  <si>
    <t xml:space="preserve">Остале услуге рекламе и пропаганде                                                                  </t>
  </si>
  <si>
    <t xml:space="preserve">Медијске услуге                                                                     </t>
  </si>
  <si>
    <t xml:space="preserve">Медијске услуге радија и телевизије                                                                  </t>
  </si>
  <si>
    <t xml:space="preserve">Остале медијске услуге                                                                    </t>
  </si>
  <si>
    <t xml:space="preserve">Стручне услуге                                                                     </t>
  </si>
  <si>
    <t xml:space="preserve">Услуге ревизије                                                                     </t>
  </si>
  <si>
    <t xml:space="preserve">Адвокатске услуге                                                                     </t>
  </si>
  <si>
    <t xml:space="preserve">Правно заступање пред домаћим судовима                                                                  </t>
  </si>
  <si>
    <t xml:space="preserve">Правно заступање пред међународним судовима                                                                  </t>
  </si>
  <si>
    <t xml:space="preserve">Правне услуге                                                                     </t>
  </si>
  <si>
    <t xml:space="preserve">Услуге вештачења                                                                     </t>
  </si>
  <si>
    <t xml:space="preserve">Услуге поротника                                                                     </t>
  </si>
  <si>
    <t xml:space="preserve">Остале правне услуге                                                                    </t>
  </si>
  <si>
    <t xml:space="preserve">Финансијске услуге                                                                     </t>
  </si>
  <si>
    <t xml:space="preserve">Услуге финансијских саветника                                                                    </t>
  </si>
  <si>
    <t xml:space="preserve">Остале финансијске услуге                                                                    </t>
  </si>
  <si>
    <t xml:space="preserve">Остале стручне услуге                                                                    </t>
  </si>
  <si>
    <t xml:space="preserve">Услуге за домаћинство и угоститељство                                                                  </t>
  </si>
  <si>
    <t xml:space="preserve">Услуге за домаћинство                                                                    </t>
  </si>
  <si>
    <t xml:space="preserve">Прање веша                                                                     </t>
  </si>
  <si>
    <t xml:space="preserve">Хемијско чишћење                                                                     </t>
  </si>
  <si>
    <t xml:space="preserve">Угоститељске услуге                                                                     </t>
  </si>
  <si>
    <t xml:space="preserve">Репрезентација                                                                      </t>
  </si>
  <si>
    <t xml:space="preserve">Поклони                                                                      </t>
  </si>
  <si>
    <t xml:space="preserve">Остале опште услуге                                                                    </t>
  </si>
  <si>
    <t xml:space="preserve">Специјализоване услуге                                                                     </t>
  </si>
  <si>
    <t xml:space="preserve">Пољопривредне услуге                                                                     </t>
  </si>
  <si>
    <t xml:space="preserve">Услуге заштите животиња и биља                                                                  </t>
  </si>
  <si>
    <t xml:space="preserve">Услуге ветеринарског прегледа и вакцинације                                                                  </t>
  </si>
  <si>
    <t xml:space="preserve">Заштита биља                                                                     </t>
  </si>
  <si>
    <t xml:space="preserve">Испитивање узорака земљишта и вештачког ђубрива                                                                 </t>
  </si>
  <si>
    <t xml:space="preserve">Остале услуге заштите животиња и биља                                                                 </t>
  </si>
  <si>
    <t xml:space="preserve">Услуге образовања, културе и спорта                                                                  </t>
  </si>
  <si>
    <t xml:space="preserve">Услуге образовања                                                                     </t>
  </si>
  <si>
    <t xml:space="preserve">Образовање деце грађана који живе у иностранству                                                                </t>
  </si>
  <si>
    <t xml:space="preserve">Услуге предшколског образовања                                                                    </t>
  </si>
  <si>
    <t xml:space="preserve">Услуге културе                                                                     </t>
  </si>
  <si>
    <t xml:space="preserve">Услуге спорта                                                                     </t>
  </si>
  <si>
    <t xml:space="preserve">Медицинске услуге                                                                     </t>
  </si>
  <si>
    <t xml:space="preserve">Здравствена заштита по уговору                                                                   </t>
  </si>
  <si>
    <t xml:space="preserve">Здравствена заштита по конвенцији                                                                   </t>
  </si>
  <si>
    <t xml:space="preserve">Услуге јавног здравства – инспекција и анализа                                                                </t>
  </si>
  <si>
    <t xml:space="preserve">Лабораторијске услуге                                                                     </t>
  </si>
  <si>
    <t xml:space="preserve">Остале медицинске услуге                                                                    </t>
  </si>
  <si>
    <t xml:space="preserve">Услуге одржавања аутопутева                                                                    </t>
  </si>
  <si>
    <t xml:space="preserve">Услуге одржавања националних паркова и природних површина                                                                </t>
  </si>
  <si>
    <t xml:space="preserve">Услуге очувања животне средине, науке и геодетске услуге                                                               </t>
  </si>
  <si>
    <t xml:space="preserve">Услуге очувања животне средине                                                                   </t>
  </si>
  <si>
    <t xml:space="preserve">Услуге науке                                                                     </t>
  </si>
  <si>
    <t xml:space="preserve">Геодетске услуге                                                                     </t>
  </si>
  <si>
    <t xml:space="preserve">Остале специјализоване услуге                                                                    </t>
  </si>
  <si>
    <t xml:space="preserve">Текуће поправке и одржавање                                                                   </t>
  </si>
  <si>
    <t xml:space="preserve">Текуће поправке и одржавање зграда и објеката                                                                </t>
  </si>
  <si>
    <t xml:space="preserve">Текуће поправке и одржавање зграда                                                                  </t>
  </si>
  <si>
    <t xml:space="preserve">Зидарски радови                                                                     </t>
  </si>
  <si>
    <t xml:space="preserve">Столарски радови                                                                     </t>
  </si>
  <si>
    <t xml:space="preserve">Молерски радови                                                                     </t>
  </si>
  <si>
    <t xml:space="preserve">Радови на крову                                                                    </t>
  </si>
  <si>
    <t xml:space="preserve">Радови на водоводу и канализацији                                                                  </t>
  </si>
  <si>
    <t xml:space="preserve">Електричне инсталације                                                                     </t>
  </si>
  <si>
    <t xml:space="preserve">Радови на комуникацијским инсталацијама                                                                   </t>
  </si>
  <si>
    <t xml:space="preserve">Остале услуге и материјали за текуће поправке и одржавање зграда                                                             </t>
  </si>
  <si>
    <t xml:space="preserve">Текуће поправке и одржавање осталих објеката                                                                 </t>
  </si>
  <si>
    <t xml:space="preserve">Текуће поправке и одржавање опреме                                                                  </t>
  </si>
  <si>
    <t xml:space="preserve">Текуће поправке и одржавање опреме за саобраћај                                                                </t>
  </si>
  <si>
    <t xml:space="preserve">Механичке поправке                                                                     </t>
  </si>
  <si>
    <t xml:space="preserve">Поправке електричне и електронске опреме                                                                  </t>
  </si>
  <si>
    <t xml:space="preserve">Лимарски радови на возилима                                                                   </t>
  </si>
  <si>
    <t xml:space="preserve">Остале поправке и одржавање опреме за саобраћај                                                                </t>
  </si>
  <si>
    <t xml:space="preserve">Текуће поправке и одржавање административне опреме                                                                 </t>
  </si>
  <si>
    <t xml:space="preserve">Намештај                                                                      </t>
  </si>
  <si>
    <t xml:space="preserve">Опрема за комуникацију                                                                    </t>
  </si>
  <si>
    <t xml:space="preserve">Биротехничка опрема                                                                     </t>
  </si>
  <si>
    <t xml:space="preserve">Уградна опрема                                                                     </t>
  </si>
  <si>
    <t xml:space="preserve">Остале поправке и одржавање административне опреме                                                                 </t>
  </si>
  <si>
    <t xml:space="preserve">Текуће поправке и одржавање опреме за пољопривреду                                                                </t>
  </si>
  <si>
    <t xml:space="preserve">Текуће поправке и одржавање опреме за очување животне средине и науку                                                            </t>
  </si>
  <si>
    <t xml:space="preserve">Текуће поправке и одржавање опреме за очување животне средине                                                              </t>
  </si>
  <si>
    <t xml:space="preserve">Текуће поправке и одржавање опреме за науку                                                                </t>
  </si>
  <si>
    <t xml:space="preserve">Текуће поправке и одржавање медицинске и лабораторијске опреме                                                               </t>
  </si>
  <si>
    <t xml:space="preserve">Текуће поправке и одржавање медицинске опреме                                                                 </t>
  </si>
  <si>
    <t xml:space="preserve">Текуће поправке и одржавање лабораторијске опреме                                                                 </t>
  </si>
  <si>
    <t xml:space="preserve">Текуће поправке и одржавање мерних и контролних инструмената                                                               </t>
  </si>
  <si>
    <t xml:space="preserve">Текуће поправке и одржавање опреме за образовање, културу и спорт                                                             </t>
  </si>
  <si>
    <t xml:space="preserve">Текуће поправке и одржавање опреме за образовање                                                                </t>
  </si>
  <si>
    <t xml:space="preserve">Текуће поправке и одржавање опреме за културу                                                                </t>
  </si>
  <si>
    <t xml:space="preserve">Текуће поправке и одржавање опреме за спорт                                                                </t>
  </si>
  <si>
    <t xml:space="preserve">Текуће поправке и одржавање опреме за војску                                                                </t>
  </si>
  <si>
    <t xml:space="preserve">Текуће поправке и одржавање опреме за јавну безбедност                                                               </t>
  </si>
  <si>
    <t xml:space="preserve">Текуће поправке и одржавање производне, моторне, непокретне и немоторне опреме                                                             </t>
  </si>
  <si>
    <t xml:space="preserve">Материјал                                                                      </t>
  </si>
  <si>
    <t xml:space="preserve">Административни материјал                                                                     </t>
  </si>
  <si>
    <t xml:space="preserve">Канцеларијски материјал                                                                     </t>
  </si>
  <si>
    <t xml:space="preserve">Одећа, обућа и униформе                                                                   </t>
  </si>
  <si>
    <t xml:space="preserve">Расходи за радну униформу                                                                   </t>
  </si>
  <si>
    <t xml:space="preserve">Службена одећа                                                                     </t>
  </si>
  <si>
    <t xml:space="preserve">Униформе                                                                      </t>
  </si>
  <si>
    <t xml:space="preserve">Хтз опрема                                                                     </t>
  </si>
  <si>
    <t xml:space="preserve">Остали расходи за одећу, обућу и униформе                                                                </t>
  </si>
  <si>
    <t xml:space="preserve">Биодекорација                                                                      </t>
  </si>
  <si>
    <t xml:space="preserve">Цвеће и зеленило                                                                    </t>
  </si>
  <si>
    <t xml:space="preserve">Остали административни материјал                                                                    </t>
  </si>
  <si>
    <t xml:space="preserve">Материјали за пољопривреду                                                                    </t>
  </si>
  <si>
    <t xml:space="preserve">Храна за животиње                                                                    </t>
  </si>
  <si>
    <t xml:space="preserve">Стока за експерименте                                                                    </t>
  </si>
  <si>
    <t xml:space="preserve">Природна и вештачка ђубрива и слично                                                                 </t>
  </si>
  <si>
    <t xml:space="preserve">Семе                                                                      </t>
  </si>
  <si>
    <t xml:space="preserve">Биљке                                                                      </t>
  </si>
  <si>
    <t xml:space="preserve">Остали материјал за пољопривреду                                                                   </t>
  </si>
  <si>
    <t xml:space="preserve">Материјали за образовање и усавршавање запослених                                                                 </t>
  </si>
  <si>
    <t xml:space="preserve">Публикације, часописи и гласила                                                                   </t>
  </si>
  <si>
    <t xml:space="preserve">Стручна литература за редовне потребе запослених                                                                 </t>
  </si>
  <si>
    <t xml:space="preserve">Стручна литература за образовање запослених                                                                  </t>
  </si>
  <si>
    <t xml:space="preserve">Материјали за образовање                                                                    </t>
  </si>
  <si>
    <t xml:space="preserve">Материјали за саобраћај                                                                    </t>
  </si>
  <si>
    <t xml:space="preserve">Издаци за гориво                                                                    </t>
  </si>
  <si>
    <t xml:space="preserve">Бензин                                                                      </t>
  </si>
  <si>
    <t xml:space="preserve">Дизел гориво                                                                     </t>
  </si>
  <si>
    <t xml:space="preserve">Уља и мазива                                                                    </t>
  </si>
  <si>
    <t xml:space="preserve">Остали материјал за превозна средства                                                                  </t>
  </si>
  <si>
    <t xml:space="preserve">Материјали за очување животне средине и науку                                                                </t>
  </si>
  <si>
    <t xml:space="preserve">Материјали за метеоролошка мерења                                                                   </t>
  </si>
  <si>
    <t xml:space="preserve">Материјали за истраживање и развој                                                                  </t>
  </si>
  <si>
    <t xml:space="preserve">Материјали за тестирање ваздуха                                                                   </t>
  </si>
  <si>
    <t xml:space="preserve">Материјали за тестирање воде                                                                   </t>
  </si>
  <si>
    <t xml:space="preserve">Материјали за тестирање тла                                                                   </t>
  </si>
  <si>
    <t xml:space="preserve">Остали материјали за очување животне средине и науку                                                               </t>
  </si>
  <si>
    <t xml:space="preserve">Материјали за образовање, културу и спорт                                                                 </t>
  </si>
  <si>
    <t xml:space="preserve">Материјали за културу                                                                    </t>
  </si>
  <si>
    <t xml:space="preserve">Материјали за спорт                                                                    </t>
  </si>
  <si>
    <t xml:space="preserve">Медицински и лабораторијски материјали                                                                   </t>
  </si>
  <si>
    <t xml:space="preserve">Материјали за медицинске тестове                                                                   </t>
  </si>
  <si>
    <t xml:space="preserve">Материјали за лабораторијске тестове                                                                   </t>
  </si>
  <si>
    <t xml:space="preserve">Материјали за вакцинацију                                                                    </t>
  </si>
  <si>
    <t xml:space="preserve">Материјали за имунизацију                                                                    </t>
  </si>
  <si>
    <t xml:space="preserve">Лекови на рецепт                                                                    </t>
  </si>
  <si>
    <t xml:space="preserve">Ортопедски материјали                                                                     </t>
  </si>
  <si>
    <t xml:space="preserve">Остали медицински и лабораторијски материјали                                                                  </t>
  </si>
  <si>
    <t xml:space="preserve">Материјали за одржавање хигијене и угоститељство                                                                 </t>
  </si>
  <si>
    <t xml:space="preserve">Материјали за одржавање хигијене                                                                   </t>
  </si>
  <si>
    <t xml:space="preserve">Хемијска средства за чишћење                                                                   </t>
  </si>
  <si>
    <t xml:space="preserve">Инвентар за одржавање хигијене                                                                   </t>
  </si>
  <si>
    <t xml:space="preserve">Остали материјал за одржавање хигијене                                                                  </t>
  </si>
  <si>
    <t xml:space="preserve">Материјали за угоститељство                                                                    </t>
  </si>
  <si>
    <t xml:space="preserve">Храна                                                                      </t>
  </si>
  <si>
    <t xml:space="preserve">Пића                                                                      </t>
  </si>
  <si>
    <t xml:space="preserve">Намирнице за припремање хране                                                                   </t>
  </si>
  <si>
    <t xml:space="preserve">Остали материјали за угоститељство                                                                   </t>
  </si>
  <si>
    <t xml:space="preserve">Материјали за посебне намене                                                                   </t>
  </si>
  <si>
    <t xml:space="preserve">Потрошни материјал                                                                     </t>
  </si>
  <si>
    <t xml:space="preserve">Резервни делови                                                                     </t>
  </si>
  <si>
    <t xml:space="preserve">Алат и инвентар                                                                    </t>
  </si>
  <si>
    <t xml:space="preserve">Со за путеве                                                                    </t>
  </si>
  <si>
    <t xml:space="preserve">Остали материјали за посебне намене                                                                  </t>
  </si>
  <si>
    <t xml:space="preserve">Амортизација и употреба средстава за рад                                                                 </t>
  </si>
  <si>
    <t xml:space="preserve">Амортизација некретнина и опреме                                                                   </t>
  </si>
  <si>
    <t xml:space="preserve">Амортизација зграда и грађевинских објеката                                                                  </t>
  </si>
  <si>
    <t xml:space="preserve">Амортизација опреме                                                                     </t>
  </si>
  <si>
    <t xml:space="preserve">Амортизација осталих некретнина и опреме                                                                  </t>
  </si>
  <si>
    <t xml:space="preserve">Амортизација култивисане имовине                                                                    </t>
  </si>
  <si>
    <t/>
  </si>
  <si>
    <t xml:space="preserve">Употреба  драгоцености                                                                    </t>
  </si>
  <si>
    <t xml:space="preserve">Употреба драгоцености                                                                     </t>
  </si>
  <si>
    <t xml:space="preserve">Употреба природне имовине                                                                    </t>
  </si>
  <si>
    <t xml:space="preserve">Употреба земљишта                                                                     </t>
  </si>
  <si>
    <t xml:space="preserve">Употреба подземног блага                                                                    </t>
  </si>
  <si>
    <t xml:space="preserve">Употреба шума и вода                                                                   </t>
  </si>
  <si>
    <t xml:space="preserve">Употреба шума                                                                     </t>
  </si>
  <si>
    <t xml:space="preserve">Употреба вода                                                                     </t>
  </si>
  <si>
    <t xml:space="preserve">Амортизација нематеријалне имовине                                                                    </t>
  </si>
  <si>
    <t xml:space="preserve">Отплата камата и пратећи трошкови задуживања                                                                 </t>
  </si>
  <si>
    <t xml:space="preserve">Отплата  домаћих камата                                                                   </t>
  </si>
  <si>
    <t xml:space="preserve">Отплата камата на домаће хартије од вредности                                                                </t>
  </si>
  <si>
    <t xml:space="preserve">Отплата камата на домаће краткорочне хартије од вредности                                                               </t>
  </si>
  <si>
    <t xml:space="preserve">Отплата камата на домаће дугорочне хартије од вредности                                                               </t>
  </si>
  <si>
    <t xml:space="preserve">Отплата камата осталим нивоима власти                                                                  </t>
  </si>
  <si>
    <t xml:space="preserve">Отплата камата нивоу републике                                                                   </t>
  </si>
  <si>
    <t xml:space="preserve">Отплате камата нивоу територијалних аутономија                                                                  </t>
  </si>
  <si>
    <t xml:space="preserve">Отплата камата нивоу градова                                                                   </t>
  </si>
  <si>
    <t xml:space="preserve">Отплата камата нивоу општина                                                                   </t>
  </si>
  <si>
    <t xml:space="preserve">Отплата камата организацијама обавезног социјалног осигурања                                                                 </t>
  </si>
  <si>
    <t xml:space="preserve">Отплата камата републичком фонда за здравствено осигурање                                                                </t>
  </si>
  <si>
    <t xml:space="preserve">Отплата камата републичком фонду за пио                                                                 </t>
  </si>
  <si>
    <t xml:space="preserve">Отплата камата националној служби за запошљавање                                                                 </t>
  </si>
  <si>
    <t xml:space="preserve">Отплата камата домаћим јавним финансијским институцијама                                                                 </t>
  </si>
  <si>
    <t xml:space="preserve">Отплата камата нбс                                                                    </t>
  </si>
  <si>
    <t xml:space="preserve">Отплата камата осталим домаћим јавним финансијским институцијама                                                                </t>
  </si>
  <si>
    <t xml:space="preserve">Отплата камата домаћим пословним банкама                                                                  </t>
  </si>
  <si>
    <t xml:space="preserve">Отплата камата осталим домаћим кредиторима                                                                  </t>
  </si>
  <si>
    <t xml:space="preserve">Отплата камата домаћинствима у земљи                                                                  </t>
  </si>
  <si>
    <t xml:space="preserve">Отплата камата на домаће финансијске деривате                                                                 </t>
  </si>
  <si>
    <t xml:space="preserve">Отплата камата на домаће менице                                                                  </t>
  </si>
  <si>
    <t xml:space="preserve">Финансијске промене на финансијским лизинзима                                                                  </t>
  </si>
  <si>
    <t xml:space="preserve">Камате на куповине путем лизинга                                                                  </t>
  </si>
  <si>
    <t xml:space="preserve">Отплата страних камата                                                                    </t>
  </si>
  <si>
    <t xml:space="preserve">Отплата камата на хартије од вредности емитоване на иностраном финансијском тржишту                                                            </t>
  </si>
  <si>
    <t xml:space="preserve">Отплата камата на краткорочне хартије од вредности емитоване на иностраном финансијском тржишту                                                           </t>
  </si>
  <si>
    <t xml:space="preserve">Отплата камата на дугорочне хартије од вредности емитоване на иностраном финансијском тржишту                                                           </t>
  </si>
  <si>
    <t xml:space="preserve">Отплата камата на дугорочне хартије од вредности емитоване на иностраном тржишту                                                            </t>
  </si>
  <si>
    <t xml:space="preserve">Отплата камата страним владама                                                                   </t>
  </si>
  <si>
    <t xml:space="preserve">Отплата камата париском клубу                                                                   </t>
  </si>
  <si>
    <t xml:space="preserve">Отплата камата страним увозно извозним банкама                                                                 </t>
  </si>
  <si>
    <t xml:space="preserve">Отплата камата осталим страним владама                                                                  </t>
  </si>
  <si>
    <t xml:space="preserve">Отплата камата мултилатералним институцијама                                                                   </t>
  </si>
  <si>
    <t xml:space="preserve">Отплата камата светској банци                                                                   </t>
  </si>
  <si>
    <t xml:space="preserve">Отплата камата ibrd                                                                    </t>
  </si>
  <si>
    <t xml:space="preserve">Отплата камата ebrd                                                                    </t>
  </si>
  <si>
    <t xml:space="preserve">Отплата камата eib                                                                    </t>
  </si>
  <si>
    <t xml:space="preserve">Отплата камата ceb                                                                    </t>
  </si>
  <si>
    <t xml:space="preserve">Отплата камата осталим мултилатералним институцијама                                                                  </t>
  </si>
  <si>
    <t xml:space="preserve">Отплата камата страним пословним банкама                                                                  </t>
  </si>
  <si>
    <t xml:space="preserve">Отплата камата лондонском клубу                                                                   </t>
  </si>
  <si>
    <t xml:space="preserve">Отплата камата осталим страним пословним банкама                                                                 </t>
  </si>
  <si>
    <t xml:space="preserve">Отплата камата осталим страним кредиторима                                                                  </t>
  </si>
  <si>
    <t xml:space="preserve">Отплата камата на стране финансијске деривате                                                                 </t>
  </si>
  <si>
    <t xml:space="preserve">Отплата камата по гаранцијама                                                                   </t>
  </si>
  <si>
    <t xml:space="preserve">Пратећи трошкови задуживања                                                                    </t>
  </si>
  <si>
    <t xml:space="preserve">Негативне курсне разлике                                                                    </t>
  </si>
  <si>
    <t xml:space="preserve">Казне за кашњење                                                                    </t>
  </si>
  <si>
    <t xml:space="preserve">Казне по решењу правосудних органа                                                                  </t>
  </si>
  <si>
    <t xml:space="preserve">Остале казне                                                                     </t>
  </si>
  <si>
    <t xml:space="preserve">Таксе које проистичу из задуживања                                                                  </t>
  </si>
  <si>
    <t xml:space="preserve">Субвенције                                                                      </t>
  </si>
  <si>
    <t xml:space="preserve">Субвенције јавним нефинансијским предузећима и организацијама                                                                 </t>
  </si>
  <si>
    <t xml:space="preserve">Текуће субвенције јавним нефинансијским предузећима и организацијама                                                                </t>
  </si>
  <si>
    <t xml:space="preserve">Текуће субвенције јавном градском саобраћају                                                                  </t>
  </si>
  <si>
    <t xml:space="preserve">Текуће субвенције  јавном железничком саобраћају                                                                 </t>
  </si>
  <si>
    <t xml:space="preserve">Текуће субвенције јавном железничком саобраћају за исплату зарада                                                               </t>
  </si>
  <si>
    <t xml:space="preserve">Текуће субвенције јавном железничком саобраћају за отплату камата                                                               </t>
  </si>
  <si>
    <t xml:space="preserve">Остале текуће субвенције  јавном железничком саобраћају                                                                </t>
  </si>
  <si>
    <t xml:space="preserve">Текуће субвенције за водопривреду                                                                   </t>
  </si>
  <si>
    <t xml:space="preserve">Текуће субвенције за пољопривреду                                                                   </t>
  </si>
  <si>
    <t xml:space="preserve">Текуће субвенције осталим јавним нефинансијским предузећима и организацијама                                                               </t>
  </si>
  <si>
    <t xml:space="preserve">Капиталне субвенције јавним нефинансијским предузећима и организацијама                                                                </t>
  </si>
  <si>
    <t xml:space="preserve">Капиталне субвенције јавном градском саобраћају                                                                  </t>
  </si>
  <si>
    <t xml:space="preserve">Капиталне субвенције јавном железничком саобраћају                                                                  </t>
  </si>
  <si>
    <t xml:space="preserve">Капиталне субвенције  јавном железничком саобраћају                                                                 </t>
  </si>
  <si>
    <t xml:space="preserve">Капиталне субвенције за водопривреду                                                                   </t>
  </si>
  <si>
    <t xml:space="preserve">Капиталне субвенције за пољопривреду                                                                   </t>
  </si>
  <si>
    <t xml:space="preserve">Капиталне субвенције осталим јавним нефинансијским предузећима и организацијама                                                               </t>
  </si>
  <si>
    <t xml:space="preserve">Субвенције приватним финансијским институцијама                                                                   </t>
  </si>
  <si>
    <t xml:space="preserve">Текуће субвенције приватним финансијским институцијама                                                                  </t>
  </si>
  <si>
    <t xml:space="preserve">Текуће субвенције пословним и трговачким банкама                                                                 </t>
  </si>
  <si>
    <t xml:space="preserve">Текуће субвенције осталим финансијским институцијама                                                                  </t>
  </si>
  <si>
    <t xml:space="preserve">Капиталне субвенције приватним финансијским институцијама                                                                  </t>
  </si>
  <si>
    <t xml:space="preserve">Капиталне субвенције пословним и трговачким банкама                                                                 </t>
  </si>
  <si>
    <t xml:space="preserve">Капиталне субвенције осталим финансијским институцијама                                                                  </t>
  </si>
  <si>
    <t xml:space="preserve">Субвенције јавним финансијским институцијама                                                                   </t>
  </si>
  <si>
    <t xml:space="preserve">Текуће субвенције јавним финансијским институцијама                                                                  </t>
  </si>
  <si>
    <t xml:space="preserve">Текуће субвенције  нбс                                                                   </t>
  </si>
  <si>
    <t xml:space="preserve">Текуће субвенције нбс                                                                    </t>
  </si>
  <si>
    <t xml:space="preserve">Текуће субвенције осталим јавним финансијским институцијама                                                                 </t>
  </si>
  <si>
    <t xml:space="preserve">Капиталне субвенције јавним финансијским институцијама                                                                  </t>
  </si>
  <si>
    <t xml:space="preserve">Капиталне субвенције нбс                                                                    </t>
  </si>
  <si>
    <t xml:space="preserve">Капиталне субвенције осталим јавним финансијским институцијама                                                                 </t>
  </si>
  <si>
    <t xml:space="preserve">Субвенције приватним предузећима                                                                    </t>
  </si>
  <si>
    <t xml:space="preserve">Текуће субвенције приватним предузећима                                                                   </t>
  </si>
  <si>
    <t xml:space="preserve">Капиталне субвенције приватним предузећима                                                                   </t>
  </si>
  <si>
    <t xml:space="preserve">Донације, дотације и трансфери                                                                   </t>
  </si>
  <si>
    <t xml:space="preserve">Донације страним владама                                                                    </t>
  </si>
  <si>
    <t xml:space="preserve">Текуће донације страним владама                                                                   </t>
  </si>
  <si>
    <t xml:space="preserve">Капиталне донације страним владама                                                                   </t>
  </si>
  <si>
    <t xml:space="preserve">Дотације међународним организацијама                                                                    </t>
  </si>
  <si>
    <t xml:space="preserve">Текуће дотације међународним организацијама                                                                   </t>
  </si>
  <si>
    <t xml:space="preserve">Текуће дотације међународном црвеном крсту                                                                  </t>
  </si>
  <si>
    <t xml:space="preserve">Текуће дотације за међународне чланарине                                                                  </t>
  </si>
  <si>
    <t xml:space="preserve">Остале текуће дотације  међународним организацијама                                                                 </t>
  </si>
  <si>
    <t xml:space="preserve">Остале текуће дотације међународним организацијама                                                                  </t>
  </si>
  <si>
    <t xml:space="preserve">Капиталне дотације међународним организацијама                                                                   </t>
  </si>
  <si>
    <t xml:space="preserve">Капиталне дотације међународном црвеном крсту                                                                  </t>
  </si>
  <si>
    <t xml:space="preserve">Остале капиталне дотације међународним организацијама                                                                  </t>
  </si>
  <si>
    <t xml:space="preserve">Трансфери осталим нивоима власти                                                                   </t>
  </si>
  <si>
    <t xml:space="preserve">Текући трансфери осталим нивоима власти                                                                  </t>
  </si>
  <si>
    <t xml:space="preserve">Текући трансфери нивоу републике                                                                   </t>
  </si>
  <si>
    <t xml:space="preserve">Текући трансфери нивоу територијалних аутономија                                                                  </t>
  </si>
  <si>
    <t xml:space="preserve">Текући трансфери за ап војводина                                                                  </t>
  </si>
  <si>
    <t xml:space="preserve">Текући трансфери за југ србије и ап косово и метохија                                                             </t>
  </si>
  <si>
    <t xml:space="preserve">Текући трансфери нивоу градова                                                                   </t>
  </si>
  <si>
    <t xml:space="preserve">Наменски трансфери нивоу градова                                                                   </t>
  </si>
  <si>
    <t xml:space="preserve">Ненаменски трансфери нивоу градова                                                                   </t>
  </si>
  <si>
    <t xml:space="preserve">Текући трансфери нивоу општина                                                                   </t>
  </si>
  <si>
    <t xml:space="preserve">Наменски трансфери нивоу општина                                                                   </t>
  </si>
  <si>
    <t xml:space="preserve">Ненаменски трансфери нивоу општина                                                                   </t>
  </si>
  <si>
    <t xml:space="preserve">Капитални трансфери осталим нивоима власти                                                                  </t>
  </si>
  <si>
    <t xml:space="preserve">Капитални трансфери нивоу републике                                                                   </t>
  </si>
  <si>
    <t xml:space="preserve">Капитални трансфери нивоу територијалних аутономија                                                                  </t>
  </si>
  <si>
    <t xml:space="preserve">Капитални трансфери за ап војводина                                                                  </t>
  </si>
  <si>
    <t xml:space="preserve">Капитални трансфери за југ србије и косово и метохију                                                              </t>
  </si>
  <si>
    <t xml:space="preserve">Капитални трансфери нивоу градова                                                                   </t>
  </si>
  <si>
    <t xml:space="preserve">Капитални трансфери нивоу општина                                                                   </t>
  </si>
  <si>
    <t xml:space="preserve">Дотације организацијама обавезног социјалног осигурања                                                                  </t>
  </si>
  <si>
    <t xml:space="preserve">Текуће дотације организацијама обавезног социјалног осигурања                                                                 </t>
  </si>
  <si>
    <t xml:space="preserve">Текуће дотације републичком фонду за здравствено осигурање                                                                </t>
  </si>
  <si>
    <t xml:space="preserve">Текуће дотације здравственим установама за инвестиције и инвестиционо одржавање                                                              </t>
  </si>
  <si>
    <t xml:space="preserve">Текуће дотације здравственим установама за набавку медицинске и друге опреме                                                             </t>
  </si>
  <si>
    <t xml:space="preserve">Текуће дотације републичком фонду за пио запослених                                                                </t>
  </si>
  <si>
    <t xml:space="preserve">Текуће дотације републичком фонду за пио за осигуранике запослене                                                              </t>
  </si>
  <si>
    <t xml:space="preserve">Текуће дотације републичком фонду за пио пољопривредника                                                                </t>
  </si>
  <si>
    <t xml:space="preserve">Текуће дотације републичком фонду за пио за осигуранике пољопривреднике                                                              </t>
  </si>
  <si>
    <t xml:space="preserve">Текуће дотације републичком фонду за пио самосталних делатности                                                               </t>
  </si>
  <si>
    <t xml:space="preserve">Текуће дотације републичком фонду за пио за осигуранике самосталних делатности                                                             </t>
  </si>
  <si>
    <t xml:space="preserve">Текуће дотације националној служби за запошљавање                                                                 </t>
  </si>
  <si>
    <t xml:space="preserve">Капиталне дотације организацијама обавезног социјалног осигурања                                                                 </t>
  </si>
  <si>
    <t xml:space="preserve">Капиталне дотације републичком фонду за здравствено осигурање                                                                </t>
  </si>
  <si>
    <t xml:space="preserve">Капиталне дотације здравственим установама за инвестиције и инвестиционо одржавање                                                              </t>
  </si>
  <si>
    <t xml:space="preserve">Капиталне дотације здравственим установама за набавку медицинске и друге опреме                                                             </t>
  </si>
  <si>
    <t xml:space="preserve">Капиталне дотације републичком фонду за пио                                                                 </t>
  </si>
  <si>
    <t xml:space="preserve">Капиталне дотације националној служби за запошљавање                                                                 </t>
  </si>
  <si>
    <t xml:space="preserve">Остале дотације и трансфери                                                                   </t>
  </si>
  <si>
    <t xml:space="preserve">Остале текуће дотације и трансфери                                                                  </t>
  </si>
  <si>
    <t xml:space="preserve">Остале текуће дотације по закону                                                                  </t>
  </si>
  <si>
    <t xml:space="preserve">Остале капиталне дотације и трансфери                                                                  </t>
  </si>
  <si>
    <t xml:space="preserve">Социјално осигурање и социјална заштита                                                                  </t>
  </si>
  <si>
    <t xml:space="preserve">Права из социјалног осигурања (организације обавезног социјалног осигурања)                                                               </t>
  </si>
  <si>
    <t xml:space="preserve">Права из социјалног осигурања која се исплаћују непосредно домаћинствима                                                              </t>
  </si>
  <si>
    <t xml:space="preserve">Накнаде зарада осигураницима услед привремене неспособности за рад                                                               </t>
  </si>
  <si>
    <t xml:space="preserve">Накнаде зарада у току привремене неспособности за рад проузроковане повредом на раду или професионалном болешћу                                                        </t>
  </si>
  <si>
    <t xml:space="preserve">Накнаде зарада у току привремене неспособности за рад проузроковане болешћу                                                             </t>
  </si>
  <si>
    <t xml:space="preserve">Накнаде зарада у току привремене неспособности за рад услед карантина, неге и сл.                                                          </t>
  </si>
  <si>
    <t xml:space="preserve">Накнаде за продужену негу детета у складу са законом                                                              </t>
  </si>
  <si>
    <t xml:space="preserve">Права из пензијског осигурања                                                                   </t>
  </si>
  <si>
    <t xml:space="preserve">Основне пензије                                                                     </t>
  </si>
  <si>
    <t xml:space="preserve">Пензије по уредби                                                                    </t>
  </si>
  <si>
    <t xml:space="preserve">Иностране пензије                                                                     </t>
  </si>
  <si>
    <t xml:space="preserve">Нега и помоћ пензионера                                                                   </t>
  </si>
  <si>
    <t xml:space="preserve">Телесно оштећење пензионера                                                                    </t>
  </si>
  <si>
    <t xml:space="preserve">Остала права из пензијског осигурања у складу са законом                                                              </t>
  </si>
  <si>
    <t xml:space="preserve">Накнаде из инвалидског осигурања                                                                   </t>
  </si>
  <si>
    <t xml:space="preserve">Накнада за скраћено радно време за инвалиде ii категорије                                                              </t>
  </si>
  <si>
    <t xml:space="preserve">Накнада за инвалиде i и ii категорије                                                                </t>
  </si>
  <si>
    <t xml:space="preserve">Збирна накнада за инвалиде ii категорије                                                                 </t>
  </si>
  <si>
    <t xml:space="preserve">Привремена накнада зараде од дана настајања инвалидности до запошљавања на друго одговарајуће радно место                                                         </t>
  </si>
  <si>
    <t xml:space="preserve">Накнаде за телесно оштећење                                                                   </t>
  </si>
  <si>
    <t xml:space="preserve">Накнаде за инвалиде iii категорије                                                                  </t>
  </si>
  <si>
    <t xml:space="preserve">Нега и помоћ осигураника                                                                   </t>
  </si>
  <si>
    <t xml:space="preserve">Накнаде за друго одговарајуће радно место – остала права из инвалидског осигурања                                                           </t>
  </si>
  <si>
    <t xml:space="preserve">Исплате националне службе за запошљавање                                                                  </t>
  </si>
  <si>
    <t xml:space="preserve">Накнаде за случај незапослености                                                                   </t>
  </si>
  <si>
    <t xml:space="preserve">Накнаде зарада                                                                     </t>
  </si>
  <si>
    <t xml:space="preserve">Средства за обуку и едукацију                                                                  </t>
  </si>
  <si>
    <t xml:space="preserve">Једнократна помоћ                                                                     </t>
  </si>
  <si>
    <t xml:space="preserve">Остале исплате националне службе за запошљавање директно домаћинствима                                                               </t>
  </si>
  <si>
    <t xml:space="preserve">Остала социјална давања непосредно домаћинствима                                                                  </t>
  </si>
  <si>
    <t xml:space="preserve">Исплате дневница и путних трошкова за путовања у земљи                                                              </t>
  </si>
  <si>
    <t xml:space="preserve">Исплате дневница и путних трошкова за путовања у иностранству                                                              </t>
  </si>
  <si>
    <t xml:space="preserve">Погребни трошкови                                                                     </t>
  </si>
  <si>
    <t xml:space="preserve">Накнаде за становање                                                                    </t>
  </si>
  <si>
    <t xml:space="preserve">Услуге рехабилитације и рекреације                                                                   </t>
  </si>
  <si>
    <t xml:space="preserve">Остала права исплаћена непосредно домаћинствима                                                                  </t>
  </si>
  <si>
    <t xml:space="preserve">Права из социјалног осигурања која се исплаћују непосредно пружаоцима услуга                                                             </t>
  </si>
  <si>
    <t xml:space="preserve">Трошкови здравствене заштите у земљи плаћени непосредно пружаоцима услуга                                                              </t>
  </si>
  <si>
    <t xml:space="preserve">Услуге болница, поликлиника и амбуланти                                                                  </t>
  </si>
  <si>
    <t xml:space="preserve">Услуге дијализе                                                                     </t>
  </si>
  <si>
    <t xml:space="preserve">Фармацеутске услуге и материјали                                                                   </t>
  </si>
  <si>
    <t xml:space="preserve">Стоматолошке услуге                                                                     </t>
  </si>
  <si>
    <t xml:space="preserve">Болничке услуге                                                                     </t>
  </si>
  <si>
    <t xml:space="preserve">Помагала и направе                                                                    </t>
  </si>
  <si>
    <t xml:space="preserve">Услуге које пружају установе социјалне заштите                                                                 </t>
  </si>
  <si>
    <t xml:space="preserve">Остале услуге здравствене заштите у земљи                                                                 </t>
  </si>
  <si>
    <t xml:space="preserve">Услуге здравствене заштите у иностранству плаћене непосредно пружаоцима услуга                                                              </t>
  </si>
  <si>
    <t xml:space="preserve">Здравствена заштита по принципу реципроцитета                                                                  </t>
  </si>
  <si>
    <t xml:space="preserve">Здравствена заштита осигураника који живе у иностранству                                                                </t>
  </si>
  <si>
    <t xml:space="preserve">Трошкови слања осигураних лица на лечење у иностранство                                                               </t>
  </si>
  <si>
    <t xml:space="preserve">Остали трошкови здравствене заштите у иностранству                                                                 </t>
  </si>
  <si>
    <t xml:space="preserve">Брига о пензионисаним лицима                                                                   </t>
  </si>
  <si>
    <t xml:space="preserve">Трошкови смештаја пензионера у домове за старе                                                                </t>
  </si>
  <si>
    <t xml:space="preserve">Трошкови дневног смештаја, помоћи у кући и заштићеног становања                                                              </t>
  </si>
  <si>
    <t xml:space="preserve">Брига о инвалидима                                                                    </t>
  </si>
  <si>
    <t xml:space="preserve">Трошкови смештаја деце инвалида                                                                   </t>
  </si>
  <si>
    <t xml:space="preserve">Трошкови образовања деце инвалида                                                                   </t>
  </si>
  <si>
    <t xml:space="preserve">Трошкови за заштитне радионице                                                                   </t>
  </si>
  <si>
    <t xml:space="preserve">Исплате послодавцима које врши национална служба за запошљавање за запошљавање лица са евиденције                                                          </t>
  </si>
  <si>
    <t xml:space="preserve">Учешће у финансирању зарада лица са евиденција која запошљавају фирме                                                             </t>
  </si>
  <si>
    <t xml:space="preserve">Једнократна помоћ фирмама које запошљавају лица са евиденција                                                               </t>
  </si>
  <si>
    <t xml:space="preserve">Средства за целокупни износ зарада фирмама које запошљавају лица са евиденције                                                            </t>
  </si>
  <si>
    <t xml:space="preserve">Услуге обуке преко националне службе за запошљавање                                                                </t>
  </si>
  <si>
    <t xml:space="preserve">Опште услуге обуке                                                                    </t>
  </si>
  <si>
    <t xml:space="preserve">Услуге преквалификације                                                                     </t>
  </si>
  <si>
    <t xml:space="preserve">Специјализована обука                                                                     </t>
  </si>
  <si>
    <t xml:space="preserve">Остала права која се плаћају директно пружаоцима услуга                                                               </t>
  </si>
  <si>
    <t xml:space="preserve">Услуге хитне помоћи                                                                    </t>
  </si>
  <si>
    <t xml:space="preserve">Остала права из социјалног осигурања која се исплаћују непосредно пружаоцима услуга                                                            </t>
  </si>
  <si>
    <t xml:space="preserve">Трансфери другим организацијама обавезног социјалног осигурања за доприносе за осигурање                                                             </t>
  </si>
  <si>
    <t xml:space="preserve">Трансфери републичком фонду за здравствено осигурање за доприносе за осигурање                                                             </t>
  </si>
  <si>
    <t xml:space="preserve">Трансфери за здравствено осигурање инвалида ii и iii категорије                                                              </t>
  </si>
  <si>
    <t xml:space="preserve">Трансфери републичком фонду за здравствено осигурање за накнаде зарада од дана инвалидности до дана правоснажности решења                                                       </t>
  </si>
  <si>
    <t xml:space="preserve">Трансфери републичком фонду за здравствено осигурање за доприносе за осигурање незапослених лица                                                           </t>
  </si>
  <si>
    <t xml:space="preserve">Трансфери републичком фонду за здравствено осигурање за доприносе за осигурање незапослених лица – продужено осигурање                                                        </t>
  </si>
  <si>
    <t xml:space="preserve">Трансфери републичком фонду за пио за осигуранике запослене за доприносе за осигурање                                                           </t>
  </si>
  <si>
    <t xml:space="preserve">Трансфери републичком фонду за пио за осигуранике запослене  за доприносе за осигурање незапослених                                                         </t>
  </si>
  <si>
    <t xml:space="preserve">Трансфери републичком фонду за пио за осигуранике запослене   за доприносе за осигурање незапослених – продужено осигурање                                                     </t>
  </si>
  <si>
    <t xml:space="preserve">Трансфери републичком фонду за пио за осигуранике пољопривредника за доприносе за осигурање                                                           </t>
  </si>
  <si>
    <t xml:space="preserve">Трансфери републичком фонду за пио за осигуранике за осигуранике пољопривреднике за доприносе за осигурање                                                         </t>
  </si>
  <si>
    <t xml:space="preserve">Трансфери републичком фонду за пио  за осигуранике самосталних делатности за доприносе за осигурање                                                         </t>
  </si>
  <si>
    <t xml:space="preserve">Трансфери републичком фонду за пио за осигуранике самосталних делатности за доприносе за осигурање                                                          </t>
  </si>
  <si>
    <t xml:space="preserve">Трансфери републичком фонду за пио за осигуранике самосталних делатности за доприносе за осигурање незапослених                                                         </t>
  </si>
  <si>
    <t xml:space="preserve">Трансфери републичком фонду за пио за осигуранике самосталних делатности за доприносе за осигурање незапослених – продужено осигурање                                                      </t>
  </si>
  <si>
    <t xml:space="preserve">Трансфери националној служби за запошљавање за доприносе за осигурање                                                              </t>
  </si>
  <si>
    <t xml:space="preserve">Накнаде за социјалну заштиту из буџета                                                                 </t>
  </si>
  <si>
    <t xml:space="preserve">Накнаде из буџета у случају болести и инвалидности                                                               </t>
  </si>
  <si>
    <t xml:space="preserve">Накнаде за боловање                                                                    </t>
  </si>
  <si>
    <t xml:space="preserve">Накнаде за инвалидност                                                                    </t>
  </si>
  <si>
    <t xml:space="preserve">Накнаде ратним инвалидима                                                                    </t>
  </si>
  <si>
    <t xml:space="preserve">Накнаде ратним војним инвалидима                                                                   </t>
  </si>
  <si>
    <t xml:space="preserve">Накнаде ратним цивилним инвалидима                                                                   </t>
  </si>
  <si>
    <t xml:space="preserve">Накнаде из буџета за породиљско одсуство                                                                 </t>
  </si>
  <si>
    <t xml:space="preserve">Накнаде из буџета за децу и породицу                                                                </t>
  </si>
  <si>
    <t xml:space="preserve">Накнаде из буџета за случај незапослености                                                                 </t>
  </si>
  <si>
    <t xml:space="preserve">Старосне и породичне пензије из буџета                                                                 </t>
  </si>
  <si>
    <t xml:space="preserve">Старосне пензије                                                                     </t>
  </si>
  <si>
    <t xml:space="preserve">Породичне пензије                                                                     </t>
  </si>
  <si>
    <t xml:space="preserve">Накнаде из буџета у случају смрти                                                                 </t>
  </si>
  <si>
    <t xml:space="preserve">Накнаде из буџета за образовање, културу, науку и спорт                                                              </t>
  </si>
  <si>
    <t xml:space="preserve">Накнаде из буџета за образовање                                                                  </t>
  </si>
  <si>
    <t xml:space="preserve">Академске награде                                                                     </t>
  </si>
  <si>
    <t xml:space="preserve">Студентске награде                                                                     </t>
  </si>
  <si>
    <t xml:space="preserve">Ученичке награде                                                                     </t>
  </si>
  <si>
    <t xml:space="preserve">Студентске стипендије                                                                     </t>
  </si>
  <si>
    <t xml:space="preserve">Ученичке стипендије                                                                     </t>
  </si>
  <si>
    <t xml:space="preserve">Исхрана и смештај студената                                                                   </t>
  </si>
  <si>
    <t xml:space="preserve">Исхрана и смештај ученика                                                                   </t>
  </si>
  <si>
    <t xml:space="preserve">Остале накнаде за образовање                                                                   </t>
  </si>
  <si>
    <t xml:space="preserve">Накнаде из буџета за културу                                                                  </t>
  </si>
  <si>
    <t xml:space="preserve">Накнаде из буџета за спорт                                                                  </t>
  </si>
  <si>
    <t xml:space="preserve">Спортске награде                                                                     </t>
  </si>
  <si>
    <t xml:space="preserve">Спортске стипендије                                                                     </t>
  </si>
  <si>
    <t xml:space="preserve">Накнаде из буџета за науку                                                                  </t>
  </si>
  <si>
    <t xml:space="preserve">Накнаде за образовање и усавршавање научноистраживачких кадрова                                                                </t>
  </si>
  <si>
    <t xml:space="preserve">Накнаде из буџета за становање и живот                                                                </t>
  </si>
  <si>
    <t xml:space="preserve">Остале накнаде из буџета                                                                   </t>
  </si>
  <si>
    <t xml:space="preserve">Исплате бившим политичким затвореницима                                                                   </t>
  </si>
  <si>
    <t xml:space="preserve">Исплате лицима лишених слободе                                                                   </t>
  </si>
  <si>
    <t xml:space="preserve">Исплате осуђеницима                                                                     </t>
  </si>
  <si>
    <t xml:space="preserve">Накнада трошкова на име остваривања права лица лишених слободе                                                              </t>
  </si>
  <si>
    <t xml:space="preserve">Остали расходи                                                                     </t>
  </si>
  <si>
    <t xml:space="preserve">Дотације невладиним организацијама                                                                    </t>
  </si>
  <si>
    <t xml:space="preserve">Дотације непрофитним организацијама које пружају помоћ домаћинствима                                                                </t>
  </si>
  <si>
    <t xml:space="preserve">Дотације непрофитним здравственим организацијама                                                                   </t>
  </si>
  <si>
    <t xml:space="preserve">Дотације непрофитним здравственим организацијама за лечење особа лишених слободе                                                              </t>
  </si>
  <si>
    <t xml:space="preserve">Дотације непрофитним здравственим организацијама за лечење особа непознатог пребивалишта                                                              </t>
  </si>
  <si>
    <t xml:space="preserve">Дотације у натури непрофитним организацијама које пружају услуге домаћинствима                                                              </t>
  </si>
  <si>
    <t xml:space="preserve">Дотације добротворним организацијама у храни, одећи, ћебадима и лековима за домаћинства                                                            </t>
  </si>
  <si>
    <t xml:space="preserve">Дотације црвеном крсту србије                                                                   </t>
  </si>
  <si>
    <t xml:space="preserve">Дотације осталим непрофитним институцијама                                                                   </t>
  </si>
  <si>
    <t xml:space="preserve">Дотације спортским омладинским организацијама                                                                   </t>
  </si>
  <si>
    <t xml:space="preserve">Дотације етничким заједницама и мањинама                                                                  </t>
  </si>
  <si>
    <t xml:space="preserve">Дотације верским заједницама                                                                    </t>
  </si>
  <si>
    <t xml:space="preserve">Дотације осталим удружењима грађана и политичким странкама                                                                </t>
  </si>
  <si>
    <t xml:space="preserve">Дотације осталим удружењима грађана                                                                   </t>
  </si>
  <si>
    <t xml:space="preserve">Дотације политичким странкама                                                                    </t>
  </si>
  <si>
    <t xml:space="preserve">Дотације привредним коморама                                                                    </t>
  </si>
  <si>
    <t xml:space="preserve">Дотације приватним и алтернативним школама                                                                  </t>
  </si>
  <si>
    <t xml:space="preserve">Дотације приватним и алтернативним основним школама                                                                 </t>
  </si>
  <si>
    <t xml:space="preserve">Дотације приватним и алтернативним средњим школама                                                                 </t>
  </si>
  <si>
    <t xml:space="preserve">Дотације осталим приватним и алтернативним школама                                                                 </t>
  </si>
  <si>
    <t xml:space="preserve">Порези, обавезне таксе, казне и пенали                                                                 </t>
  </si>
  <si>
    <t xml:space="preserve">Остали порези                                                                     </t>
  </si>
  <si>
    <t xml:space="preserve">Порези на имовину                                                                    </t>
  </si>
  <si>
    <t xml:space="preserve">Стални порез на имовину                                                                   </t>
  </si>
  <si>
    <t xml:space="preserve">Порез на финансијске трансакције                                                                   </t>
  </si>
  <si>
    <t xml:space="preserve">Порез на робе и услуге                                                                  </t>
  </si>
  <si>
    <t xml:space="preserve">Порез на робу                                                                    </t>
  </si>
  <si>
    <t xml:space="preserve">Порез на услуге                                                                    </t>
  </si>
  <si>
    <t xml:space="preserve">Акцизе                                                                      </t>
  </si>
  <si>
    <t xml:space="preserve">Порез на коришћење роба или обављање активности                                                                </t>
  </si>
  <si>
    <t xml:space="preserve">Регистрација возила                                                                     </t>
  </si>
  <si>
    <t xml:space="preserve">Порез на мобилне телефоне                                                                   </t>
  </si>
  <si>
    <t xml:space="preserve">Порези на међународну трговину                                                                   </t>
  </si>
  <si>
    <t xml:space="preserve">Царине                                                                      </t>
  </si>
  <si>
    <t xml:space="preserve">Обавезне таксе                                                                     </t>
  </si>
  <si>
    <t xml:space="preserve">Новчане казне и пенали                                                                   </t>
  </si>
  <si>
    <t xml:space="preserve">Републичке казне и пенали                                                                   </t>
  </si>
  <si>
    <t xml:space="preserve">Пенали                                                                      </t>
  </si>
  <si>
    <t xml:space="preserve">Новчане казне и пенали по решењу судова                                                                </t>
  </si>
  <si>
    <t xml:space="preserve">Накнада штете за повреде или штету насталу услед елементарних непогода или других природних узрока                                                         </t>
  </si>
  <si>
    <t xml:space="preserve">Накнада штете за повреде или штету насталу услед елементарних непогода                                                             </t>
  </si>
  <si>
    <t xml:space="preserve">Накнада штете од дивљачи                                                                   </t>
  </si>
  <si>
    <t xml:space="preserve">Накнада штете за повреде или штету нанету од стране државних органа                                                            </t>
  </si>
  <si>
    <t xml:space="preserve">Накнада штете неоправдано осуђених лица                                                                  </t>
  </si>
  <si>
    <t xml:space="preserve">Остале накнаде штете                                                                    </t>
  </si>
  <si>
    <t xml:space="preserve">Расходи који се финансирају из средстава за реализацију националног инвестиционог плана                                                            </t>
  </si>
  <si>
    <t xml:space="preserve">Административни трансфери из буџета, од директних буџетских корисника индиректним буџетским корисницима или између буџетских корисника на истом нивоу  и средства резерве                                                 </t>
  </si>
  <si>
    <t xml:space="preserve">Допринос за случај незапослености                                                                   </t>
  </si>
  <si>
    <t xml:space="preserve">Исплата накнада за време одсуствовања с посла                                                                </t>
  </si>
  <si>
    <t xml:space="preserve">Материјал за пољопривреду                                                                    </t>
  </si>
  <si>
    <t xml:space="preserve">Материјал за образовање и усавршавање запослених                                                                 </t>
  </si>
  <si>
    <t xml:space="preserve">Материјал за саобраћај                                                                    </t>
  </si>
  <si>
    <t xml:space="preserve">Материјал за очување животне средине и науку                                                                </t>
  </si>
  <si>
    <t xml:space="preserve">Материјал за образовање, културу и спорт                                                                 </t>
  </si>
  <si>
    <t xml:space="preserve">Материјал за одржавање хигијене и угоститељство                                                                 </t>
  </si>
  <si>
    <t xml:space="preserve">Материјал за посебне намене                                                                   </t>
  </si>
  <si>
    <t xml:space="preserve">Отплата домаћих камата                                                                    </t>
  </si>
  <si>
    <t xml:space="preserve">Отплата камата пословним банкама                                                                   </t>
  </si>
  <si>
    <t xml:space="preserve">Отплата камата осталим кредиторима                                                                   </t>
  </si>
  <si>
    <t xml:space="preserve">Отплата камата домаћинствима                                                                    </t>
  </si>
  <si>
    <t xml:space="preserve">Отплата камата на менице                                                                   </t>
  </si>
  <si>
    <t xml:space="preserve">Права из социјалног осигурања                                                                   </t>
  </si>
  <si>
    <t xml:space="preserve">Накнаде из буџета за случај  незапослености                                                                </t>
  </si>
  <si>
    <t xml:space="preserve">Остале накнаде за социјалну заштиту из буџета                                                                </t>
  </si>
  <si>
    <t xml:space="preserve">Порези, обавезне таксе и казне                                                                  </t>
  </si>
  <si>
    <t xml:space="preserve">Издаци за нефинансијску имовину                                                                   </t>
  </si>
  <si>
    <t xml:space="preserve">Куповина зграда и објеката                                                                   </t>
  </si>
  <si>
    <t xml:space="preserve">Изградња зграда и објеката                                                                   </t>
  </si>
  <si>
    <t xml:space="preserve">Капитално одржавање зграда и објеката                                                                  </t>
  </si>
  <si>
    <t xml:space="preserve">Пројектно планирање                                                                     </t>
  </si>
  <si>
    <t xml:space="preserve">Машине и опрема                                                                    </t>
  </si>
  <si>
    <t xml:space="preserve">Залихе материјала                                                                     </t>
  </si>
  <si>
    <t xml:space="preserve">Рудна богатства                                                                     </t>
  </si>
  <si>
    <t xml:space="preserve">Издаци за отплату главнице и набавку финансијске имовине                                                               </t>
  </si>
  <si>
    <t xml:space="preserve">Отплата главнице                                                                     </t>
  </si>
  <si>
    <t xml:space="preserve">Отплате главнице домаћим кредиторима                                                                   </t>
  </si>
  <si>
    <t xml:space="preserve">Отплата главнице на домаће хартије од вредности, изузев акција                                                              </t>
  </si>
  <si>
    <t xml:space="preserve">Отплата главнице осталим нивоима власти                                                                  </t>
  </si>
  <si>
    <t xml:space="preserve">Отплата главнице домаћим јавним финансијским институцијама                                                                 </t>
  </si>
  <si>
    <t xml:space="preserve">Отплата главнице домаћим пословним банкама                                                                  </t>
  </si>
  <si>
    <t xml:space="preserve">Отплата главнице осталим домаћим кредиторима                                                                  </t>
  </si>
  <si>
    <t xml:space="preserve">Отплата главнице домаћинствима у земљи                                                                  </t>
  </si>
  <si>
    <t xml:space="preserve">Отплата главнице на домаће финансијске деривате                                                                 </t>
  </si>
  <si>
    <t xml:space="preserve">Отплата домаћих меница                                                                    </t>
  </si>
  <si>
    <t xml:space="preserve">Исправка унутрашњег дуга                                                                    </t>
  </si>
  <si>
    <t xml:space="preserve">Отплата главнице страним кредиторима                                                                   </t>
  </si>
  <si>
    <t xml:space="preserve">Отплата главнице на хартије од вредности, изузев акција, емитоване на иностраном финансијском тржишту                                                          </t>
  </si>
  <si>
    <t xml:space="preserve">Отплата главнице страним владама                                                                   </t>
  </si>
  <si>
    <t xml:space="preserve">Отплата главнице мултилатералним институцијама                                                                   </t>
  </si>
  <si>
    <t xml:space="preserve">Отплате главнице страним пословним банкама                                                                  </t>
  </si>
  <si>
    <t xml:space="preserve">Отплате главнице осталим страним кредиторима                                                                  </t>
  </si>
  <si>
    <t xml:space="preserve">Отплата главнице на стране финансијске деривате                                                                 </t>
  </si>
  <si>
    <t xml:space="preserve">Исправка спољног дуга                                                                    </t>
  </si>
  <si>
    <t xml:space="preserve">Отплата главнице по гаранцијама                                                                   </t>
  </si>
  <si>
    <t xml:space="preserve">Отплата главнице за финансијски лизинг                                                                  </t>
  </si>
  <si>
    <t xml:space="preserve">Набавка финансијске имовине                                                                    </t>
  </si>
  <si>
    <t xml:space="preserve">Набавка домаће финансијске имовине                                                                   </t>
  </si>
  <si>
    <t xml:space="preserve">Набавка домаћих хартија од вредности, изузев акција                                                                </t>
  </si>
  <si>
    <t xml:space="preserve">Кредити домаћим невладиним организацијама у земљи                                                                 </t>
  </si>
  <si>
    <t xml:space="preserve">Набавка домаћих акција и осталог капитала                                                                 </t>
  </si>
  <si>
    <t xml:space="preserve">Набавка стране финансијске имовине                                                                   </t>
  </si>
  <si>
    <t xml:space="preserve">Набавка страних хартија од вредности, изузев акција                                                                </t>
  </si>
  <si>
    <t xml:space="preserve">Набавка страних акција и осталог капитала                                                                 </t>
  </si>
  <si>
    <t xml:space="preserve">Куповина стране валуте                                                                    </t>
  </si>
  <si>
    <t xml:space="preserve">Средства резерве                                                                     </t>
  </si>
  <si>
    <t xml:space="preserve">Стална резерва                                                                     </t>
  </si>
  <si>
    <t xml:space="preserve">Текућа резерва                                                                     </t>
  </si>
  <si>
    <t xml:space="preserve">Куповина стамбеног простора                                                                    </t>
  </si>
  <si>
    <t xml:space="preserve">Куповина стамбеног простора за јавне службенике                                                                 </t>
  </si>
  <si>
    <t xml:space="preserve">Куповина стамбеног простора за социјалне групе                                                                 </t>
  </si>
  <si>
    <t xml:space="preserve">Куповина стамбеног простора за избеглице                                                                  </t>
  </si>
  <si>
    <t xml:space="preserve">Куповина осталог стамбеног простора                                                                   </t>
  </si>
  <si>
    <t xml:space="preserve">Лизинг стамбеног простора                                                                    </t>
  </si>
  <si>
    <t xml:space="preserve">Куповина пословних зграда и пословног простора                                                                 </t>
  </si>
  <si>
    <t xml:space="preserve">Куповина канцеларијских зграда и осталог простора                                                                 </t>
  </si>
  <si>
    <t xml:space="preserve">Куповина болница, домова здравља и старачких домова                                                                </t>
  </si>
  <si>
    <t xml:space="preserve">Куповина објеката за потребе образовања                                                                  </t>
  </si>
  <si>
    <t xml:space="preserve">Куповина ресторана                                                                     </t>
  </si>
  <si>
    <t xml:space="preserve">Куповина одмаралишта                                                                     </t>
  </si>
  <si>
    <t xml:space="preserve">Куповина складишта, силоса, гаража и сл.                                                                 </t>
  </si>
  <si>
    <t xml:space="preserve">Куповина фабричких хала                                                                    </t>
  </si>
  <si>
    <t xml:space="preserve">Лизинг пословних зграда и пословног простора                                                                 </t>
  </si>
  <si>
    <t xml:space="preserve">Куповина осталих објеката                                                                    </t>
  </si>
  <si>
    <t xml:space="preserve">Куповина отворених спортских и рекреационих објеката                                                                 </t>
  </si>
  <si>
    <t xml:space="preserve">Куповина установа културе                                                                    </t>
  </si>
  <si>
    <t xml:space="preserve">Куповина затвора                                                                     </t>
  </si>
  <si>
    <t xml:space="preserve">Изградња стамбеног простора                                                                    </t>
  </si>
  <si>
    <t xml:space="preserve">Изградња стамбеног простора за јавне службенике                                                                 </t>
  </si>
  <si>
    <t xml:space="preserve">Изградња стамбеног простора за социјалне групе                                                                 </t>
  </si>
  <si>
    <t xml:space="preserve">Изградња стамбеног простора за избеглице                                                                  </t>
  </si>
  <si>
    <t xml:space="preserve">Изградња осталих стамбених простора                                                                   </t>
  </si>
  <si>
    <t xml:space="preserve">Изградња пословних зграда и пословног простора                                                                 </t>
  </si>
  <si>
    <t xml:space="preserve">Канцеларијске зграде и пословни простор                                                                  </t>
  </si>
  <si>
    <t xml:space="preserve">Ресторани                                                                      </t>
  </si>
  <si>
    <t xml:space="preserve">Одмаралишта                                                                      </t>
  </si>
  <si>
    <t xml:space="preserve">Складишта, силоси, гараже и слично                                                                  </t>
  </si>
  <si>
    <t xml:space="preserve">Изградња саобраћајних објеката                                                                    </t>
  </si>
  <si>
    <t xml:space="preserve">Аутопутеви, путеви, мостови, надвожњаци и тунели                                                                 </t>
  </si>
  <si>
    <t xml:space="preserve">Изградња водоводне инфраструктуре                                                                    </t>
  </si>
  <si>
    <t xml:space="preserve">Изградња осталих објеката                                                                    </t>
  </si>
  <si>
    <t xml:space="preserve">Плиновод и плинарски радови                                                                   </t>
  </si>
  <si>
    <t xml:space="preserve">Отворени спортски и рекреациони објекти                                                                  </t>
  </si>
  <si>
    <t xml:space="preserve">Изградња система за наводњавање                                                                   </t>
  </si>
  <si>
    <t xml:space="preserve">Капитално одржавање стамбених простора                                                                   </t>
  </si>
  <si>
    <t xml:space="preserve">Капитално одржавање стамбеног простора за јавне службенике                                                                </t>
  </si>
  <si>
    <t xml:space="preserve">Капитално одржавање стамбеног простора за социјалне групе                                                                </t>
  </si>
  <si>
    <t xml:space="preserve">Капитално одржавање стамбеног простора за избеглице                                                                 </t>
  </si>
  <si>
    <t xml:space="preserve">Капитално одржавање другог стамбеног простора                                                                  </t>
  </si>
  <si>
    <t xml:space="preserve">Капитално одржавање пословних зграда и пословног простора                                                                </t>
  </si>
  <si>
    <t xml:space="preserve">Капитално одржавање болница, домова здравља и старачких домова                                                               </t>
  </si>
  <si>
    <t xml:space="preserve">Капитално одржавање објеката за потребе образовања                                                                 </t>
  </si>
  <si>
    <t xml:space="preserve">Капитално одржавање ресторана                                                                    </t>
  </si>
  <si>
    <t xml:space="preserve">Капитално одржавање одмаралишта                                                                    </t>
  </si>
  <si>
    <t xml:space="preserve">Капитално одржавање складишта, силоса, гаража и сл.                                                                </t>
  </si>
  <si>
    <t xml:space="preserve">Капитално одржавање граничних прелаза                                                                   </t>
  </si>
  <si>
    <t xml:space="preserve">Капитално одржавање фабричких хала                                                                   </t>
  </si>
  <si>
    <t xml:space="preserve">Капитално одржавање саобраћајних објеката                                                                   </t>
  </si>
  <si>
    <t xml:space="preserve">Капитално одржавање аутопутева, путева, мостова, надвожњака и тунела                                                               </t>
  </si>
  <si>
    <t xml:space="preserve">Капитално одржавање пруга                                                                    </t>
  </si>
  <si>
    <t xml:space="preserve">Капитално одржавање аеродромских писта                                                                   </t>
  </si>
  <si>
    <t xml:space="preserve">Капитално одржавање водоводне инфраструктуре                                                                   </t>
  </si>
  <si>
    <t xml:space="preserve">Капитално одржавање водовода                                                                    </t>
  </si>
  <si>
    <t xml:space="preserve">Капитално одржавање канализације                                                                    </t>
  </si>
  <si>
    <t xml:space="preserve">Капитално одржавање лука                                                                    </t>
  </si>
  <si>
    <t xml:space="preserve">Капитално одржавање брана                                                                    </t>
  </si>
  <si>
    <t xml:space="preserve">Капитално одржавање осталих објеката                                                                   </t>
  </si>
  <si>
    <t xml:space="preserve">Капитално одржавање плиновода и плинарских радова                                                                 </t>
  </si>
  <si>
    <t xml:space="preserve">Капитално одржавање комуникационих и електричних водова                                                                 </t>
  </si>
  <si>
    <t xml:space="preserve">Капитално одржавање отворених спортских и рекреационих објеката                                                                </t>
  </si>
  <si>
    <t xml:space="preserve">Капитално одржавање установа културе                                                                   </t>
  </si>
  <si>
    <t xml:space="preserve">Капитално одржавање затвора                                                                    </t>
  </si>
  <si>
    <t xml:space="preserve">Капитално одржавање и реконструкција система за наводњавање                                                                </t>
  </si>
  <si>
    <t xml:space="preserve">Планирање и праћење пројекта                                                                   </t>
  </si>
  <si>
    <t xml:space="preserve">Процене изводљивости                                                                     </t>
  </si>
  <si>
    <t xml:space="preserve">Идејни пројекат                                                                     </t>
  </si>
  <si>
    <t xml:space="preserve">Стручна оцена и коментари                                                                   </t>
  </si>
  <si>
    <t xml:space="preserve">Пројектна документација                                                                     </t>
  </si>
  <si>
    <t xml:space="preserve">Аутомобили                                                                      </t>
  </si>
  <si>
    <t xml:space="preserve">Трактори                                                                      </t>
  </si>
  <si>
    <t xml:space="preserve">Комбији                                                                      </t>
  </si>
  <si>
    <t xml:space="preserve">Камиони                                                                      </t>
  </si>
  <si>
    <t xml:space="preserve">Теренска возила                                                                     </t>
  </si>
  <si>
    <t xml:space="preserve">Мотоцикли                                                                      </t>
  </si>
  <si>
    <t xml:space="preserve">Бицикли                                                                      </t>
  </si>
  <si>
    <t xml:space="preserve">Бродови и чамци                                                                    </t>
  </si>
  <si>
    <t xml:space="preserve">Трајекти                                                                      </t>
  </si>
  <si>
    <t xml:space="preserve">Хеликоптери                                                                      </t>
  </si>
  <si>
    <t xml:space="preserve">Авиони                                                                      </t>
  </si>
  <si>
    <t xml:space="preserve">Писаће машине                                                                     </t>
  </si>
  <si>
    <t xml:space="preserve">Штампачи                                                                      </t>
  </si>
  <si>
    <t xml:space="preserve">Мреже                                                                      </t>
  </si>
  <si>
    <t xml:space="preserve">Телефонске централе с припадајућим инсталацијама и апаратима                                                                </t>
  </si>
  <si>
    <t xml:space="preserve">Мобилни телефони                                                                     </t>
  </si>
  <si>
    <t xml:space="preserve">Електронска опрема                                                                     </t>
  </si>
  <si>
    <t xml:space="preserve">Фотографска опрема                                                                     </t>
  </si>
  <si>
    <t xml:space="preserve">Опрема за домаћинство                                                                    </t>
  </si>
  <si>
    <t xml:space="preserve">Опрема за угоститељство                                                                    </t>
  </si>
  <si>
    <t xml:space="preserve">Пољопривредна опрема                                                                     </t>
  </si>
  <si>
    <t xml:space="preserve">Лизинг пољопривредне опреме                                                                    </t>
  </si>
  <si>
    <t xml:space="preserve">Лизинг опремe за војску                                                                   </t>
  </si>
  <si>
    <t xml:space="preserve">Лизинг опремe за јавну безбедност                                                                  </t>
  </si>
  <si>
    <t xml:space="preserve">Опрема за производњу                                                                    </t>
  </si>
  <si>
    <t xml:space="preserve">Уграђена опрема                                                                     </t>
  </si>
  <si>
    <t xml:space="preserve">Монтирана опрема                                                                     </t>
  </si>
  <si>
    <t xml:space="preserve">Механичка опрема                                                                     </t>
  </si>
  <si>
    <t xml:space="preserve">Немоторизовани алати                                                                     </t>
  </si>
  <si>
    <t xml:space="preserve">Лизинг опреме за производњу, моторна, непокретна и немоторна опрема                                                              </t>
  </si>
  <si>
    <t xml:space="preserve">Лизинг остале некретнине и опрема                                                                  </t>
  </si>
  <si>
    <t xml:space="preserve">Стока                                                                      </t>
  </si>
  <si>
    <t xml:space="preserve">Говеда                                                                      </t>
  </si>
  <si>
    <t xml:space="preserve">Коњи                                                                      </t>
  </si>
  <si>
    <t xml:space="preserve">Магарци, муле, мазге                                                                    </t>
  </si>
  <si>
    <t xml:space="preserve">Свиње                                                                      </t>
  </si>
  <si>
    <t xml:space="preserve">Овце и козе                                                                    </t>
  </si>
  <si>
    <t xml:space="preserve">Живина                                                                      </t>
  </si>
  <si>
    <t xml:space="preserve">Рибе                                                                      </t>
  </si>
  <si>
    <t xml:space="preserve">Пчелињаци                                                                      </t>
  </si>
  <si>
    <t xml:space="preserve">Остала стока                                                                     </t>
  </si>
  <si>
    <t xml:space="preserve">Књиге у библиотеци                                                                    </t>
  </si>
  <si>
    <t xml:space="preserve">Музејски експонати и споменици културе                                                                  </t>
  </si>
  <si>
    <t xml:space="preserve">Визуелна уметност                                                                     </t>
  </si>
  <si>
    <t xml:space="preserve">Скулптуре                                                                      </t>
  </si>
  <si>
    <t xml:space="preserve">Архивска грађа                                                                     </t>
  </si>
  <si>
    <t xml:space="preserve">Природне реткости                                                                     </t>
  </si>
  <si>
    <t xml:space="preserve">Остала књижевна и уметничка дела                                                                  </t>
  </si>
  <si>
    <t xml:space="preserve">Издаци за патенте и технологију, техничку и технолошку документацију                                                              </t>
  </si>
  <si>
    <t xml:space="preserve">Лиценце                                                                      </t>
  </si>
  <si>
    <t xml:space="preserve">Концесије                                                                      </t>
  </si>
  <si>
    <t xml:space="preserve">Заштитни знак, индустријска заштитна права, занатска и слична права                                                              </t>
  </si>
  <si>
    <t xml:space="preserve">Остала заштићена права и интелектуална својина (компјутерски програми, трајна ауторска права и слично)                                                          </t>
  </si>
  <si>
    <t xml:space="preserve">Права кориштења имовине у туђем власништву                                                                 </t>
  </si>
  <si>
    <t xml:space="preserve">Прикључак за телефонске линије                                                                   </t>
  </si>
  <si>
    <t xml:space="preserve">Набавка земљишта                                                                     </t>
  </si>
  <si>
    <t xml:space="preserve">Набавка пољопривредног земљишта                                                                    </t>
  </si>
  <si>
    <t xml:space="preserve">Набавка грађевинског земљишта                                                                    </t>
  </si>
  <si>
    <t xml:space="preserve">Набавка земљишта које се налази испод зграда и објеката                                                              </t>
  </si>
  <si>
    <t xml:space="preserve">Набавка спортских терена и придружених водених површина                                                                </t>
  </si>
  <si>
    <t xml:space="preserve">Набавка другог земљишта и придружених водених површина                                                                </t>
  </si>
  <si>
    <t xml:space="preserve">Побољшања земљишта                                                                     </t>
  </si>
  <si>
    <t xml:space="preserve">Побољшања пољопривредног земљишта                                                                    </t>
  </si>
  <si>
    <t xml:space="preserve">Побољшања грађевинског земљишта                                                                    </t>
  </si>
  <si>
    <t xml:space="preserve">Побољшања земљишта које се налази испод зграда и објеката                                                              </t>
  </si>
  <si>
    <t xml:space="preserve">Побољшања спортских терена и придружене водене површине                                                                </t>
  </si>
  <si>
    <t xml:space="preserve">Побољшања другог земљишта и придружене водене површине                                                                </t>
  </si>
  <si>
    <t xml:space="preserve">Набавка угља, нафте и природног гаса                                                                 </t>
  </si>
  <si>
    <t xml:space="preserve">Набавка минералних резерви метала                                                                   </t>
  </si>
  <si>
    <t xml:space="preserve">Побољшања копова                                                                     </t>
  </si>
  <si>
    <t xml:space="preserve">Побољшање копова                                                                     </t>
  </si>
  <si>
    <t xml:space="preserve">Побољшања угља, нафте и природног гаса                                                                 </t>
  </si>
  <si>
    <t xml:space="preserve">Побољшање металних минералних резерви                                                                   </t>
  </si>
  <si>
    <t xml:space="preserve">Набавка шума                                                                     </t>
  </si>
  <si>
    <t xml:space="preserve">Побољшања шуме                                                                     </t>
  </si>
  <si>
    <t xml:space="preserve">Побољшања шума                                                                     </t>
  </si>
  <si>
    <t xml:space="preserve">Набавка воде                                                                     </t>
  </si>
  <si>
    <t xml:space="preserve">Побољшања воде                                                                     </t>
  </si>
  <si>
    <t xml:space="preserve">Нефинансијска имовина која се финансира из средстава за реализацију националног инвестиционог плана                                                           </t>
  </si>
  <si>
    <t xml:space="preserve">Нефинансијска имовина која се финансира из средстава за реализацију националног инвестиционог плана на територији ап војводине                                                       </t>
  </si>
  <si>
    <t xml:space="preserve">Отплата главнице домаћим кредиторима                                                                   </t>
  </si>
  <si>
    <t xml:space="preserve">Отплата главнице на домаће краткорочне хартије од вредности, изузев акција                                                             </t>
  </si>
  <si>
    <t xml:space="preserve">Отплата главнице на домаће дугорочне хартије од вредности, изузев акција                                                             </t>
  </si>
  <si>
    <t xml:space="preserve">Дисконти на домаће дугорочне хартије од вредности, изузев акција                                                              </t>
  </si>
  <si>
    <t xml:space="preserve">Отплата главнице нивоу републике                                                                   </t>
  </si>
  <si>
    <t xml:space="preserve">Отплата главнице нивоу територијалних аутономија                                                                  </t>
  </si>
  <si>
    <t xml:space="preserve">Отплата главнице нивоу градова                                                                   </t>
  </si>
  <si>
    <t xml:space="preserve">Отплата главнице нивоу општина                                                                   </t>
  </si>
  <si>
    <t xml:space="preserve">Отплата главнице организацијама обавезног социјалног осигурања                                                                 </t>
  </si>
  <si>
    <t xml:space="preserve">Отплата главнице републичком фонду за здравствено осигурање                                                                </t>
  </si>
  <si>
    <t xml:space="preserve">Отплата главнице републичком фонду за пио                                                                 </t>
  </si>
  <si>
    <t xml:space="preserve">Отплата главнице националној служби за запошљавање                                                                 </t>
  </si>
  <si>
    <t xml:space="preserve">Отплата главнице нбс                                                                    </t>
  </si>
  <si>
    <t xml:space="preserve">Отплата главнице осталим домаћим јавним финансијским институцијама                                                                </t>
  </si>
  <si>
    <t xml:space="preserve">Исправка унутрашњег дуга од осталих нивоа власти за средства отплаћена у току фискалне године                                                         </t>
  </si>
  <si>
    <t xml:space="preserve">Исправка унутрашњег дуга од осталих домаћих кредитора за средства отплаћена у току фискалне године                                                         </t>
  </si>
  <si>
    <t xml:space="preserve">Отплата главнице на краткорочне хартије од вредности, изузев акција, емитоване на иностраном финансијском тржишту                                                         </t>
  </si>
  <si>
    <t xml:space="preserve">Отплата главнице на  дугорочне хартије од вредности, изузев акција, емитоване на иностраном финансијском тржишту                                                        </t>
  </si>
  <si>
    <t xml:space="preserve">Отплата главнице на дугорочне хартије од вредности, изузев акција, емитоване на иностраном финансијском тржишту                                                         </t>
  </si>
  <si>
    <t xml:space="preserve">Дисконти на дугорочне хартије од вредности, изузев акција, емитоване на иностраном финансијском тржишту                                                          </t>
  </si>
  <si>
    <t xml:space="preserve">Отплата главнице париском клубу                                                                   </t>
  </si>
  <si>
    <t xml:space="preserve">Отплата главнице страним извозно увозним банкама                                                                 </t>
  </si>
  <si>
    <t xml:space="preserve">Отплата главнице осталим страним владама                                                                  </t>
  </si>
  <si>
    <t xml:space="preserve">Отплата главнице светској банци                                                                   </t>
  </si>
  <si>
    <t xml:space="preserve">Отплата главнице ibrd                                                                    </t>
  </si>
  <si>
    <t xml:space="preserve">Отплата главнице ebrd                                                                    </t>
  </si>
  <si>
    <t xml:space="preserve">Отплата главнице eib                                                                    </t>
  </si>
  <si>
    <t xml:space="preserve">Отплата главнице ceb                                                                    </t>
  </si>
  <si>
    <t xml:space="preserve">Отплата главнице осталим мултилатералним институцијама                                                                  </t>
  </si>
  <si>
    <t xml:space="preserve">Отплата главнице страним пословним банкама                                                                  </t>
  </si>
  <si>
    <t xml:space="preserve">Отплата главнице лондонском клубу                                                                   </t>
  </si>
  <si>
    <t xml:space="preserve">Отплата главнице осталим страним пословним банкама                                                                 </t>
  </si>
  <si>
    <t xml:space="preserve">Отплата главнице осталим страним кредиторима                                                                  </t>
  </si>
  <si>
    <t xml:space="preserve">Исправка спољног дуга за средства отплаћена у фискалној години                                                              </t>
  </si>
  <si>
    <t xml:space="preserve">Отплата главнице зa финансијски лизинг                                                                  </t>
  </si>
  <si>
    <t xml:space="preserve">Набавка домаћих краткорочних хартија од вредности, изузев акција                                                               </t>
  </si>
  <si>
    <t xml:space="preserve">Кредити домаћим нефинансијским јавним институцијама                                                                  </t>
  </si>
  <si>
    <t xml:space="preserve">Кредити физичким лицима у земљи, за потребе становања                                                               </t>
  </si>
  <si>
    <t xml:space="preserve">Кредити физичким лицима у земљи, за комерцијалне потребе                                                               </t>
  </si>
  <si>
    <t xml:space="preserve">Кредити невладиним организацијама у земљи                                                                  </t>
  </si>
  <si>
    <t xml:space="preserve">Учешће капитала у домаћим нефинансијским јавним предузећима и институцијама                                                              </t>
  </si>
  <si>
    <t xml:space="preserve">Учешће капитала у осталим јавним финансијским институцијама у земљи                                                              </t>
  </si>
  <si>
    <t xml:space="preserve">Набавка страних краткорочних хартија од вредности, изузев акција                                                               </t>
  </si>
  <si>
    <t xml:space="preserve">Набавка страних дугорочних хартија од вредности, изузев акција                                                               </t>
  </si>
  <si>
    <t xml:space="preserve">Набавка финансијске имовине која се финансира из средстава за реализацију  националног инвестиционог плана                                                         </t>
  </si>
  <si>
    <t xml:space="preserve">Набавка финансијске имовине која се финансира из средстава за реализацију националног инвестиционог плана                                                          </t>
  </si>
  <si>
    <t xml:space="preserve">Контра књижење – издаци за отплату главнице и набавку финансијске имовине                                                            </t>
  </si>
  <si>
    <t>700000</t>
  </si>
  <si>
    <t xml:space="preserve">Текући приходи                                                                     </t>
  </si>
  <si>
    <t xml:space="preserve">Порези                                                                      </t>
  </si>
  <si>
    <t xml:space="preserve">Порез на доходак, добит и капиталне добитке                                                                </t>
  </si>
  <si>
    <t xml:space="preserve">Порези на доходак и капиталне добитке које плаћају физичка лица                                                             </t>
  </si>
  <si>
    <t xml:space="preserve">Порез на зараде                                                                    </t>
  </si>
  <si>
    <t xml:space="preserve">Порез на приходе од самосталних делатности                                                                 </t>
  </si>
  <si>
    <t xml:space="preserve">Порез на приходе од самосталних делатности који се плаћа према стварно оствареном приходу, по решењу пореске управе                                                      </t>
  </si>
  <si>
    <t xml:space="preserve">Порез на приходе од самосталних делатности који се плаћа према паушално утврђеном приходу, по решењу пореске управе                                                      </t>
  </si>
  <si>
    <t xml:space="preserve">Порез на приходе од ауторских права                                                                 </t>
  </si>
  <si>
    <t xml:space="preserve">Порез на приходе од ауторских права, права сродних ауторском праву и права индустријске својине                                                         </t>
  </si>
  <si>
    <t xml:space="preserve">Порез на приходе од имовине                                                                  </t>
  </si>
  <si>
    <t xml:space="preserve">Порез на дивиденде и уделе у добити                                                                </t>
  </si>
  <si>
    <t xml:space="preserve">Порез на приходе од камате                                                                  </t>
  </si>
  <si>
    <t xml:space="preserve">Порез на приходе од непокретности                                                                  </t>
  </si>
  <si>
    <t xml:space="preserve">Порез на капиталне добитке, по решењу пореске управе                                                               </t>
  </si>
  <si>
    <t xml:space="preserve">Порез на приходе од давања у закуп покретних ствари                                                              </t>
  </si>
  <si>
    <t xml:space="preserve">Порез на приход од пољопривреде и шумарства, по решењу пореске управе                                                            </t>
  </si>
  <si>
    <t xml:space="preserve">Порез на земљиште                                                                    </t>
  </si>
  <si>
    <t xml:space="preserve">Порез на приходе од непокретности, по решењу пореске управе                                                              </t>
  </si>
  <si>
    <t xml:space="preserve">Порез на приходе од давања у закуп покретних ствари, по решењу пореске управе                                                          </t>
  </si>
  <si>
    <t xml:space="preserve">Порез на добитке од игара на срећу                                                                </t>
  </si>
  <si>
    <t xml:space="preserve">Порез на приходе од осигурања лица                                                                 </t>
  </si>
  <si>
    <t xml:space="preserve">Годишњи порез на доходак грађана                                                                  </t>
  </si>
  <si>
    <t xml:space="preserve">Самодоприноси                                                                      </t>
  </si>
  <si>
    <t xml:space="preserve">Самодопринос према зарадама запослених и по основу пензија на територији месне заједнице и општине                                                         </t>
  </si>
  <si>
    <t xml:space="preserve">Самодопринос према зарадама запослених и по основу пензија на територији града                                                            </t>
  </si>
  <si>
    <t xml:space="preserve">Самодопринос из прихода од пољопривреде и шумарства                                                                </t>
  </si>
  <si>
    <t xml:space="preserve">Самодопринос из прихода лица која се баве самосталном делатношћу                                                              </t>
  </si>
  <si>
    <t xml:space="preserve">Самодопринос на вредност имовине                                                                   </t>
  </si>
  <si>
    <t xml:space="preserve">Порез на друге приходе                                                                   </t>
  </si>
  <si>
    <t xml:space="preserve">Порез на остале приходе                                                                   </t>
  </si>
  <si>
    <t xml:space="preserve">Порез на непријављени приход утврђен унакрсном проценом                                                                </t>
  </si>
  <si>
    <t xml:space="preserve">Порез на приходе спортиста и спортских стручњака                                                                </t>
  </si>
  <si>
    <t xml:space="preserve">Порез по одбитку за приходе по основу извођења естрадног, забавног, уметничког, спортског или сличног програма                                                        </t>
  </si>
  <si>
    <t xml:space="preserve">Порез по одбитку на накнаду исплаћену по основу промета секундарних сировина и отпада                                                          </t>
  </si>
  <si>
    <t xml:space="preserve">Порези на добит и капиталне добитке које плаћају предузећа и друга правна лица                                                          </t>
  </si>
  <si>
    <t xml:space="preserve">Порез на добит предузећа                                                                   </t>
  </si>
  <si>
    <t xml:space="preserve">Порез на добит правних лица                                                                  </t>
  </si>
  <si>
    <t xml:space="preserve">Порез на добит правних лица који се као порез по одбитку обрачунава на дивиденде које се исплаћују резидентима                                                     </t>
  </si>
  <si>
    <t xml:space="preserve">Порез на добит правних лица који се обрачунава и наплаћује као порез по одбитку на дивиденде које се исплаћују нерезидентима                                                   </t>
  </si>
  <si>
    <t xml:space="preserve">Порез на добит правних лица који се као порез по одбитку обрачунава на камате које се исплаћују нерезидентима                                                     </t>
  </si>
  <si>
    <t xml:space="preserve">Порез на добит правних лица који се као порез по одбитку обрачунава на ауторске накнаде које се исплаћују нерезидентима                                                    </t>
  </si>
  <si>
    <t xml:space="preserve">Порез на добит правних лица који се као порез по одбитку обрачунава на капиталне добитке које остваре нерезиденти                                                     </t>
  </si>
  <si>
    <t xml:space="preserve">Порез на добит правних лица који се као порез по одбитку обрачунава на накнаде по основу закупа непокретности и покретних ствари које се исплаћују нерезидентима                                              </t>
  </si>
  <si>
    <t xml:space="preserve">Порез на добит правних лица који се као порез по одбитку обрачунава на приходе које остварују нерезидентна правна лица, по основу вишка стечајне масе, односно расподеле ликвидационог остатка                                           </t>
  </si>
  <si>
    <t xml:space="preserve">Порези на доходак, добит и капиталне добитке који се не могу разврстати између физичких и правних лица                                                      </t>
  </si>
  <si>
    <t xml:space="preserve">Порез на фонд зарада                                                                   </t>
  </si>
  <si>
    <t xml:space="preserve">Порез на фонд зарада запослених који се финансирају из буџета и фондова обавезног социјалног осигурања                                                        </t>
  </si>
  <si>
    <t xml:space="preserve">Порез на фонд зарада осталих запослених                                                                 </t>
  </si>
  <si>
    <t xml:space="preserve">Порез на фонд зарада лица која остварују приходе од ауторских права и права индустријске својине                                                        </t>
  </si>
  <si>
    <t xml:space="preserve">Порез на имовину                                                                    </t>
  </si>
  <si>
    <t xml:space="preserve">Периодични порези на непокретности                                                                   </t>
  </si>
  <si>
    <t xml:space="preserve">Посебан порез на необрађено обрадиво пољопривредно земљиште                                                                </t>
  </si>
  <si>
    <t xml:space="preserve">Посебан порез на необрађено обрадиво пољопривредно земљиште, по решењу пореске управе                                                            </t>
  </si>
  <si>
    <t xml:space="preserve">Порез на имовину (осим на земљиште, акције и уделе) од физичких лица                                                           </t>
  </si>
  <si>
    <t xml:space="preserve">Порез на имовину (осим на земљиште, акције и уделе) од правних лица                                                           </t>
  </si>
  <si>
    <t xml:space="preserve">Периодични порези на нето имовину                                                                  </t>
  </si>
  <si>
    <t xml:space="preserve">Порези на заоставштину, наслеђе и поклон                                                                 </t>
  </si>
  <si>
    <t xml:space="preserve">Порез на наслеђе и поклон                                                                  </t>
  </si>
  <si>
    <t xml:space="preserve">Порез на наслеђе и поклон по решењу пореске управе                                                              </t>
  </si>
  <si>
    <t xml:space="preserve">Порези на финансијске и капиталне трансакције                                                                 </t>
  </si>
  <si>
    <t xml:space="preserve">Порез на капиталне трансакције                                                                   </t>
  </si>
  <si>
    <t xml:space="preserve">Порез на пренос апсолутних права на непокретности, по решењу пореске управе                                                            </t>
  </si>
  <si>
    <t xml:space="preserve">Порез на пренос апсолутних права на акцијама и другим хартијама од вредности, по решењу пореске управе                                                       </t>
  </si>
  <si>
    <t xml:space="preserve">Порез на пренос апсолутних права на половним моторним возилима и пловним објектима, по решењу пореске управе                                                       </t>
  </si>
  <si>
    <t xml:space="preserve">Порез на пренос апсолутних права на осталим објектима, по решењу пореске управе                                                           </t>
  </si>
  <si>
    <t xml:space="preserve">Други једнократни порези на имовину                                                                  </t>
  </si>
  <si>
    <t xml:space="preserve">Други периодични порези на имовину                                                                  </t>
  </si>
  <si>
    <t xml:space="preserve">Порез на акције на име и уделе                                                                </t>
  </si>
  <si>
    <t xml:space="preserve">Порез на добра и услуге                                                                  </t>
  </si>
  <si>
    <t xml:space="preserve">Општи порези на добра и услуге                                                                 </t>
  </si>
  <si>
    <t xml:space="preserve">Порези на додату вредност                                                                   </t>
  </si>
  <si>
    <t xml:space="preserve">Порез на промет дуванских прерађевина, алкохолних пића и кафе                                                              </t>
  </si>
  <si>
    <t xml:space="preserve">Порез на додату вредност при увозу                                                                 </t>
  </si>
  <si>
    <t xml:space="preserve">Порез на додату вредност за промет добара домаћег порекла са територије ап косово и метохија на територију републике ван територије ап косово и метохија                                               </t>
  </si>
  <si>
    <t xml:space="preserve">Једнофазни порези на промет                                                                   </t>
  </si>
  <si>
    <t xml:space="preserve">Порез на промет производа (општи режим)                                                                 </t>
  </si>
  <si>
    <t xml:space="preserve">Порез на промет лекова са посебне листе                                                                </t>
  </si>
  <si>
    <t xml:space="preserve">Порез на промет осталих лекова, медицинских средстава, ортопедских помагала и слично                                                            </t>
  </si>
  <si>
    <t xml:space="preserve">Порез на промет производа остварен при увозу                                                                </t>
  </si>
  <si>
    <t xml:space="preserve">Такса на продајну цену робе у слободним царинским продавницама                                                              </t>
  </si>
  <si>
    <t xml:space="preserve">Накнада за стављање у промет заштићених дивљих биљних и животињских врста                                                            </t>
  </si>
  <si>
    <t xml:space="preserve">Средства црвеног крста србије по члану 15. закона о црвеном крсту србије – током „недеље црвеног крста” од 8. до 15. маја и „недеље солидарности” од 14. до 21. септембра                                         </t>
  </si>
  <si>
    <t xml:space="preserve">Средства црвеног крста србије по члану 16. закона о црвеном крсту србије – од сваке продате карте за манифестације међународног карактера (културне, забавне, спортске и слично) током целе календарске године                                         </t>
  </si>
  <si>
    <t xml:space="preserve">Порез на промет нових моторних возила                                                                 </t>
  </si>
  <si>
    <t xml:space="preserve">Кумулативни вишефазни порези на промет                                                                  </t>
  </si>
  <si>
    <t xml:space="preserve">Порез на промет услуга промета производа на велико                                                               </t>
  </si>
  <si>
    <t xml:space="preserve">Порез на промет комуналних услуга                                                                  </t>
  </si>
  <si>
    <t xml:space="preserve">Порез на промет финансијских услуга (камате за дате кредите и позајмице, банкарске и друге услуге, услуге платног промета, берзанске услуге и услуге осигурања и реосигурања)                                              </t>
  </si>
  <si>
    <t xml:space="preserve">Порез на промет угоститељских и туристичких услуга                                                                </t>
  </si>
  <si>
    <t xml:space="preserve">Порез на промет услуга организовања приредби и естрада                                                               </t>
  </si>
  <si>
    <t xml:space="preserve">Порез на промет услуга приређивања игара на срећу                                                               </t>
  </si>
  <si>
    <t xml:space="preserve">Порез на промет услуга од приређивања игара на срећу помоћу аутомата, који се плаћа у паушалном износу                                                      </t>
  </si>
  <si>
    <t xml:space="preserve">Порез на промет услуга у годишњем паушалном износу, по решењу пореске  управе                                                          </t>
  </si>
  <si>
    <t xml:space="preserve">Порез на промет осталих услуга                                                                  </t>
  </si>
  <si>
    <t xml:space="preserve">Порез на премије неживотних осигурања                                                                  </t>
  </si>
  <si>
    <t xml:space="preserve">Добит фискалних монопола                                                                    </t>
  </si>
  <si>
    <t xml:space="preserve">Порези на појединачне услуге                                                                   </t>
  </si>
  <si>
    <t xml:space="preserve">Комунална такса за приређивање музичког програма у угоститељским објектима                                                              </t>
  </si>
  <si>
    <t xml:space="preserve">Комунална такса за држање музичких уређаја и приређивање музичког програма у угоститељским објектима                                                          </t>
  </si>
  <si>
    <t xml:space="preserve">Комунална такса за коришћење рекламних паноа                                                                 </t>
  </si>
  <si>
    <t xml:space="preserve">Средства за ванредне ситуације                                                                   </t>
  </si>
  <si>
    <t xml:space="preserve">Средства остварена на основу издвајања осигуравајућих друштава у висини 0,05 од наплаћене премије осигурања од пожара и других опасности у корист буџетског фонда за ванредне ситуације                                             </t>
  </si>
  <si>
    <t xml:space="preserve">Средства правних лица која за осигурање од пожара своје имовине оснивају властите осигуравајуће фондове у висини 0,03 од премије осигурања од пожара у корист буџетског фонда за ванредне ситуације                                          </t>
  </si>
  <si>
    <t xml:space="preserve">Средства остварена на основу издвајања осигуравајућих друштава у висини 0,05 од прихода наплаћеног обавезног осигурања транспорта опасних материја у друмском, железничком, речном и ваздушном саобраћају у корист буџетског фонда за ванредне ситуације                                       </t>
  </si>
  <si>
    <t xml:space="preserve">Средства наплаћена од привредних субјеката на годишњем нивоу, који се баве производњом, прерадом, ускладиштењем, дистрибуцијом и продајом запаљивих течности, експлозивних материја и гасова, по основу укупних инсталационих капацитета ускладиштења и главне мерне регулационе станице на магистралном гасоводу у корист буџетског фонда за ванредне ситуације                           </t>
  </si>
  <si>
    <t xml:space="preserve">Средства остварена на основу издвајања надлежног органа за послове цивилног ваздухопловства, намењена, за потребе службе за трагање и спасавање у случају удеса ваздухоплова у корист буџетског фонда за ванредне ситуације                                         </t>
  </si>
  <si>
    <t xml:space="preserve">Средства остварена по основу 1% прихода од продаје улазница за спортске догађаје, по пријављеном догађају министарству унутрашњих послова у корист буџетског фонда за ванредне ситуације                                              </t>
  </si>
  <si>
    <t xml:space="preserve">Порези, таксе и накнаде на употребу добара, на дозволу да се добра употребљавају или делатности обављају                                                       </t>
  </si>
  <si>
    <t xml:space="preserve">Порези, таксе и накнаде на моторна возила                                                                </t>
  </si>
  <si>
    <t xml:space="preserve">Порез на употребу моторних возила                                                                  </t>
  </si>
  <si>
    <t xml:space="preserve">Посебна такса за регистрацију одређених моторних возила                                                                </t>
  </si>
  <si>
    <t xml:space="preserve">Комунална такса за држање моторних друмских и прикључних возила, осим пољопривредних возила и машина                                                         </t>
  </si>
  <si>
    <t xml:space="preserve">Годишња накнада за моторна возила, тракторе и прикључна возила                                                              </t>
  </si>
  <si>
    <t xml:space="preserve">Годишња накнада за остала возила на моторни погон                                                               </t>
  </si>
  <si>
    <t xml:space="preserve">Посебна накнада за регистрацију одређених возила                                                                 </t>
  </si>
  <si>
    <t xml:space="preserve">Порези на употребу, држање и ношење добара                                                                </t>
  </si>
  <si>
    <t xml:space="preserve">Порез на употребу мобилног телефона                                                                  </t>
  </si>
  <si>
    <t xml:space="preserve">Порез на употребу пловних објеката                                                                  </t>
  </si>
  <si>
    <t xml:space="preserve">Порез на употребу ваздухоплова и летелица                                                                 </t>
  </si>
  <si>
    <t xml:space="preserve">Порез на регистровано оружје                                                                   </t>
  </si>
  <si>
    <t xml:space="preserve">Накнада за ванредни превоз на државном путу                                                                </t>
  </si>
  <si>
    <t xml:space="preserve">Републичке таксе и накнаде за посебне производе и посебне активности                                                             </t>
  </si>
  <si>
    <t xml:space="preserve">Такса за приказивање филмова на телевизији и у средствима јавног превоза                                                            </t>
  </si>
  <si>
    <t xml:space="preserve">Такса за контролну маркицу за видео касете                                                                </t>
  </si>
  <si>
    <t xml:space="preserve">Средства за увођење, функционисање и унапређење система за праћење, контролу и регулисање саобраћаја - видео надзор на путевима од 0,012 бруто премије осигурања од аутоодговорности                                              </t>
  </si>
  <si>
    <t xml:space="preserve">Посебна накнада на цигарете из члана 70. став 2. закона о дувану                                                           </t>
  </si>
  <si>
    <t xml:space="preserve">Накнаде за коришћење добара од општег интереса                                                                </t>
  </si>
  <si>
    <t xml:space="preserve">Накнада за коришћење вода                                                                   </t>
  </si>
  <si>
    <t xml:space="preserve">Накнада за заштиту вода                                                                   </t>
  </si>
  <si>
    <t xml:space="preserve">Накнада за промену намене обрадивог пољопривредног земљишта                                                                </t>
  </si>
  <si>
    <t xml:space="preserve">Накнада за инвестиције у износу од 0,01 предрачунске вредности објекта или радова                                                           </t>
  </si>
  <si>
    <t xml:space="preserve">Накнада за загађивање природних богатстава                                                                  </t>
  </si>
  <si>
    <t xml:space="preserve">Накнада за коришћење рибарских подручја                                                                  </t>
  </si>
  <si>
    <t xml:space="preserve">Накнада за загађивање животне средине                                                                  </t>
  </si>
  <si>
    <t xml:space="preserve">Накнада за супстанце које оштећују озонски омотач и накнада за пластичне кесе                                                           </t>
  </si>
  <si>
    <t xml:space="preserve">Накнада од емисије so2, no2, прашкастих материја и одложеног отпада                                                             </t>
  </si>
  <si>
    <t xml:space="preserve">Концесионе накнаде и боравишне таксе                                                                  </t>
  </si>
  <si>
    <t xml:space="preserve">Концесиона накнада                                                                     </t>
  </si>
  <si>
    <t xml:space="preserve">Боравишна такса                                                                     </t>
  </si>
  <si>
    <t xml:space="preserve">Општинске и градске накнаде                                                                   </t>
  </si>
  <si>
    <t xml:space="preserve">Посебна накнада за заштиту и унапређење животне средине                                                               </t>
  </si>
  <si>
    <t xml:space="preserve">Концесиона накнада за обављање комуналних делатности и приходи од других концесионих послова, које јединице локалне самоуправе закључе у складу са законом                                                  </t>
  </si>
  <si>
    <t xml:space="preserve">Накнада за постављање објеката, односно средстава за оглашавање и других објеката и средстава                                                          </t>
  </si>
  <si>
    <t xml:space="preserve">Општинске и градске комуналне таксе                                                                  </t>
  </si>
  <si>
    <t xml:space="preserve">Комунална такса за држање кућних и егзотичних животиња                                                               </t>
  </si>
  <si>
    <t xml:space="preserve">Комунална такса за држање средстава за игру („забавне игре”)                                                              </t>
  </si>
  <si>
    <t xml:space="preserve">Комунална такса за коришћење витрина ради излагања робе ван пословне просторије                                                            </t>
  </si>
  <si>
    <t xml:space="preserve">Комунална такса за држање и коришћење пловних постројења, пловних направа и других објеката на води, осим пристана који се користе у пограничном речном саобраћају                                               </t>
  </si>
  <si>
    <t xml:space="preserve">Комунална такса за држање и коришћење чамаца и сплавова на води, осим чамаца које користе организације које одржавају и обележавају пловне путеве                                                 </t>
  </si>
  <si>
    <t xml:space="preserve">Комунална такса за држање ресторана и других угоститељских и забавних објеката на води                                                          </t>
  </si>
  <si>
    <t xml:space="preserve">Накнаде за коришћење државних путева                                                                  </t>
  </si>
  <si>
    <t xml:space="preserve">Посебна накнада за употребу државног пута, његовог дела или путног објекта (путарина)                                                           </t>
  </si>
  <si>
    <t xml:space="preserve">Накнада за прикључење прилазног пута на државни пут                                                               </t>
  </si>
  <si>
    <t xml:space="preserve">Накнада за постављање водовода, канализације, електричних, телефонских и телеграфских водова и сл. на државном путу                                                        </t>
  </si>
  <si>
    <t xml:space="preserve">Годишња накнада за коришћење комерцијалних објеката којима је омогућен приступ са државног пута                                                          </t>
  </si>
  <si>
    <t xml:space="preserve">Накнада за употребу државног пута за возила регистрована у иностранству                                                             </t>
  </si>
  <si>
    <t xml:space="preserve">Накнада за прекомерно коришћење државног пута, његовог дела или путног објекта                                                            </t>
  </si>
  <si>
    <t xml:space="preserve">Накнада за изградњу комерцијалних објеката којима је омогућен приступ са државног пута                                                           </t>
  </si>
  <si>
    <t xml:space="preserve">Накнаде за коришћење општинских путева и улица                                                                </t>
  </si>
  <si>
    <t xml:space="preserve">Посебна накнада за употребу општинског пута и улице, њиховог дела или путног објекта, ако је управљач пута надлежни орган локалне самоуправе                                                  </t>
  </si>
  <si>
    <t xml:space="preserve">Накнада за прикључење прилазног пута на општински пут и улицу, ако је управљач пута надлежни орган локалне самоуправе                                                     </t>
  </si>
  <si>
    <t xml:space="preserve">Накнада за постављање водовода, канализације, електричних, телефонских и телеграфских водова и сл. на општинском путу и улици, ако је управљач пута надлежни орган локалне самоуправе                                              </t>
  </si>
  <si>
    <t xml:space="preserve">Годишња накнада за коришћење комерцијалних објеката којима је омогућен приступ са општинског пута и улице, ако је управљач пута надлежни орган локалне самоуправе                                                </t>
  </si>
  <si>
    <t xml:space="preserve">Накнада за постављање објеката и средстава за оглашавање и обавештавање у пределу општинског пута и улице, ако је управљач пута надлежни орган локалне самоуправе                                               </t>
  </si>
  <si>
    <t xml:space="preserve">Накнада за прекомерно коришћење општинског пута, његовог дела или путног објекта, ако је управљач пута надлежни орган локалне самоуправе                                                    </t>
  </si>
  <si>
    <t xml:space="preserve">Накнада за изградњу комерцијалних објеката којима је омогућен приступ са општинског пута , ако је управљач пута надлежни орган локалне самоуправе                                                  </t>
  </si>
  <si>
    <t xml:space="preserve">Накнада за ванредни превоз на општинском путу и улици, ако је управљач пута надлежни орган локалне самоуправе                                                      </t>
  </si>
  <si>
    <t xml:space="preserve">Накнада за закуп делова земљишног појаса општинског пута и улице, ако је управљач пута надлежни орган локалне самоуправе                                                     </t>
  </si>
  <si>
    <t xml:space="preserve">Други порези на добра и услуге                                                                 </t>
  </si>
  <si>
    <t xml:space="preserve">Порез на међународну трговину и трансакције                                                                 </t>
  </si>
  <si>
    <t xml:space="preserve">Царине и друге увозне дажбине                                                                  </t>
  </si>
  <si>
    <t xml:space="preserve">Царинске таксе                                                                     </t>
  </si>
  <si>
    <t xml:space="preserve">Царинске дажбине                                                                     </t>
  </si>
  <si>
    <t xml:space="preserve">Остале увозне дажбине и складиштење                                                                  </t>
  </si>
  <si>
    <t xml:space="preserve">Посебна дажбина на увоз пољопривредних и прехрамбених производа                                                               </t>
  </si>
  <si>
    <t xml:space="preserve">Дажбина за царинско евидентирање                                                                   </t>
  </si>
  <si>
    <t xml:space="preserve">Дажбине за држање роба у царинским магацинима и стовариштима                                                              </t>
  </si>
  <si>
    <t xml:space="preserve">Порези на извоз                                                                    </t>
  </si>
  <si>
    <t xml:space="preserve">Добит извозних или увозних монопола                                                                  </t>
  </si>
  <si>
    <t xml:space="preserve">Добит по основу разлике између куповног и продајног девизног курса                                                             </t>
  </si>
  <si>
    <t xml:space="preserve">Порези на продају или куповину девиза                                                                 </t>
  </si>
  <si>
    <t xml:space="preserve">Други порези на међународну трговину и трансакције                                                                </t>
  </si>
  <si>
    <t>716000</t>
  </si>
  <si>
    <t xml:space="preserve">Други порези                                                                     </t>
  </si>
  <si>
    <t xml:space="preserve">Други порези које искључиво плаћају предузећа, односно предузетници                                                               </t>
  </si>
  <si>
    <t xml:space="preserve">Комунална такса на фирму                                                                   </t>
  </si>
  <si>
    <t>716111</t>
  </si>
  <si>
    <t xml:space="preserve">Комунална такса за истицање фирме на пословном простору                                                               </t>
  </si>
  <si>
    <t xml:space="preserve">Комунална такса за истицање и исписивање фирме ван пословног простора на објектима и просторима који припадају јединици локалне самоуправе (коловози, тротоари, зелене површине, бандере и сл.)                                             </t>
  </si>
  <si>
    <t xml:space="preserve">Други порези које плаћају остала лица или који се не могу идентификовати                                                           </t>
  </si>
  <si>
    <t xml:space="preserve">Средства прикупљена за време „дечије недеље”                                                                 </t>
  </si>
  <si>
    <t xml:space="preserve">Средства остварена продајом доплатне поштанске марке                                                                 </t>
  </si>
  <si>
    <t xml:space="preserve">Средства остварена продајом доплатне поштанске марке „борба против рака”                                                              </t>
  </si>
  <si>
    <t xml:space="preserve">Средства остварена продајом доплатне поштанске марке „борба против сиде”                                                              </t>
  </si>
  <si>
    <t xml:space="preserve">Средства остварена продајом доплатне поштанске марке „изградња спомен-храма светог саве”                                                             </t>
  </si>
  <si>
    <t xml:space="preserve">Средства остварена продајом доплатне поштанске марке „европско првенство у рукомету србија 2012“                                                           </t>
  </si>
  <si>
    <t xml:space="preserve">Средства остварена продајом доплатне поштанске марке „школа без насиља“                                                              </t>
  </si>
  <si>
    <t xml:space="preserve">Средства остварена продајом доплатне поштанске марке „корак напред“                                                               </t>
  </si>
  <si>
    <t xml:space="preserve">Средства остварена продајом доплатне поштанске марке „светско првенство у рвању за кадете србија 2013“                                                         </t>
  </si>
  <si>
    <t xml:space="preserve">Средства остварена продајом доплатне поштанске марке „народна библиотека србије 1832 - 2012“                                                           </t>
  </si>
  <si>
    <t xml:space="preserve">Средства остварена продајом доплатне поштанске марке „медаља се осваја срцем“                                                             </t>
  </si>
  <si>
    <t xml:space="preserve">Aкцизе                                                                      </t>
  </si>
  <si>
    <t xml:space="preserve">Акцизе на деривате нафте                                                                   </t>
  </si>
  <si>
    <t xml:space="preserve">Акцизе на деривате нафте произведене у земљи                                                                </t>
  </si>
  <si>
    <t xml:space="preserve">Акциза на моторни бензин                                                                   </t>
  </si>
  <si>
    <t xml:space="preserve">Акциза на дизел-горива                                                                    </t>
  </si>
  <si>
    <t xml:space="preserve">Акциза на све врсте моторног бензина и све врсте дизел-горива који су продати купцима са територије ап косово и метохија                                                   </t>
  </si>
  <si>
    <t xml:space="preserve">Акциза на остале деривате нафте који се добијају од фракција нафте које имају распон дестилације до 380ºс                                                      </t>
  </si>
  <si>
    <t xml:space="preserve">Акциза на течни нафтни гас                                                                  </t>
  </si>
  <si>
    <t xml:space="preserve">Акциза на оловни бензин                                                                   </t>
  </si>
  <si>
    <t xml:space="preserve">Акциза на безоловни бензин                                                                   </t>
  </si>
  <si>
    <t xml:space="preserve">Акциза на гасна уља                                                                   </t>
  </si>
  <si>
    <t xml:space="preserve">Акциза на керозин                                                                    </t>
  </si>
  <si>
    <t xml:space="preserve">Акцизе на деривате нафте при увозу                                                                 </t>
  </si>
  <si>
    <t xml:space="preserve">Акциза при увозу моторног бензина                                                                  </t>
  </si>
  <si>
    <t xml:space="preserve">Акциза при увозу дизел-горива                                                                   </t>
  </si>
  <si>
    <t xml:space="preserve">Акциза при увозу лож уља                                                                  </t>
  </si>
  <si>
    <t xml:space="preserve">Акциза при увозу осталих деривата нафте који се добијају од фракција нафте које имају распон дестилације до 380ºс                                                     </t>
  </si>
  <si>
    <t xml:space="preserve">Акциза при увозу течног нафтног гаса                                                                 </t>
  </si>
  <si>
    <t xml:space="preserve">Акциза при увозу оловног бензина                                                                  </t>
  </si>
  <si>
    <t xml:space="preserve">Акциза  при увозу безоловног бензина                                                                 </t>
  </si>
  <si>
    <t xml:space="preserve">Акциза при увозу гасних уља                                                                  </t>
  </si>
  <si>
    <t xml:space="preserve">Акциза при увозу керозина                                                                   </t>
  </si>
  <si>
    <t xml:space="preserve">Акцизе на адитиве и екстендере за додавање у погонска горива произведена у земљи                                                          </t>
  </si>
  <si>
    <t xml:space="preserve">Акциза на адитиве и екстендере за безоловни бензин                                                               </t>
  </si>
  <si>
    <t xml:space="preserve">Акциза на адитиве и екстендере за гасна уља                                                               </t>
  </si>
  <si>
    <t xml:space="preserve">Акциза на адитиве и екстендере за керозин                                                                </t>
  </si>
  <si>
    <t xml:space="preserve">Акциза на адитиве и екстендере за течни нафтни гас                                                              </t>
  </si>
  <si>
    <t xml:space="preserve">Акцизе при увозу адитива и екстендера за додавање у погонска горива                                                            </t>
  </si>
  <si>
    <t xml:space="preserve">Акциза при увозу адитива и екстендера за безоловни бензин                                                              </t>
  </si>
  <si>
    <t xml:space="preserve">Акциза при увозу адитива и екстендера за гасна уља                                                              </t>
  </si>
  <si>
    <t xml:space="preserve">Акциза при увозу адитива и екстендера за керозин                                                               </t>
  </si>
  <si>
    <t xml:space="preserve">Акциза при увозу адитива и екстендера за течни нафтни гас                                                             </t>
  </si>
  <si>
    <t xml:space="preserve">Акцизе на биогорива и биотечности                                                                  </t>
  </si>
  <si>
    <t xml:space="preserve">Акциза на биогорива и биотечности произведене у земљи                                                               </t>
  </si>
  <si>
    <t xml:space="preserve">Акциза на биогорива и биотечности из увоза                                                                </t>
  </si>
  <si>
    <t xml:space="preserve">Акцизе на дуванске прерађевине                                                                   </t>
  </si>
  <si>
    <t xml:space="preserve">Акциза на дуванске прерађевине произведене у земљи                                                                </t>
  </si>
  <si>
    <t xml:space="preserve">Акциза на цигарете групе а                                                                  </t>
  </si>
  <si>
    <t xml:space="preserve">Акциза на цигарете групе б                                                                  </t>
  </si>
  <si>
    <t xml:space="preserve">Акциза на цигарете групе ц                                                                  </t>
  </si>
  <si>
    <t xml:space="preserve">Акциза на цигарете произведене у земљи                                                                 </t>
  </si>
  <si>
    <t xml:space="preserve">Акциза на остале дуванске прерађевине                                                                  </t>
  </si>
  <si>
    <t xml:space="preserve">Акциза на дуванске прерађевине при увозу                                                                 </t>
  </si>
  <si>
    <t xml:space="preserve">Акциза при увозу цигарете групе а                                                                 </t>
  </si>
  <si>
    <t xml:space="preserve">Акциза на цигарете из увоза                                                                  </t>
  </si>
  <si>
    <t xml:space="preserve">Акциза при увозу осталих дуванских прерађевина                                                                 </t>
  </si>
  <si>
    <t xml:space="preserve">Акцизе на алкохолна пића                                                                   </t>
  </si>
  <si>
    <t xml:space="preserve">Акциза на алкохолна пића произведена у земљи                                                                </t>
  </si>
  <si>
    <t xml:space="preserve">Акциза на пиво                                                                    </t>
  </si>
  <si>
    <t xml:space="preserve">Акциза на природну ракију и вињак                                                                 </t>
  </si>
  <si>
    <t xml:space="preserve">Акциза на нискоалкохолна пића                                                                   </t>
  </si>
  <si>
    <t xml:space="preserve">Акциза на жестока алкохолна пића и ликере                                                                </t>
  </si>
  <si>
    <t xml:space="preserve">Акциза на ракије од воћа, грожђа, специјалне ракије                                                               </t>
  </si>
  <si>
    <t xml:space="preserve">Акциза на ракије од житарица и осталих пољопривредних сировина                                                              </t>
  </si>
  <si>
    <t xml:space="preserve">Акциза на остала алкохолна пића                                                                  </t>
  </si>
  <si>
    <t xml:space="preserve">Акциза на алкохолна пића при увозу                                                                 </t>
  </si>
  <si>
    <t xml:space="preserve">Акциза при увозу пива                                                                   </t>
  </si>
  <si>
    <t xml:space="preserve">Акциза при увозу природне ракије и вињака                                                                </t>
  </si>
  <si>
    <t xml:space="preserve">Акциза на нискоалкохолна пића из увоза                                                                 </t>
  </si>
  <si>
    <t xml:space="preserve">Акциза при увозу жестоких алкохолних пића и ликера                                                               </t>
  </si>
  <si>
    <t xml:space="preserve">Акциза при увозу вискија, џина, коњака и осталих алкохолних пића                                                             </t>
  </si>
  <si>
    <t xml:space="preserve">Акциза при увозу ракија од воћа, грожђа и специјалних ракија                                                             </t>
  </si>
  <si>
    <t xml:space="preserve">Акциза при увозу ракија од житарица и осталих пољопривредних сировина                                                             </t>
  </si>
  <si>
    <t xml:space="preserve">Акцизе на освежавајућа безалкохолна пића                                                                  </t>
  </si>
  <si>
    <t xml:space="preserve">Акциза при увозу освежавајућих безалкохолних пића                                                                 </t>
  </si>
  <si>
    <t xml:space="preserve">Акциза на кафу                                                                    </t>
  </si>
  <si>
    <t xml:space="preserve">Акциза при увозу кафе                                                                   </t>
  </si>
  <si>
    <t xml:space="preserve">Акциза при увозу кафе (сирова, пржена, млевена и екстракт кафе)                                                             </t>
  </si>
  <si>
    <t xml:space="preserve">Акциза при увозу непржене кафе                                                                  </t>
  </si>
  <si>
    <t xml:space="preserve">Акциза при увозу пржене кафе                                                                  </t>
  </si>
  <si>
    <t xml:space="preserve">Акциза при увозу љуспица и опни од кафе                                                               </t>
  </si>
  <si>
    <t xml:space="preserve">Акциза при увозу екстракта, есенције и концентрата од кафе                                                              </t>
  </si>
  <si>
    <t xml:space="preserve">Акциза при увозу кафе из члана 14. став 1. тач. 5) до 8) закона о акцизама                                                       </t>
  </si>
  <si>
    <t xml:space="preserve">Друге акцизе                                                                     </t>
  </si>
  <si>
    <t xml:space="preserve">Посебна такса за изравнање пореског оптерећења за робу која се упућује на територију аутономне покрајине косово и метохија                                                     </t>
  </si>
  <si>
    <t xml:space="preserve">Такса на добра која се допремају са територије аутономне покрајине косово и метохија, а на која се не плаћа акциза                                                   </t>
  </si>
  <si>
    <t xml:space="preserve">Једнократни порез на екстра профит и екстра имовину стечену коришћењем посебних погодности                                                           </t>
  </si>
  <si>
    <t xml:space="preserve">Порез на доходак, добит и капиталну добит на терет физичких лица                                                            </t>
  </si>
  <si>
    <t xml:space="preserve">Једнократни порез по основу привилеговане исплате замрзнуте старе девизне штедње и штедње у пирамидалним банкама у износу већем од 10000 dem по штедном улогу                                               </t>
  </si>
  <si>
    <t xml:space="preserve">Једнократни порез по основу привилеговане исплате замрзнуте старе девизне штедње и штедње у пирамидалним банкама у износу већем од 10000 dem по штедном улогу, по решењу пореске управе                                           </t>
  </si>
  <si>
    <t xml:space="preserve">Порез на доходак, добит и капиталну добит на терет предузећа и осталих правних лица                                                         </t>
  </si>
  <si>
    <t xml:space="preserve">Једнократни порез по основу коришћења средстава примарне и сиве емисије новца у финансијским трансакцијама                                                         </t>
  </si>
  <si>
    <t xml:space="preserve">Једнократни порез по основу коришћења средстава примарне и сиве емисије новца у финансијским трансакцијама, по решењу пореске управе                                                     </t>
  </si>
  <si>
    <t xml:space="preserve">Једнократни порез по основу куповине девиза по званичном курсу народне банке југославије у ситуацији када је тржишни курс био виши                                                   </t>
  </si>
  <si>
    <t xml:space="preserve">Једнократни порез по основу куповине девиза по званичном курсу народне банке југославије у ситуацији када је тржишни курс био виши, по решењу пореске управе                                               </t>
  </si>
  <si>
    <t xml:space="preserve">Једнократни порез по основу изношења девиза по основу авансног плаћања увоза који касније није реализован, односно по основу фактурисаних, а неизвршених услуга                                                 </t>
  </si>
  <si>
    <t xml:space="preserve">Једнократни порез по основу изношења девиза по основу авансног плаћања увоза који касније није реализован, односно по основу фактурисаних, а неизвршених услуга, по решењу пореске управе                                             </t>
  </si>
  <si>
    <t xml:space="preserve">Једнократни порез по основу увоза и извоза производа на режиму контингента или квоте, остварен коришћењем посебних погодности за добијање контингента, односно квоте                                                 </t>
  </si>
  <si>
    <t xml:space="preserve">Једнократни порез по основу увоза и извоза производа на режиму контингента или квоте, остварен коришћењем посебних погодности за добијање контингента, односно квоте по решењу пореске управе                                             </t>
  </si>
  <si>
    <t xml:space="preserve">Једнократни порез по основу коришћења средстава правног лица на која нису плаћене прописане јавне дажбине (коришћење средстава непредатог пазара, других средстава од наплаћених потраживања која нису приказана као приход и др.)                                        </t>
  </si>
  <si>
    <t xml:space="preserve">Једнократни порез по основу коришћења средстава правног лица на која нису плаћене прописане јавне дажбине (коришћење средстава непредатог пазара, других средстава од наплаћених потраживања која нису приказана као приход и др.) , по решењу пореске управе                                   </t>
  </si>
  <si>
    <t xml:space="preserve">Једнократни порез на екстра профит и екстра имовину стечену употребом јавних средстава или других јавних ресурса под привилегованим условима                                                    </t>
  </si>
  <si>
    <t xml:space="preserve">Једнократни порез по основу снабдевања робних резерви и куповине из робних резерви под привилегованим условима (без јавне лицитације, односно непосредном погодбом) , по решењу пореске управе                                             </t>
  </si>
  <si>
    <t xml:space="preserve">Једнократни порез по основу располагања буџетским средствима, средствима организација обавезног социјалног осигурања, средствима јавних фондова и средствима јавних предузећа и јавних установа супротно прописима, односно утврђеној намени, по решењу пореске управе                                        </t>
  </si>
  <si>
    <t xml:space="preserve">Једнократни порез по основу коришћења средстава јавних прихода депонованих по камати нижој од камате која би се у тренутку депоновања могла постићи на тржишту, за пласман по вишој каматној стопи, по решењу пореске управе                                     </t>
  </si>
  <si>
    <t xml:space="preserve">Једнократни порез по основу ненаменског коришћења средстава додељених по основу дневница солидарности, средстава остварених од посебне таксе на пословне трансакције, доприноса солидарности на пословне трансакције за отклањање последица земљотреса у колубарском округу и других јавних прихода са сличном наменом, по решењу пореске управе                            </t>
  </si>
  <si>
    <t xml:space="preserve">Једнократни порез по основу коришћења средстава по основу зајма за привредни развој србије, по решењу пореске управе                                                      </t>
  </si>
  <si>
    <t xml:space="preserve">Порез на доходак, добит и капиталну добит нераспоредив између физичких и правних лица                                                          </t>
  </si>
  <si>
    <t xml:space="preserve">Једнократни порез по основу коришћења кредита за стицање пословног простора или других непокретности, односно опреме, под условима повољнијим за дужника од тржишних                                                 </t>
  </si>
  <si>
    <t xml:space="preserve">Једнократни порез по основу коришћења кредита за стицање пословног простора или других непокретности, односно опреме, под условима повољнијим за дужника од тржишних, по решењу пореске управе                                             </t>
  </si>
  <si>
    <t xml:space="preserve">Једнократни порез по основу пословања јавним средствима или средствима друштвених, мешовитих, односно државних предузећа, или њихово коришћење, од стране физичког или правног лица, по основу трансферисања тих средстава у иностранство на рачун тога лица или на рачун другог физичког или правног лица                             </t>
  </si>
  <si>
    <t xml:space="preserve">Једнократни порез по основу пословања јавним средствима или средствима друштвених, мешовитих, односно државних предузећа, или њихово коришћење, од стране физичког или правног лица, по основу трансферисања тих средстава у иностранство на рачун тога лица или на рачун другог физичког или правног лица, по решењу пореске управе                         </t>
  </si>
  <si>
    <t xml:space="preserve">Једнократни порез по основу коришћења средстава депонованих од стране грађана у пирамидалним банкама и штедионицама као позајмица                                                      </t>
  </si>
  <si>
    <t xml:space="preserve">Једнократни порез по основу коришћења средстава депонованих од стране грађана у пирамидалним банкама и штедионицама као позајмица, по решењу пореске управе                                                  </t>
  </si>
  <si>
    <t xml:space="preserve">Остали једнократни порези на имовину                                                                  </t>
  </si>
  <si>
    <t xml:space="preserve">Једнократни порез по основу злоупотреба у приватизацији предузећа од старне директора и чланова органа управљања или чланова њихових породица                                                    </t>
  </si>
  <si>
    <t xml:space="preserve">Једнократни порез по основу злоупотреба у приватизацији предузећа од стране директора и чланова органа управљања или чланова њихових породица, по решењу пореске управе                                                </t>
  </si>
  <si>
    <t xml:space="preserve">Једнократни порез по основу откупа стана (станова) укупне површине веће од 90 метара квадратних од стране изабраног, постављеног или именованог функционера, функционера политичке странке, директора или члана органа управљања правног лица у државној, друштвеној или мешовитој својини са претежним учешћем друштвеног капитала, осим ако одговарајућим општим актом није било предвиђено право на стан веће површине, у којем се случају као припадајућа узима тако предвиђена површина, по решењу пореске управе  </t>
  </si>
  <si>
    <t xml:space="preserve">Једнократни порез по основу коришћења кредита по посебним погодностима за куповину, односно за откуп стана (станова) , по решењу пореске управе                                                  </t>
  </si>
  <si>
    <t xml:space="preserve">Једнократни порез по основу изградње репрезентативног стамбеног, односно пословног објекта, чија је укупна површина већа од прописане и дозвољене, по решењу пореске управе                                                </t>
  </si>
  <si>
    <t xml:space="preserve">Једнократни порез по основу куповине градског грађевинског или пољопривредног земљишта које је било у друштвеној својини од стране изабраног, постављеног или именованог лица, односно функционера локалне самоуправе, те чланова његове породице, када је на лицитацији учествовало само једно лице, по решењу пореске управе                            </t>
  </si>
  <si>
    <t xml:space="preserve">Остали порези које плаћају искључиво предузећа и предузетници                                                               </t>
  </si>
  <si>
    <t xml:space="preserve">Једнократни порез по основу увоза и дистрибуције акцизних производа без плаћања царина, других увозних дажбина, акциза, других пореза на потрошњу и пореза на промет                                               </t>
  </si>
  <si>
    <t xml:space="preserve">Једнократни порез по основу увоза и дистрибуције акцизних производа без плаћања царина, других увозних дажбина, акциза, других пореза на потрошњу и пореза на промет, по решењу пореске управе                                           </t>
  </si>
  <si>
    <t xml:space="preserve">Остали порези које плаћају друга или неидентификована лица                                                               </t>
  </si>
  <si>
    <t xml:space="preserve">Једнократни порез по различитим основама                                                                  </t>
  </si>
  <si>
    <t xml:space="preserve">Једнократни порез по различитим основама, по решењу пореске управе                                                              </t>
  </si>
  <si>
    <t xml:space="preserve">Социјални доприноси                                                                     </t>
  </si>
  <si>
    <t xml:space="preserve">Доприноси за социјално осигурање                                                                   </t>
  </si>
  <si>
    <t xml:space="preserve">Доприноси за социјално осигурање на терет запослених                                                                </t>
  </si>
  <si>
    <t xml:space="preserve">Доприноси за пензијско и инвалидско осигурање                                                                 </t>
  </si>
  <si>
    <t xml:space="preserve">Допринос за пензијско и инвалидско осигурање запослених на терет запослених код правних лица                                                          </t>
  </si>
  <si>
    <t xml:space="preserve">Допринос за пензијско и инвалидско осигурање за запослене код физичких лица на терет запослених                                                         </t>
  </si>
  <si>
    <t xml:space="preserve">Допринос за пензијско и инвалидско осигурање запослених који су у радном односу код приватних послодаваца (самосталних делатности) на терет запослених                                                   </t>
  </si>
  <si>
    <t xml:space="preserve">Допринос за пензијско и инвалидско осигурање за лица на продуженом осигурању                                                            </t>
  </si>
  <si>
    <t xml:space="preserve">Допринос за пензијско и инвалидско осигурање за докуп стажа                                                              </t>
  </si>
  <si>
    <t xml:space="preserve">Допринос за пензијско и инвалидско осигурање запослених који обављају послове преко омладинских задруга на терет задругара                                                       </t>
  </si>
  <si>
    <t xml:space="preserve">Допринос за пензијско и инвалидско осигурање запослених који остварују накнаду по основу ауторског права, уговора о делу и других новчаних накнада на терет примаоца накнаде                                              </t>
  </si>
  <si>
    <t xml:space="preserve">Допринос за пензијско и инвалидско осигурање на терет запослених - за војне осигуранике                                                          </t>
  </si>
  <si>
    <t xml:space="preserve">Допринос за пензијско и инвалидско осигурање војних осигураника који остварују накнаду по основу ауторског права, уговора о делу и других новчаних накнада на терет примаоца накнаде                                             </t>
  </si>
  <si>
    <t xml:space="preserve">Доприноси за здравствено осигурање                                                                   </t>
  </si>
  <si>
    <t xml:space="preserve">Допринос за здравствено осигурање запослених на терет запослених                                                               </t>
  </si>
  <si>
    <t xml:space="preserve">Допринос за здравствено осигурање запослених на терет запослених - за војне осигуранике                                                           </t>
  </si>
  <si>
    <t xml:space="preserve">Доприноси за случај незапослености                                                                   </t>
  </si>
  <si>
    <t xml:space="preserve">Допринос за осигурање за случај незапослености на терет запослених                                                              </t>
  </si>
  <si>
    <t xml:space="preserve">Доприноси за социјално осигурање на терет послодавца                                                                </t>
  </si>
  <si>
    <t xml:space="preserve">Допринос за пензијско и инвалидско осигурање запослених на терет послодавца који се финансира из буџета и фондова обавезног социјалног осигурања                                                   </t>
  </si>
  <si>
    <t xml:space="preserve">Допринос за пензијско и инвалидско осигурање запослених на терет послодавца-правног лица које се не финансира из буџета и фондова обавезног социјалног осигурања                                                 </t>
  </si>
  <si>
    <t xml:space="preserve">Допринос за пензијско и инвалидско осигурање за запослене код физичких лица на терет послодавца                                                         </t>
  </si>
  <si>
    <t xml:space="preserve">Допринос за пензијско и инвалидско осигурање запослених који су у радном односу код приватних послодаваца (предузетника) на терет послодавца                                                    </t>
  </si>
  <si>
    <t xml:space="preserve">Додатни допринос за пензијско и инвалидско осигурање запослених на исплаћена лична примања и друге приходе запослених, којима се стаж осигурања рачуна са увећаним трајањем који плаћа послодавац                                            </t>
  </si>
  <si>
    <t xml:space="preserve">Додатни допринос за пензијско и инвалидско осигурање запослених на исплаћена лична примања и друге приходе запослених, којима се стаж осигурања рачуна са увећаним трајањем који плаћа послодавац који се финансира из буџета и фондова обавезног социјалног осигурања                                  </t>
  </si>
  <si>
    <t xml:space="preserve">Допринос за пензијско и инвалидско осигурање лица на породиљском одсуству који плаћа исплатилац накнаде зараде, односно плате                                                      </t>
  </si>
  <si>
    <t xml:space="preserve">Допринос за пензијско и инвалидско осигурање запослених који обављају послове преко омладинских задруга на терет послодавца                                                       </t>
  </si>
  <si>
    <t xml:space="preserve">Допринос за пензијско и инвалидско осигурање војних осигураника - на терет послодавца, додатни допринос за пензијско и инвалидско осигурање војних осигураника на исплаћена лична примања и друге приходе војних осигураника, којима се стаж осигурања рачуна са увећаним трајањем који плаћа послодавац, допринос за пензијско и инвалидско осигурање војних осигураника на породиљском одсуству који плаћа исплатилац накнаде зараде, односно плате            </t>
  </si>
  <si>
    <t xml:space="preserve">Допринос за здравствено осигурање запослених на терет послодавца који се финансира из буџета и фондова обавезног социјалног осигурања                                                     </t>
  </si>
  <si>
    <t xml:space="preserve">Допринос за здравствено осигурање запослених на терет послодавца који се не финансира из буџета и фондова обавезног социјалног осигурања                                                    </t>
  </si>
  <si>
    <t xml:space="preserve">Допринос за здравствено осигурање лица на породиљском одсуству који плаћа исплатилац накнаде зараде, односно плате                                                        </t>
  </si>
  <si>
    <t xml:space="preserve">Допринос за здравствено осигурање за лица која остварују друге приходе на терет послодавца који се финансира из буџета и фондова обавезног социјалног осигурања                                                </t>
  </si>
  <si>
    <t xml:space="preserve">Допринос за здравствено осигурање за лица која остварују друге приходе на терет послодавца који се не финансира из буџета и фондова обавезног социјалног осигурања                                               </t>
  </si>
  <si>
    <t xml:space="preserve">Допринос за здравствено осигурање запослених на терет послодавца - за војне осигуранике                                                           </t>
  </si>
  <si>
    <t xml:space="preserve">Допринос за осигурање за случај незапослености на терет послодавца који се финансира из буџета и фондова обавезног социјалног осигурања                                                    </t>
  </si>
  <si>
    <t xml:space="preserve">Допринос за осигурање за случај незапослености на терет послодавца који се не финансира из буџета и фондова обавезног социјалног осигурања                                                   </t>
  </si>
  <si>
    <t xml:space="preserve">Допринос за осигурање од незапослености лица на породиљском одсуству који плаћа исплатилац накнаде, односно плате                                                        </t>
  </si>
  <si>
    <t xml:space="preserve">Доприноси за социјално осигурање лица која обављају самосталну делатност и незапослених лица                                                           </t>
  </si>
  <si>
    <t xml:space="preserve">Допринос за пензијско и инвалидско осигурање за лица којима се обезбеђују права за случај инвалидности и телесног оштећења проузрокованих повредом на раду или професионалном болешћу                                              </t>
  </si>
  <si>
    <t xml:space="preserve">Допринос за пензијско и инвалидско осигурање лица која се баве пољопривредом (пољопривредник, члан домаћинства пољопривредника и мешовитог домаћинства, носилац или члан регистрованог пољопривредног газдинства) , по решењу пореске управе                                          </t>
  </si>
  <si>
    <t xml:space="preserve">Допринос за пензијско и инвалидско осигурање за лица која у складу са законом самостално обављају привредну или другу делатност, свештеника и верских службеника, ако нису обавезно осигурани по основу запослења и лица која су оснивачи, односно власници привредних друштава који у њима раде, по решењу пореске управе                        </t>
  </si>
  <si>
    <t xml:space="preserve">Допринос за пензијско и инвалидско осигурање лица која су оснивачи, односно чланови привредних друштава, који су у радном односу у привредном друштву чији су оснивач, односно члан                                            </t>
  </si>
  <si>
    <t xml:space="preserve">Допринос за пензијско и инвалидско осигурање осигураника самосталних делатности, који обављају послове по основу уговора о делу, ауторских уговора, односно других уговора                                                 </t>
  </si>
  <si>
    <t xml:space="preserve">Допринос за пензијско и инвалидско осигурање пољопривредника који остварују накнаду по основу ауторског права, патената и техничких унапређења, уговора о делу и других уговора                                               </t>
  </si>
  <si>
    <t xml:space="preserve">Допринос за пензијско и инвалидско осигурање лица којима је обавеза плаћања доприноса утврђена од стране пензијског фонда у поступку утврђивања својства осигураника пољопривредника по члану 63. закона о доприносима за обавезно социјално осигурање                                      </t>
  </si>
  <si>
    <t xml:space="preserve">Допринос за пензијско и инвалидско осигурање којима је обавеза плаћања доприноса утврђена од стране пензијског фонда у поступку утврђивања својства осигураника самосталних делатности по члану 63. закона о доприносима за обавезно социјално осигурање                                      </t>
  </si>
  <si>
    <t xml:space="preserve">Додатни допринос за пензијско и инвалидско осигурање за стаж осигураника са увећаним трајањем лица која обављају самосталну делатност, по решењу републичког фонда за пензијско и инвалидско осигурање                                            </t>
  </si>
  <si>
    <t xml:space="preserve">Допринос за здравствено осигурање пољопривредника који се баве пољопривредом ако нису запослени или не обављају самосталну делатност као основно занимање, по решењу пореске управе                                               </t>
  </si>
  <si>
    <t xml:space="preserve">Допринос за здравствено осигурање других физичких лица која су власници, имаоци права коришћења или плодоуживања пољопривредног или шумског земљишта                                                    </t>
  </si>
  <si>
    <t xml:space="preserve">Допринос за здравствено осигурање лица која самостално обављају делатност као основно занимање, оснивача, односно власника предузећа и радњи                                                     </t>
  </si>
  <si>
    <t xml:space="preserve">Допринос за здравствено осигурање лица која остварују приходе од ауторских права, патената или техничких унапређења                                                        </t>
  </si>
  <si>
    <t xml:space="preserve">Допринос за здравствено осигурање лица која самостално обављају делатност као основно занимање, оснивача, односно власника предузећа и радњи, по решењу пореске управе                                                 </t>
  </si>
  <si>
    <t xml:space="preserve">Допринос за осигурање за случај незапослености лица која самостално обављају делатност, по решењу пореске управе                                                        </t>
  </si>
  <si>
    <t xml:space="preserve">Допринос за осигурање за случај незапослености осигураника који остварују приходе од ауторских права, патената и техничких унапређења                                                      </t>
  </si>
  <si>
    <t xml:space="preserve">Доприноси за социјално осигурање који се не могу разврстати                                                              </t>
  </si>
  <si>
    <t xml:space="preserve">Допринос за пензијско и инвалидско осигурање за осигуранике запослене, за лица којима се накнадно утврђује стаж осигурања по решењу републичког фонда за пио                                                </t>
  </si>
  <si>
    <t xml:space="preserve">Допринос за пензијско и инвалидско осигурање за добровољно осигурање                                                              </t>
  </si>
  <si>
    <t xml:space="preserve">Допринос за пензијско и инвалидско осигурање запослених, за лица која се укључују у обавезно осигурање                                                        </t>
  </si>
  <si>
    <t xml:space="preserve">Допринос за пензијско и инвалидско осигурање по члану 120. закона о пензијском и инвалидском осигурању, који за обвезнике, обуставом 41699 месечног износа пензије уплаћује републички фонд за пензијско и инвалидско осигурање за осигуранике самосталних делатности, по решењу пореске управе                                </t>
  </si>
  <si>
    <t xml:space="preserve">Допринос за пензијско и инвалидско осигурање по члану 13. закона о уплати доприноса за пензијско и инвалидско осигурање за поједине категорије осигураника – запослених, који за осигуранике уплаћује републички фонд за пензијско и инвалидско осигурање за осигуранике самосталних делатности                                </t>
  </si>
  <si>
    <t xml:space="preserve">Допринос за пензијско и инвалидско осигурање по члану 120. закона о пензијском и инвалидском осигурању, који за обвезнике, обуставом 41699 месечног износа пензије уплаћује републички фонд за пензијско и инвалидско осигурање за осигуранике пољопривреднике, по решењу пореске управе                                 </t>
  </si>
  <si>
    <t xml:space="preserve">Допринос за пензијско и инвалидско осигурање по члану 120. закона о пензијском и инвалидском осигурању, који за обвезнике самосталне делатности, обуставом 41699 месечног износа пензија, уплаћује републички фонд за пензијско и инвалидско осигурање, по решењу пореске управе                                  </t>
  </si>
  <si>
    <t xml:space="preserve">Допринос за пензијско и инвалидско осигурање по члану 120. закона о пензијском и инвалидском осигурању, који за обвезнике пољопривреднике, обуставом 41699 месечног износа пензија, уплаћује републички фонд за пензијско и инвалидско осигурање по решењу пореске управе                                   </t>
  </si>
  <si>
    <t xml:space="preserve">Допринос за пензијско и инвалидско осигурање за лица која, у складу са законом, самостално обављају привредну или другу делатност, свештеника и верских службеника, а осигурани по другом основу, по решењу пореске управе                                       </t>
  </si>
  <si>
    <t xml:space="preserve">Приходи по основу неуплаћеног доприноса за здравствено осигурање по судским решењима                                                            </t>
  </si>
  <si>
    <t xml:space="preserve">Допринос за здравствено осигурање страних држављана на школовању или стручном усавршавању                                                            </t>
  </si>
  <si>
    <t xml:space="preserve">Допринос за здравствено осигурање лица која се укључују у обавезно здравствено осигурање                                                           </t>
  </si>
  <si>
    <t xml:space="preserve">Остали социјални доприноси                                                                    </t>
  </si>
  <si>
    <t xml:space="preserve">Социјални доприноси на терет осигураника                                                                  </t>
  </si>
  <si>
    <t xml:space="preserve">Социјални доприноси на терет послодаваца                                                                  </t>
  </si>
  <si>
    <t xml:space="preserve">Импутирани социјални доприноси                                                                    </t>
  </si>
  <si>
    <t>730000</t>
  </si>
  <si>
    <t xml:space="preserve">Донације и трансфери                                                                    </t>
  </si>
  <si>
    <t xml:space="preserve">Донације од иностраних држава                                                                   </t>
  </si>
  <si>
    <t xml:space="preserve">Текуће донације од иностраних држава                                                                  </t>
  </si>
  <si>
    <t xml:space="preserve">Текуће донације од иностраних држава у корист нивоа републике                                                              </t>
  </si>
  <si>
    <t xml:space="preserve">Текуће донације од иностраних држава у корист нивоа територијалних аутономија                                                             </t>
  </si>
  <si>
    <t xml:space="preserve">Текуће донације од иностраних држава у корист нивоа ап војводина                                                             </t>
  </si>
  <si>
    <t xml:space="preserve">Текуће донације од иностраних држава у корист нивоа ап косово и метохија                                                           </t>
  </si>
  <si>
    <t xml:space="preserve">Текуће донације од иностраних држава у корист нивоа градова                                                              </t>
  </si>
  <si>
    <t xml:space="preserve">Текуће донације од иностраних држава у корист нивоа општина                                                              </t>
  </si>
  <si>
    <t xml:space="preserve">Текуће донације од иностраних држава у корист организација обавезног социјалног осигурања                                                            </t>
  </si>
  <si>
    <t xml:space="preserve">Текуће донације од иностраних држава у корист републичког фонда за здравствено осигурање                                                           </t>
  </si>
  <si>
    <t xml:space="preserve">Текуће донације од иностраних држава у корист републичког фонда за пио                                                            </t>
  </si>
  <si>
    <t xml:space="preserve">Текуће донације од иностраних држава у корист националне службе за запошљавање                                                            </t>
  </si>
  <si>
    <t xml:space="preserve">Капиталне донације од иностраних држава                                                                  </t>
  </si>
  <si>
    <t xml:space="preserve">Капиталне донације од иностраних држава у корист нивоа републике                                                              </t>
  </si>
  <si>
    <t xml:space="preserve">Капиталне донације од иностраних држава у корист нивоа територијалних аутономија                                                             </t>
  </si>
  <si>
    <t xml:space="preserve">Капиталне донације од иностраних држава у корист нивоа ап војводина                                                             </t>
  </si>
  <si>
    <t xml:space="preserve">Капиталне донације од иностраних држава у корист нивоа ап косово и метохија                                                           </t>
  </si>
  <si>
    <t xml:space="preserve">Капиталне донације од иностраних држава у корист нивоа градова                                                              </t>
  </si>
  <si>
    <t xml:space="preserve">Капиталне донације од иностраних држава у корист нивоа општина                                                              </t>
  </si>
  <si>
    <t xml:space="preserve">Капиталне донације од иностраних држава у корист организација обавезног социјалног осигурања                                                            </t>
  </si>
  <si>
    <t xml:space="preserve">Капиталне донације од иностраних држава у корист републичког фонда за здравствено осигурање                                                           </t>
  </si>
  <si>
    <t xml:space="preserve">Капиталне донације од иностраних држава у корист републичког фонда за пио                                                            </t>
  </si>
  <si>
    <t xml:space="preserve">Капиталне донације од иностраних држава у корист националне службе за запошљавање                                                            </t>
  </si>
  <si>
    <t>732000</t>
  </si>
  <si>
    <t xml:space="preserve">Донације од међународних организација                                                                   </t>
  </si>
  <si>
    <t xml:space="preserve">Текуће донације од међународних организација                                                                  </t>
  </si>
  <si>
    <t xml:space="preserve">Текуће донације од међународних организација у корист нивоа републике                                                              </t>
  </si>
  <si>
    <t xml:space="preserve">Текуће донације од међународних организација у корист нивоа територијалних аутономија                                                             </t>
  </si>
  <si>
    <t xml:space="preserve">Текуће донације од међународних организација у корист нивоа ап војводина                                                             </t>
  </si>
  <si>
    <t xml:space="preserve">Текуће донације од међународних организација у корист нивоа ап косово и метохија                                                           </t>
  </si>
  <si>
    <t>732140</t>
  </si>
  <si>
    <t xml:space="preserve">Текуће донације од међународних организација у корист нивоа градова                                                              </t>
  </si>
  <si>
    <t xml:space="preserve">Текуће донације од међународних организација у корист нивоа општина                                                              </t>
  </si>
  <si>
    <t xml:space="preserve">Текуће донације од међународних организација у корист организација обавезног социјалног осигурања                                                            </t>
  </si>
  <si>
    <t xml:space="preserve">Текуће донације од међународних организација у корист републичког фонда за здравствено осигурање                                                           </t>
  </si>
  <si>
    <t xml:space="preserve">Текуће донације од међународних организација у корист републичког фонда за пио                                                            </t>
  </si>
  <si>
    <t xml:space="preserve">Текуће донације од међународних организација у корист националнe службe за запошљавање                                                            </t>
  </si>
  <si>
    <t xml:space="preserve">Капиталне донације од међународних организација                                                                  </t>
  </si>
  <si>
    <t xml:space="preserve">Капиталне донације од међународних организација у корист нивоа републике                                                              </t>
  </si>
  <si>
    <t xml:space="preserve">Капиталне донације од међународних организација у корист нивоа територијалних аутономија                                                             </t>
  </si>
  <si>
    <t xml:space="preserve">Капиталне донације од међународних организација у корист нивоа ап војводина                                                             </t>
  </si>
  <si>
    <t xml:space="preserve">Капиталне донације од међународних организација у корист нивоа ап косово и метохија                                                           </t>
  </si>
  <si>
    <t xml:space="preserve">Капиталне донације од међународних организација у корист нивоа градова                                                              </t>
  </si>
  <si>
    <t xml:space="preserve">Капиталне донације од међународних организација у корист нивоа општина                                                              </t>
  </si>
  <si>
    <t xml:space="preserve">Капиталне донације од међународних организација у корист организација обавезног социјалног осигурања                                                            </t>
  </si>
  <si>
    <t xml:space="preserve">Капиталне донације од међународних организација у корист републичког фонда за здравствено осигурање                                                           </t>
  </si>
  <si>
    <t xml:space="preserve">Капиталне донације од међународних организација у корист републичког фонда за пио                                                            </t>
  </si>
  <si>
    <t xml:space="preserve">Капиталне донације од међународних организација у корист националне службе за запошљавање                                                            </t>
  </si>
  <si>
    <t>733000</t>
  </si>
  <si>
    <t xml:space="preserve">Трансфери од других нивоа власти                                                                  </t>
  </si>
  <si>
    <t xml:space="preserve">Текући трансфери од других нивоа власти                                                                 </t>
  </si>
  <si>
    <t xml:space="preserve">Текући трансфери од других нивоа власти у корист нивоа републике                                                             </t>
  </si>
  <si>
    <t xml:space="preserve">Текући трансфери од републике и од других нивоа власти у корист нивоа територијалних аутономија                                                         </t>
  </si>
  <si>
    <t xml:space="preserve">Текући трансфери од републике у корист нивоа ап војводина                                                              </t>
  </si>
  <si>
    <t xml:space="preserve">Текући трансфери од републике у корист нивоа ап косово и метохија                                                            </t>
  </si>
  <si>
    <t xml:space="preserve">Текући трансфери од градова у корист  ап војводина                                                              </t>
  </si>
  <si>
    <t xml:space="preserve">Текући трансфери од градова  у корист  ап косово и метохија                                                           </t>
  </si>
  <si>
    <t xml:space="preserve">Текући трансфери од општина у корист  ап војводина                                                              </t>
  </si>
  <si>
    <t xml:space="preserve">Текући трансфери од општина у корист  ап косово и метохија                                                            </t>
  </si>
  <si>
    <t xml:space="preserve">Текући трансфери од других нивоа власти у корист нивоа градова                                                             </t>
  </si>
  <si>
    <t xml:space="preserve">Ненаменски трансфери од републике у корист нивоа градова                                                               </t>
  </si>
  <si>
    <t xml:space="preserve">Други текући трансфери од републике у корист нивоа градова                                                              </t>
  </si>
  <si>
    <t xml:space="preserve">Функционални трансфери од републике у корист нивоа градова                                                               </t>
  </si>
  <si>
    <t xml:space="preserve">Текући наменски трансфери, у ужем смислу, од републике у корист нивоа градова                                                           </t>
  </si>
  <si>
    <t xml:space="preserve">Функционални трансфери од ап војводина у корист нивоа градова                                                              </t>
  </si>
  <si>
    <t xml:space="preserve">Текући наменски трансфери, у ужем смислу, од ап војводина у корист нивоа градова                                                          </t>
  </si>
  <si>
    <t xml:space="preserve">Текући трансфери од општина у корист нивоа градова                                                               </t>
  </si>
  <si>
    <t xml:space="preserve">Ненаменски трансфери од ап војводина у корист нивоа општина                                                              </t>
  </si>
  <si>
    <t xml:space="preserve">Текући трансфери од других нивоа власти у корист нивоа општина                                                             </t>
  </si>
  <si>
    <t xml:space="preserve">Ненаменски трансфери од републике  у корист нивоа општина                                                              </t>
  </si>
  <si>
    <t xml:space="preserve">Други текући трансфери од републике у корист нивоа општина                                                              </t>
  </si>
  <si>
    <t xml:space="preserve">Функционални трансфери од републике у корист нивоа општина                                                               </t>
  </si>
  <si>
    <t xml:space="preserve">Текући наменски трансфери, у ужем смислу, од републике у корист нивоа општина                                                           </t>
  </si>
  <si>
    <t xml:space="preserve">Функционални трансфери од ап војводина у корист нивоа општина                                                              </t>
  </si>
  <si>
    <t xml:space="preserve">Текући наменски трансфери, у ужем смислу, од ап војводина у корист нивоа општина                                                          </t>
  </si>
  <si>
    <t xml:space="preserve">Текући трансфери градова у корист нивоа општина                                                                </t>
  </si>
  <si>
    <t xml:space="preserve">Текући трансфери од других нивоа власти у корист организација обавезног социјалног осигурања                                                           </t>
  </si>
  <si>
    <t xml:space="preserve">Текући трансфери од других нивоа власти у корист републичког фонда за здравствено осигурање                                                          </t>
  </si>
  <si>
    <t xml:space="preserve">Текући трансфери од других нивоа власти у корист републичког фонда за пио за осигуранике запослене                                                        </t>
  </si>
  <si>
    <t xml:space="preserve">Текући трансфери од других нивоа власти у корист републичког фонда за пио за осигуранике пољопривреднике                                                        </t>
  </si>
  <si>
    <t xml:space="preserve">Текући трансфери од других нивоа власти у корист републичког фонда за пио за осигуранике самосталних делатности                                                       </t>
  </si>
  <si>
    <t xml:space="preserve">Текући трансфери од других нивоа власти у корист националне службе за запошљавање                                                           </t>
  </si>
  <si>
    <t xml:space="preserve">Текући трансфери по основу доприноса за пензијско и инвалидско осигурање за поједине категорије осигураника – запослених обезбеђен у буџету републике                                                   </t>
  </si>
  <si>
    <t xml:space="preserve">Текући трансфери по основу доприноса за пензијско и инвалидско осигурање запослених за покриће разлике до најнижег износа пензије утврђене у члану 76. и члану 207. став 2. закона о пензијском и инвалидском осигурању                                      </t>
  </si>
  <si>
    <t xml:space="preserve">Допринос за пензијско и инвалидско осигурање пољопривредника за покриће разлике до најнижег износа пензије сагласно члану 76. и члану 207. став 2. закона о пензијском и инвалидском осигурању                                           </t>
  </si>
  <si>
    <t xml:space="preserve">Капитални трансфери од других нивоа власти                                                                 </t>
  </si>
  <si>
    <t xml:space="preserve">Капитални трансфери од других нивоа власти у корист нивоа републике                                                             </t>
  </si>
  <si>
    <t xml:space="preserve">Капитални трансфери од других нивоа власти у корист нивоа територијалних аутономија                                                            </t>
  </si>
  <si>
    <t xml:space="preserve">Капитални трансфери од републике у корист нивоа ап војводина                                                              </t>
  </si>
  <si>
    <t xml:space="preserve">Капитални трансфери од републике у корист нивоа ап косово и метохија                                                            </t>
  </si>
  <si>
    <t xml:space="preserve">Капитални наменски трансфери, у ужем смислу, од градова у корист нивоа ап војводина                                                          </t>
  </si>
  <si>
    <t xml:space="preserve">Капитални наменски трансфери, у ужем смислу, од градова у корист нивоа ап косово и метохија                                                        </t>
  </si>
  <si>
    <t xml:space="preserve">Капитални наменски трансфери, у ужем смислу, од општина у корист нивоа ап војводина                                                          </t>
  </si>
  <si>
    <t xml:space="preserve">Капитални наменски трансфери, у ужем смислу, од општина у корист нивоа ап косово и метохија                                                        </t>
  </si>
  <si>
    <t xml:space="preserve">Капитални трансфери од других нивоа власти у корист нивоа градова                                                             </t>
  </si>
  <si>
    <t xml:space="preserve">Капитални наменски трансфери, у ужем смислу, од републике у корист нивоа градова                                                           </t>
  </si>
  <si>
    <t xml:space="preserve">Капитални наменски трансфери, у ужем смислу, од ап војводина у корист нивоа градова                                                          </t>
  </si>
  <si>
    <t>733243</t>
  </si>
  <si>
    <t xml:space="preserve">Капитални наменски трансфери, у ужем смислу, од општина у корист нивоа градова                                                           </t>
  </si>
  <si>
    <t xml:space="preserve">Капитални трансфери од других нивоа власти у корист нивоа општина                                                             </t>
  </si>
  <si>
    <t xml:space="preserve">Капитални наменски трансфери, у ужем смислу, од републике у корист нивоа општина                                                           </t>
  </si>
  <si>
    <t xml:space="preserve">Капитални наменски трансфери, у ужем смислу, од ап војводинa у корист нивоа општина                                                          </t>
  </si>
  <si>
    <t xml:space="preserve">Капитални трансфери од градова у корист нивоа општина                                                               </t>
  </si>
  <si>
    <t xml:space="preserve">Капитални трансфери од других нивоа власти у корист организација обавезног социјалног осигурања                                                           </t>
  </si>
  <si>
    <t xml:space="preserve">Капитални трансфери од других нивоа власти у корист републичког фонда за здравствено осигурање                                                          </t>
  </si>
  <si>
    <t xml:space="preserve">Капитални трансфери од других нивоа власти у корист републичког фонда за пио                                                           </t>
  </si>
  <si>
    <t xml:space="preserve">Капитални трансфери од других нивоа власти у корист националне службе за запошљавање                                                           </t>
  </si>
  <si>
    <t>740000</t>
  </si>
  <si>
    <t xml:space="preserve">Други приходи                                                                     </t>
  </si>
  <si>
    <t>741000</t>
  </si>
  <si>
    <t xml:space="preserve">Приходи од имовине                                                                    </t>
  </si>
  <si>
    <t xml:space="preserve">Камате                                                                      </t>
  </si>
  <si>
    <t xml:space="preserve">Камате на средства консолидованог рачуна трезора републике                                                                </t>
  </si>
  <si>
    <t xml:space="preserve">Приходи буџета републике од камата на средства консолидованог рачуна трезора укључена у депозит банака                                                         </t>
  </si>
  <si>
    <t xml:space="preserve">Приходи буџета републике од камата на средства корисника буџета  укључена у депозит банака                                                         </t>
  </si>
  <si>
    <t xml:space="preserve">Камате на средства консолидованог рачуна трезора територијалних аутономија                                                               </t>
  </si>
  <si>
    <t xml:space="preserve">Камате на средства консолидованог рачуна трезора ап војводина укључена у депозит банака                                                           </t>
  </si>
  <si>
    <t xml:space="preserve">Камате на средства консолидованог рачуна трезора ап косово и метохија укључена у депозит банака                                                         </t>
  </si>
  <si>
    <t xml:space="preserve">Камате на средства консолидованог рачуна трезора града                                                                </t>
  </si>
  <si>
    <t>741141</t>
  </si>
  <si>
    <t xml:space="preserve">Приходи буџета града од камата на средства консолидованог рачуна трезора укључена у депозит банака                                                         </t>
  </si>
  <si>
    <t xml:space="preserve">Приходи од камата на средства корисника буџета града која су укључена у депозит пословне банке са којом надлежни орган града закључи уговор о депоновању средстава по виђењу                                            </t>
  </si>
  <si>
    <t xml:space="preserve">Камате на средства консолидованог рачуна трезора општина                                                                </t>
  </si>
  <si>
    <t xml:space="preserve">Приходи буџета општине од камата на средства консолидованог рачуна трезора укључена у депозит банака                                                         </t>
  </si>
  <si>
    <t xml:space="preserve">Приходи од камата на средства корисника буџета општине укључена у депозите код пословних банака код којих овлашћени општински орган потписује уговор о депоновању средстава по виђењу                                             </t>
  </si>
  <si>
    <t xml:space="preserve">Камате на средства организација обавезног социјалног осигурања                                                                </t>
  </si>
  <si>
    <t xml:space="preserve">Камате на средства републичког фонда за здравствено осигурање                                                               </t>
  </si>
  <si>
    <t xml:space="preserve">Камате на средства републичког фонда за пио                                                                </t>
  </si>
  <si>
    <t xml:space="preserve">Камате на средства националне службе за запошљавање                                                                </t>
  </si>
  <si>
    <t xml:space="preserve">Дивиденде                                                                      </t>
  </si>
  <si>
    <t xml:space="preserve">Дивиденде сцг и нбс                                                                   </t>
  </si>
  <si>
    <t xml:space="preserve">Дивиденде сцг                                                                     </t>
  </si>
  <si>
    <t xml:space="preserve">Вишак прихода по завршном рачуну нбс                                                                 </t>
  </si>
  <si>
    <t xml:space="preserve">Дивиденде буџета републике                                                                    </t>
  </si>
  <si>
    <t xml:space="preserve">Вишак прихода над расходима јавне агенције                                                                 </t>
  </si>
  <si>
    <t xml:space="preserve">Вишак прихода над расходима републичке агенције за електронске комуникације                                                              </t>
  </si>
  <si>
    <t xml:space="preserve">Вишак прихода над расходима републичке радиодифузне агенције                                                                </t>
  </si>
  <si>
    <t xml:space="preserve">Дивиденде буџета територијалних аутономија                                                                   </t>
  </si>
  <si>
    <t xml:space="preserve">Дивиденде буџета ап војводина                                                                   </t>
  </si>
  <si>
    <t xml:space="preserve">Дивиденде буџета ап косово и метохија                                                                 </t>
  </si>
  <si>
    <t xml:space="preserve">Дивиденде буџета градова                                                                    </t>
  </si>
  <si>
    <t xml:space="preserve">Дивиденде буџета општина                                                                    </t>
  </si>
  <si>
    <t xml:space="preserve">Дивиденде организација обавезног социјалног осигурања                                                                  </t>
  </si>
  <si>
    <t xml:space="preserve">Дивиденде републичког фонда за здравствено осигурање                                                                 </t>
  </si>
  <si>
    <t xml:space="preserve">Дивиденде републичког фонда за пио                                                                  </t>
  </si>
  <si>
    <t xml:space="preserve">Дивиденде националне службе за запошљавање                                                                  </t>
  </si>
  <si>
    <t xml:space="preserve">Повлачење прихода од квази корпорација                                                                  </t>
  </si>
  <si>
    <t xml:space="preserve">Приход од имовине који припада имаоцима полиса осигурања                                                               </t>
  </si>
  <si>
    <t>741411</t>
  </si>
  <si>
    <t xml:space="preserve">Приход од имовине који припада имаоцима полиса осигурања републике србије                                                             </t>
  </si>
  <si>
    <t xml:space="preserve">Приход од имовине који припада имаоцима полиса осигурања аутономне покрајине                                                             </t>
  </si>
  <si>
    <t xml:space="preserve">Приход од имовине који припада имоцима полиса осигурања градова                                                              </t>
  </si>
  <si>
    <t xml:space="preserve">Приход од имовине који припада имаоцима полиса осигурања општина                                                              </t>
  </si>
  <si>
    <t xml:space="preserve">Закуп непроизведене имовине                                                                    </t>
  </si>
  <si>
    <t>741510</t>
  </si>
  <si>
    <t xml:space="preserve">Накнада за коришћење природних добара                                                                  </t>
  </si>
  <si>
    <t xml:space="preserve">Накнада за коришћење минералних сировина и геотермалних ресурса                                                               </t>
  </si>
  <si>
    <t xml:space="preserve">Накнада за искрчену шуму                                                                   </t>
  </si>
  <si>
    <t xml:space="preserve">Накнада за посечено дрво                                                                   </t>
  </si>
  <si>
    <t xml:space="preserve">Накнада за коришћење шума и шумског земљишта кад се даје за испашу                                                           </t>
  </si>
  <si>
    <t xml:space="preserve">Накнада за извађени материјал из водотока                                                                 </t>
  </si>
  <si>
    <t xml:space="preserve">Накнада за коришћење минералних сировина и геотермалних ресурса када се експлоатација врши на територији аутономне покрајине                                                       </t>
  </si>
  <si>
    <t xml:space="preserve">Накнада за примењена геолошка истраживања минералних и других геолошких ресурса                                                             </t>
  </si>
  <si>
    <t>741520</t>
  </si>
  <si>
    <t xml:space="preserve">Накнада за коришћење шумског и пољопривредног земљишта                                                                </t>
  </si>
  <si>
    <t xml:space="preserve">Накнада за коришћење шумског земљишта кад се даје у закуп                                                             </t>
  </si>
  <si>
    <t xml:space="preserve">Средства остварена од давања у закуп пољопривредног земљишта, односно пољопривредног објекта у државној својини                                                         </t>
  </si>
  <si>
    <t xml:space="preserve">Накнада за умањену вредност вишегодишњих засада                                                                 </t>
  </si>
  <si>
    <t xml:space="preserve">Накнада за коришћење ловостајем заштићених врста дивљачи                                                                </t>
  </si>
  <si>
    <t xml:space="preserve">Накнада за ловну карту                                                                   </t>
  </si>
  <si>
    <t xml:space="preserve">Накнада за коришћење шума и шумског земљишта                                                                </t>
  </si>
  <si>
    <t xml:space="preserve">Накнада за заштиту, коришћење и унапређивање општекорисних функција шуме                                                              </t>
  </si>
  <si>
    <t xml:space="preserve">Накнада за промену намене шума                                                                  </t>
  </si>
  <si>
    <t xml:space="preserve">Средства остварена отуђењем шума и шумског земљишта у државној својини                                                             </t>
  </si>
  <si>
    <t xml:space="preserve">Накнада за коришћење простора и грађевинског земљишта                                                                </t>
  </si>
  <si>
    <t>741531</t>
  </si>
  <si>
    <t xml:space="preserve">Комунална такса за коришћење простора на јавним површинама или испред пословног простора у пословне сврхе, осим ради продаје штампе, књига и других публикација, производа старих и уметничких заната и домаће радиности                                        </t>
  </si>
  <si>
    <t>741532</t>
  </si>
  <si>
    <t xml:space="preserve">Комунална такса за коришћење простора за паркирање друмских моторних и прикључних возила на уређеним и обележеним местима                                                      </t>
  </si>
  <si>
    <t>741533</t>
  </si>
  <si>
    <t xml:space="preserve">Комунална такса за коришћење слободних површина за кампове, постављање шатора или друге облике привременог коришћења                                                        </t>
  </si>
  <si>
    <t>741534</t>
  </si>
  <si>
    <t xml:space="preserve">Накнада за коришћење грађевинског земљишта                                                                  </t>
  </si>
  <si>
    <t>741535</t>
  </si>
  <si>
    <t xml:space="preserve">Комунална такса за заузеће јавне површине грађевинским материјалом                                                               </t>
  </si>
  <si>
    <t xml:space="preserve">Приходи остварени по основу давања у закуп станова намењених за решавање стамбених потреба избеглица                                                         </t>
  </si>
  <si>
    <t xml:space="preserve">Приходи остварени по основу давања у закуп грађевинског земљишта у јавној својини републике србије                                                         </t>
  </si>
  <si>
    <t xml:space="preserve">Накнаде за коришћење речних обала, туристичких погодности  и бања                                                             </t>
  </si>
  <si>
    <t xml:space="preserve">Комунална такса за коришћење обале у пословне и било које друге сврхе                                                           </t>
  </si>
  <si>
    <t>741542</t>
  </si>
  <si>
    <t xml:space="preserve">Накнада за коришћење природног лековитог фактора                                                                 </t>
  </si>
  <si>
    <t xml:space="preserve">Туристичка накнада                                                                     </t>
  </si>
  <si>
    <t xml:space="preserve">Накнада за коришћење добара од општег интереса у производњи електричне енергије и производњи нафте и гаса                                                       </t>
  </si>
  <si>
    <t>741560</t>
  </si>
  <si>
    <t xml:space="preserve">Коришћење ваздухопловног простора и накнаде за воде                                                                </t>
  </si>
  <si>
    <t xml:space="preserve">Накнада за коришћење ваздухопловног простора                                                                  </t>
  </si>
  <si>
    <t xml:space="preserve">Накнада за коришћење водног добра                                                                  </t>
  </si>
  <si>
    <t xml:space="preserve">Накнада за испуштену воду                                                                   </t>
  </si>
  <si>
    <t xml:space="preserve">Накнада за загађивање вода                                                                   </t>
  </si>
  <si>
    <t xml:space="preserve">Накнада за одводњавање од физичких лица на основу решења пореске управе                                                            </t>
  </si>
  <si>
    <t xml:space="preserve">Накнада за одводњавање од правних лица                                                                 </t>
  </si>
  <si>
    <t xml:space="preserve">Накнада за коришћење водних објеката и система                                                                </t>
  </si>
  <si>
    <t xml:space="preserve">Сливна водна накнада од физичких лица на основу решења пореске управе                                                            </t>
  </si>
  <si>
    <t xml:space="preserve">Сливна водна накнада од правних лица                                                                 </t>
  </si>
  <si>
    <t xml:space="preserve">Накнада за коришћење радио фреквенција и тв канала                                                               </t>
  </si>
  <si>
    <t xml:space="preserve">Средства у износу од 1,5% од укупно остварене месечне претплате радиодифузне установе за развој домаће кинематографије                                                       </t>
  </si>
  <si>
    <t xml:space="preserve">Накнада за коришћење земљишта које припада државном  путу                                                              </t>
  </si>
  <si>
    <t xml:space="preserve">Накнада за постављање рекламних табли, рекламних паноа, уређаја за сликовно и звучно обавештење или оглашавање на државном путу, односно на другом земљишту које користи управљач државног пута, у складу са прописима                                        </t>
  </si>
  <si>
    <t xml:space="preserve">Накнада за закуп делова земљишног појаса државног пута                                                               </t>
  </si>
  <si>
    <t xml:space="preserve">Накнада за закуп другог земљишта које користи управљач државног пута                                                             </t>
  </si>
  <si>
    <t xml:space="preserve">Накнаде за заштиту животне средине                                                                  </t>
  </si>
  <si>
    <t xml:space="preserve">Накнада за производе који после употребе постају посебни токови отпада                                                             </t>
  </si>
  <si>
    <t xml:space="preserve">Накнада за загађивање животне средине у подручјима од посебног државног интереса у области заштите животне средине                                                       </t>
  </si>
  <si>
    <t xml:space="preserve">Накнада за стављање амбалаже у промет                                                                 </t>
  </si>
  <si>
    <t xml:space="preserve">Накнада за компензацијске мере                                                                   </t>
  </si>
  <si>
    <t xml:space="preserve">Накнада за пружање стручних услуга фонда за заштиту животне средине                                                             </t>
  </si>
  <si>
    <t>742000</t>
  </si>
  <si>
    <t xml:space="preserve">Приходи од продаје добара и услуга                                                                 </t>
  </si>
  <si>
    <t xml:space="preserve">Приходи од продаје добара и услуга или закупа од стране тржишних организација                                                           </t>
  </si>
  <si>
    <t xml:space="preserve">Приходи од продаје добара и услуга или закупа од стране тржишних организација у корист нивоа републике                                                       </t>
  </si>
  <si>
    <t xml:space="preserve">Приходи од продаје добара и услуга од стране тржишних организација у корист нивоа републике                                                         </t>
  </si>
  <si>
    <t xml:space="preserve">Приходи од давања у закуп, односно на коришћење непокретности у државној својини које користе државни органи и организације и установе – јавне службе које се финансирају из буџета републике                                          </t>
  </si>
  <si>
    <t xml:space="preserve">Приходи од давања у закуп станова које користе ратни војни инвалиди и породице палих бораца                                                        </t>
  </si>
  <si>
    <t xml:space="preserve">Накнада за лабораторијске анализе узорака хране и хране за животиње узетих током службених контрола                                                         </t>
  </si>
  <si>
    <t xml:space="preserve">Накнада за утврђивање испуњености услова за обављање производње и преглед пошиљки приликом увоза, односно извоза грожђа, шире, вина и других производа                                                  </t>
  </si>
  <si>
    <t xml:space="preserve">Трошкови обављања послова везаних за географско порекло, контроле производње грожђа намењеног за производњу вина са географским пореклом, контроле производње вина са географским пореклом, као и испитивање квалитета и сензорског оцењивања вина                                        </t>
  </si>
  <si>
    <t xml:space="preserve">Накнаде за упис у регистар сорти пољопривредног биља                                                               </t>
  </si>
  <si>
    <t xml:space="preserve">Приходи од давања у закуп непокретности чији је корисник министарство одбране                                                            </t>
  </si>
  <si>
    <t xml:space="preserve">Накнада по основу конверзије права коришћења у право својине у корист фонда за реституцију                                                         </t>
  </si>
  <si>
    <t xml:space="preserve">Приходи од продаје добара и услуга или закупа од стране тржишних организација у корист буџета територијалних аутономија                                                      </t>
  </si>
  <si>
    <t xml:space="preserve">Приходи од продаје добара и услуга од стране тржишних организација у корист буџета ап војводина                                                        </t>
  </si>
  <si>
    <t xml:space="preserve">Приходи од давања у закуп, односно на коришћење непокретности у државној својини које користе органи ап војводина                                                      </t>
  </si>
  <si>
    <t xml:space="preserve">Приходи од продаје добара и услуга од стране тржишних организација у корист буџета ап косово и метохија                                                      </t>
  </si>
  <si>
    <t xml:space="preserve">Приходи од давања у закуп, односно на коришћење непокретности у државној својини које користе органи ап косово и метохија                                                    </t>
  </si>
  <si>
    <t xml:space="preserve">Приходи од давања у закуп, односно на коришћење непокретности у покрајинској  својини које користе органи ап војводина                                                     </t>
  </si>
  <si>
    <t xml:space="preserve">Приходи од давања у закуп, односно на коришћење непокретности у покрајинској својини које користе органи ап косово и метохија                                                    </t>
  </si>
  <si>
    <t xml:space="preserve">Приходи од продаје добара или услуга од стране тржишних организација у корист нивоа градова                                                         </t>
  </si>
  <si>
    <t>742142</t>
  </si>
  <si>
    <t xml:space="preserve">Приходи од давања у закуп, односно на коришћење непокретности у државној својини које користе градови и индиректни корисници њиховог буџета                                                   </t>
  </si>
  <si>
    <t>742143</t>
  </si>
  <si>
    <t xml:space="preserve">Приходи од закупнине за грађевинско земљиште у корист нивоа градова                                                             </t>
  </si>
  <si>
    <t xml:space="preserve">Накнада по основу конверзије права коришћења у право својине у корист нивоа градова                                                          </t>
  </si>
  <si>
    <t xml:space="preserve">Приходи од давања у закуп, односно на коришћење непокретности у градској својини које користе градови и индиректни корисници њиховог буџета                                                   </t>
  </si>
  <si>
    <t xml:space="preserve">Приходи од продаје добара и услуга или закупа од стране тржишних организација у корист нивоа општина                                                       </t>
  </si>
  <si>
    <t xml:space="preserve">Приходи од продаје добара и услуга од стране тржишних организација у корист нивоа општина                                                         </t>
  </si>
  <si>
    <t xml:space="preserve">Приходи од давања у закуп, односно на коришћење непокретности у државној својини које користе општине и индиректни корисници њиховог буџета                                                   </t>
  </si>
  <si>
    <t xml:space="preserve">Приходи од закупнине за грађевинско земљиште у корист нивоа општина                                                             </t>
  </si>
  <si>
    <t xml:space="preserve">Накнада по основу конверзије права коришћења у право својине у корист нивоа општина                                                          </t>
  </si>
  <si>
    <t xml:space="preserve">Приходи од давања у закуп, односно на коришћење непокретности у општинској својини које користе општине и индиректни корисници њиховог буџета                                                   </t>
  </si>
  <si>
    <t xml:space="preserve">Приходи од закупа од стране тржишних организација у корист организација обавезног социјалног осигурања                                                          </t>
  </si>
  <si>
    <t xml:space="preserve">Приходи од закупа од стране тржишних организација у корист републичког фонда за здравствено осигурање                                                         </t>
  </si>
  <si>
    <t xml:space="preserve">Приходи од закупа од стране тржишних организација у корист републичког фонда за пио                                                          </t>
  </si>
  <si>
    <t xml:space="preserve">Приходи од закупа од стране тржишних организација у корист националнe службe за запошљавање                                                          </t>
  </si>
  <si>
    <t xml:space="preserve">Таксе и накнаде                                                                    </t>
  </si>
  <si>
    <t xml:space="preserve">Конзуларне таксе                                                                     </t>
  </si>
  <si>
    <t xml:space="preserve">Таксе у корист нивоа републике                                                                  </t>
  </si>
  <si>
    <t xml:space="preserve">Републичке административне таксе                                                                    </t>
  </si>
  <si>
    <t xml:space="preserve">Накнада за издавање и продужење уверења о здравственом стању животиња                                                             </t>
  </si>
  <si>
    <t xml:space="preserve">Накнада за извршене ветеринарско - санитарне прегледе                                                                </t>
  </si>
  <si>
    <t xml:space="preserve">Накнада за обавезни здравствени преглед пошиљки биља у промету преко државне границе, издавање уверења о здравственом стању биља у унутрашњем промету и трошкова лабораторијског испитивања узорака биља                                            </t>
  </si>
  <si>
    <t xml:space="preserve">Накнада за обележавање и евиденцију животиња                                                                 </t>
  </si>
  <si>
    <t xml:space="preserve">Средства од наплаћених трошкова за утврђивање испуњености прописаних услова из заштите на раду                                                          </t>
  </si>
  <si>
    <t xml:space="preserve">Трошкови управног поступка                                                                    </t>
  </si>
  <si>
    <t xml:space="preserve">Трошкови за издавање лиценци за обављање послова у области безбедности и здравља на раду                                                         </t>
  </si>
  <si>
    <t xml:space="preserve">Трошкови пореског поступка                                                                    </t>
  </si>
  <si>
    <t xml:space="preserve">Таксе у корист нивоа територијалних аутономија                                                                 </t>
  </si>
  <si>
    <t xml:space="preserve">Административне таксе у корист нивоа ап војводина                                                                </t>
  </si>
  <si>
    <t xml:space="preserve">Административне таксе у корист нивоа ап косово и метохија                                                              </t>
  </si>
  <si>
    <t xml:space="preserve">Таксе у корист нивоа градова                                                                  </t>
  </si>
  <si>
    <t xml:space="preserve">Градске административне таксе                                                                    </t>
  </si>
  <si>
    <t xml:space="preserve">Таксе у корист нивоа општина                                                                  </t>
  </si>
  <si>
    <t xml:space="preserve">Општинске административне таксе                                                                    </t>
  </si>
  <si>
    <t xml:space="preserve">Накнада за обавезни здравствени преглед биља                                                                 </t>
  </si>
  <si>
    <t xml:space="preserve">Накнада за уређивање грађевинског земљишта                                                                  </t>
  </si>
  <si>
    <t xml:space="preserve">Трошкови пореског и прекршајног поступка изворних јавних прихода општина и градова                                                            </t>
  </si>
  <si>
    <t xml:space="preserve">Таксе у корист организација обавезног социјалног осигурања                                                                </t>
  </si>
  <si>
    <t xml:space="preserve">Таксе у корист републичког фонда за здравствено осигурање                                                               </t>
  </si>
  <si>
    <t xml:space="preserve">Таксе у корист републичког фонда за пио                                                                </t>
  </si>
  <si>
    <t xml:space="preserve">Таксе у корист националне службе за запошљавање                                                                </t>
  </si>
  <si>
    <t xml:space="preserve">Таксе у корист републичких судова                                                                  </t>
  </si>
  <si>
    <t xml:space="preserve">Републичке судске таксе                                                                    </t>
  </si>
  <si>
    <t xml:space="preserve">Трошкови заступања у судским и управним поступцима                                                                </t>
  </si>
  <si>
    <t xml:space="preserve">Накнаде за приређивање игара на срећу                                                                 </t>
  </si>
  <si>
    <t xml:space="preserve">Накнада за дозволу за посебне игре на срећу у играчницама                                                             </t>
  </si>
  <si>
    <t xml:space="preserve">Накнада за одобрење за посебне игрe на срећу на аутоматима                                                             </t>
  </si>
  <si>
    <t xml:space="preserve">Накнада за одобрење за посебне игрe на срећу – клађење                                                             </t>
  </si>
  <si>
    <t xml:space="preserve">Накнада за приређивање класичних игара на срећу                                                                </t>
  </si>
  <si>
    <t xml:space="preserve">Накнада за приређивање посебних игара на срећу у играчницама                                                              </t>
  </si>
  <si>
    <t xml:space="preserve">Накнада за приређивање посебних игара на срећу на аутоматима                                                              </t>
  </si>
  <si>
    <t xml:space="preserve">Накнада за приређивање посебних игара на срећу – клађење                                                              </t>
  </si>
  <si>
    <t xml:space="preserve">Накнада за приређивање наградне игре у роби и услугама                                                              </t>
  </si>
  <si>
    <t xml:space="preserve">Накнада за приређивање посебних игара на срећу путем интернета, телефона или на други начин путем телекомуникационих веза                                                      </t>
  </si>
  <si>
    <t xml:space="preserve">Накнаде за дуван                                                                    </t>
  </si>
  <si>
    <t xml:space="preserve">Накнада за давање дозволе за обављање малопродаје дуванских производа                                                              </t>
  </si>
  <si>
    <t xml:space="preserve">Накнада за давање дозволе за обављање осталог промета дуванских производа                                                             </t>
  </si>
  <si>
    <t xml:space="preserve">Споредне продаје добара и услуга које врше државне нетржишне јединице                                                             </t>
  </si>
  <si>
    <t xml:space="preserve">Приходи од споредне продаје добара и услуга које врше државне нетржишне јединице                                                           </t>
  </si>
  <si>
    <t xml:space="preserve">Приходи војске србије од споредне продаје добара и услуга                                                              </t>
  </si>
  <si>
    <t xml:space="preserve">Приходи буџета републике од споредне продаје добара и услуга које врше државне нетржишне јединице                                                         </t>
  </si>
  <si>
    <t xml:space="preserve">Приходи републичких органа и организација                                                                  </t>
  </si>
  <si>
    <t xml:space="preserve">Накнада за коришћење података и документације основних геолошких истраживања                                                              </t>
  </si>
  <si>
    <t xml:space="preserve">Накнада за коришћење података премера, катастра непокретности и водова и за разгледање катастра непокретности, као и за услуге које пружа републички геодетски завод                                                </t>
  </si>
  <si>
    <t xml:space="preserve">Трошкови поступка санитарних и здравствених инспектора по захтеву странке                                                              </t>
  </si>
  <si>
    <t xml:space="preserve">Трошкови полагања стручног испита за здравствене раднике, трошкови доделе назива примаријус и други трошкови                                                         </t>
  </si>
  <si>
    <t xml:space="preserve">Приходи од продаје пригодног кованог новца                                                                 </t>
  </si>
  <si>
    <t xml:space="preserve">Трошкови полагања стручних испита за обављање послова у области безбедности и здравља на раду                                                         </t>
  </si>
  <si>
    <t xml:space="preserve">Накнада нужних трошкова за издавање копије докумената на којима се налазе информације од јавног значаја                                                        </t>
  </si>
  <si>
    <t xml:space="preserve">Накнада за вршење техничког надзора пловних објеката                                                                </t>
  </si>
  <si>
    <t xml:space="preserve">Приходи територијалних аутономија од споредне продаје добара и услуга које врше државне нетржишне јединице                                                         </t>
  </si>
  <si>
    <t xml:space="preserve">Приходи које својом делатношћу остваре органи ап војводина                                                               </t>
  </si>
  <si>
    <t xml:space="preserve">Приходи које својом делатношћу остваре органи ап косово и метохија                                                             </t>
  </si>
  <si>
    <t xml:space="preserve">Приходи буџета града од споредне продаје добара и услуге које врше државне нетржишне јединице                                                         </t>
  </si>
  <si>
    <t xml:space="preserve">Приходи које својом делатношћу остваре органи и организације градова                                                              </t>
  </si>
  <si>
    <t xml:space="preserve">Приходи општинских органа од споредне продаје добара и услуга које врше државне нетржишне јединице                                                         </t>
  </si>
  <si>
    <t xml:space="preserve">Приходи које својом делатношћу остваре органи и организације општина                                                              </t>
  </si>
  <si>
    <t xml:space="preserve">Приходи организација обавезног социјалног осигурања од споредне продаје добара и услуга које врше државне нетржишне јединице                                                       </t>
  </si>
  <si>
    <t xml:space="preserve">Приходи индиректних корисника буџетских средстава који се остварују додатним активностима                                                             </t>
  </si>
  <si>
    <t xml:space="preserve">Приходи индиректних корисника републичког буџета који се остварују додатним активностима                                                             </t>
  </si>
  <si>
    <t xml:space="preserve">Приходи индиректних корисника буџета локалне самоуправе који се остварују додатним активностима                                                            </t>
  </si>
  <si>
    <t xml:space="preserve">Приходи индиректних корисника републичког фонда за здравствено осигурање који се остварују додатним активностима                                                          </t>
  </si>
  <si>
    <t xml:space="preserve">Родитељски динар за ваннаставне активности                                                                  </t>
  </si>
  <si>
    <t xml:space="preserve">Импутиране продаје добара и услуга                                                                  </t>
  </si>
  <si>
    <t>743000</t>
  </si>
  <si>
    <t xml:space="preserve">Новчане казне и одузета имовинска корист                                                                 </t>
  </si>
  <si>
    <t xml:space="preserve">Приходи од новчаних казни за кривична дела                                                                </t>
  </si>
  <si>
    <t xml:space="preserve">Приходи од новчаних казни за кривична дела у корист нивоа републике                                                            </t>
  </si>
  <si>
    <t xml:space="preserve">Трошкови кривичног поступка и паушал код судова                                                                </t>
  </si>
  <si>
    <t xml:space="preserve">Приходи од новчаних казни које повереник за информације од јавног значаја и заштиту података и личности изриче органима јавне власти у поступку административног извршења својих решења                                             </t>
  </si>
  <si>
    <t xml:space="preserve">Приходи од новчаних казни за кривична дела којима је нанета штета шумама                                                           </t>
  </si>
  <si>
    <t xml:space="preserve">Приходи од новчаних казни за кривична дела у корист нивоа територијалних аутономија                                                           </t>
  </si>
  <si>
    <t xml:space="preserve">Приходи од новчаних казни за кривична дела у корист нивоа градова                                                            </t>
  </si>
  <si>
    <t xml:space="preserve">Приходи од новчаних казни за кривична дела у корист нивоа општина                                                            </t>
  </si>
  <si>
    <t xml:space="preserve">Приходи од новчаних казни за кривична дела у корист организација обавезног социјалног осигурања                                                          </t>
  </si>
  <si>
    <t xml:space="preserve">Приходи од новчаних казни за привредне преступе                                                                </t>
  </si>
  <si>
    <t xml:space="preserve">Приходи од новчаних казни за привредне преступе у корист нивоа републике                                                            </t>
  </si>
  <si>
    <t xml:space="preserve">Приходи од новчаних казни за привредне преступе установљене прописима о здравственој заштити животиња                                                          </t>
  </si>
  <si>
    <t xml:space="preserve">Приходи од новчаних казни за привредне преступе или прекршаје установљене прописима о шумама и прописима којима се уређује обезбеђивање репродуктивног материјала шумског дрвећа и прихода од новчаних казни за привредне преступе или прекршаје установљене другим законом, ако је кажњивим делом нанета штета шуми                            </t>
  </si>
  <si>
    <t xml:space="preserve">Новчани износ мере заштите конкуренције                                                                  </t>
  </si>
  <si>
    <t xml:space="preserve">Приходи од новчаних казни за привредне преступе у корист нивоа територијалних аутономија                                                           </t>
  </si>
  <si>
    <t xml:space="preserve">Приходи од новчаних казни за привредне преступе у корист нивоа градова                                                            </t>
  </si>
  <si>
    <t xml:space="preserve">Приходи од новчаних казни за привредне преступе у корист нивоа општина                                                            </t>
  </si>
  <si>
    <t xml:space="preserve">Приходи од новчаних казни за привредне преступе у корист организација обавезног социјалног осигурања                                                          </t>
  </si>
  <si>
    <t xml:space="preserve">Приходи од новчаних казни за прекршаје                                                                 </t>
  </si>
  <si>
    <t xml:space="preserve">Приходи од новчаних казни за прекршаје у корист нивоа републике                                                             </t>
  </si>
  <si>
    <t xml:space="preserve">Приходи од новчаних казни за прекршаје у области рада (по пријавама инспекције рада)                                                          </t>
  </si>
  <si>
    <t xml:space="preserve">Приходи од новчаних казни за прекршаје које изриче инспекција рада (мандатне казне)                                                           </t>
  </si>
  <si>
    <t>743324</t>
  </si>
  <si>
    <t xml:space="preserve">Приходи од новчаних казни за прекршаје, предвиђене прописима о безбедности саобраћаја на путевима                                                          </t>
  </si>
  <si>
    <t xml:space="preserve">Разлика у цени уплаћена по решењима надлежних републичких органа                                                              </t>
  </si>
  <si>
    <t xml:space="preserve">Приходи од новчаних казни за прекршаје које изричу републички инспекцијски органи                                                            </t>
  </si>
  <si>
    <t xml:space="preserve">Приходи од новчаних казни за прекршаје установљене прописима о здравственој заштити животиња                                                           </t>
  </si>
  <si>
    <t xml:space="preserve">Приходи од новчаних казни за прекршаје које изриче републички орган управе надлежан за послове јавних прихода                                                       </t>
  </si>
  <si>
    <t xml:space="preserve">Приходи од новчаних казни за прекршаје предвиђене законом о ванредним ситуацијама и законима који уређују област заштите од пожара, експлозивних и опасних материја                                                </t>
  </si>
  <si>
    <t xml:space="preserve">Приходи од новчаних казни за прекршаје у корист нивоа територијалних аутономија                                                            </t>
  </si>
  <si>
    <t xml:space="preserve">Приходи од новчаних казни за прекршаје у корист нивоа ап војводина                                                            </t>
  </si>
  <si>
    <t xml:space="preserve">Приходи од новчаних казни за прекршаје у корист нивоа ап косово и метохија                                                          </t>
  </si>
  <si>
    <t>743340</t>
  </si>
  <si>
    <t xml:space="preserve">Приходи од новчаних казни за прекршаје у корист нивоа градова                                                             </t>
  </si>
  <si>
    <t xml:space="preserve">Приходи од новчаних казни изречених у прекршајном поступку за прекршаје прописане актом скупштине града, као и одузета имовинска корист у том поступку                                                 </t>
  </si>
  <si>
    <t xml:space="preserve">Приходи од мандатних казни и казни изречених у управном поступку у корист нивоа градова                                                         </t>
  </si>
  <si>
    <t xml:space="preserve">Приходи од новчаних казни за прекршаје које изриче градски орган управе надлежан за изворне јавне приходе                                                       </t>
  </si>
  <si>
    <t xml:space="preserve">Приходи од новчаних казни за прекршаје у корист нивоа општина                                                             </t>
  </si>
  <si>
    <t xml:space="preserve">Приходи од новчаних казни изречених у прекршајном поступку за прекршаје прописане актом скупштине општине, као и одузета имовинска корист у том поступку                                                 </t>
  </si>
  <si>
    <t xml:space="preserve">Приходи од мандатних казни и казни изречених у управном поступку у корист нивоа општина                                                         </t>
  </si>
  <si>
    <t xml:space="preserve">Приходи од новчаних казни за прекршаје које изриче општински орган управе надлежан за изворне јавне приходе                                                       </t>
  </si>
  <si>
    <t xml:space="preserve">Приходи од новчаних казни за прекршаје у корист организација обавезног социјалног осигурања                                                           </t>
  </si>
  <si>
    <t xml:space="preserve">Приходи од пенала                                                                    </t>
  </si>
  <si>
    <t xml:space="preserve">Приходи од пенала у корист нивоа републике                                                                </t>
  </si>
  <si>
    <t xml:space="preserve">Приходи од пенала у корист буџетског фонда за професионалну рехабилитацију и подстицање запошљавања особа са инвалидитетом                                                       </t>
  </si>
  <si>
    <t xml:space="preserve">Процесни пенал из закона о заштити конкуренције                                                                </t>
  </si>
  <si>
    <t xml:space="preserve">Приходи од пенала у корист нивоа територијалних аутономија                                                               </t>
  </si>
  <si>
    <t xml:space="preserve">Приходи од пенала у корист нивоа градова                                                                </t>
  </si>
  <si>
    <t xml:space="preserve">Приходи од пенала у корист нивоа општина                                                                </t>
  </si>
  <si>
    <t xml:space="preserve">Приходи од пенала у корист нивоа организација обавезног социјалног осигурања                                                             </t>
  </si>
  <si>
    <t xml:space="preserve">Приходи од одузете имовинске користи                                                                  </t>
  </si>
  <si>
    <t xml:space="preserve">Приходи од одузете имовинске користи у корист нивоа републике                                                              </t>
  </si>
  <si>
    <t xml:space="preserve">Одузета имовинска корист и средства добијена продајом одузетих предмета у прекршајном, кривичном и другом поступку                                                        </t>
  </si>
  <si>
    <t xml:space="preserve">Средства од продаје одузете робе, наплаћених трошкова за утврђивање услова за обављање делатности и од мандатних казни које изричу тржишни инспектори                                                  </t>
  </si>
  <si>
    <t xml:space="preserve">Новчана казна за царинске преступе и средства остварена од продаје одузете робе                                                           </t>
  </si>
  <si>
    <t xml:space="preserve">Средства од продаје одузете робе у пореском поступку                                                               </t>
  </si>
  <si>
    <t xml:space="preserve">Новчана средства добијена продајом трајно одузете имовине                                                                </t>
  </si>
  <si>
    <t xml:space="preserve">Одузета имовинска корист и средства добијена продајом у поступцима за утврђивање одговорности за кажњива дела из члана 82. став 2. тачка 1) закона о шумама                                              </t>
  </si>
  <si>
    <t xml:space="preserve">Приходи од одузете имовинске користи у корист нивоа територијалних аутономија                                                             </t>
  </si>
  <si>
    <t xml:space="preserve">Приходи од одузете имовинске користи у корист нивоа градова                                                              </t>
  </si>
  <si>
    <t xml:space="preserve">Приходи од одузете имовинске користи у корист нивоа општина                                                              </t>
  </si>
  <si>
    <t xml:space="preserve">Приходи од одузете имовинске користи у корист организација обавезног социјалног осигурања                                                            </t>
  </si>
  <si>
    <t xml:space="preserve">Остале новчане казне, пенали и приходи од одузете имовинске користи                                                             </t>
  </si>
  <si>
    <t xml:space="preserve">Остале новчане казне, пенали и приходи од одузете имовинске користи у корист нивоа републике                                                         </t>
  </si>
  <si>
    <t xml:space="preserve">Трошкови принудне наплате јавних прихода                                                                  </t>
  </si>
  <si>
    <t xml:space="preserve">Трошкови поступака пред органима за прекршаје                                                                 </t>
  </si>
  <si>
    <t xml:space="preserve">Једнократна такса на принудну наплату пореза                                                                 </t>
  </si>
  <si>
    <t xml:space="preserve">Остале новчане казне, пенали и приходи од одузете имовинске користи у корист нивоа територијалних аутономија                                                        </t>
  </si>
  <si>
    <t xml:space="preserve">Остале новчане казне, пенали и приходи од одузете имовинске користи у корист нивоа градова                                                         </t>
  </si>
  <si>
    <t xml:space="preserve">Остале новчане казне, пенали и приходи од одузете имовинске користи у корист нивоа општина                                                         </t>
  </si>
  <si>
    <t xml:space="preserve">Трошкови принудне наплате изворних јавних прихода општина и градова                                                              </t>
  </si>
  <si>
    <t xml:space="preserve">Остале новчане казне, пенали и приходи од одузете имовинске користи у корист организација обавезног социјалног осигурања                                                       </t>
  </si>
  <si>
    <t>744000</t>
  </si>
  <si>
    <t xml:space="preserve">Добровољни трансфери од физичких и правних лица                                                                </t>
  </si>
  <si>
    <t xml:space="preserve">Текући добровољни трансфери од физичких и правних лица                                                               </t>
  </si>
  <si>
    <t xml:space="preserve">Текући добровољни трансфери од физичких и правних лица у корист нивоа републике                                                           </t>
  </si>
  <si>
    <t xml:space="preserve">Приходи по основу донација за санацију штета од елементарних непогода                                                             </t>
  </si>
  <si>
    <t xml:space="preserve">Текући добровољни трансфери од физичких и правних лица у корист нивоа територијалних аутономија                                                          </t>
  </si>
  <si>
    <t xml:space="preserve">Текући добровољни трансфери од физичких и правних лица у корист нивоа ап војводина                                                          </t>
  </si>
  <si>
    <t xml:space="preserve">Текући добровољни трансфери од физичких и правних лица у корист нивоа ап косово и метохија                                                        </t>
  </si>
  <si>
    <t xml:space="preserve">Текући добровољни трансфери од физичких и правних лица у корист нивоа градова                                                           </t>
  </si>
  <si>
    <t>744141</t>
  </si>
  <si>
    <t xml:space="preserve">Текући добровољни трансфери за одлагање кривичног гоњења у корист нивоа градова                                                            </t>
  </si>
  <si>
    <t xml:space="preserve">Текући добровољни трансфери од физичких и правних лица у корист нивоа општина                                                           </t>
  </si>
  <si>
    <t xml:space="preserve">Текући добровољни трансфери од физичких и правних лица у корист организација обавезног социјалног осигурања                                                         </t>
  </si>
  <si>
    <t xml:space="preserve">Текући добровољни трансфери од физичких и правних лица у корист републичког фонда за здравствено осигурање                                                        </t>
  </si>
  <si>
    <t xml:space="preserve">Текући добровољни трансфери од физичких и правних лица у корист републичког фонда за пио                                                         </t>
  </si>
  <si>
    <t xml:space="preserve">Текући добровољни трансфери од физичких и правних лица у корист националне службе за запошљавање                                                         </t>
  </si>
  <si>
    <t xml:space="preserve">Капитални добровољни трансфери од физичких и правних лица                                                               </t>
  </si>
  <si>
    <t xml:space="preserve">Капитални добровољни трансфери од физичких и правних лица у корист нивоа републике                                                           </t>
  </si>
  <si>
    <t xml:space="preserve">Капитални добровољни трансфери од физичких и правних лица у корист нивоа територијалних аутономија                                                          </t>
  </si>
  <si>
    <t xml:space="preserve">Капитални добровољни трансфери од физичких и правних лица у корист нивоа ап војводина                                                          </t>
  </si>
  <si>
    <t xml:space="preserve">Капитални добровољни трансфери у корист нивоа ап косово и метохија                                                             </t>
  </si>
  <si>
    <t xml:space="preserve">Капитални добровољни трансфери од физичких и правних лица у корист нивоа градова                                                           </t>
  </si>
  <si>
    <t>744241</t>
  </si>
  <si>
    <t xml:space="preserve">Капитални добровољни трансфери од физичких и правних лица у корист нивоа општина                                                           </t>
  </si>
  <si>
    <t xml:space="preserve">Капитални добровољни трансфери од физичких и правних лица  у корист организација обавезног социјалног осигурања                                                        </t>
  </si>
  <si>
    <t xml:space="preserve">Капитални добровољни трансфери од физичких и правних лица у корист републичког фонда за здравствено осигурање                                                        </t>
  </si>
  <si>
    <t xml:space="preserve">Капитални добровољни трансфери од физичких и правних лица у корист републичког фонда за пио                                                         </t>
  </si>
  <si>
    <t xml:space="preserve">Капитални добровољни трансфери од физичких и правних лица у корист националне службе за запошљавање                                                         </t>
  </si>
  <si>
    <t>745000</t>
  </si>
  <si>
    <t xml:space="preserve">Мешовити и неодређени приходи                                                                   </t>
  </si>
  <si>
    <t xml:space="preserve">Мешовити и неодређени приходи у корист нивоа републике                                                               </t>
  </si>
  <si>
    <t xml:space="preserve">Укинути приходи буџета републике                                                                   </t>
  </si>
  <si>
    <t xml:space="preserve">Закупнина за стан у државној својини                                                                 </t>
  </si>
  <si>
    <t xml:space="preserve">Део добити јавног предузећа, према одлуци управног одбора јавног предузећа                                                             </t>
  </si>
  <si>
    <t xml:space="preserve">Уплата средстава по основу више обрачунатих зарада према закону о утврђивању максималне зараде у јавном сектору у корист буџета републике србије                                                  </t>
  </si>
  <si>
    <t xml:space="preserve">Приходи од агенције за осигурање депозита по основу наплаћених потраживања                                                             </t>
  </si>
  <si>
    <t xml:space="preserve">Средства на име учешћа у финансирању зарада особа са инвалидитетом запослених у предузећу за професионалну рехабилитацију и запошљавање особа са инвалидитетом или социјалном предузећу или организацији                                             </t>
  </si>
  <si>
    <t xml:space="preserve">Приходи од преузетих потраживања из стечајне масе                                                                </t>
  </si>
  <si>
    <t xml:space="preserve">Остали приходи буџета републике                                                                   </t>
  </si>
  <si>
    <t xml:space="preserve">Мешовити и неодређени приходи у корист нивоа територијалних аутономија                                                              </t>
  </si>
  <si>
    <t xml:space="preserve">Мешовити и неодређени приходи у корист нивоа ап војводина                                                              </t>
  </si>
  <si>
    <t xml:space="preserve">Мешовити и неодређени приходи у корист нивоа ап косово и метохија                                                            </t>
  </si>
  <si>
    <t xml:space="preserve">Закупнина за стан у државној својини у корист нивоа ап војводина                                                            </t>
  </si>
  <si>
    <t xml:space="preserve">Закупнина за стан у државној својини у корист нивоа ап косово и метохија                                                          </t>
  </si>
  <si>
    <t xml:space="preserve">Део добити јавног предузећа, према одлуци управног одбора јавног предузећа, у корист нивоа ап војводина                                                        </t>
  </si>
  <si>
    <t xml:space="preserve">Део добити јавног предузећа, према одлуци управног одбора јавног предузећа, у корист нивоа ап косово и метохија                                                      </t>
  </si>
  <si>
    <t xml:space="preserve">Закупнина за стан у покрајинској својини у корист нивоа ап војводина                                                            </t>
  </si>
  <si>
    <t xml:space="preserve">Закупнина за стан у покрајинској својини у корист нивоа ап косово и метохија                                                          </t>
  </si>
  <si>
    <t xml:space="preserve">Уплата средстава по основу више обрачунатих зарада према закону о утврђивању максималне зараде у јавном сектору у корист буџета аутономне покрајине                                                  </t>
  </si>
  <si>
    <t xml:space="preserve">Мешовити и неодређени приходи у корист нивоа градова                                                               </t>
  </si>
  <si>
    <t>745141</t>
  </si>
  <si>
    <t xml:space="preserve">Остали приходи у корист нивоа градова                                                                 </t>
  </si>
  <si>
    <t>745142</t>
  </si>
  <si>
    <t xml:space="preserve">Закупнина за стан у државној својини у корист нивоа градова                                                             </t>
  </si>
  <si>
    <t xml:space="preserve">Део добити јавног предузећа, према одлуци управног одбора јавног предузећа, у корист нивоа градова                                                         </t>
  </si>
  <si>
    <t xml:space="preserve">Закупнина за стан у градској својини у корист нивоа градова                                                             </t>
  </si>
  <si>
    <t xml:space="preserve">Уплата средстава по основу више обрачунатих зарада према закону о утврђивању максималне зараде у јавном сектору у корист буџета града                                                   </t>
  </si>
  <si>
    <t xml:space="preserve">Мешовити и неодређени приходи у корист нивоа општина                                                               </t>
  </si>
  <si>
    <t xml:space="preserve">Остали приходи у корист нивоа општина                                                                 </t>
  </si>
  <si>
    <t xml:space="preserve">Закупнина за стан у државној својини у корист нивоа општина                                                             </t>
  </si>
  <si>
    <t xml:space="preserve">Део добити јавног предузећа, према одлуци управног одбора јавног предузећа, у корист нивоа општина                                                         </t>
  </si>
  <si>
    <t xml:space="preserve">Закупнина за стан у општинској својини у корист нивоа општина                                                             </t>
  </si>
  <si>
    <t xml:space="preserve">Мешовити и неодређени приходи у корист организација обавезног социјалног осигурања                                                             </t>
  </si>
  <si>
    <t xml:space="preserve">Мешовити и неодређени приходи у корист републичког фонда за здравствено осигурање                                                            </t>
  </si>
  <si>
    <t xml:space="preserve">Мешовити и неодређени приходи у корист републичког фонда за пио                                                             </t>
  </si>
  <si>
    <t xml:space="preserve">Мешовити и неодређени приходи у корист националне службе за запошљавање                                                             </t>
  </si>
  <si>
    <t xml:space="preserve">Средства од 5% бруто премије осигурања од аутоодговорности                                                               </t>
  </si>
  <si>
    <t>770000</t>
  </si>
  <si>
    <t xml:space="preserve">Меморандумске ставке за рефундацију расхода                                                                  </t>
  </si>
  <si>
    <t>771111</t>
  </si>
  <si>
    <t xml:space="preserve">Меморандумске ставке за рефундацију расхода из претходне године                                                               </t>
  </si>
  <si>
    <t xml:space="preserve">Меморандумске ставке за рефундацију расхода буџета републике из претходне године                                                             </t>
  </si>
  <si>
    <t xml:space="preserve">Меморандумске ставке за рефундацију расхода буџета ап војводина из претходне године                                                            </t>
  </si>
  <si>
    <t xml:space="preserve">Меморандумске ставке за рефундацију расхода буџета града из претходне године                                                             </t>
  </si>
  <si>
    <t xml:space="preserve">Меморандумске ставке за рефундацију расхода буџета општине из претходне године                                                             </t>
  </si>
  <si>
    <t xml:space="preserve">Трансфери између буџетских корисника на истом нивоу                                                                </t>
  </si>
  <si>
    <t xml:space="preserve">Трансфери од директних ка индиректним буџетским корисницима на истом нивоу                                                             </t>
  </si>
  <si>
    <t xml:space="preserve">Трансфери између организација обавезног социјалног осигурања                                                                 </t>
  </si>
  <si>
    <t xml:space="preserve">Трансфери од организација обавезног социјалног осигурања у корист републичког фонда за здравствено осигурање                                                          </t>
  </si>
  <si>
    <t xml:space="preserve">Допринос за здравствено осигурање незапослених лица који плаћа национална служба за запошљавање                                                           </t>
  </si>
  <si>
    <t xml:space="preserve">Допринос за здравствено осигурање корисника пензија и корисника других новчаних накнада који плаћа републички фонд за пио за осигуранике запослене                                                   </t>
  </si>
  <si>
    <t xml:space="preserve">Трансфери од републичког фонда за пио за осигуранике пољопривреднике у корист републичког фонда за здравствено осигурање                                                       </t>
  </si>
  <si>
    <t xml:space="preserve">Трансфери од републичког фонда за пио за осигуранике самосталних делатности у корист републичког фонда за здравствено осигурање                                                      </t>
  </si>
  <si>
    <t xml:space="preserve">Допринос за здравствено осигурање корисника новчаних накнада из члана 224. закона о пензијском и инвалидском осигурању                                                       </t>
  </si>
  <si>
    <t xml:space="preserve">Допринос за здравствено осигурање за лица која остварују накнаду зараде за време привремене спречености за рад (боловање) по прописима о здравственом осигурању, који плаћа републички фонд за здравствено осигурање                                          </t>
  </si>
  <si>
    <t xml:space="preserve">Допринос за здравствено осигурање који плаћа национална служба за запошљавање по члану                                                           </t>
  </si>
  <si>
    <t xml:space="preserve">Допринос за зравствено осигурање корисника војне пензије који плаћа републички фонд за пио - за војне осигуранике                                                      </t>
  </si>
  <si>
    <t xml:space="preserve">Трансфери од организација обавезног социјалног осигурања у корист републичког фонда за пио за осигуранике запослене                                                        </t>
  </si>
  <si>
    <t xml:space="preserve">Допринос за пензијско и инвалидско осигурање незапослених који уплаћује национална служба за запошљавање                                                          </t>
  </si>
  <si>
    <t xml:space="preserve">Допринос за пензијско и инвалидско осигурање запослених који примају накнаду за време привремене спречености за рад (боловање) по прописима о здравственом осигурању, који уплаћује републички фонд за здравствено осигурање                                          </t>
  </si>
  <si>
    <t xml:space="preserve">Допринос за пензијско и инвалидско осигурање који плаћа национална служба за запошљавање по члану 45. закона о доприносима за обавезно социјално осигурање                                                 </t>
  </si>
  <si>
    <t xml:space="preserve">Допринос за пензијско и инвалидско осигурање војних осигураника који примају накнаду за време привремене спречености за рад (боловање)                                                     </t>
  </si>
  <si>
    <t xml:space="preserve">Трансфери од организација обавезног социјалног осигурања у корист републичког фонда за пио за осигуранике  пољопривреднике                                                       </t>
  </si>
  <si>
    <t xml:space="preserve">Трансфери од организација обавезног социјалног осигурања у корист републичког фонда за пио за осигуранике пољопривреднике                                                        </t>
  </si>
  <si>
    <t xml:space="preserve">Трансфери од организација обавезног социјалног осигурања у корист републичког фонда за пио за осигуранике самосталних делатности                                                       </t>
  </si>
  <si>
    <t xml:space="preserve">Допринос за пензијско и инвалидско осигурање за лица која су престала да обављају самосталну делатност, док остварују новчану накнаду према прописима о раду и запошљавању                                              </t>
  </si>
  <si>
    <t xml:space="preserve">Допринос за пензијско и инвалидско осигурање за физичка лица која, у складу са законом, самостално обављају привредну и другу делатност као основно занимање док примају накнаду за време привремене спречености за рад (боловање) по прописима о здравственом осигурању коју плаћа републички фонд за здравствено осигурање или док су на породиљском одсуству                    </t>
  </si>
  <si>
    <t xml:space="preserve">Трансфери од организација обавезног социјалног осигурања у корист националнe службe за запошљавање                                                           </t>
  </si>
  <si>
    <t xml:space="preserve">Допринос за случај незапослености, који плаћа национална служба за запошљавање по члану                                                           </t>
  </si>
  <si>
    <t>790000</t>
  </si>
  <si>
    <t xml:space="preserve">Приходи из буџета                                                                    </t>
  </si>
  <si>
    <t>791110</t>
  </si>
  <si>
    <t>800000</t>
  </si>
  <si>
    <t xml:space="preserve">Примања од продаје нефинансијске имовине                                                                  </t>
  </si>
  <si>
    <t xml:space="preserve">Примања од продаје основних средстава                                                                  </t>
  </si>
  <si>
    <t xml:space="preserve">Примања од продаје непокретности                                                                   </t>
  </si>
  <si>
    <t xml:space="preserve">Примања од продаје непокретности у корист нивоа републике                                                               </t>
  </si>
  <si>
    <t xml:space="preserve">Примања од продаје непокретности у државној својини, осим непокретности које користе органи ап                                                          </t>
  </si>
  <si>
    <t xml:space="preserve">Примања од откупа станова у државној својини                                                                </t>
  </si>
  <si>
    <t xml:space="preserve">Примања од продаје непокретности војске србије                                                                 </t>
  </si>
  <si>
    <t xml:space="preserve">Примања од продаје станова у државној својини које користе државни органи и организације                                                          </t>
  </si>
  <si>
    <t xml:space="preserve">Примања остварена по основу продаје станова намењених за решавање стамбених потреба избеглица                                                           </t>
  </si>
  <si>
    <t xml:space="preserve">Примања од продаје непокретности у државној својини које користе органи територијалних аутономија                                                           </t>
  </si>
  <si>
    <t xml:space="preserve">Примања од продаје непокретности у државној својини које користе органи ап војводина                                                           </t>
  </si>
  <si>
    <t xml:space="preserve">Примања од продаје непокретности у државној својини које користе органи ап косово и метохија                                                         </t>
  </si>
  <si>
    <t xml:space="preserve">Примања од продаје станова у корист нивоа територијалних аутономија                                                              </t>
  </si>
  <si>
    <t xml:space="preserve">Примања од отплате станова у корист нивоа територијалних аутономија                                                              </t>
  </si>
  <si>
    <t xml:space="preserve">Примања по основу обавеза за социјално становање у корист нивоа територијалних аутономија                                                           </t>
  </si>
  <si>
    <t xml:space="preserve">Примања од продаје непокретности у корист нивоа градова                                                               </t>
  </si>
  <si>
    <t xml:space="preserve">Примања од продаје станова у корист нивоа градова                                                               </t>
  </si>
  <si>
    <t xml:space="preserve">Примања од отплате станова у корист нивоа градова                                                               </t>
  </si>
  <si>
    <t xml:space="preserve">Примања по основу обавеза за социјално становање у корист нивоа градова                                                            </t>
  </si>
  <si>
    <t xml:space="preserve">Примања од продаје непокретности у корист нивоа општина                                                               </t>
  </si>
  <si>
    <t xml:space="preserve">Примања од продаје станова у корист нивоа општина                                                               </t>
  </si>
  <si>
    <t xml:space="preserve">Примања од отплате станова у корист нивоа општина                                                               </t>
  </si>
  <si>
    <t xml:space="preserve">Примања по основу обавеза за социјално становање у корист нивоа општина                                                            </t>
  </si>
  <si>
    <t xml:space="preserve">Примања од продаје непокретности у корист организација обавезног социјалног осигурања                                                             </t>
  </si>
  <si>
    <t xml:space="preserve">Примања од продаје непокретности у корист републичког фонда за здравствено осигурање                                                            </t>
  </si>
  <si>
    <t xml:space="preserve">Примања од продаје непокретности у корист републичког фонда за пио                                                             </t>
  </si>
  <si>
    <t xml:space="preserve">Примања од продаје непокретности у корист националне службе за запошљавање                                                             </t>
  </si>
  <si>
    <t xml:space="preserve">Примања од продаје непокретности у покрајинској својини које користе органи територијалних аутономија                                                           </t>
  </si>
  <si>
    <t xml:space="preserve">Примања од продаје непокретности у покрајинској својини које користе органи ап војводина                                                           </t>
  </si>
  <si>
    <t xml:space="preserve">Примања од продаје непокретности у покрајинској својини које користе органи ап косово и метохија                                                         </t>
  </si>
  <si>
    <t xml:space="preserve">Примања од продаје покретне имовине                                                                  </t>
  </si>
  <si>
    <t xml:space="preserve">Примања од продаје покретних ствари у корист нивоа републике                                                              </t>
  </si>
  <si>
    <t xml:space="preserve">Примања од продаје покретних ствари у корист нивоа територијалних аутономија                                                             </t>
  </si>
  <si>
    <t xml:space="preserve">Примања од продаје покретних ствари у корист нивоа ап војводина                                                             </t>
  </si>
  <si>
    <t xml:space="preserve">Примања од продаје покретних ствари у корист нивоа ап косово и метохија                                                           </t>
  </si>
  <si>
    <t xml:space="preserve">Примања од продаје покретних ствари у корист нивоа градова                                                              </t>
  </si>
  <si>
    <t xml:space="preserve">Примања од продаје покретних ствари у корист нивоа општина                                                              </t>
  </si>
  <si>
    <t xml:space="preserve">Примања од продаје покретних ствари у корист организација обавезног социјалног осигурања                                                            </t>
  </si>
  <si>
    <t xml:space="preserve">Примања од продаје покретних ствари у корист републичког фонда за здравствено осигурање                                                           </t>
  </si>
  <si>
    <t xml:space="preserve">Примања од продаје покретних ствари у корист републичког фонда за пио                                                            </t>
  </si>
  <si>
    <t xml:space="preserve">Примања од продаје покретних ствари у корист националне службе за запошљавање                                                            </t>
  </si>
  <si>
    <t xml:space="preserve">Примања од продаје осталих основних средстава                                                                 </t>
  </si>
  <si>
    <t xml:space="preserve">Примања од продаје осталих основних средстава у корист нивоа републике                                                             </t>
  </si>
  <si>
    <t xml:space="preserve">Примања од продаје осталих основних средстава у корист нивоа територијалних аутономија                                                            </t>
  </si>
  <si>
    <t xml:space="preserve">Примања од продаје осталих основних средстава у корист нивоа ап војводина                                                            </t>
  </si>
  <si>
    <t xml:space="preserve">Примања од продаје осталих основних средстава у корист нивоа ап косово и метохија                                                          </t>
  </si>
  <si>
    <t xml:space="preserve">Примања од продаје осталих основних средстава у корист нивоа градова                                                             </t>
  </si>
  <si>
    <t xml:space="preserve">Примања од продаје осталих основних средстава у корист нивоа општина                                                             </t>
  </si>
  <si>
    <t xml:space="preserve">Примања од продаје осталих основних средстава у корист организација обавезног социјалног осигурања                                                           </t>
  </si>
  <si>
    <t xml:space="preserve">Примања од продаје осталих основних средстава у корист републичког фонда за здравствено осигурање                                                          </t>
  </si>
  <si>
    <t xml:space="preserve">Примања од продаје осталих основних средстава у корист републичког фонда за пио                                                           </t>
  </si>
  <si>
    <t xml:space="preserve">Примања од продаје осталих основних средстава у корист националне службе за запошљавање                                                           </t>
  </si>
  <si>
    <t xml:space="preserve">Примања од продаје залиха                                                                   </t>
  </si>
  <si>
    <t xml:space="preserve">Примања од продаје робних резерви                                                                  </t>
  </si>
  <si>
    <t xml:space="preserve">Примања од продаје робних резерви у корист буџета републике                                                              </t>
  </si>
  <si>
    <t xml:space="preserve">Примања од продаје робних резерви у корист нивоа територијалних аутономија                                                             </t>
  </si>
  <si>
    <t xml:space="preserve">Примања од продаје робних резерви у корист нивоа ап војводина                                                             </t>
  </si>
  <si>
    <t xml:space="preserve">Примања од продаје робних резерви у корист нивоа ап косово и метохија                                                           </t>
  </si>
  <si>
    <t xml:space="preserve">Примања од продаје робних резерви у корист нивоа градова                                                              </t>
  </si>
  <si>
    <t xml:space="preserve">Примања од продаје робних резерви у корист нивоа општина                                                              </t>
  </si>
  <si>
    <t xml:space="preserve">Примања од продаје робних резерви у корист организација обавезног социјалног осигурања                                                            </t>
  </si>
  <si>
    <t xml:space="preserve">Примања од продаје робних резерви у корист републичког фонда за здравствено осигурање                                                           </t>
  </si>
  <si>
    <t xml:space="preserve">Примања од продаје робних резерви у корист републичког фонда за пио                                                            </t>
  </si>
  <si>
    <t xml:space="preserve">Примања од продаје робних резерви у корист националне службе за запошљавање                                                            </t>
  </si>
  <si>
    <t xml:space="preserve">Примања од продаје залиха производње                                                                  </t>
  </si>
  <si>
    <t xml:space="preserve">Примања од продаје залиха производње у корист нивоа републике                                                              </t>
  </si>
  <si>
    <t xml:space="preserve">Примања од продаје залиха производње у корист нивоа територијалних аутономија                                                             </t>
  </si>
  <si>
    <t xml:space="preserve">Примања од продаје залиха производње у корист нивоа ап војводина                                                             </t>
  </si>
  <si>
    <t xml:space="preserve">Примања од продаје залиха производње у корист нивоа ап косово и метохија                                                           </t>
  </si>
  <si>
    <t xml:space="preserve">Примања од продаје залиха производње у корист нивоа градова                                                              </t>
  </si>
  <si>
    <t xml:space="preserve">Примања од продаје залиха производње у корист нивоа општина                                                              </t>
  </si>
  <si>
    <t xml:space="preserve">Примања од продаје залиха производње у корист нивоа организација обавезног социјалног осигурања                                                           </t>
  </si>
  <si>
    <t xml:space="preserve">Примања од продаје залиха производње у корист републичког фонда за здравствено осигурање                                                           </t>
  </si>
  <si>
    <t xml:space="preserve">Примања од продаје залиха производње у корист републичког фонда за пио                                                            </t>
  </si>
  <si>
    <t xml:space="preserve">Примања од продаје залиха производње у корист националне службе за запошљавање                                                            </t>
  </si>
  <si>
    <t xml:space="preserve">Примања од продаје робе за даљу продају                                                                </t>
  </si>
  <si>
    <t xml:space="preserve">Примања од продаје робе за даљу продају у корист нивоа републике                                                            </t>
  </si>
  <si>
    <t xml:space="preserve">Примања од продаје робе за даљу продају у корист нивоа територијалних аутономија                                                           </t>
  </si>
  <si>
    <t xml:space="preserve">Примања од продаје робе за даљу продају у корист нивоа ап војводина                                                           </t>
  </si>
  <si>
    <t xml:space="preserve">Примања од продаје робе за даљу продају у корист нивоа ап косово и метохија                                                         </t>
  </si>
  <si>
    <t xml:space="preserve">Примања од продаје робе за даљу продају у корист нивоа градова                                                            </t>
  </si>
  <si>
    <t xml:space="preserve">Примања од продаје робе за даљу продају у корист нивоа општина                                                            </t>
  </si>
  <si>
    <t xml:space="preserve">Примања од продаје робе за даљу продају у корист организација обавезног социјалног осигурања                                                          </t>
  </si>
  <si>
    <t xml:space="preserve">Примања од продаје робе за даљу продају у корист републичког фонда за здравствено осигурање                                                         </t>
  </si>
  <si>
    <t xml:space="preserve">Примања од продаје робе за даљу продају у корист републичког фонда за пио                                                          </t>
  </si>
  <si>
    <t xml:space="preserve">Примања од продаје робе за даљу продају у корист националне службе за запошљавање                                                          </t>
  </si>
  <si>
    <t xml:space="preserve">Примања од продаје драгоцености                                                                   </t>
  </si>
  <si>
    <t xml:space="preserve">Примања од продаје драгоцености у корист буџета републике                                                               </t>
  </si>
  <si>
    <t xml:space="preserve">Примања од продаје драгоцености у корист нивоа територијалних аутономија                                                              </t>
  </si>
  <si>
    <t xml:space="preserve">Примања од продаје драгоцености у корист нивоа ап војводина                                                              </t>
  </si>
  <si>
    <t xml:space="preserve">Примања од продаје драгоцености у корист нивоа ап косово и метохија                                                            </t>
  </si>
  <si>
    <t xml:space="preserve">Примања од продаје драгоцености у корист нивоа градова                                                               </t>
  </si>
  <si>
    <t xml:space="preserve">Примања од продаје драгоцености у корист нивоа општина                                                               </t>
  </si>
  <si>
    <t xml:space="preserve">Примања од продаје драгоцености у корист организација обавезног социјалног осигурања                                                             </t>
  </si>
  <si>
    <t xml:space="preserve">Примања од продаје драгоцености у корист републичког фонда за здравствено осигурање                                                            </t>
  </si>
  <si>
    <t xml:space="preserve">Примања од продаје драгоцености у корист републичког фонда за пио                                                             </t>
  </si>
  <si>
    <t xml:space="preserve">Примања од продаје драгоцености у корист националне службе за запошљавање                                                             </t>
  </si>
  <si>
    <t xml:space="preserve">Примања од продаје природне имовине                                                                  </t>
  </si>
  <si>
    <t xml:space="preserve">Примања од продаје земљишта                                                                   </t>
  </si>
  <si>
    <t xml:space="preserve">Примања од продаје земљишта у корист нивоа републике                                                               </t>
  </si>
  <si>
    <t xml:space="preserve">Примања од продаје земљишта у корист нивоа територијалних аутономија                                                              </t>
  </si>
  <si>
    <t xml:space="preserve">Примања од продаје земљишта у корист нивоа градова                                                               </t>
  </si>
  <si>
    <t xml:space="preserve">Примања од продаје земљишта у корист нивоа општина                                                               </t>
  </si>
  <si>
    <t xml:space="preserve">Примања од продаје земљишта у корист организација обавезног социјалног осигурања                                                             </t>
  </si>
  <si>
    <t xml:space="preserve">Примања од продаје земљишта у корист републичког фонда  за здравствено осигурање                                                           </t>
  </si>
  <si>
    <t xml:space="preserve">Примања од продаје земљишта у корист републичког фонда за пио                                                             </t>
  </si>
  <si>
    <t xml:space="preserve">Примања од продаје земљишта у корист националне службе за запошљавање                                                             </t>
  </si>
  <si>
    <t xml:space="preserve">Примања од продаје подземних блага                                                                  </t>
  </si>
  <si>
    <t xml:space="preserve">Примања од продаје подземних блага у корист нивоа републике                                                              </t>
  </si>
  <si>
    <t xml:space="preserve">Примања од продаје подземних блага у корист нивоа територијалних аутономија                                                             </t>
  </si>
  <si>
    <t xml:space="preserve">Примања од продаје подземних блага у корист нивоа градова                                                              </t>
  </si>
  <si>
    <t xml:space="preserve">Примања од продаје подземних блага у корист нивоа општина                                                              </t>
  </si>
  <si>
    <t xml:space="preserve">Примања од продаје подземних блага у корист организација обавезног социјалног осигурања                                                            </t>
  </si>
  <si>
    <t xml:space="preserve">Примања од продаје подземних блага у корист републичког фонда за здравствено осигурање                                                           </t>
  </si>
  <si>
    <t xml:space="preserve">Примања од продаје подземних блага у корист републичког фонда за пио                                                            </t>
  </si>
  <si>
    <t xml:space="preserve">Примања од продаје подземних блага у корист националне службе за запошљавање                                                            </t>
  </si>
  <si>
    <t xml:space="preserve">Примања од продаје шума и вода                                                                 </t>
  </si>
  <si>
    <t xml:space="preserve">Примања од продаје шума и вода у корист нивоа републике                                                             </t>
  </si>
  <si>
    <t xml:space="preserve">Примања од продаје шума и вода у корист нивоа територијалних аутономија                                                            </t>
  </si>
  <si>
    <t xml:space="preserve">Примања од продаје шума и вода у корист нивоа градова                                                             </t>
  </si>
  <si>
    <t xml:space="preserve">Примања од продаје шума и вода у корист нивоа општина                                                             </t>
  </si>
  <si>
    <t xml:space="preserve">Примања од продаје шума и вода у корист организација обавезног социјалног осигурања                                                           </t>
  </si>
  <si>
    <t xml:space="preserve">Примања од продаје шума и вода у корист републичког фонда за здравствено осигурање                                                          </t>
  </si>
  <si>
    <t xml:space="preserve">Примања од продаје шума и вода у корист републичког фонда за пио                                                           </t>
  </si>
  <si>
    <t xml:space="preserve">Примања од продаје шума и вода у корист националне службе за запошљавање                                                           </t>
  </si>
  <si>
    <t>900000</t>
  </si>
  <si>
    <t xml:space="preserve">Примања од задуживања и продаје финансијске имовине                                                                </t>
  </si>
  <si>
    <t>910000</t>
  </si>
  <si>
    <t xml:space="preserve">Примања од задуживања                                                                    </t>
  </si>
  <si>
    <t xml:space="preserve">Примања од домаћих задуживања                                                                   </t>
  </si>
  <si>
    <t xml:space="preserve">Примања од емитовања домаћих хартија од вредности, изузев акција                                                              </t>
  </si>
  <si>
    <t xml:space="preserve">Примања од емитовања домаћих хартија од вредности, изузев акција, у корист нивоа републике                                                          </t>
  </si>
  <si>
    <t xml:space="preserve">Примања од емитовања домаћих хартија од вредности, изузев акција, у корист нивоа територијалних аутономија                                                         </t>
  </si>
  <si>
    <t xml:space="preserve">Примања од емитовања домаћих хартија од вредности, изузев акција, у корист нивоа ап војводина                                                         </t>
  </si>
  <si>
    <t xml:space="preserve">Примања од емитовања домаћих хартија од вредности, изузев акција, у корист нивоа ап косово и метохија                                                       </t>
  </si>
  <si>
    <t xml:space="preserve">Примања од емитовања домаћих хартија од вредности, изузев акција, у корист нивоа градова                                                          </t>
  </si>
  <si>
    <t xml:space="preserve">Примања од емитовања домаћих хартија од вредности, изузев акција, у корист нивоа општина                                                          </t>
  </si>
  <si>
    <t xml:space="preserve">Примања од емитовања домаћих хартија од вредности, изузев акција, у корист организација обавезног социјалног осигурања                                                        </t>
  </si>
  <si>
    <t xml:space="preserve">Примања од емитовања домаћих хартија од вредности, изузев акција, у корист републичког фонда за здравствено осигурање                                                       </t>
  </si>
  <si>
    <t xml:space="preserve">Примања од емитовања домаћих хартија од вредности, изузев акција, у корист републичког фонда за пио                                                        </t>
  </si>
  <si>
    <t xml:space="preserve">Примања од емитовања домаћих хартија од вредности, изузев акција, у корист националне службе за запошљавање                                                        </t>
  </si>
  <si>
    <t xml:space="preserve">Примања од задуживања од осталих нивоа власти                                                                </t>
  </si>
  <si>
    <t xml:space="preserve">Примања од задуживања од осталих нивоа власти у корист нивоа републике                                                            </t>
  </si>
  <si>
    <t xml:space="preserve">Примања од задуживања од осталих нивоа власти у корист нивоа територијалних аутономија                                                           </t>
  </si>
  <si>
    <t xml:space="preserve">Примања од задуживања од осталих нивоа власти у корист нивоа ап војводина                                                           </t>
  </si>
  <si>
    <t xml:space="preserve">Примања од задуживања од осталих нивоа власти у корист нивоа ап косово и метохија                                                         </t>
  </si>
  <si>
    <t xml:space="preserve">Примања од задуживања од осталих нивоа власти у корист нивоа градова                                                            </t>
  </si>
  <si>
    <t xml:space="preserve">Примања од задуживања од осталих нивоа власти у корист нивоа општина                                                            </t>
  </si>
  <si>
    <t xml:space="preserve">Примања од задуживања од осталих нивоа власти у корист организација обавезног социјалног осигурања                                                          </t>
  </si>
  <si>
    <t xml:space="preserve">Примања од задуживања од осталих нивоа власти у корист републичког фонда за здравствено осигурање                                                         </t>
  </si>
  <si>
    <t xml:space="preserve">Примања од задуживања од осталих нивоа власти у корист републичког фонда за пио                                                          </t>
  </si>
  <si>
    <t xml:space="preserve">Примања од задуживања од осталих нивоа власти у корист националне службе за запошљавање                                                          </t>
  </si>
  <si>
    <t xml:space="preserve">Примања од задуживања од јавних финансијских институција у земљи                                                              </t>
  </si>
  <si>
    <t xml:space="preserve">Примања од задуживања од јавних финансијских институција у земљи у корист нивоа републике                                                          </t>
  </si>
  <si>
    <t xml:space="preserve">Примања од задуживања од јавних финансијских институција у земљи у корист нивоа територијалних аутономија                                                         </t>
  </si>
  <si>
    <t xml:space="preserve">Примања од задуживања од јавних финансијских институција у земљи у корист нивоа градова                                                          </t>
  </si>
  <si>
    <t xml:space="preserve">Примања од задуживања од јавних финансијских институција у земљи у корист нивоа општина                                                          </t>
  </si>
  <si>
    <t xml:space="preserve">Примања од задуживања од јавних финансијских институција у земљи у корист организација обавезног социјалног осигурања                                                        </t>
  </si>
  <si>
    <t xml:space="preserve">Примања од задуживања од јавних финансијских институција у земљи у корист републичког фонда за здравствено осигурање                                                       </t>
  </si>
  <si>
    <t xml:space="preserve">Примања од задуживања од јавних финансијских институција у земљи у корист републичког фонда за пио                                                        </t>
  </si>
  <si>
    <t xml:space="preserve">Примања од задуживања од јавних финансијских институција у земљи у корист националне службе за запошљавање                                                        </t>
  </si>
  <si>
    <t xml:space="preserve">Примања од задуживања од пословних банака у земљи                                                               </t>
  </si>
  <si>
    <t xml:space="preserve">Примања од задуживања од пословних банака у земљи у корист нивоа републике                                                           </t>
  </si>
  <si>
    <t xml:space="preserve">Примања од задуживања од пословних банака у земљи у корист нивоа територијалних аутономија                                                          </t>
  </si>
  <si>
    <t xml:space="preserve">Примања од задуживања од пословних банака у земљи у корист нивоа ап војводина                                                          </t>
  </si>
  <si>
    <t xml:space="preserve">Примања од задуживања од пословних банака у земљи у корист нивоа ап косово и метохија                                                        </t>
  </si>
  <si>
    <t xml:space="preserve">Примања од задуживања од пословних банака у земљи у корист нивоа градова                                                           </t>
  </si>
  <si>
    <t>911441</t>
  </si>
  <si>
    <t xml:space="preserve">Примања од задуживања од пословних банака у земљи у корист нивоа општина                                                           </t>
  </si>
  <si>
    <t xml:space="preserve">Примања од задуживања од пословних банака у земљи у корист организација обавезног социјалног осигурања                                                         </t>
  </si>
  <si>
    <t xml:space="preserve">Примања од задуживања од пословних банака у земљи у корист републичког фонда за здравствено осигурање                                                        </t>
  </si>
  <si>
    <t xml:space="preserve">Примања од задуживања од пословних банака у земљи у корист републичког фонда за пио                                                         </t>
  </si>
  <si>
    <t xml:space="preserve">Примања од задуживања од пословних банака у земљи у корист националне службе за запошљавање                                                         </t>
  </si>
  <si>
    <t xml:space="preserve">Примања од задуживања код осталих поверилаца у земљи                                                               </t>
  </si>
  <si>
    <t xml:space="preserve">Примања од задуживања код осталих поверилаца у земљи у корист нивоа републике                                                           </t>
  </si>
  <si>
    <t xml:space="preserve">Примања од задуживања код осталих поверилаца у земљи у корист нивоа територијалних аутономија                                                          </t>
  </si>
  <si>
    <t xml:space="preserve">Примања од задуживања код осталих поверилаца у земљи у корист нивоа ап војводина                                                          </t>
  </si>
  <si>
    <t xml:space="preserve">Примања од задуживања код осталих поверилаца у земљи у корист нивоа ап косово и метохија                                                        </t>
  </si>
  <si>
    <t xml:space="preserve">Примања од задуживања код осталих поверилаца у земљи у корист нивоа градова                                                           </t>
  </si>
  <si>
    <t xml:space="preserve">Примања од задуживања код осталих поверилаца у земљи у корист нивоа општина                                                           </t>
  </si>
  <si>
    <t xml:space="preserve">Примања од задуживања код осталих поверилаца у земљи у корист организација обавезног социјалног осигурања                                                         </t>
  </si>
  <si>
    <t xml:space="preserve">Примања од задуживања код осталих поверилаца у земљи у корист републичког фонда за здравствено осигурање                                                        </t>
  </si>
  <si>
    <t xml:space="preserve">Примања од задуживања код осталих поверилаца у земљи у корист републичког фонда за пио                                                         </t>
  </si>
  <si>
    <t xml:space="preserve">Примања од задуживања код осталих поверилаца у земљи у корист националне службе за запошљавање                                                         </t>
  </si>
  <si>
    <t xml:space="preserve">Примања од задуживања од домаћинстава у земљи                                                                </t>
  </si>
  <si>
    <t xml:space="preserve">Примања од задуживања од домаћинстава у земљи у корист нивоа републике                                                            </t>
  </si>
  <si>
    <t xml:space="preserve">Примања од задуживања од домаћинстава у земљи у корист нивоа територијалних аутономија                                                           </t>
  </si>
  <si>
    <t xml:space="preserve">Примања од задуживања од домаћинстава у земљи у корист нивоа градова                                                            </t>
  </si>
  <si>
    <t xml:space="preserve">Примања од задуживања од домаћинстава у земљи у корист нивоа општина                                                            </t>
  </si>
  <si>
    <t xml:space="preserve">Примања од задуживања од домаћинстава у земљи у корист организација обавезног социјалног осигурања                                                          </t>
  </si>
  <si>
    <t xml:space="preserve">Примања од задуживања од домаћинстава у земљи у корист републичког фонда за здравствено осигурање                                                         </t>
  </si>
  <si>
    <t xml:space="preserve">Примања од задуживања од домаћинстава у земљи у корист републичког фонда за пио                                                          </t>
  </si>
  <si>
    <t xml:space="preserve">Примања од задуживања од домаћинстава у земљи у корист националне службе за запошљавање                                                          </t>
  </si>
  <si>
    <t xml:space="preserve">Примања од домаћих финансијских деривата                                                                  </t>
  </si>
  <si>
    <t xml:space="preserve">Примања од домаћих финансијских деривата у корист нивоа републике                                                              </t>
  </si>
  <si>
    <t xml:space="preserve">Примања од домаћих финансијских деривата у корист нивоа територијалних аутономија                                                             </t>
  </si>
  <si>
    <t xml:space="preserve">Примања од домаћих финансијских деривата у корист нивоа градова                                                              </t>
  </si>
  <si>
    <t xml:space="preserve">Примања од домаћих финансијских деривата у корист нивоа општина                                                              </t>
  </si>
  <si>
    <t xml:space="preserve">Примања од домаћих финансијских деривата у корист организација обавезног социјалног осигурања                                                            </t>
  </si>
  <si>
    <t xml:space="preserve">Примања од домаћих финансијских деривата у корист републичког фонда за здравствено осигурање                                                           </t>
  </si>
  <si>
    <t xml:space="preserve">Примања од домаћих финансијских деривата у корист републичког фонда за пио                                                            </t>
  </si>
  <si>
    <t xml:space="preserve">Примања од домаћих финансијских деривата у корист националне службе за запошљавање                                                            </t>
  </si>
  <si>
    <t xml:space="preserve">Примања од домаћих меница                                                                   </t>
  </si>
  <si>
    <t xml:space="preserve">Примања од домаћих меница у корист нивоа републике                                                               </t>
  </si>
  <si>
    <t xml:space="preserve">Примања од домаћих меница у корист нивоа територијалних аутономија                                                              </t>
  </si>
  <si>
    <t xml:space="preserve">Примања од домаћих меница у корист нивоа ап војводина                                                              </t>
  </si>
  <si>
    <t xml:space="preserve">Примања од домаћих меница у корист нивоа ап косово и метохија                                                            </t>
  </si>
  <si>
    <t xml:space="preserve">Примања од домаћих меница у корист нивоа градова                                                               </t>
  </si>
  <si>
    <t xml:space="preserve">Примања од домаћих меница у корист нивоа општина                                                               </t>
  </si>
  <si>
    <t xml:space="preserve">Примања од домаћих меница у корист организација обавезног социјалног осигурања                                                             </t>
  </si>
  <si>
    <t xml:space="preserve">Примања од домаћих меница у корист републичког фонда за здравствено осигурање                                                            </t>
  </si>
  <si>
    <t xml:space="preserve">Примања од домаћих меница у корист републичког фонда за пио                                                             </t>
  </si>
  <si>
    <t xml:space="preserve">Примања од домаћих меница у корист националне службе за запошљавање                                                             </t>
  </si>
  <si>
    <t xml:space="preserve">Примања од исправке унутрашњег дуга у корист нивоа републике                                                              </t>
  </si>
  <si>
    <t xml:space="preserve">Примања од исправке унутрашњег дуга у корист нивоа територијалних аутономија                                                             </t>
  </si>
  <si>
    <t xml:space="preserve">Примања од исправке унутрашњег дуга у корист нивоа ап војводина                                                             </t>
  </si>
  <si>
    <t xml:space="preserve">Примања од исправке унутрашњег дуга у корист нивоа ап косово и метохија                                                           </t>
  </si>
  <si>
    <t xml:space="preserve">Примања од исправке унутрашњег дуга у корист нивоа градова                                                              </t>
  </si>
  <si>
    <t xml:space="preserve">Примања од исправке унутрашњег дуга у корист нивоа општина                                                              </t>
  </si>
  <si>
    <t xml:space="preserve">Примања од исправке унутрашњег дуга у корист организација обавезног социјалног осигурања                                                            </t>
  </si>
  <si>
    <t xml:space="preserve">Примања од исправке унутрашњег дуга у корист републичког фонда за здравствено осигурање                                                           </t>
  </si>
  <si>
    <t xml:space="preserve">Примања од исправке унутрашњег дуга у корист републичког фонда за пио                                                            </t>
  </si>
  <si>
    <t xml:space="preserve">Примања од исправке унутрашњег дуга у корист националне службе за запошљавање                                                            </t>
  </si>
  <si>
    <t xml:space="preserve">Примања од иностраног задуживања                                                                   </t>
  </si>
  <si>
    <t xml:space="preserve">Примања од емитовања хартија од вредности, изузев акција, на иностраном финансијском тржишту                                                           </t>
  </si>
  <si>
    <t xml:space="preserve">Примања од емитовања хартија од вредности, изузев акција, на иностраном финансијском тржишту у корист нивоа републике                                                       </t>
  </si>
  <si>
    <t xml:space="preserve">Примања од емитовања хартија од вредности, изузев акција, на иностраном финансијском тржишту у корист нивоа територијалних аутономија                                                      </t>
  </si>
  <si>
    <t xml:space="preserve">Примања од емитовања хартија од вредности, изузев акција, на иностраном финансијском тржишту у корист нивоа градова                                                       </t>
  </si>
  <si>
    <t xml:space="preserve">Примања од емитовања хартија од вредности, изузев акција, , на иностраном финансијском тржишту у корист нивоа градова                                                      </t>
  </si>
  <si>
    <t xml:space="preserve">Примања од емитовања хартија од вредности, изузев акција, на иностраном финансијском тржишту у корист нивоа општина                                                       </t>
  </si>
  <si>
    <t xml:space="preserve">Примања од емитовања хартија од вредности, изузев акција,  на иностраном финансијском тржишту у корист организација обавезног социјалног осигурања                                                    </t>
  </si>
  <si>
    <t xml:space="preserve">Примања од емитовања хартија од вредности, изузев акција, на иностраном финансијском тржишту у корист републичког фонда за здравствено осигурање                                                    </t>
  </si>
  <si>
    <t xml:space="preserve">Примања од емитовања  хартија од вредности, изузев акција, на иностраном финансијском тржишту у корист републичког фонда за пио                                                    </t>
  </si>
  <si>
    <t xml:space="preserve">Примања од емитовања хартија од вредности, изузев акција, на иностраном финансијском тржишту у корист националне службе за запошљавање                                                     </t>
  </si>
  <si>
    <t xml:space="preserve">Примања од задуживања од иностраних држава                                                                 </t>
  </si>
  <si>
    <t xml:space="preserve">Примања од задуживања од иностраних држава у корист нивоа републике                                                             </t>
  </si>
  <si>
    <t xml:space="preserve">Примања од задуживања од иностраних држава у корист нивоа територијалних аутономија                                                            </t>
  </si>
  <si>
    <t xml:space="preserve">Примања од задуживања од иностраних држава у корист нивоа ап војводина                                                            </t>
  </si>
  <si>
    <t xml:space="preserve">Примања од задуживања од иностраних држава у корист нивоа ап косово и метохија                                                          </t>
  </si>
  <si>
    <t xml:space="preserve">Примања од задуживања од иностраних држава у корист нивоа градова                                                             </t>
  </si>
  <si>
    <t xml:space="preserve">Примања од задуживања од иностраних држава у корист нивоа општина                                                             </t>
  </si>
  <si>
    <t xml:space="preserve">Примања од задуживања од иностраних држава у корист организација обавезног социјалног осигурања                                                           </t>
  </si>
  <si>
    <t xml:space="preserve">Примања од задуживања од иностраних држава у корист републичког фонда за здравствено осигурање                                                          </t>
  </si>
  <si>
    <t xml:space="preserve">Примања од задуживања од иностраних држава у корист републичког фонда за пио                                                           </t>
  </si>
  <si>
    <t xml:space="preserve">Примања од задуживања од иностраних држава у корист националне службе за запошљавање                                                           </t>
  </si>
  <si>
    <t xml:space="preserve">Примања од задуживања од мултилатералних институција                                                                 </t>
  </si>
  <si>
    <t xml:space="preserve">Примања од задуживања од мултилатералних институција у корист нивоа републике                                                             </t>
  </si>
  <si>
    <t xml:space="preserve">Примања од задуживања од мултилатералних институција у корист нивоа територијалних аутономија                                                            </t>
  </si>
  <si>
    <t xml:space="preserve">Примања од задуживања од мултилатералних институција у корист нивоа ап војводина                                                            </t>
  </si>
  <si>
    <t xml:space="preserve">Примања од задуживања од мултилатералних институција у корист нивоа ап косово и метохија                                                          </t>
  </si>
  <si>
    <t xml:space="preserve">Примања од задуживања од мултилатералних институција у корист нивоа градова                                                             </t>
  </si>
  <si>
    <t xml:space="preserve">Примања од задуживања од мултилатералних институција у корист нивоа општина                                                             </t>
  </si>
  <si>
    <t xml:space="preserve">Примања од задуживања од мултилатералних институција у корист организација обавезног социјалног осигурања                                                           </t>
  </si>
  <si>
    <t xml:space="preserve">Примања од задуживања од мултилатералних институција у корист републичког фонда за здравствено осигурање                                                          </t>
  </si>
  <si>
    <t xml:space="preserve">Примања од задуживања од мултилатералних институција у корист републичког фонда за пио                                                           </t>
  </si>
  <si>
    <t xml:space="preserve">Примања од задуживања од мултилатералних институција у корист националне службе за запошљавање                                                           </t>
  </si>
  <si>
    <t xml:space="preserve">Примања од задуживања од иностраних пословних банака                                                                </t>
  </si>
  <si>
    <t xml:space="preserve">Примања од задуживања од иностраних пословних банака у корист нивоа републике                                                            </t>
  </si>
  <si>
    <t xml:space="preserve">Примања од задуживања од иностраних пословних банака у корист нивоа територијалних аутономија                                                           </t>
  </si>
  <si>
    <t xml:space="preserve">Примања од задуживања од иностраних пословних банака у корист нивоа ап војводина                                                           </t>
  </si>
  <si>
    <t xml:space="preserve">Примања од задуживања од иностраних пословних банака у корист нивоа ап косово и метохија                                                         </t>
  </si>
  <si>
    <t xml:space="preserve">Примања од задуживања од иностраних пословних банака у корист нивоа градова                                                            </t>
  </si>
  <si>
    <t xml:space="preserve">Примања од задуживања од иностраних пословних банака у корист нивоа општина                                                            </t>
  </si>
  <si>
    <t xml:space="preserve">Примања од задуживања од иностраних пословних банака у корист организација обавезног социјалног осигурања                                                          </t>
  </si>
  <si>
    <t xml:space="preserve">Примања од задуживања од иностраних пословних банака у корист републичког фонда за здравствено осигурање                                                         </t>
  </si>
  <si>
    <t xml:space="preserve">Примања од задуживања од иностраних пословних банака у корист републичког фонда за пио                                                          </t>
  </si>
  <si>
    <t xml:space="preserve">Примања од задуживања од иностраних пословних банака у корист националне службе за запошљавање                                                          </t>
  </si>
  <si>
    <t xml:space="preserve">Примања од задуживања од осталих иностраних поверилаца                                                                </t>
  </si>
  <si>
    <t xml:space="preserve">Примања од задуживања од осталих иностраних поверилаца у корист нивоа републике                                                            </t>
  </si>
  <si>
    <t xml:space="preserve">Примања од задуживања од осталих иностраних поверилаца у корист нивоа територијалних аутономија                                                           </t>
  </si>
  <si>
    <t xml:space="preserve">Примања од задуживања од осталих иностраних поверилаца у корист нивоа ап војводина                                                           </t>
  </si>
  <si>
    <t xml:space="preserve">Примања од задуживања од осталих иностраних поверилаца у корист нивоа ап косово и метохија                                                         </t>
  </si>
  <si>
    <t xml:space="preserve">Примања од задуживања од осталих иностраних поверилаца у корист нивоа градова                                                            </t>
  </si>
  <si>
    <t xml:space="preserve">Примања од задуживања од осталих иностраних поверилаца у корист нивоа општина                                                            </t>
  </si>
  <si>
    <t xml:space="preserve">Примања од задуживања од осталих иностраних поверилаца у корист организација обавезног социјалног осигурања                                                          </t>
  </si>
  <si>
    <t xml:space="preserve">Примања од задуживања од осталих иностраних поверилаца у корист републичког фонда за здравствено осигурање                                                         </t>
  </si>
  <si>
    <t xml:space="preserve">Примања од задуживања од осталих иностраних поверилаца у корист републичког фонда за пио                                                          </t>
  </si>
  <si>
    <t xml:space="preserve">Примања од задуживања од осталих иностраних поверилаца у корист националне службе за запошљавање                                                          </t>
  </si>
  <si>
    <t xml:space="preserve">Примања од иностраних финансијских деривата                                                                  </t>
  </si>
  <si>
    <t xml:space="preserve">Примања од иностраних финансијских деривата у корист нивоа републике                                                              </t>
  </si>
  <si>
    <t xml:space="preserve">Примања од иностраних финансијских деривата у корист нивоа територијалних аутономија                                                             </t>
  </si>
  <si>
    <t xml:space="preserve">Примања од иностраних финансијских деривата у корист нивоа градова                                                              </t>
  </si>
  <si>
    <t xml:space="preserve">Примања од иностраних финансијских деривата у корист нивоа општина                                                              </t>
  </si>
  <si>
    <t xml:space="preserve">Примања од иностраних финансијских деривата у корист организација обавезног социјалног осигурања                                                            </t>
  </si>
  <si>
    <t xml:space="preserve">Примања од иностраних финансијских деривата у корист републичког фонда за здравствено осигурање                                                           </t>
  </si>
  <si>
    <t xml:space="preserve">Примања од иностраних финансијских деривата у корист републичког фонда за пио                                                            </t>
  </si>
  <si>
    <t xml:space="preserve">Примања од иностраних финансијских деривата у корист националне службе за запошљавање                                                            </t>
  </si>
  <si>
    <t xml:space="preserve">Примања од исправке спољног дуга у корист нивоа републике                                                              </t>
  </si>
  <si>
    <t xml:space="preserve">Примања од исправке спољног дуга у корист нивоа територијалних аутономија                                                             </t>
  </si>
  <si>
    <t xml:space="preserve">Примања од исправке спољног дуга у корист нивоа ап војводина                                                             </t>
  </si>
  <si>
    <t xml:space="preserve">Примања од исправке спољног дуга у корист нивоа ап косово и метохија                                                           </t>
  </si>
  <si>
    <t xml:space="preserve">Примања од исправке спољног дуга у корист нивоа градова                                                              </t>
  </si>
  <si>
    <t xml:space="preserve">Примања од исправке спољног дуга у корист нивоа општина                                                              </t>
  </si>
  <si>
    <t xml:space="preserve">Примања од исправке спољног дуга у корист организација обавезног социјалног осигурања                                                            </t>
  </si>
  <si>
    <t xml:space="preserve">Примања од исправке спољног дуга у корист републичког фонда за здравствено осигурање                                                           </t>
  </si>
  <si>
    <t xml:space="preserve">Примања од исправке спољног дуга у корист републичког фонда за пио                                                            </t>
  </si>
  <si>
    <t xml:space="preserve">Примања од исправке спољног дуга у корист националне службе за запошљавање                                                            </t>
  </si>
  <si>
    <t>920000</t>
  </si>
  <si>
    <t xml:space="preserve">Примања од продаје домаће финансијске имовине                                                                 </t>
  </si>
  <si>
    <t xml:space="preserve">Примања од продаје домаћих хартија од вредности, изузев акција                                                              </t>
  </si>
  <si>
    <t xml:space="preserve">Примања од продаје домаћих хартија од вредности, изузев акција, у корист нивоа републике                                                          </t>
  </si>
  <si>
    <t xml:space="preserve">Примања од продаје домаћих хартија од вредности, изузев акција, у корист нивоа територијалних аутономија                                                         </t>
  </si>
  <si>
    <t xml:space="preserve">Примања од продаје домаћих хартија од вредности, изузев акција, у корист нивоа ап војводина                                                         </t>
  </si>
  <si>
    <t xml:space="preserve">Примања од продаје домаћих хартија од вредности, изузев акција, у корист нивоа ап косово и метохија                                                       </t>
  </si>
  <si>
    <t xml:space="preserve">Примања од продаје домаћих хартија од вредности, изузев акција, у корист нивоа градова                                                          </t>
  </si>
  <si>
    <t xml:space="preserve">Примања од продаје домаћих хартија од вредности, изузев акција, у корист нивоа општина                                                          </t>
  </si>
  <si>
    <t xml:space="preserve">Примања од продаје домаћих хартија од вредности, изузев акција, у корист организација обавезног социјалног осигурања                                                        </t>
  </si>
  <si>
    <t xml:space="preserve">Примања од продаје домаћих хартија од вредности, изузев акција, у корист републичког фонда за здравствено осигурање                                                       </t>
  </si>
  <si>
    <t xml:space="preserve">Примања од продаје домаћих хартија од вредности, изузев акција, у корист републичког фонда за пио                                                        </t>
  </si>
  <si>
    <t xml:space="preserve">Примања од продаје домаћих хартија од вредности, изузев акција, у корист националне службе за запошљавање                                                        </t>
  </si>
  <si>
    <t xml:space="preserve">Примања од отплате кредита датих осталим нивоима власти у корист нивоа републике                                                           </t>
  </si>
  <si>
    <t xml:space="preserve">Примања од отплате кредита датих осталим нивоима власти у корист нивоа територијалних аутономија                                                          </t>
  </si>
  <si>
    <t xml:space="preserve">Примања од отплате кредита датих осталим нивоима власти у корист нивоа ап војводина                                                          </t>
  </si>
  <si>
    <t xml:space="preserve">Примања од отплате кредита датих осталим нивоима власти у корист нивоа ап косово и метохија                                                        </t>
  </si>
  <si>
    <t xml:space="preserve">Примања од отплате кредита датих осталим нивоима власти у корист нивоа градова                                                           </t>
  </si>
  <si>
    <t xml:space="preserve">Примања од отплате кредита датих осталим нивоима власти у корист нивоа општина                                                           </t>
  </si>
  <si>
    <t xml:space="preserve">Примања од отплате кредита датих осталим нивоима власти у корист организација обавезног социјалног осигурања                                                         </t>
  </si>
  <si>
    <t xml:space="preserve">Примања од отплате кредита датих осталим нивоима власти у корист републичког фонда за здравствено осигурање                                                        </t>
  </si>
  <si>
    <t xml:space="preserve">Примања од отплате кредита датих осталим нивоима власти у корист републичког фонда за пио                                                         </t>
  </si>
  <si>
    <t xml:space="preserve">Примања од отплате кредита датих осталим нивоима власти у корист националне службе за запошљавање                                                         </t>
  </si>
  <si>
    <t xml:space="preserve">Примања од отплате кредита датих домаћим јавним финансијским институцијама                                                              </t>
  </si>
  <si>
    <t xml:space="preserve">Примања од отплате кредита датих домаћим јавним финансијским институцијама у корист нивоа републике                                                          </t>
  </si>
  <si>
    <t xml:space="preserve">Примања од отплате кредита датих домаћим јавним финансијским институцијама у корист нивоа територијалних аутономија                                                         </t>
  </si>
  <si>
    <t xml:space="preserve">Примања од отплате кредита датих домаћим јавним финансијским институцијама у корист нивоа градова                                                          </t>
  </si>
  <si>
    <t xml:space="preserve">Примања од отплате кредита датих домаћим јавним финансијским институцијама у корист нивоа општина                                                          </t>
  </si>
  <si>
    <t xml:space="preserve">Примања од отплате кредита датих домаћим јавним финансијским институцијама у корист организација обавезног социјалног осигурања                                                        </t>
  </si>
  <si>
    <t xml:space="preserve">Примања од отплате кредита датих домаћим јавним финансијским институцијама у корист републичког фонда за здравствено осигурање                                                       </t>
  </si>
  <si>
    <t xml:space="preserve">Примања од отплате кредита датих домаћим јавним финансијским институцијама у корист републичког фонда за пио                                                        </t>
  </si>
  <si>
    <t xml:space="preserve">Примања од отплате кредита датих домаћим јавним финансијским институцијама у корист националне службе за запошљавање                                                        </t>
  </si>
  <si>
    <t xml:space="preserve">Примања од отплате кредита датих домаћим пословним банкама                                                               </t>
  </si>
  <si>
    <t xml:space="preserve">Примања од отплате кредита датих домаћим пословним банкама у корист нивоа републике                                                           </t>
  </si>
  <si>
    <t xml:space="preserve">Примања од отплате кредита датих домаћим пословним банкама у корист нивоа територијалних аутономија                                                          </t>
  </si>
  <si>
    <t xml:space="preserve">Примања од отплате кредита датих домаћим пословним банкама у корист нивоа градова                                                           </t>
  </si>
  <si>
    <t xml:space="preserve">Примања од отплате кредита датих домаћим пословним банкама у корист нивоа општина                                                           </t>
  </si>
  <si>
    <t xml:space="preserve">Примања од отплате кредита датих домаћим пословним банкама у корист организација обавезног социјалног осигурања                                                         </t>
  </si>
  <si>
    <t xml:space="preserve">Примања од отплате кредита датих домаћим пословним банкама у корист републичког фонда за здравствено осигурање                                                        </t>
  </si>
  <si>
    <t xml:space="preserve">Примања од отплате кредита датих домаћим пословним банкама у корист републичког фонда за пио                                                         </t>
  </si>
  <si>
    <t xml:space="preserve">Примања од отплате кредита датих домаћим пословним банкама у корист националне службе за запошљавање                                                         </t>
  </si>
  <si>
    <t xml:space="preserve">Примања од отплате кредита датих домаћим јавним нефинансијским институцијама                                                              </t>
  </si>
  <si>
    <t xml:space="preserve">Примања од отплате кредита датих домаћим јавним нефинансијским институцијама у корист нивоа републике                                                          </t>
  </si>
  <si>
    <t xml:space="preserve">Примања од отплате кредита датих домаћим јавним нефинансијским институцијама у корист нивоа територијалних аутономија                                                         </t>
  </si>
  <si>
    <t xml:space="preserve">Примања од отплате кредита датих домаћим јавним нефинансијским институцијама у корист нивоа ап војводина                                                         </t>
  </si>
  <si>
    <t xml:space="preserve">Примања од отплате кредита датих домаћим јавним нефинансијским институцијама у корист нивоа ап косово и метохија                                                       </t>
  </si>
  <si>
    <t xml:space="preserve">Примања од отплате кредита датих домаћим јавним нефинансијским институцијама у корист нивоа градова                                                          </t>
  </si>
  <si>
    <t xml:space="preserve">Примања од отплате кредита датих домаћим јавним нефинансијским институцијама у корист нивоа општина                                                          </t>
  </si>
  <si>
    <t xml:space="preserve">Примања од отплате кредита датих домаћим јавним нефинансијским институцијама у корист организација обавезног социјалног осигурања                                                        </t>
  </si>
  <si>
    <t xml:space="preserve">Примања од отплате кредита датих домаћим јавним нефинансијским институцијама у корист републичког фонда за здравствено осигурање                                                       </t>
  </si>
  <si>
    <t xml:space="preserve">Примања од отплате кредита датих домаћим јавним нефинансијским институцијама у корист републичког фонда за пио                                                        </t>
  </si>
  <si>
    <t xml:space="preserve">Примања од отплате кредита датих домаћим јавним нефинансијским институцијама у корист националне службе за запошљавање                                                        </t>
  </si>
  <si>
    <t xml:space="preserve">Примања од отплате кредита датих физичким лицима и домаћинствима у земљи                                                            </t>
  </si>
  <si>
    <t xml:space="preserve">Примања од отплате кредита датих домаћинствима у земљи у корист нивоа републике                                                           </t>
  </si>
  <si>
    <t xml:space="preserve">Примања од отплате кредита датих домаћинствима у земљи у корист нивоа територијалних аутономија                                                          </t>
  </si>
  <si>
    <t xml:space="preserve">Примања од отплате кредита датих домаћинствима у земљи у корист нивоа ап војводина                                                          </t>
  </si>
  <si>
    <t xml:space="preserve">Примања од отплате кредита датих домаћинствима у земљи у корист нивоа ап косово и метохија                                                        </t>
  </si>
  <si>
    <t xml:space="preserve">Примања од отплате кредита датих домаћинствима у земљи у корист нивоа градова                                                           </t>
  </si>
  <si>
    <t xml:space="preserve">Примања од отплате кредита датих домаћинствима у земљи у корист нивоа општина                                                           </t>
  </si>
  <si>
    <t xml:space="preserve">Примања од отплате кредита датих домаћинствима у земљи у корист организација обавезног социјалног осигурања                                                         </t>
  </si>
  <si>
    <t xml:space="preserve">Примања од отплате кредита датих домаћинствима у земљи у корист републичког фонда за здравствено осигурање                                                        </t>
  </si>
  <si>
    <t xml:space="preserve">Примања од отплате кредита датих домаћинствима у земљи у корист републичког фонда за пио                                                         </t>
  </si>
  <si>
    <t xml:space="preserve">Примања од отплате кредита датих домаћинствима у земљи у корист националне службе за запошљавање                                                         </t>
  </si>
  <si>
    <t xml:space="preserve">Примања од отплате кредита датих удружењима грађана у земљи                                                              </t>
  </si>
  <si>
    <t xml:space="preserve">Примања од отплате кредита датих удружењима грађана у земљи у корист нивоа републике                                                          </t>
  </si>
  <si>
    <t xml:space="preserve">Примања од отплате кредита датих удружењима грађана у земљи у корист нивоа територијалних аутономија                                                         </t>
  </si>
  <si>
    <t xml:space="preserve">Примања од отплате кредита датих удружењима грађана у земљи у корист нивоа ап војводина                                                         </t>
  </si>
  <si>
    <t xml:space="preserve">Примања од отплате кредита датих удружењима грађана у земљи у корист нивоа ап косово и метохија                                                       </t>
  </si>
  <si>
    <t xml:space="preserve">Примања од отплате кредита датих удружењима грађана у земљи у корист нивоа градова                                                          </t>
  </si>
  <si>
    <t xml:space="preserve">Примања од отплате кредита датих удружењима грађана у земљи у корист нивоа општина                                                          </t>
  </si>
  <si>
    <t xml:space="preserve">Примања од отплате кредита датих удружењима грађана у земљи у корист организација обавезног социјалног осигурања                                                        </t>
  </si>
  <si>
    <t xml:space="preserve">Примања од отплате кредита датих удружењима грађана у земљи у корист републичког фонда за здравствено осигурање                                                       </t>
  </si>
  <si>
    <t xml:space="preserve">Примања од отплате кредита датих удружењима грађана у земљи у корист републичког фонда за пио                                                        </t>
  </si>
  <si>
    <t xml:space="preserve">Примања од отплате кредита датих удружењима грађана у земљи у корист националне службе за запошљавање                                                        </t>
  </si>
  <si>
    <t xml:space="preserve">Примања од отплате кредита датих нефинансијским приватним предузећима у земљи                                                             </t>
  </si>
  <si>
    <t xml:space="preserve">Примања од отплате кредита датих нефинансијским приватним предузећима у земљи у корист нивоа републике                                                         </t>
  </si>
  <si>
    <t xml:space="preserve">Примања од отплате кредита датих нефинансијским приватним предузећима у земљи у корист нивоа територијалних аутономија                                                        </t>
  </si>
  <si>
    <t xml:space="preserve">Примања од отплате кредита датих нефинансијским приватним предузећима у земљи у корист нивоа градова                                                         </t>
  </si>
  <si>
    <t xml:space="preserve">Примања од отплате кредита датих нефинансијским приватним предузећима у земљи у корист нивоа општина                                                         </t>
  </si>
  <si>
    <t xml:space="preserve">Примања од отплате кредита датих нефинансијским приватним предузећима у земљи у корист организација обавезног социјалног осигурања                                                       </t>
  </si>
  <si>
    <t xml:space="preserve">Примања од отплате кредита датих нефинансијским приватним предузећима у земљи у корист републичког фонда за здравствено осигурање                                                      </t>
  </si>
  <si>
    <t xml:space="preserve">Примања од отплате кредита датих нефинансијским приватним предузећима у земљи у корист републичког фонда за пио                                                       </t>
  </si>
  <si>
    <t xml:space="preserve">Примања од отплате кредита датих нефинансијским приватним предузећима у земљи у корист националне службе за запошљавање                                                       </t>
  </si>
  <si>
    <t xml:space="preserve">Примања од продаје домаћих акција и осталог капитала                                                               </t>
  </si>
  <si>
    <t xml:space="preserve">Примања од продаје домаћих акција и осталог капитала у корист нивоа републике                                                           </t>
  </si>
  <si>
    <t xml:space="preserve">Примања од приватизације од продаје акција                                                                 </t>
  </si>
  <si>
    <t xml:space="preserve">Примања од аукцијске приватизације                                                                   </t>
  </si>
  <si>
    <t xml:space="preserve">Примања од продаје капитала у поступку приватизације у корист буџетског фонда за реституцију                                                          </t>
  </si>
  <si>
    <t xml:space="preserve">Примања од продаје домаћих акција и осталог капитала у корист нивоа територијалних аутономија                                                          </t>
  </si>
  <si>
    <t xml:space="preserve">Примања од продаје домаћих акција и осталог капитала у корист нивоа ап војводина                                                          </t>
  </si>
  <si>
    <t xml:space="preserve">Примања од продаје домаћих акција и осталог капитала у корист нивоа ап косово и метохија                                                        </t>
  </si>
  <si>
    <t xml:space="preserve">Примања од продаје домаћих акција и осталог капитала у корист нивоа градова                                                           </t>
  </si>
  <si>
    <t>921941</t>
  </si>
  <si>
    <t xml:space="preserve">Примања од продаје домаћих акција и осталог капитала у корист нивоа општина                                                           </t>
  </si>
  <si>
    <t xml:space="preserve">Примања од продаје домаћих акција и осталог капитала у корист организација обавезног социјалног осигурања                                                         </t>
  </si>
  <si>
    <t xml:space="preserve">Примања од продаје домаћих акција и осталог капитала у корист републичког фонда за здравствено осигурање                                                        </t>
  </si>
  <si>
    <t xml:space="preserve">Примања од продаје домаћих акција и осталог капитала у корист републичког фонда за пио                                                         </t>
  </si>
  <si>
    <t xml:space="preserve">Примања од продаје домаћих акција и осталог капитала у корист националне службе за запошљавање                                                         </t>
  </si>
  <si>
    <t xml:space="preserve">Примања од продаје стране финансијске имовине                                                                 </t>
  </si>
  <si>
    <t xml:space="preserve">Примања од продаје страних хартија од вредности, изузев акција                                                              </t>
  </si>
  <si>
    <t xml:space="preserve">Примања од продаје страних хартија од вредности, изузев акција, у корист нивоа републике                                                          </t>
  </si>
  <si>
    <t xml:space="preserve">Примања од продаје страних хартија од вредности, изузев акција, у корист нивоа територијалних аутономија                                                         </t>
  </si>
  <si>
    <t xml:space="preserve">Примања од продаје страних хартија од вредности, изузев акција, у корист нивоа ап војводина                                                         </t>
  </si>
  <si>
    <t xml:space="preserve">Примања од продаје страних хартија од вредности, изузев акција, у корист нивоа ап косово и метохија                                                       </t>
  </si>
  <si>
    <t xml:space="preserve">Примања од продаје страних хартија од вредности, изузев акција, у корист нивоа градова                                                          </t>
  </si>
  <si>
    <t xml:space="preserve">Примања од продаје страних хартија од вредности, изузев акција, у корист нивоа општина                                                          </t>
  </si>
  <si>
    <t xml:space="preserve">Примања од продаје страних хартија од вредности, изузев акција, у корист организација обавезног социјалног осигурања                                                        </t>
  </si>
  <si>
    <t xml:space="preserve">Примања од продаје страних хартија од вредности, изузев акција, у корист републичког фонда за здравствено осигурање                                                       </t>
  </si>
  <si>
    <t xml:space="preserve">Примања од продаје страних хартија од вредности, изузев акција, у корист републичког фонда за пио                                                        </t>
  </si>
  <si>
    <t xml:space="preserve">Примања од продаје страних хартија од вредности, изузев акција, у корист националне службе за запошљавање                                                        </t>
  </si>
  <si>
    <t xml:space="preserve">Примања од отплате кредита датих страним владама                                                                </t>
  </si>
  <si>
    <t xml:space="preserve">Примања од отплате кредита датих страним владама у корист нивоа републике                                                            </t>
  </si>
  <si>
    <t xml:space="preserve">Примања од отплате кредита датих страним владама у корист нивоа територијалних аутономија                                                           </t>
  </si>
  <si>
    <t xml:space="preserve">Примања од отплате кредита датих страним владама у корист нивоа градова                                                            </t>
  </si>
  <si>
    <t xml:space="preserve">Примања од отплате кредита датих страним владама у корист нивоа општина                                                            </t>
  </si>
  <si>
    <t xml:space="preserve">Примања од отплате кредита датих страним владама у корист организација обавезног социјалног осигурања                                                          </t>
  </si>
  <si>
    <t xml:space="preserve">Примања од отплате кредита датих страним владама у корист републичког фонда за здравствено осигурање                                                         </t>
  </si>
  <si>
    <t xml:space="preserve">Примања од отплате кредита датих страним владама у корист републичког фонда за пио                                                          </t>
  </si>
  <si>
    <t xml:space="preserve">Примања од отплате кредита датих страним владама у корист националне службе за запошљавање                                                          </t>
  </si>
  <si>
    <t xml:space="preserve">Примања од отплате кредита датих међународним организацијама                                                                </t>
  </si>
  <si>
    <t xml:space="preserve">Примања од отплате кредита датих међународним организацијама у корист нивоа републике                                                            </t>
  </si>
  <si>
    <t xml:space="preserve">Примања од отплате кредита датих међународним организацијама у корист нивоа територијалних аутономија                                                           </t>
  </si>
  <si>
    <t xml:space="preserve">Примања од отплате кредита датих међународним организацијама у корист нивоа градова                                                            </t>
  </si>
  <si>
    <t xml:space="preserve">Примања од отплате кредита датих међународним организацијама у корист нивоа општина                                                            </t>
  </si>
  <si>
    <t xml:space="preserve">Примања од отплате кредита датих међународним организацијама у корист организација обавезног социјалног осигурања                                                          </t>
  </si>
  <si>
    <t xml:space="preserve">Примања од отплате кредита датих међународним организацијама у корист републичког фонда за здравствено осигурање                                                         </t>
  </si>
  <si>
    <t xml:space="preserve">Примања од отплате кредита датих међународним организацијама у корист републичког фонда за пио                                                          </t>
  </si>
  <si>
    <t xml:space="preserve">Примања од отплате кредита датих међународним организацијама у корист националне службе за запошљавање                                                          </t>
  </si>
  <si>
    <t xml:space="preserve">Примања од отплате кредита датих страним пословним банкама                                                               </t>
  </si>
  <si>
    <t xml:space="preserve">Примања од отплате кредита датих страним пословним банкама у корист нивоа републике                                                           </t>
  </si>
  <si>
    <t xml:space="preserve">Примања од отплате кредита датих страним пословним банкама у корист нивоа територијалних аутономија                                                          </t>
  </si>
  <si>
    <t xml:space="preserve">Примања од отплате кредита датих страним пословним банкама у корист нивоа градова                                                           </t>
  </si>
  <si>
    <t xml:space="preserve">Примања од отплате кредита датих страним пословним банкама у корист нивоа општина                                                           </t>
  </si>
  <si>
    <t xml:space="preserve">Примања од отплате кредита датих страним пословним банкама у корист организација обавезног социјалног осигурања                                                         </t>
  </si>
  <si>
    <t xml:space="preserve">Примања од отплате кредита датих страним пословним банкама у корист републичког фонда за здравствено осигурање                                                        </t>
  </si>
  <si>
    <t xml:space="preserve">Примања од отплате кредита датих страним пословним банкама у корист републичког фонда за пио                                                         </t>
  </si>
  <si>
    <t xml:space="preserve">Примања од отплате кредита датих страним пословним банкама у корист националне службе за запошљавање                                                         </t>
  </si>
  <si>
    <t xml:space="preserve">Примања од отплате кредита датих страним нефинансијским институцијама                                                               </t>
  </si>
  <si>
    <t xml:space="preserve">Примања од отплате кредита датих страним нефинансијским институцијама у корист нивоа републике                                                           </t>
  </si>
  <si>
    <t xml:space="preserve">Примања од отплате кредита датих страним нефинансијским институцијама у корист нивоа територијалних аутономија                                                          </t>
  </si>
  <si>
    <t xml:space="preserve">Примања од отплате кредита датих страним нефинансијским институцијама у корист нивоа градова                                                           </t>
  </si>
  <si>
    <t xml:space="preserve">Примања од отплате кредита датих страним нефинансијским институцијама у корист нивоа општина                                                           </t>
  </si>
  <si>
    <t xml:space="preserve">Примања од отплате кредита датих страним нефинансијским институцијама у корист организација обавезног социјалног осигурања                                                         </t>
  </si>
  <si>
    <t xml:space="preserve">Примања од отплате кредита датих страним нефинансијским институцијама у корист републичког фонда за здравствено осигурање                                                        </t>
  </si>
  <si>
    <t xml:space="preserve">Примања од отплате кредита датих страним нефинансијским институцијама у корист републичког фонда за пио                                                         </t>
  </si>
  <si>
    <t xml:space="preserve">Примања од отплате кредита датих страним нефинансијским институцијама у корист националне службе за запошљавање                                                         </t>
  </si>
  <si>
    <t xml:space="preserve">Примања од отплате кредита датих страним невладиним организацијама                                                               </t>
  </si>
  <si>
    <t xml:space="preserve">Примања од отплате кредита датих страним невладиним организацијама у корист нивоа републике                                                           </t>
  </si>
  <si>
    <t xml:space="preserve">Примања од отплате кредита датих страним невладиним организацијама у корист нивоа територијалних аутономија                                                          </t>
  </si>
  <si>
    <t xml:space="preserve">Примања од отплате кредита датих страним невладиним организацијама у корист нивоа градова                                                           </t>
  </si>
  <si>
    <t xml:space="preserve">Примања од отплате кредита датих страним невладиним организацијама у корист нивоа општина                                                           </t>
  </si>
  <si>
    <t xml:space="preserve">Примања од отплате кредита датих страним невладиним организацијама у корист организација обавезног социјалног осигурања                                                         </t>
  </si>
  <si>
    <t xml:space="preserve">Примања од отплате кредита датих страним невладиним организацијама у корист републичког фонда за здравствено осигурање                                                        </t>
  </si>
  <si>
    <t xml:space="preserve">Примања од отплате кредита датих страним невладиним организацијама у корист републичког фонда за пио                                                         </t>
  </si>
  <si>
    <t xml:space="preserve">Примања од отплате кредита датих страним невладиним организацијама у корист националне службе за запошљавање                                                         </t>
  </si>
  <si>
    <t xml:space="preserve">Примања од продаје страних акција и осталог капитала                                                               </t>
  </si>
  <si>
    <t xml:space="preserve">Примања од продаје страних акција и осталог капитала у корист нивоа републике                                                           </t>
  </si>
  <si>
    <t xml:space="preserve">Примања од продаје страних акција и осталог капитала у корист нивоа територијалних аутономија                                                          </t>
  </si>
  <si>
    <t xml:space="preserve">Примања од продаје страних акција и осталог капитала у корист нивоа ап војводина                                                          </t>
  </si>
  <si>
    <t xml:space="preserve">Примања од продаје страних акција и осталог капитала у корист нивоа ап косово и метохија                                                        </t>
  </si>
  <si>
    <t xml:space="preserve">Примања од продаје страних акција и осталог капитала у корист нивоа градова                                                           </t>
  </si>
  <si>
    <t xml:space="preserve">Примања од продаје страних акција и осталог капитала у корист нивоа општина                                                           </t>
  </si>
  <si>
    <t xml:space="preserve">Примања од продаје страних акција и осталог капитала у корист организација обавезног социјалног осигурања                                                         </t>
  </si>
  <si>
    <t xml:space="preserve">Примања од продаје страних акција и осталог капитала у корист републичког фонда за здравствено осигурање                                                        </t>
  </si>
  <si>
    <t xml:space="preserve">Примања од продаје страних акција и осталог капитала у корист републичког фонда за пио                                                         </t>
  </si>
  <si>
    <t xml:space="preserve">Примања од продаје страних акција и осталог капитала у корист националне службе за запошљавање                                                         </t>
  </si>
  <si>
    <t xml:space="preserve">Контра књижење – примања од задуживања и продаје финансијске имовине                                                             </t>
  </si>
  <si>
    <t>КОНТО</t>
  </si>
  <si>
    <t>ПРОГРАМСКА КЛАСИФИКАЦИЈА</t>
  </si>
  <si>
    <t>Програм_1__Локални_развој_и_просторно_планирање</t>
  </si>
  <si>
    <t>1101</t>
  </si>
  <si>
    <t>Планско одређивање праваца развоја локалне средине и ефикасно администрирање захтева за издавање грађевинских дозвола</t>
  </si>
  <si>
    <t>Програм_2__Комунална_делатност</t>
  </si>
  <si>
    <t>0601</t>
  </si>
  <si>
    <t>Обезбеђивање рационалног обављања комуналних делатности са што већом обухватношћу територије и становништва ЈЛС и побољшање квалитета живота становништва успостављањем ефикасног система комуналних услуга</t>
  </si>
  <si>
    <t>Програм_3__Локални_економски_развој</t>
  </si>
  <si>
    <t>1501</t>
  </si>
  <si>
    <t>Обезбеђивање стимулативног оквира за пословање и адекватног привредног амбијента за привлачење инвестиција</t>
  </si>
  <si>
    <t>Програм_4__Развој_туризма</t>
  </si>
  <si>
    <t>1502</t>
  </si>
  <si>
    <t>Унапређење туристичке понуде у ЈЛС</t>
  </si>
  <si>
    <t>Програм_5__Развој_пољопривреде</t>
  </si>
  <si>
    <t>0101</t>
  </si>
  <si>
    <t>Унапређење пољопривредне производње у ЈЛС</t>
  </si>
  <si>
    <t>Програм_6__Заштита_животне_средине</t>
  </si>
  <si>
    <t>0401</t>
  </si>
  <si>
    <t>Обезбеђивање услова за одрживи развој локалне заједнице одговорним односом према животној средини</t>
  </si>
  <si>
    <t>Програм_7__Путна_инфраструктура</t>
  </si>
  <si>
    <t>0701</t>
  </si>
  <si>
    <t>Унапређење путне инфраструктуре у ЈЛС</t>
  </si>
  <si>
    <t>Програм_8__Предшколско_васпитање</t>
  </si>
  <si>
    <t>2001</t>
  </si>
  <si>
    <t xml:space="preserve">Омогућавање обухвата предшколске деце у вртићима </t>
  </si>
  <si>
    <t>Програм_9__Основно_образовање</t>
  </si>
  <si>
    <t>2002</t>
  </si>
  <si>
    <t>Доступност основног образовања свој деци са територије ЈЛС у складу са прописаним стандардима</t>
  </si>
  <si>
    <t>Програм_10_Средње_образовање</t>
  </si>
  <si>
    <t>2003</t>
  </si>
  <si>
    <t>Доступност средњег образовања у складу са прописаним стандардима и потребама за образовним профилима који одговарају циљевима развоја ЈЛС и привреде</t>
  </si>
  <si>
    <t>Програм_11__Социјална__и_дечја_заштита</t>
  </si>
  <si>
    <t>0901</t>
  </si>
  <si>
    <t>Обезбеђивање свеобухватне социјалне заштите и помоћи најугроженијем становништву ЈЛС</t>
  </si>
  <si>
    <t>Програм_12__Примарна_здравствена_заштита</t>
  </si>
  <si>
    <t>1801</t>
  </si>
  <si>
    <t>Доступност примарне здравствене заштите у складу са националним стандардима</t>
  </si>
  <si>
    <t>Програм_13__Развој_културе</t>
  </si>
  <si>
    <t>1201</t>
  </si>
  <si>
    <t>Очување, унапређење и представљање локалног културног наслеђа, добара и баштине</t>
  </si>
  <si>
    <t>Програм_14__Развој_спорта_и_омладине</t>
  </si>
  <si>
    <t>1301</t>
  </si>
  <si>
    <t xml:space="preserve">Обезбеђивање приступа спорту и подршка пројектима везаним развој омладине и спорта </t>
  </si>
  <si>
    <t>Програм_15__Локална_самоуправа</t>
  </si>
  <si>
    <t>0602</t>
  </si>
  <si>
    <t>Обезбеђивање услова за остварење права грађана на лакши и бржи начин у ЈЛС</t>
  </si>
  <si>
    <t>Програм:</t>
  </si>
  <si>
    <t>Шифра</t>
  </si>
  <si>
    <t>Сврха</t>
  </si>
  <si>
    <t>1101-0001   Стратешко, просторно и урбанистичко планирање</t>
  </si>
  <si>
    <t>1101-0002   Уређивање грађевинског земљишта</t>
  </si>
  <si>
    <t>0601-0001   Водоснабдевање</t>
  </si>
  <si>
    <t>0601-0002   Управљање отпадним водама  </t>
  </si>
  <si>
    <t>0601-0003   Одржавање депонија</t>
  </si>
  <si>
    <t>0601-0004   Даљинско грејање</t>
  </si>
  <si>
    <t>0601-0005   Јавни превоз</t>
  </si>
  <si>
    <t>0601-0006   Паркинг сервис</t>
  </si>
  <si>
    <t>0601-0007   Уређивање, одржавање и коришћење пијаца</t>
  </si>
  <si>
    <t>0601-0008   Јавна хигијена</t>
  </si>
  <si>
    <t>0601-0009   Уређење и одржавање зеленила</t>
  </si>
  <si>
    <t>0601-0010   Јавна расвета</t>
  </si>
  <si>
    <t>0601-0011   Одржавање гробаља и погребне услуге</t>
  </si>
  <si>
    <t>0601-0012   Одржавање стамбених зграда</t>
  </si>
  <si>
    <t>0601-0013   Ауто-такси превоз путника</t>
  </si>
  <si>
    <t>0601-0014   Остале комуналне услуге</t>
  </si>
  <si>
    <t>1501-0001   Подршка постојећој привреди</t>
  </si>
  <si>
    <t>1501-0002   Унапређење привредног амбијента</t>
  </si>
  <si>
    <t>1501-0003   Подстицаји за развој предузетништва</t>
  </si>
  <si>
    <t>1501-0004   Одржавање економске инфраструктуре</t>
  </si>
  <si>
    <t>1501-0005   Финансијска подршка локалном економском развоју</t>
  </si>
  <si>
    <t>1502-0001   Управљање развојем туризма</t>
  </si>
  <si>
    <t>1502-0002   Туристичка промоција</t>
  </si>
  <si>
    <t>0101-0001   Унапређење  услова за пољопривредну делатност</t>
  </si>
  <si>
    <t>0101-0002   Подстицаји пољопривредној производњи</t>
  </si>
  <si>
    <t>0401-0001   Управљање заштитом животне средине и природних вредности</t>
  </si>
  <si>
    <t>0401-0002   Управљање комуналним отпадом</t>
  </si>
  <si>
    <t>0401-0003   Праћење квалитета елемената животне средине</t>
  </si>
  <si>
    <t>0401-0004   Заштита природних вредности и унапређење подручја са природним својствима</t>
  </si>
  <si>
    <t>0701-0001   Управљање саобраћајном инфраструктуром</t>
  </si>
  <si>
    <t>0701-0002   Одржавање путева</t>
  </si>
  <si>
    <t xml:space="preserve">2001-0001   Функционисање предшколских установа </t>
  </si>
  <si>
    <t>2002-0001   Функционисање основних школа</t>
  </si>
  <si>
    <t>2003-0001   Функционисање средњих школа</t>
  </si>
  <si>
    <t>0901-0001   Социјалне помоћи</t>
  </si>
  <si>
    <t xml:space="preserve">0901-0002   Прихватилишта, прихватне станице и друге врсте смештаја </t>
  </si>
  <si>
    <t>0901-0003   Подршка социо-хуманитарним организацијама</t>
  </si>
  <si>
    <t>0901-0004   Саветодавно-терапијске и социјално-едукативне услуге</t>
  </si>
  <si>
    <t>0901-0005   Активности Црвеног крста</t>
  </si>
  <si>
    <t>0901-0006   Дечја заштита</t>
  </si>
  <si>
    <t>1801-0001   Функционисање установа примарне здравствене заштите</t>
  </si>
  <si>
    <t xml:space="preserve">1201-0001   Функционисање локалних установа културе </t>
  </si>
  <si>
    <t>1201-0002   Подстицаји културном и уметничком стваралаштву</t>
  </si>
  <si>
    <t>1301-0001   Подршка локалним спортским организацијама, удружењима и савезима</t>
  </si>
  <si>
    <t>1301-0002   Подршка предшколском, школском и рекреативном спорту и масовној физичкој култури</t>
  </si>
  <si>
    <t>1301-0003   Одржавање спортске инфраструктуре</t>
  </si>
  <si>
    <t>0602-0001   Функционисање локалне самоуправе и градских општина</t>
  </si>
  <si>
    <t>0602-0002   Месне заједнице</t>
  </si>
  <si>
    <t>0602-0003   Управљање јавним дугом</t>
  </si>
  <si>
    <t>0602-0004   Општинско јавно правобранилаштво</t>
  </si>
  <si>
    <t>0602-0005   Заштитник грађана</t>
  </si>
  <si>
    <t>0602-0006   Информисање</t>
  </si>
  <si>
    <t>0602-0007   Канцеларија за младе</t>
  </si>
  <si>
    <t>0602-0008   Програми националних мањина</t>
  </si>
  <si>
    <t>0602-0009   Правна помоћ</t>
  </si>
  <si>
    <t>0602-0010   Резерве</t>
  </si>
  <si>
    <t>ГРАДСКО ЈАВНО ПРАВОБРАНИЛАШТВО</t>
  </si>
  <si>
    <t>ЗАШТИТНИК ГРАЂАНА</t>
  </si>
  <si>
    <t>Месне заједнице</t>
  </si>
  <si>
    <t>Канцеларија за младе</t>
  </si>
  <si>
    <t>Заштитник грађана</t>
  </si>
  <si>
    <t>Програм 1.  Локални развој и просторно планирање</t>
  </si>
  <si>
    <t>Програм 2.  Комунална делатност</t>
  </si>
  <si>
    <t>Програм 3.  Локални економски развој</t>
  </si>
  <si>
    <t>Програм 4.  Развој туризма</t>
  </si>
  <si>
    <t>Програм 5.  Развој пољопривреде</t>
  </si>
  <si>
    <t>Програм 6.  Заштита животне средине</t>
  </si>
  <si>
    <t>Програм 7.  Путна инфраструктура</t>
  </si>
  <si>
    <t>Програм 8.  Предшколско васпитање</t>
  </si>
  <si>
    <t>Програм 9.  Основно образовање</t>
  </si>
  <si>
    <t>Програм 10. Средње образовање</t>
  </si>
  <si>
    <t>Програм 11.  Социјална  и дечја заштита</t>
  </si>
  <si>
    <t>Програм 12.  Примарна здравствена заштита</t>
  </si>
  <si>
    <t>Програм 13.  Развој културе</t>
  </si>
  <si>
    <t>Програм 14.  Развој спорта и омладине</t>
  </si>
  <si>
    <t>Програм 15.  Локална самоуправа</t>
  </si>
  <si>
    <t>Класа/Категорија/Група</t>
  </si>
  <si>
    <t>Конто</t>
  </si>
  <si>
    <t>ВРСТЕ ПРИХОДА И ПРИМАЊА</t>
  </si>
  <si>
    <t>Структ-ура %</t>
  </si>
  <si>
    <t>Пренета средства из претходне године</t>
  </si>
  <si>
    <t xml:space="preserve">ТЕКУЋИ ПРИХОДИ </t>
  </si>
  <si>
    <t>ПОРЕЗИ</t>
  </si>
  <si>
    <t>ПОРЕЗ НА ДОХОДАК, ДОБИТ И КАПИТАЛНЕ ДОБИТКЕ</t>
  </si>
  <si>
    <t>Порез на зараде</t>
  </si>
  <si>
    <t>Порез на приходе од самосталних делатности који се плаћа према стварно оствареном приходу, по решењу Пореске управе</t>
  </si>
  <si>
    <t>Порез на приходе од самосталних делатности који се плаћа према паушално утврђеном приходу, по решењу Пореске управе</t>
  </si>
  <si>
    <t>Порез на приходе од непокретности</t>
  </si>
  <si>
    <t>Порез на приход од пољопривреде и шумарства, по решењу Пореске управе</t>
  </si>
  <si>
    <t>Порез на земљиште</t>
  </si>
  <si>
    <t>Порез на приходе од непокретности, по решењу Пореске управе</t>
  </si>
  <si>
    <t>Порез на приходе од осигурања лица</t>
  </si>
  <si>
    <t>Самодоприноси</t>
  </si>
  <si>
    <t>Порез на друге приходе</t>
  </si>
  <si>
    <t>ПОРЕЗ НА ИМОВИНУ</t>
  </si>
  <si>
    <t>Порез на имовину (осим на земљиште, акције и уделе) од физичких лица</t>
  </si>
  <si>
    <t>Порез на имовину (осим на земљиште, акције и уделе) од правних лица</t>
  </si>
  <si>
    <t>Порез на наслеђе и поклон по решењу Пореске управе</t>
  </si>
  <si>
    <t>Порез на пренос апсолутних права на непокретности, по решењу Пореске управе</t>
  </si>
  <si>
    <t>Порез на пренос апсолутних права на акцијама и другим хартијама од вредности, по решењу Пореске
управе</t>
  </si>
  <si>
    <t>Порез на акције на име и уделе</t>
  </si>
  <si>
    <t>ПОРЕЗ НА ДОБРА И УСЛУГЕ</t>
  </si>
  <si>
    <t>Средства за противпожарну заштиту</t>
  </si>
  <si>
    <t xml:space="preserve">Комунална такса за коришћење рекламних паноа, укључујући и истицање и исписивање фирме ван пословног простора на објектима и просторима који припадају јединици локалне самоуправе(коловози, тротоари, зелене површине, бандере и сл.)  </t>
  </si>
  <si>
    <t>Комунална такса за држање моторних друмских и прикључних возила, осим пољопривредних возила и машина</t>
  </si>
  <si>
    <t>Накнада за промену намене обрадивог пољопривредног земљишта</t>
  </si>
  <si>
    <t>Накнада од емисије SO2, NO2, прашкастих материја и одложеног отпада</t>
  </si>
  <si>
    <t>Боравишна такса</t>
  </si>
  <si>
    <t>Посебна накнада за заштиту и унапређење животне средине</t>
  </si>
  <si>
    <t>Комунална такса за држање средстава за игру („забавне игре“)</t>
  </si>
  <si>
    <t>ДРУГИ ПОРЕЗИ</t>
  </si>
  <si>
    <t>Комунална такса за истицање фирме на пословном простору</t>
  </si>
  <si>
    <t>ДОНАЦИЈЕ И ТРАНСФЕРИ</t>
  </si>
  <si>
    <t>ДОНАЦИЈЕ ОД МЕЂ. ОРГАНИЗАЦИЈА</t>
  </si>
  <si>
    <t>Текуће донације од међународних организација у корист нивоа градова</t>
  </si>
  <si>
    <t>ТРАНСФЕРИ ОД ДРУГИХ НИВОА ВЛАСТИ</t>
  </si>
  <si>
    <t>Капитални трансфери од других нивоа власти у корист нивоа градова</t>
  </si>
  <si>
    <t>ДРУГИ ПРИХОДИ</t>
  </si>
  <si>
    <t>ПРИХОДИ ОД ИМОВИНЕ</t>
  </si>
  <si>
    <t>Приходи буџета града од камата на средства консолидованог рачуна трезора укључена у депозит банака</t>
  </si>
  <si>
    <t>Комунална такса за коришћење простора на јавним површинама или испред пословног простора у пословне сврхе, осим ради продаје штампе, књига и других публикација, производа старих и уметничких заната и домаће радиности</t>
  </si>
  <si>
    <t>Комунална такса за коришћење простора за паркирање друмских моторних и прикључних возила на
уређеним и обележеним местима</t>
  </si>
  <si>
    <t>Комунална такса за коришћење слободних површина за кампове, постављање шатора или друге облике привременог коришћења</t>
  </si>
  <si>
    <t>Комунална такса за заузеће јавне површине грађевинским материјалом</t>
  </si>
  <si>
    <t>Накнада за воде</t>
  </si>
  <si>
    <t>ПРИХОДИ ОД ПРОДАЈЕ ДОБАРА И УСЛУГА</t>
  </si>
  <si>
    <t>Приходи од давања у закуп, односно на коришћење непокретности у државној својини које користе градови и индиректни корисници њиховог буџета</t>
  </si>
  <si>
    <t>Приходи од закупнине за грађевинско земљиште у корист нивоа градова</t>
  </si>
  <si>
    <t>Трошкови пореског и прекршајног поступка изворних јавних прихода општина и градова</t>
  </si>
  <si>
    <t>НОВЧАНЕ КАЗНЕ И ОДУЗЕТА ИМОВИНСКА КОРИСТ</t>
  </si>
  <si>
    <t>Приходи од новчаних казни за прекршаје, предвиђене прописима о безбедности саобраћаја на путевима</t>
  </si>
  <si>
    <t>Приходи од новчаних казни за прекршаје у корист нивоа градова</t>
  </si>
  <si>
    <t>ДОБРОВОЉНИ ТРАНСФЕРИ ОД ФИЗИЧКИХ И ПРАВНИХ ЛИЦА</t>
  </si>
  <si>
    <t>Текући добровољни трансфери од физичких и правних лица у корист нивоа градова</t>
  </si>
  <si>
    <t>Капитални добровољни трансфери од физичких и правних лица у корист нивоа градова</t>
  </si>
  <si>
    <t>МЕШОВИТИ И НЕОДРЕЂЕНИ ПРИХОДИ</t>
  </si>
  <si>
    <t>МЕМОРАНДУМСКЕ СТАВКЕ ЗА РЕФУНДАЦИЈУ РАСХОДА</t>
  </si>
  <si>
    <t>ПРИХОДИ ИЗ БУЏЕТА</t>
  </si>
  <si>
    <t>ПРИМАЊА ОД ПРОДАЈЕ НЕФИНАНСИЈСКЕ ИМОВИНЕ</t>
  </si>
  <si>
    <t>ПРИМАЊА ОД ПРОДАЈЕ ОСНОВНИХ СРЕДСТАВА</t>
  </si>
  <si>
    <t>Примања од продаје непокретности</t>
  </si>
  <si>
    <t>Примања од продаје покретне имовине</t>
  </si>
  <si>
    <t>ПРИМАЊА ОД ПРОДАЈЕ ПРИРОДНЕ ИМОВИНЕ</t>
  </si>
  <si>
    <t>Примања од продаје земљишта</t>
  </si>
  <si>
    <t>ПРИМАЊА ОД ЗАДУЖИВАЊА И ПРОДАЈЕ ФИНАНСИЈСКЕ ИМОВИНЕ</t>
  </si>
  <si>
    <t xml:space="preserve">ПРИМАЊА ОД ЗАДУЖИВАЊА </t>
  </si>
  <si>
    <t>Примања од задуживања од пословних банака у земљи у корист нивоа градова</t>
  </si>
  <si>
    <t>912</t>
  </si>
  <si>
    <t>Примања од иностраног задуживања</t>
  </si>
  <si>
    <t>ПРИМАЊА ОД ПРОДАЈЕ ФИН. ИМОВИНЕ</t>
  </si>
  <si>
    <t xml:space="preserve">Примања од продаје домаћих акција и осталог капитала у корист нивоа градова </t>
  </si>
  <si>
    <t>7+8+9</t>
  </si>
  <si>
    <t>ТЕКУЋИ ПРИХОДИ И ПРИМАЊА ОД ЗАДУЖИВАЊА И ПРОДАЈЕ ФИН. ИМОВИНЕ</t>
  </si>
  <si>
    <t>3+7+8+9</t>
  </si>
  <si>
    <t>Порез на приходе од самосталних делатности који се плаћа према стварно оствареном приходу самоопорезивањем</t>
  </si>
  <si>
    <t xml:space="preserve">Порез на приходе од давања у закуп покретних ствари - по основу самоопорезивања и по решењу Пореске управе </t>
  </si>
  <si>
    <t xml:space="preserve">Порез на имовину (осим на неизграђено земљиште), обвезника који воде пословне књиге                                  </t>
  </si>
  <si>
    <t xml:space="preserve">Порез на пренос апсолутних права на моторним возилима, пловилима и ваздухопловима, по решењу Пореске управе        </t>
  </si>
  <si>
    <t xml:space="preserve">Порез на пренос апсолутних права у осталим случајевима, по решењу Пореске управе      </t>
  </si>
  <si>
    <t>Остали приходи у корист нивоа градова</t>
  </si>
  <si>
    <t>Закупнина за стан у државној својини у корист нивоа града</t>
  </si>
  <si>
    <t>Средства из осталих извора</t>
  </si>
  <si>
    <t>Екон. клас.</t>
  </si>
  <si>
    <t>ВРСТЕ РАСХОДА И ИЗДАТАКА</t>
  </si>
  <si>
    <t>Структура         %</t>
  </si>
  <si>
    <t>Сопствени и други приходи</t>
  </si>
  <si>
    <t>Укупна средства</t>
  </si>
  <si>
    <t>1</t>
  </si>
  <si>
    <t>410</t>
  </si>
  <si>
    <t>РАСХОДИ ЗА ЗАПОСЛЕНЕ</t>
  </si>
  <si>
    <t>Плате и додаци запослених</t>
  </si>
  <si>
    <t>Социјални доприноси на терет послодавца</t>
  </si>
  <si>
    <t>Накнаде у натури (превоз)</t>
  </si>
  <si>
    <t>414</t>
  </si>
  <si>
    <t>Социјална давања запосленима</t>
  </si>
  <si>
    <t>415</t>
  </si>
  <si>
    <t>Накнаде за запослене</t>
  </si>
  <si>
    <t>416</t>
  </si>
  <si>
    <t>Награде,бонуси и остали посебни расходи</t>
  </si>
  <si>
    <t>Посланички додатак;</t>
  </si>
  <si>
    <t>Судијски додатак.</t>
  </si>
  <si>
    <t>420</t>
  </si>
  <si>
    <t>КОРИШЋЕЊЕ УСЛУГА И РОБА</t>
  </si>
  <si>
    <t>421</t>
  </si>
  <si>
    <t>Стални трошкови</t>
  </si>
  <si>
    <t>Трошкови путовања</t>
  </si>
  <si>
    <t>Услуге по уговору</t>
  </si>
  <si>
    <t>424</t>
  </si>
  <si>
    <t>Специјализоване услуге</t>
  </si>
  <si>
    <t>425</t>
  </si>
  <si>
    <t>Текуће поправке и одржавање (услуге и мат)</t>
  </si>
  <si>
    <t>426</t>
  </si>
  <si>
    <t>Материјал</t>
  </si>
  <si>
    <t>430</t>
  </si>
  <si>
    <t>УПОТРЕБА ОСНОВНИХ СРЕДСТАВА</t>
  </si>
  <si>
    <t>Амортизација некретнина и опреме;</t>
  </si>
  <si>
    <t>Амортизација култивисане имовине;</t>
  </si>
  <si>
    <t>Употреба драгоцености;</t>
  </si>
  <si>
    <t>Употреба природне имовине;</t>
  </si>
  <si>
    <t>Амортизација нематеријалне имовине</t>
  </si>
  <si>
    <t>440</t>
  </si>
  <si>
    <t>ОТПЛАТА КАМАТА</t>
  </si>
  <si>
    <t>Отплата домаћих камата;</t>
  </si>
  <si>
    <t>Отплата страних камата;</t>
  </si>
  <si>
    <t>Отплата камата по гаранцијама</t>
  </si>
  <si>
    <t>Пратећи трошкови задуживања</t>
  </si>
  <si>
    <t>450</t>
  </si>
  <si>
    <t>СУБВЕНЦИЈЕ</t>
  </si>
  <si>
    <t>Субвенције приватним финансијским институцијама;</t>
  </si>
  <si>
    <t>Субвенције јавним финансијским институцијама;</t>
  </si>
  <si>
    <t>Субвенције приватним предузећима</t>
  </si>
  <si>
    <t>460</t>
  </si>
  <si>
    <t xml:space="preserve">Донације страним владама </t>
  </si>
  <si>
    <t>Донације и дотације међународним организацијама</t>
  </si>
  <si>
    <t>Текући трансфери осталим нивоима власти</t>
  </si>
  <si>
    <t>Капитални трансфери осталим нивоима власти</t>
  </si>
  <si>
    <t>Дотације организацијама обавезног социјалног осигурања</t>
  </si>
  <si>
    <t xml:space="preserve">Остале донације, дотације и трансфери </t>
  </si>
  <si>
    <t>470</t>
  </si>
  <si>
    <t>СОЦИЈАЛНА ПОМОЋ</t>
  </si>
  <si>
    <t>Накнаде за социјалну заштиту из буџета</t>
  </si>
  <si>
    <t>480</t>
  </si>
  <si>
    <t>ОСТАЛИ РАСХОДИ</t>
  </si>
  <si>
    <t>Дотације невладиним организацијама;</t>
  </si>
  <si>
    <t>Порези, обавезне таксе, казне и пенали;</t>
  </si>
  <si>
    <t>Новчане казне и пенали по решењу судова;</t>
  </si>
  <si>
    <t>Накнада штете за повреде или штету насталу услед елементарних непогода или других природних узрока;</t>
  </si>
  <si>
    <t>Накнада штете за повреде или штету нанету од стране државних органа;</t>
  </si>
  <si>
    <t>Расходи који се финансирају из средстава за реализацију националног инвестиционог плана</t>
  </si>
  <si>
    <t>АДМИНИСТРАТИВНИ ТРАНСФЕРИ БУЏЕТА</t>
  </si>
  <si>
    <t>Стална резерва</t>
  </si>
  <si>
    <t>49912</t>
  </si>
  <si>
    <t>Текућа резерва</t>
  </si>
  <si>
    <t>510</t>
  </si>
  <si>
    <t>ОСНОВНА СРЕДСТВА</t>
  </si>
  <si>
    <t>Зграде и грађевински објекти;</t>
  </si>
  <si>
    <t>Машине и опрема;</t>
  </si>
  <si>
    <t xml:space="preserve"> Остале некретнине и опрема;</t>
  </si>
  <si>
    <t>Култивисана имовина;</t>
  </si>
  <si>
    <t>Нематеријална имовина</t>
  </si>
  <si>
    <t>520</t>
  </si>
  <si>
    <t>ЗАЛИХЕ</t>
  </si>
  <si>
    <t>Робне резерве;</t>
  </si>
  <si>
    <t>Залихе производње;</t>
  </si>
  <si>
    <t>Залихе робе за даљу продају</t>
  </si>
  <si>
    <t>540</t>
  </si>
  <si>
    <t>ПРИРОДНА ИМОВИНА</t>
  </si>
  <si>
    <t>Земљиште;</t>
  </si>
  <si>
    <t>Рудна богатства;</t>
  </si>
  <si>
    <t>Шуме и воде</t>
  </si>
  <si>
    <t>Неф. Имов. која се фин. из сред. за реализ. нип-а</t>
  </si>
  <si>
    <t>Неф. имовина која се фин. из сред. за реализ. нип-а</t>
  </si>
  <si>
    <t>610</t>
  </si>
  <si>
    <t xml:space="preserve">ОТПЛАТА ГЛАВНИЦЕ </t>
  </si>
  <si>
    <t>611</t>
  </si>
  <si>
    <t>Отплата главнице домаћим кредиторима</t>
  </si>
  <si>
    <t>612</t>
  </si>
  <si>
    <t>Отплата главнице страним банкама</t>
  </si>
  <si>
    <t>613</t>
  </si>
  <si>
    <t>620</t>
  </si>
  <si>
    <t>621</t>
  </si>
  <si>
    <t>Набавка домаће фин. Имовине</t>
  </si>
  <si>
    <t xml:space="preserve">УКУПНИ ЈАВНИ РАСХОДИ </t>
  </si>
  <si>
    <t>4511</t>
  </si>
  <si>
    <t>4512</t>
  </si>
  <si>
    <t>452</t>
  </si>
  <si>
    <t>Екон.</t>
  </si>
  <si>
    <t>Редни број</t>
  </si>
  <si>
    <t>Износ у динарима</t>
  </si>
  <si>
    <t>Клас.</t>
  </si>
  <si>
    <t>КАПИТАЛНИ ПРОЈЕКТИ</t>
  </si>
  <si>
    <t>Извори финансирања:</t>
  </si>
  <si>
    <t>- из текућих прихода</t>
  </si>
  <si>
    <t>- из кредита</t>
  </si>
  <si>
    <t>- из буџета Републике Србије</t>
  </si>
  <si>
    <t>- из донација</t>
  </si>
  <si>
    <t>Функциje</t>
  </si>
  <si>
    <t xml:space="preserve">Функционална класификација </t>
  </si>
  <si>
    <t>000</t>
  </si>
  <si>
    <t>010</t>
  </si>
  <si>
    <t>Болест и инвалидност;</t>
  </si>
  <si>
    <t>020</t>
  </si>
  <si>
    <t>Старост;</t>
  </si>
  <si>
    <t>030</t>
  </si>
  <si>
    <t>Корисници породичне пензије;</t>
  </si>
  <si>
    <t>040</t>
  </si>
  <si>
    <t>Породица и деца;</t>
  </si>
  <si>
    <t>050</t>
  </si>
  <si>
    <t>Незапосленост;</t>
  </si>
  <si>
    <t>060</t>
  </si>
  <si>
    <t>Становање;</t>
  </si>
  <si>
    <t>070</t>
  </si>
  <si>
    <t>Социјална помоћ угроженом становништву некласификована на другом месту;</t>
  </si>
  <si>
    <t>080</t>
  </si>
  <si>
    <t>Социјална заштита - истраживање и развој;</t>
  </si>
  <si>
    <t>090</t>
  </si>
  <si>
    <t>100</t>
  </si>
  <si>
    <t>110</t>
  </si>
  <si>
    <t>Извршни и законодавни органи, финансијски и фискални послови и спољни послови;</t>
  </si>
  <si>
    <t>111</t>
  </si>
  <si>
    <t>112</t>
  </si>
  <si>
    <t>113</t>
  </si>
  <si>
    <t>120</t>
  </si>
  <si>
    <t>Економска помоћ иностранству;</t>
  </si>
  <si>
    <t>121</t>
  </si>
  <si>
    <t>122</t>
  </si>
  <si>
    <t>130</t>
  </si>
  <si>
    <t>Опште услуге;</t>
  </si>
  <si>
    <t>131</t>
  </si>
  <si>
    <t>132</t>
  </si>
  <si>
    <t>133</t>
  </si>
  <si>
    <t>140</t>
  </si>
  <si>
    <t>Основно истраживање;</t>
  </si>
  <si>
    <t>150</t>
  </si>
  <si>
    <t>Опште јавне услуге - истраживање и развој;</t>
  </si>
  <si>
    <t>160</t>
  </si>
  <si>
    <t>Опште јавне услуге некласификоване на другом месту;</t>
  </si>
  <si>
    <t>170</t>
  </si>
  <si>
    <t>Трансакције јавног дуга;</t>
  </si>
  <si>
    <t>180</t>
  </si>
  <si>
    <t>300</t>
  </si>
  <si>
    <t>310</t>
  </si>
  <si>
    <t>Услуге полиције;</t>
  </si>
  <si>
    <t>320</t>
  </si>
  <si>
    <t>Услуге противпожарне заштите;</t>
  </si>
  <si>
    <t>330</t>
  </si>
  <si>
    <t>Судови;</t>
  </si>
  <si>
    <t>340</t>
  </si>
  <si>
    <t>Затвори;</t>
  </si>
  <si>
    <t>350</t>
  </si>
  <si>
    <t>Јавни ред и безбедност - истраживање и развој;</t>
  </si>
  <si>
    <t>360</t>
  </si>
  <si>
    <t>Јавни ред и безбедност некласификован на другом месту</t>
  </si>
  <si>
    <t>400</t>
  </si>
  <si>
    <t>Општи економски и комерцијални послови и послови по питању рада;</t>
  </si>
  <si>
    <t>411</t>
  </si>
  <si>
    <t>412</t>
  </si>
  <si>
    <t>Пољопривреда, шумарство, лов и риболов;</t>
  </si>
  <si>
    <t>422</t>
  </si>
  <si>
    <t>423</t>
  </si>
  <si>
    <t>Гориво и енергија;</t>
  </si>
  <si>
    <t>431</t>
  </si>
  <si>
    <t>432</t>
  </si>
  <si>
    <t>433</t>
  </si>
  <si>
    <t>434</t>
  </si>
  <si>
    <t>435</t>
  </si>
  <si>
    <t>436</t>
  </si>
  <si>
    <t>Рударство, производња и изградња;</t>
  </si>
  <si>
    <t>441</t>
  </si>
  <si>
    <t>442</t>
  </si>
  <si>
    <t>443</t>
  </si>
  <si>
    <t>Саобраћај;</t>
  </si>
  <si>
    <t>451</t>
  </si>
  <si>
    <t>453</t>
  </si>
  <si>
    <t>454</t>
  </si>
  <si>
    <t>455</t>
  </si>
  <si>
    <t>Комуникације;</t>
  </si>
  <si>
    <t>Остале делатности;</t>
  </si>
  <si>
    <t>471</t>
  </si>
  <si>
    <t>472</t>
  </si>
  <si>
    <t>473</t>
  </si>
  <si>
    <t>474</t>
  </si>
  <si>
    <t>Економски послови - истраживање и развој;</t>
  </si>
  <si>
    <t>481</t>
  </si>
  <si>
    <t>482</t>
  </si>
  <si>
    <t>483</t>
  </si>
  <si>
    <t>484</t>
  </si>
  <si>
    <t>485</t>
  </si>
  <si>
    <t>486</t>
  </si>
  <si>
    <t>487</t>
  </si>
  <si>
    <t>490</t>
  </si>
  <si>
    <t>500</t>
  </si>
  <si>
    <t>Управљање отпадом;</t>
  </si>
  <si>
    <t>Управљање отпадним водама;</t>
  </si>
  <si>
    <t>530</t>
  </si>
  <si>
    <t>Смањење загађености;</t>
  </si>
  <si>
    <t>Заштита биљног и животињског света и крајолика;</t>
  </si>
  <si>
    <t>550</t>
  </si>
  <si>
    <t>Заштита животне средине - истраживање и развој;</t>
  </si>
  <si>
    <t>560</t>
  </si>
  <si>
    <t>600</t>
  </si>
  <si>
    <t>ПОСЛОВИ СТАНОВАЊА И ЗАЈЕДНИЦЕ</t>
  </si>
  <si>
    <t>Стамбени развој;</t>
  </si>
  <si>
    <t>Развој заједнице;</t>
  </si>
  <si>
    <t>630</t>
  </si>
  <si>
    <t>Водоснабдевање;</t>
  </si>
  <si>
    <t>640</t>
  </si>
  <si>
    <t>Улична расвета;</t>
  </si>
  <si>
    <t>650</t>
  </si>
  <si>
    <t>Послови становања и заједнице - истраживање и развој;</t>
  </si>
  <si>
    <t>660</t>
  </si>
  <si>
    <t>710</t>
  </si>
  <si>
    <t>Медицински производи, помагала и опрема;</t>
  </si>
  <si>
    <t>711</t>
  </si>
  <si>
    <t>712</t>
  </si>
  <si>
    <t>713</t>
  </si>
  <si>
    <t>720</t>
  </si>
  <si>
    <t>Ванболничке услуге;</t>
  </si>
  <si>
    <t>721</t>
  </si>
  <si>
    <t>722</t>
  </si>
  <si>
    <t>723</t>
  </si>
  <si>
    <t>724</t>
  </si>
  <si>
    <t>730</t>
  </si>
  <si>
    <t>Болничке услуге;</t>
  </si>
  <si>
    <t>731</t>
  </si>
  <si>
    <t>732</t>
  </si>
  <si>
    <t>733</t>
  </si>
  <si>
    <t>734</t>
  </si>
  <si>
    <t>Услуге домова за негу и опоравак</t>
  </si>
  <si>
    <t>740</t>
  </si>
  <si>
    <t>Услуге јавног здравства;</t>
  </si>
  <si>
    <t>750</t>
  </si>
  <si>
    <t>Здравство - истраживање и развој;</t>
  </si>
  <si>
    <t>760</t>
  </si>
  <si>
    <t>Здравство некласификовано на другом месту.</t>
  </si>
  <si>
    <t>800</t>
  </si>
  <si>
    <t>810</t>
  </si>
  <si>
    <t>Услуге рекреације и спорта;</t>
  </si>
  <si>
    <t>820</t>
  </si>
  <si>
    <t>Услуге културе;</t>
  </si>
  <si>
    <t>830</t>
  </si>
  <si>
    <t>Услуге емитовања и штампања;</t>
  </si>
  <si>
    <t>840</t>
  </si>
  <si>
    <t>Верске и остале услуге заједнице;</t>
  </si>
  <si>
    <t>850</t>
  </si>
  <si>
    <t>Рекреација, спорт, култура и вере - истраживање и развој;</t>
  </si>
  <si>
    <t>860</t>
  </si>
  <si>
    <t>900</t>
  </si>
  <si>
    <t>910</t>
  </si>
  <si>
    <t>Предшколско и основно образовање;</t>
  </si>
  <si>
    <t>911</t>
  </si>
  <si>
    <t>913</t>
  </si>
  <si>
    <t>914</t>
  </si>
  <si>
    <t>915</t>
  </si>
  <si>
    <t>916</t>
  </si>
  <si>
    <t>920</t>
  </si>
  <si>
    <t>Средње образовање;</t>
  </si>
  <si>
    <t>921</t>
  </si>
  <si>
    <t>922</t>
  </si>
  <si>
    <t>923</t>
  </si>
  <si>
    <t>930</t>
  </si>
  <si>
    <t>Више образовање;</t>
  </si>
  <si>
    <t>931</t>
  </si>
  <si>
    <t>932</t>
  </si>
  <si>
    <t>940</t>
  </si>
  <si>
    <t>Високо образовање;</t>
  </si>
  <si>
    <t>941</t>
  </si>
  <si>
    <t>942</t>
  </si>
  <si>
    <t>Високо образовање - други степен</t>
  </si>
  <si>
    <t>950</t>
  </si>
  <si>
    <t>Образовање које није дефинисано нивоом;</t>
  </si>
  <si>
    <t>960</t>
  </si>
  <si>
    <t>Помоћне услуге образовању;</t>
  </si>
  <si>
    <t>970</t>
  </si>
  <si>
    <t>Образовање - истраживање и развој;</t>
  </si>
  <si>
    <t>980</t>
  </si>
  <si>
    <t>УКУПНО</t>
  </si>
  <si>
    <t>Програм</t>
  </si>
  <si>
    <t>2</t>
  </si>
  <si>
    <t xml:space="preserve">1101-0001  </t>
  </si>
  <si>
    <t>Уређивање грађевинског земљишта</t>
  </si>
  <si>
    <t>Стратешко, просторно и урбанистичко планирање</t>
  </si>
  <si>
    <t>0601-0001</t>
  </si>
  <si>
    <t>0601-0002</t>
  </si>
  <si>
    <t>Управљање отпадним водама  </t>
  </si>
  <si>
    <t>0601-0003</t>
  </si>
  <si>
    <t>Одржавање депонија</t>
  </si>
  <si>
    <t>0601-0004</t>
  </si>
  <si>
    <t>Даљинско грејање</t>
  </si>
  <si>
    <t>0601-0005</t>
  </si>
  <si>
    <t>Јавни превоз</t>
  </si>
  <si>
    <t>0601-0006</t>
  </si>
  <si>
    <t>Паркинг сервис</t>
  </si>
  <si>
    <t>0601-0007</t>
  </si>
  <si>
    <t>0601-0008</t>
  </si>
  <si>
    <t>Јавна хигијена</t>
  </si>
  <si>
    <t>0601-0009</t>
  </si>
  <si>
    <t>Уређење и одржавање зеленила</t>
  </si>
  <si>
    <t>0601-0010</t>
  </si>
  <si>
    <t>Јавна расвета</t>
  </si>
  <si>
    <t>0601-0011</t>
  </si>
  <si>
    <t>Одржавање гробаља и погребне услуге</t>
  </si>
  <si>
    <t>0601-0012</t>
  </si>
  <si>
    <t>Одржавање стамбених зграда</t>
  </si>
  <si>
    <t>0601-0013</t>
  </si>
  <si>
    <t>Ауто-такси превоз путника</t>
  </si>
  <si>
    <t>0601-0014</t>
  </si>
  <si>
    <t>Остале комуналне услуге</t>
  </si>
  <si>
    <t>1501-0001</t>
  </si>
  <si>
    <t>Подршка постојећој привреди</t>
  </si>
  <si>
    <t>1501-0002</t>
  </si>
  <si>
    <t>Унапређење привредног амбијента</t>
  </si>
  <si>
    <t>1501-0003</t>
  </si>
  <si>
    <t>Подстицаји за развој предузетништва</t>
  </si>
  <si>
    <t>1501-0004</t>
  </si>
  <si>
    <t>Одржавање економске инфраструктуре</t>
  </si>
  <si>
    <t>1501-0005</t>
  </si>
  <si>
    <t>Финансијска подршка локалном економском развоју</t>
  </si>
  <si>
    <t>Управљање развојем туризма</t>
  </si>
  <si>
    <t>Туристичка промоција</t>
  </si>
  <si>
    <t>Унапређење  услова за пољопривредну делатност</t>
  </si>
  <si>
    <t>Подстицаји пољопривредној производњи</t>
  </si>
  <si>
    <t>0401-0001</t>
  </si>
  <si>
    <t>Управљање заштитом животне средине и природних вредности</t>
  </si>
  <si>
    <t>0401-0002</t>
  </si>
  <si>
    <t>Управљање комуналним отпадом</t>
  </si>
  <si>
    <t>0401-0003</t>
  </si>
  <si>
    <t>Праћење квалитета елемената животне средине</t>
  </si>
  <si>
    <t>0401-0004</t>
  </si>
  <si>
    <t>Заштита природних вредности и унапређење подручја са природним својствима</t>
  </si>
  <si>
    <t>Управљање саобраћајном инфраструктуром</t>
  </si>
  <si>
    <t>Одржавање путева</t>
  </si>
  <si>
    <t xml:space="preserve">Функционисање предшколских установа </t>
  </si>
  <si>
    <t>Функционисање основних школа</t>
  </si>
  <si>
    <t>Функционисање средњих школа</t>
  </si>
  <si>
    <t>0101-0002</t>
  </si>
  <si>
    <t>1502-0001</t>
  </si>
  <si>
    <t>0101-0001</t>
  </si>
  <si>
    <t>2002-0001</t>
  </si>
  <si>
    <t>0901-0001</t>
  </si>
  <si>
    <t>Социјалне помоћи</t>
  </si>
  <si>
    <t>0901-0002</t>
  </si>
  <si>
    <t>Прихватилишта, прихватне станице и друге врсте смештаја</t>
  </si>
  <si>
    <t>0901-0003</t>
  </si>
  <si>
    <t>Подршка социо-хуманитарним организацијама</t>
  </si>
  <si>
    <t>0901-0004</t>
  </si>
  <si>
    <t>Саветодавно-терапијске и социјално-едукативне услуге</t>
  </si>
  <si>
    <t>0901-0005</t>
  </si>
  <si>
    <t>Активности Црвеног крста</t>
  </si>
  <si>
    <t>Функционисање установа примарне здравствене заштите</t>
  </si>
  <si>
    <t xml:space="preserve">Функционисање локалних установа културе </t>
  </si>
  <si>
    <t>Подстицаји културном и уметничком стваралаштву</t>
  </si>
  <si>
    <t>1201-0001</t>
  </si>
  <si>
    <t>1201-0002</t>
  </si>
  <si>
    <t>1801-0001</t>
  </si>
  <si>
    <t>1301-0001</t>
  </si>
  <si>
    <t>Подршка локалним спортским организацијама, удружењима и савезима</t>
  </si>
  <si>
    <t>1301-0002</t>
  </si>
  <si>
    <t>Подршка предшколском, школском и рекреативном спорту и масовној физичкој култури</t>
  </si>
  <si>
    <t>1301-0003</t>
  </si>
  <si>
    <t>Одржавање спортске инфраструктуре</t>
  </si>
  <si>
    <t>0602-0001</t>
  </si>
  <si>
    <t>Функционисање локалне самоуправе и градских општина</t>
  </si>
  <si>
    <t>0602-0002</t>
  </si>
  <si>
    <t>0602-0003</t>
  </si>
  <si>
    <t>Управљање јавним дугом</t>
  </si>
  <si>
    <t>0602-0004</t>
  </si>
  <si>
    <t>Општинско јавно правобранилаштво</t>
  </si>
  <si>
    <t>0602-0005</t>
  </si>
  <si>
    <t>0602-0006</t>
  </si>
  <si>
    <t>Информисање</t>
  </si>
  <si>
    <t>0602-0007</t>
  </si>
  <si>
    <t>0602-0008</t>
  </si>
  <si>
    <t>Програми националних мањина</t>
  </si>
  <si>
    <t>0602-0009</t>
  </si>
  <si>
    <t>Правна помоћ</t>
  </si>
  <si>
    <t>0602-0010</t>
  </si>
  <si>
    <t>Резерве</t>
  </si>
  <si>
    <t>0701-0001</t>
  </si>
  <si>
    <t xml:space="preserve"> Програмска активност/  Пројекат</t>
  </si>
  <si>
    <t>Назив</t>
  </si>
  <si>
    <t xml:space="preserve">УКУПНИ ПРОГРАМСКИ ЈАВНИ РАСХОДИ </t>
  </si>
  <si>
    <t>Раздео</t>
  </si>
  <si>
    <t>Глава</t>
  </si>
  <si>
    <t>Функција</t>
  </si>
  <si>
    <t>Позиција</t>
  </si>
  <si>
    <t>Укупна јавна средства</t>
  </si>
  <si>
    <t>Програм-ска Класиф.</t>
  </si>
  <si>
    <t>Економ. Класиф.</t>
  </si>
  <si>
    <t>Укупно</t>
  </si>
  <si>
    <t>УКУПНО ПРЕНЕТА СРЕДСТВА, ТЕКУЋИ ПРИХОДИ И ПРИМАЊА</t>
  </si>
  <si>
    <t>Средства из осталих извора финан. буџ. корисника</t>
  </si>
  <si>
    <t>УКУПНА ЈАВНА СРЕДСТВА</t>
  </si>
  <si>
    <t>3</t>
  </si>
  <si>
    <t>Надлежан орган/особа</t>
  </si>
  <si>
    <t>ПРОГРАМ 15 - ЛОКАЛНА САМОУПРАВА</t>
  </si>
  <si>
    <t>Плате, додаци и накнаде запослених (зараде)</t>
  </si>
  <si>
    <t>Накнаде у натури</t>
  </si>
  <si>
    <t>Донације страним владама</t>
  </si>
  <si>
    <t>Остале донације, дотације и трансфери</t>
  </si>
  <si>
    <t>Административни трансфери из буџета - Текући расходи</t>
  </si>
  <si>
    <t>Административни трансфери из буџета - Издаци за нефинансијску имовину</t>
  </si>
  <si>
    <t>Административни трансфери из буџета - Издаци за отплату главнице и набавку финансијске имовине</t>
  </si>
  <si>
    <t>Административни трансфери из буџета - Средства резерве</t>
  </si>
  <si>
    <t>Драгоцености</t>
  </si>
  <si>
    <t>Нефинансијска имовина која се финансира из средстава за реализацију националног инвестиционог плана</t>
  </si>
  <si>
    <t>Накнаде трошкова за запослене</t>
  </si>
  <si>
    <t>Награде запосленима и остали посебни расходи</t>
  </si>
  <si>
    <t>Посланички додатак</t>
  </si>
  <si>
    <t>Текуће поправке и одржавање</t>
  </si>
  <si>
    <t>Амортизација некретнина и опреме</t>
  </si>
  <si>
    <t>Амортизација култивисане имовине</t>
  </si>
  <si>
    <t>Употреба драгоцености</t>
  </si>
  <si>
    <t>Употреба природне имовине</t>
  </si>
  <si>
    <t>Отплата домаћих камата</t>
  </si>
  <si>
    <t>Отплата страних камата</t>
  </si>
  <si>
    <t>Субвенције приватним финансијским институцијама</t>
  </si>
  <si>
    <t>Субвенције јавним финансијским институцијама</t>
  </si>
  <si>
    <t>Дотације невладиним организацијама</t>
  </si>
  <si>
    <t>Порези, обавезне таксе, казне и пенали</t>
  </si>
  <si>
    <t>Новчане казне и пенали по решењу судова</t>
  </si>
  <si>
    <t>Накнада штете за повреде или штету насталу услед елементарних непогода или других природних узрока</t>
  </si>
  <si>
    <t>Накнада штете за повреде или штету нанету од стране државних органа</t>
  </si>
  <si>
    <t>Зграде и грађевински објекти</t>
  </si>
  <si>
    <t>Машине и опрема</t>
  </si>
  <si>
    <t>Остале некретнине и опрема</t>
  </si>
  <si>
    <t>Култивисана имовина</t>
  </si>
  <si>
    <t>Робне резерве</t>
  </si>
  <si>
    <t>Залихе производње</t>
  </si>
  <si>
    <t>Земљиште</t>
  </si>
  <si>
    <t>Рудна богатства</t>
  </si>
  <si>
    <t>ПРОГРАМ 15: ЛОКАЛНА САМОУПРАВА</t>
  </si>
  <si>
    <t>Извори финансирања за Програм 15:</t>
  </si>
  <si>
    <t>Свега за Програм 15:</t>
  </si>
  <si>
    <t>Извори финансирања за Раздео 1:</t>
  </si>
  <si>
    <t>Извори финансирања за Главу 1:</t>
  </si>
  <si>
    <t>Свега за Главу 1:</t>
  </si>
  <si>
    <t>Свега за Програмску активност 0602-0001:</t>
  </si>
  <si>
    <t>Извори финансирања за Програмску активност 0602-0001:</t>
  </si>
  <si>
    <t>Свега за Раздео 1:</t>
  </si>
  <si>
    <t>Извори финансирања за Раздео 2:</t>
  </si>
  <si>
    <t>Свега за Раздео 2:</t>
  </si>
  <si>
    <t>Извори финансирања за Раздео 3:</t>
  </si>
  <si>
    <t>Уређивање, одржавање и коришћење пијацa</t>
  </si>
  <si>
    <t>Програмска активност: Програми националних мањина</t>
  </si>
  <si>
    <t>Свега за Програмску активност 0602-0003:</t>
  </si>
  <si>
    <t>Свега за Програмску активност 0602-0006:</t>
  </si>
  <si>
    <t>Функција: Социјална заштита некласификована на другом месту</t>
  </si>
  <si>
    <t>Свега за Програмску активност 0602-0008:</t>
  </si>
  <si>
    <t>Извори финансирања за Програмску активност 0602-0008:</t>
  </si>
  <si>
    <t>Програмска активност: Правна помоћ</t>
  </si>
  <si>
    <t>Свега за Програмску активност 0602-0009:</t>
  </si>
  <si>
    <t>Програмска активност: Резерве</t>
  </si>
  <si>
    <t>Извори финансирања за Програмску активност 0602-0010:</t>
  </si>
  <si>
    <t>Извори финансирања за Програмску активност 0602-0009:</t>
  </si>
  <si>
    <t>ПРОГРАМ 1: ЛОКАЛНИ РАЗВОЈ И ПРОСТОРНО ПЛАНИРАЊЕ</t>
  </si>
  <si>
    <t>Извори финансирања за Програм 1:</t>
  </si>
  <si>
    <t>Свега за Програм 1:</t>
  </si>
  <si>
    <t>ПРОГРАМ 5: РАЗВОЈ ПОЉОПРИВРЕДЕ</t>
  </si>
  <si>
    <t>Извори финансирања за Програмску активност 0101-0002:</t>
  </si>
  <si>
    <t>Свега за Програмску активност 0101-0002:</t>
  </si>
  <si>
    <t xml:space="preserve">Пројекат: </t>
  </si>
  <si>
    <t>Извори финансирања за Програм 5:</t>
  </si>
  <si>
    <t>Свега за Програм 5:</t>
  </si>
  <si>
    <t>ПРОГРАМ 6: ЗАШТИТА ЖИВОТНЕ СРЕДИНЕ</t>
  </si>
  <si>
    <t>Свега за Програмску активност 0401-0001:</t>
  </si>
  <si>
    <t>Извори финансирања за Програмску активност 0401-0001:</t>
  </si>
  <si>
    <t>Извори финансирања за Програмску активност 0401-0002:</t>
  </si>
  <si>
    <t>Свега за Програмску активност 0401-0002:</t>
  </si>
  <si>
    <t>Свега за Програмску активност 0401-0004:</t>
  </si>
  <si>
    <t>Извори финансирања за Програмску активност 0401-0004:</t>
  </si>
  <si>
    <t>Извори финансирања за Програм 6:</t>
  </si>
  <si>
    <t>Свега за Програм 6:</t>
  </si>
  <si>
    <t>ПРОГРАМ 7: ПУТНА ИНФРАСТРУКТУРА</t>
  </si>
  <si>
    <t>Извори финансирања за Програмску активност 0701-0001:</t>
  </si>
  <si>
    <t>Свега за Програмску активност 0701-0001:</t>
  </si>
  <si>
    <t>Извори финансирања за Програм 7:</t>
  </si>
  <si>
    <t>Свега за Програм 7:</t>
  </si>
  <si>
    <t>ПРОГРАМ 11: СОЦИЈАЛНА И ДЕЧЈА ЗАШТИТА</t>
  </si>
  <si>
    <t>Извори финансирања за Програм 11:</t>
  </si>
  <si>
    <t>Свега за Програм 11:</t>
  </si>
  <si>
    <t>Извори финансирања за Програмску активност 0901-0001:</t>
  </si>
  <si>
    <t>Извори финансирања за Програмску активност 0901-0003:</t>
  </si>
  <si>
    <t>Свега за Програмску активност 0901-0003:</t>
  </si>
  <si>
    <t>Извори финансирања за Програмску активност 0901-0005:</t>
  </si>
  <si>
    <t>Свега за Програмску активност 0901-0005:</t>
  </si>
  <si>
    <t>ПРОГРАМ 12: ПРИМАРНА ЗДРАВСТВЕНА ЗАШТИТА</t>
  </si>
  <si>
    <t>Извори финансирања за Програмску активност 1801-0001:</t>
  </si>
  <si>
    <t>Свега за Програмску активност 1801-0001:</t>
  </si>
  <si>
    <t>ПРОГРАМ 3: ЛОКАЛНИ ЕКОНОМСКИ РАЗВОЈ</t>
  </si>
  <si>
    <t>Свега за Програмску активност 1501-0003:</t>
  </si>
  <si>
    <t>Извори финансирања за Програмску активност 1501-0004:</t>
  </si>
  <si>
    <t>Свега за Програмску активност 1501-0004:</t>
  </si>
  <si>
    <t>Извори финансирања за Програм 3:</t>
  </si>
  <si>
    <t>Свега за Програм 3:</t>
  </si>
  <si>
    <t>Извори финансирања за Програм 12:</t>
  </si>
  <si>
    <t>Свега за Програм 12:</t>
  </si>
  <si>
    <t>ГРАДСКА ОПШТИНА ВРАЊСКА БАЊА</t>
  </si>
  <si>
    <t>Извори финансирања за Програмску активност 0602-0006:</t>
  </si>
  <si>
    <t>Свега за Програмску активност 0602-0010:</t>
  </si>
  <si>
    <t>Извори финансирања за Главу 2:</t>
  </si>
  <si>
    <t xml:space="preserve">КАНЦЕЛАРИЈА ЗА МЛАДЕ </t>
  </si>
  <si>
    <t>Свега за Главу 2:</t>
  </si>
  <si>
    <t>Извори финансирања за Програмску активност 0602-0007:</t>
  </si>
  <si>
    <t>Свега за Програмску активност 0602-0007:</t>
  </si>
  <si>
    <t>МЕСНЕ ЗАЈЕДНИЦЕ</t>
  </si>
  <si>
    <t>Извори финансирања за Програмску активност 0602-0002:</t>
  </si>
  <si>
    <t>Извори финансирања за Главу 4:</t>
  </si>
  <si>
    <t>Свега за Главу 4:</t>
  </si>
  <si>
    <t>ПРОГРАМ 4 - РАЗВОЈ ТУРИЗМА</t>
  </si>
  <si>
    <t>Извори финансирања за Програмску активност 1502-0001:</t>
  </si>
  <si>
    <t>Функција 110:</t>
  </si>
  <si>
    <t>Свега за програмску активност 0602-0001:</t>
  </si>
  <si>
    <t>Извори финансирања за програмску активност 0602-0001:</t>
  </si>
  <si>
    <t>Извори финансирања за функцију 111:</t>
  </si>
  <si>
    <t>Функција 330:</t>
  </si>
  <si>
    <t>Извори финансирања за програмску активност 0602-0004:</t>
  </si>
  <si>
    <t>Свега за програмску активност 0602-0004:</t>
  </si>
  <si>
    <t>Функција 111:</t>
  </si>
  <si>
    <t>Заштита животне средине: исттаживање и развој</t>
  </si>
  <si>
    <t>Социјална помоћ некласификована на другом месту</t>
  </si>
  <si>
    <t>Функција 130:</t>
  </si>
  <si>
    <t>Опште јавне услуге - истраживање и развој</t>
  </si>
  <si>
    <t>Управљањем развојем туризма</t>
  </si>
  <si>
    <t>ЈП СКИЈАЛИШТА БЕСНА КОБИЛА</t>
  </si>
  <si>
    <t>1502-0002</t>
  </si>
  <si>
    <t>Извори финансирања за Програмску активност 1502-0002:</t>
  </si>
  <si>
    <t>Извори финансирања за Програм 4:</t>
  </si>
  <si>
    <t>Свега за Програм 4:</t>
  </si>
  <si>
    <t>Извори финансирања за Главу 5:</t>
  </si>
  <si>
    <t>Свега за Главу 5:</t>
  </si>
  <si>
    <t>Опште јавне услуге</t>
  </si>
  <si>
    <t xml:space="preserve">1101-0002  </t>
  </si>
  <si>
    <t>ПРОГРАМ 2 - КОМУНАЛНА ДЕЛАТНОСТ</t>
  </si>
  <si>
    <t>Уређeње, одржавање и коришћење пијаца</t>
  </si>
  <si>
    <t>Одржавање гробаља, и погребне услуге</t>
  </si>
  <si>
    <t>ПРОГРАМ 7 - ПУТНА ИНФРАСТРУКТУРА</t>
  </si>
  <si>
    <t>Извори финансирања за Програм 2:</t>
  </si>
  <si>
    <t>Свега за Програм 2:</t>
  </si>
  <si>
    <t>Извори финансирања за Главу 6:</t>
  </si>
  <si>
    <t>ПРОГРАМ 14 - РАЗВОЈ СПОРТА И ОМЛАДИНЕ</t>
  </si>
  <si>
    <t>Функција 810:</t>
  </si>
  <si>
    <t>Извори финансирања за Програм 14:</t>
  </si>
  <si>
    <t>Свега за Програм 14:</t>
  </si>
  <si>
    <t>УСТАНОВЕ У КУЛТУРИ</t>
  </si>
  <si>
    <t>ПРОГРАМ 13 - РАЗВОЈ КУЛТУРЕ</t>
  </si>
  <si>
    <t>Функционисање локалних установа културе</t>
  </si>
  <si>
    <t>ПОЗОРИШТЕ "БОРА СТАНКОВИЋ"</t>
  </si>
  <si>
    <t>НАРОДНИ МУЗЕЈ</t>
  </si>
  <si>
    <t>ИСТОРИЈСКИ АРХИВ</t>
  </si>
  <si>
    <t>НАРОДНИ УНИВЕРЗИТЕТ</t>
  </si>
  <si>
    <t>ОМЛАДИНСКИ САВЕЗ</t>
  </si>
  <si>
    <t>ШКОЛА АНИМИРАНОГ ФИЛМА</t>
  </si>
  <si>
    <t>Извори финансирања за Програм 13:</t>
  </si>
  <si>
    <t>Свега за Програм 13:</t>
  </si>
  <si>
    <t>ЦЕНТАР ЗА СОЦИЈАЛНИ РАД</t>
  </si>
  <si>
    <t>ЦЕНТАР ЗА РАЗВОЈ ЛОКАЛНИХ УСЛУГА СОЦИЈАЛНЕ ЗАШТИТЕ</t>
  </si>
  <si>
    <t>Извори финансирања за Програмску активност 0901-0002:</t>
  </si>
  <si>
    <t>Свега за Програмску активност 0701-0002:</t>
  </si>
  <si>
    <t>Извори финансирања за Раздео 5 :</t>
  </si>
  <si>
    <t>ПРОГРАМ 8 - ПРЕДШКОЛСКО ОБРАЗОВАЊЕ</t>
  </si>
  <si>
    <t>2001-0001</t>
  </si>
  <si>
    <t>Функционисање предшколских установа</t>
  </si>
  <si>
    <t>ПРОГРАМ 9 - ОСНОВНО ОБРАЗОВАЊЕ</t>
  </si>
  <si>
    <t>Предшколско васпитање</t>
  </si>
  <si>
    <t>ПРОГРАМ 10 - СРЕДЊЕ ОБРАЗОВАЊЕ</t>
  </si>
  <si>
    <t>2003-0001</t>
  </si>
  <si>
    <t>8.2</t>
  </si>
  <si>
    <t>8.3</t>
  </si>
  <si>
    <t>8.4</t>
  </si>
  <si>
    <t>8.5</t>
  </si>
  <si>
    <t>8.6</t>
  </si>
  <si>
    <t>8.7</t>
  </si>
  <si>
    <t>Извори финансирања за функцију 110:</t>
  </si>
  <si>
    <t>Извори финансирања за функцију 330:</t>
  </si>
  <si>
    <t>Извори финансирања за функцију 620:</t>
  </si>
  <si>
    <t>Функција 620:</t>
  </si>
  <si>
    <t>Извори финансирања за програмску активност 1101-0001:</t>
  </si>
  <si>
    <t>Свега за програмску активност 1101-0001:</t>
  </si>
  <si>
    <t>Извори финансирања за функцију 411:</t>
  </si>
  <si>
    <t>Функција 411:</t>
  </si>
  <si>
    <t>Извори финансирања за програмску активност 1501-0001:</t>
  </si>
  <si>
    <t>Свега за програмску активност 1501-0001:</t>
  </si>
  <si>
    <t>Извори финансирања за програмску активност 1501-0002:</t>
  </si>
  <si>
    <t>Свега за програмску активност 1501-0002:</t>
  </si>
  <si>
    <t>Извори финансирања за програмску активност 1501-0003:</t>
  </si>
  <si>
    <t>Извори финансирања за програмску активност 1501-0004:</t>
  </si>
  <si>
    <t>Извори финансирања за функцију 421:</t>
  </si>
  <si>
    <t>Функција 421:</t>
  </si>
  <si>
    <t>Извори финансирања за функцију 540:</t>
  </si>
  <si>
    <t>Функција 540:</t>
  </si>
  <si>
    <t>Извори финансирања за функцију 560:</t>
  </si>
  <si>
    <t>Функција 560:</t>
  </si>
  <si>
    <t>Функција 451:</t>
  </si>
  <si>
    <t>Извори финансирања за функцију 451:</t>
  </si>
  <si>
    <t>Извори финансирања за функцију 070:</t>
  </si>
  <si>
    <t>Функција 070:</t>
  </si>
  <si>
    <t>Извори финансирања за функцију 090:</t>
  </si>
  <si>
    <t>Функција 090:</t>
  </si>
  <si>
    <t>Извори финансирања за функцију 740:</t>
  </si>
  <si>
    <t>Функција 740:</t>
  </si>
  <si>
    <t>Функција 733:</t>
  </si>
  <si>
    <t>Извори финансирања за функцију 810:</t>
  </si>
  <si>
    <t>Извори финансирања за Програмску активност 1301-0001:</t>
  </si>
  <si>
    <t>Свега за Програмску активност 1301-0001:</t>
  </si>
  <si>
    <t>Извори финансирања за Програмску активност 1301-0002:</t>
  </si>
  <si>
    <t>Свега за Програмску активност 1301-0002:</t>
  </si>
  <si>
    <t>Извори финансирања за Програмску активност 1301-0003:</t>
  </si>
  <si>
    <t>Свега за Програмску активност 1301-0003:</t>
  </si>
  <si>
    <t>Извори финансирања за функцију 130:</t>
  </si>
  <si>
    <t>Извори финансирања за функцију 170:</t>
  </si>
  <si>
    <t>Функција 170:</t>
  </si>
  <si>
    <t>Извори финансирања за Програмску активност 0602-0003:</t>
  </si>
  <si>
    <t>Услуге емитовања и издаваштва</t>
  </si>
  <si>
    <t>Извори финансирања за функцију 830:</t>
  </si>
  <si>
    <t>Функција 830:</t>
  </si>
  <si>
    <t>Извори финансирања за функцију 112:</t>
  </si>
  <si>
    <t>Функција 112:</t>
  </si>
  <si>
    <t>Извори финансирања за функцију 160:</t>
  </si>
  <si>
    <t>Функција 160:</t>
  </si>
  <si>
    <t>Свега за Програмску активност 0602-0002:</t>
  </si>
  <si>
    <t>Извори финансирања за функцију 150:</t>
  </si>
  <si>
    <t>Функција 150:</t>
  </si>
  <si>
    <t>Извори финансирања за функцију 473:</t>
  </si>
  <si>
    <t>Функција 473:</t>
  </si>
  <si>
    <t>Свега за Програмску активност 1502-0002:</t>
  </si>
  <si>
    <t>Свега за Програмску активност 1502-0001:</t>
  </si>
  <si>
    <t>Извори финансирања за програмску активност 1101-0002:</t>
  </si>
  <si>
    <t>Свега за програмску активност 1101-0002:</t>
  </si>
  <si>
    <t>Извори финансирања за функцију 630:</t>
  </si>
  <si>
    <t>Функција 630:</t>
  </si>
  <si>
    <t>Извори финансирања за функцију 510:</t>
  </si>
  <si>
    <t>Функција 510:</t>
  </si>
  <si>
    <t>Извори финансирања за функцију 660:</t>
  </si>
  <si>
    <t>Функција 660:</t>
  </si>
  <si>
    <t>Извори финансирања за функцију 640:</t>
  </si>
  <si>
    <t>Функција 640:</t>
  </si>
  <si>
    <t xml:space="preserve">0601-0002  </t>
  </si>
  <si>
    <t xml:space="preserve">0601-0001  </t>
  </si>
  <si>
    <t>Извори финансирања за програмску активност 0601-0001:</t>
  </si>
  <si>
    <t>Свега за програмску активност 0601-0001:</t>
  </si>
  <si>
    <t>Извори финансирања за програмску активност 0601-0002:</t>
  </si>
  <si>
    <t>Свега за програмску активност 0601-0002:</t>
  </si>
  <si>
    <t xml:space="preserve">0601-0006  </t>
  </si>
  <si>
    <t>Извори финансирања за програмску активност 0601-0006:</t>
  </si>
  <si>
    <t>Свега за програмску активност 0601-0006:</t>
  </si>
  <si>
    <t xml:space="preserve">0601-0008 </t>
  </si>
  <si>
    <t xml:space="preserve">0601-0009  </t>
  </si>
  <si>
    <t xml:space="preserve">0601-0010  </t>
  </si>
  <si>
    <t xml:space="preserve">0601-0014  </t>
  </si>
  <si>
    <t>Извори финансирања за програмску активност 0601-0008:</t>
  </si>
  <si>
    <t>Свега за програмску активност 0601-0008:</t>
  </si>
  <si>
    <t>Извори финансирања за програмску активност 0601-0009:</t>
  </si>
  <si>
    <t>Свега за програмску активност 0601-0009:</t>
  </si>
  <si>
    <t>Извори финансирања за програмску активност 0601-0010:</t>
  </si>
  <si>
    <t>Свега за програмску активност 0601-0010:</t>
  </si>
  <si>
    <t>Извори финансирања за програмску активност 0601-0011:</t>
  </si>
  <si>
    <t>Свега за програмску активност 0601-0011:</t>
  </si>
  <si>
    <t>Извори финансирања за програмску активност 0601-0014:</t>
  </si>
  <si>
    <t>Свега за програмску активност 0601-0014:</t>
  </si>
  <si>
    <t xml:space="preserve">0701-0001  </t>
  </si>
  <si>
    <t>Извори финансирања за програмску активност 0701-0001:</t>
  </si>
  <si>
    <t>Свега за програмску активност 0701-0001:</t>
  </si>
  <si>
    <t>Извори финансирања за Главу 7:</t>
  </si>
  <si>
    <t>Свега за Главу 7:</t>
  </si>
  <si>
    <t>Свега за Главу 6:</t>
  </si>
  <si>
    <t>Извори финансирања за функцију 820:</t>
  </si>
  <si>
    <t>Функција 820:</t>
  </si>
  <si>
    <t>Извори финансирања за програмску активност 1201-0001:</t>
  </si>
  <si>
    <t>Свега за програмску активност 1201-0001:</t>
  </si>
  <si>
    <t>1201-0003</t>
  </si>
  <si>
    <t>1201-0004</t>
  </si>
  <si>
    <t>Извори финансирања за пројекат 1201-0002:</t>
  </si>
  <si>
    <t>Извори финансирања за пројекат 1201-0003:</t>
  </si>
  <si>
    <t>Извори финансирања за пројекат 1201-0004:</t>
  </si>
  <si>
    <t>Извори финансирања за функцију 911:</t>
  </si>
  <si>
    <t>Функција 911:</t>
  </si>
  <si>
    <t>Извори финансирања за функцију 912:</t>
  </si>
  <si>
    <t>Функција 912:</t>
  </si>
  <si>
    <t>Извори финансирања за Главу 9:</t>
  </si>
  <si>
    <t>Свега за Главу 9:</t>
  </si>
  <si>
    <t>Извори финансирања за Програм 9:</t>
  </si>
  <si>
    <t>Свега за Програм 9:</t>
  </si>
  <si>
    <t>Извори финансирања за Главу 10:</t>
  </si>
  <si>
    <t>Свега за Главу 10:</t>
  </si>
  <si>
    <t>Извори финансирања за функцију 920:</t>
  </si>
  <si>
    <t>Функција 920:</t>
  </si>
  <si>
    <t>Извори финансирања за Главу 12:</t>
  </si>
  <si>
    <t>Свега за Главу 12:</t>
  </si>
  <si>
    <t>Извори финансирања за Главу 13:</t>
  </si>
  <si>
    <t>Свега за Главу 13:</t>
  </si>
  <si>
    <t>Извори финансирања за програмску активност 0602-0005:</t>
  </si>
  <si>
    <t>Свега за програмску активност 0602-0005:</t>
  </si>
  <si>
    <t>Извори финансирања за Програмску активност 0901-0004:</t>
  </si>
  <si>
    <t>Свега за Програмску активност 0901-0004:</t>
  </si>
  <si>
    <t>Извори финансирања за програмску активност 2003-0001:</t>
  </si>
  <si>
    <t>Свега за програмску активност 2003-0001:</t>
  </si>
  <si>
    <t>Извори финансирања за програмску активност 2002-0001:</t>
  </si>
  <si>
    <t>Свега за програмску активност 2002-0001:</t>
  </si>
  <si>
    <t>Извори финансирања за програмску активност 2001-0001:</t>
  </si>
  <si>
    <t>Свега за програмску активност 2001-0001:</t>
  </si>
  <si>
    <t>Извори финансирања за функцију 550:</t>
  </si>
  <si>
    <t>Функција 550:</t>
  </si>
  <si>
    <t>Извори финансирања за функцију 733:</t>
  </si>
  <si>
    <t>Извори финансирања за Програм 10:</t>
  </si>
  <si>
    <t>Свега за Програм 10:</t>
  </si>
  <si>
    <t>Свега за Раздео 5:</t>
  </si>
  <si>
    <t>ТЕКУЋИ РАСХОДИ</t>
  </si>
  <si>
    <t>КАПИТАЛНИ ИЗДАЦИ</t>
  </si>
  <si>
    <t>Изворни приходи</t>
  </si>
  <si>
    <t>Уступљени приходи</t>
  </si>
  <si>
    <t>Легенда</t>
  </si>
  <si>
    <t>0701-0002</t>
  </si>
  <si>
    <t>1101-0001</t>
  </si>
  <si>
    <t>1101-0002</t>
  </si>
  <si>
    <t>1101-П1</t>
  </si>
  <si>
    <t>1101-П2</t>
  </si>
  <si>
    <t>1101-П3</t>
  </si>
  <si>
    <t>1101-П4</t>
  </si>
  <si>
    <t>1101-П5</t>
  </si>
  <si>
    <t>1101-П6</t>
  </si>
  <si>
    <t>1101-П7</t>
  </si>
  <si>
    <t>1101-П8</t>
  </si>
  <si>
    <t>1101-П9</t>
  </si>
  <si>
    <t>1101-П10</t>
  </si>
  <si>
    <t>1101-П11</t>
  </si>
  <si>
    <t>1101-П12</t>
  </si>
  <si>
    <t>1101-П13</t>
  </si>
  <si>
    <t>1101-П14</t>
  </si>
  <si>
    <t>1101-П15</t>
  </si>
  <si>
    <t>1101-П16</t>
  </si>
  <si>
    <t>1101-П17</t>
  </si>
  <si>
    <t>1101-П18</t>
  </si>
  <si>
    <t>1101-П19</t>
  </si>
  <si>
    <t>1101-П20</t>
  </si>
  <si>
    <t>1101-П21</t>
  </si>
  <si>
    <t>1101-П22</t>
  </si>
  <si>
    <t>1101-П23</t>
  </si>
  <si>
    <t>1101-П24</t>
  </si>
  <si>
    <t>Свега за пројекат 1101-П1:</t>
  </si>
  <si>
    <t xml:space="preserve"> Попис и укњижење јавне имовине Града</t>
  </si>
  <si>
    <t>0601-П1</t>
  </si>
  <si>
    <t>0601-П2</t>
  </si>
  <si>
    <t>0601-П3</t>
  </si>
  <si>
    <t>0601-П4</t>
  </si>
  <si>
    <t>0601-П5</t>
  </si>
  <si>
    <t>0601-П6</t>
  </si>
  <si>
    <t>0601-П7</t>
  </si>
  <si>
    <t>0601-П8</t>
  </si>
  <si>
    <t>0601-П9</t>
  </si>
  <si>
    <t>0601-П10</t>
  </si>
  <si>
    <t>0601-П11</t>
  </si>
  <si>
    <t>0601-П12</t>
  </si>
  <si>
    <t>0601-П13</t>
  </si>
  <si>
    <t>0601-П14</t>
  </si>
  <si>
    <t>0601-П15</t>
  </si>
  <si>
    <t>0601-П16</t>
  </si>
  <si>
    <t>0601-П17</t>
  </si>
  <si>
    <t>0601-П18</t>
  </si>
  <si>
    <t>0601-П19</t>
  </si>
  <si>
    <t>0601-П20</t>
  </si>
  <si>
    <t>0601-П21</t>
  </si>
  <si>
    <t>0601-П22</t>
  </si>
  <si>
    <t>0601-П23</t>
  </si>
  <si>
    <t>0601-П24</t>
  </si>
  <si>
    <t>0601-П25</t>
  </si>
  <si>
    <t>0601-П26</t>
  </si>
  <si>
    <t>0601-П27</t>
  </si>
  <si>
    <t>0601-П28</t>
  </si>
  <si>
    <t>0601-П29</t>
  </si>
  <si>
    <t>0601-П30</t>
  </si>
  <si>
    <t>0601-П31</t>
  </si>
  <si>
    <t>0601-П32</t>
  </si>
  <si>
    <t>0601-П33</t>
  </si>
  <si>
    <t>0601-П34</t>
  </si>
  <si>
    <t>0601-П35</t>
  </si>
  <si>
    <t>0601-П36</t>
  </si>
  <si>
    <t>0601-П37</t>
  </si>
  <si>
    <t>0601-П38</t>
  </si>
  <si>
    <t>0601-П39</t>
  </si>
  <si>
    <t>0601-П40</t>
  </si>
  <si>
    <t>0601-П41</t>
  </si>
  <si>
    <t>0601-П42</t>
  </si>
  <si>
    <t>0601-П43</t>
  </si>
  <si>
    <t>0601-П44</t>
  </si>
  <si>
    <t>0601-П45</t>
  </si>
  <si>
    <t>0601-П46</t>
  </si>
  <si>
    <t>0601-П47</t>
  </si>
  <si>
    <t>0601-П48</t>
  </si>
  <si>
    <t>0601-П49</t>
  </si>
  <si>
    <t>0601-П50</t>
  </si>
  <si>
    <t>1501-П1</t>
  </si>
  <si>
    <t>1501-П2</t>
  </si>
  <si>
    <t>1501-П3</t>
  </si>
  <si>
    <t>1501-П4</t>
  </si>
  <si>
    <t>1501-П5</t>
  </si>
  <si>
    <t>1501-П6</t>
  </si>
  <si>
    <t>1501-П7</t>
  </si>
  <si>
    <t>1501-П8</t>
  </si>
  <si>
    <t>1501-П9</t>
  </si>
  <si>
    <t>1501-П10</t>
  </si>
  <si>
    <t>1501-П11</t>
  </si>
  <si>
    <t>1501-П12</t>
  </si>
  <si>
    <t>1501-П13</t>
  </si>
  <si>
    <t>1501-П14</t>
  </si>
  <si>
    <t>1501-П15</t>
  </si>
  <si>
    <t>1501-П16</t>
  </si>
  <si>
    <t>1501-П17</t>
  </si>
  <si>
    <t>1501-П18</t>
  </si>
  <si>
    <t>1501-П19</t>
  </si>
  <si>
    <t>1501-П20</t>
  </si>
  <si>
    <t>1501-П21</t>
  </si>
  <si>
    <t>1501-П22</t>
  </si>
  <si>
    <t>1501-П23</t>
  </si>
  <si>
    <t>1501-П24</t>
  </si>
  <si>
    <t>1502-П1</t>
  </si>
  <si>
    <t>1502-П2</t>
  </si>
  <si>
    <t>1502-П3</t>
  </si>
  <si>
    <t>1502-П4</t>
  </si>
  <si>
    <t>1502-П5</t>
  </si>
  <si>
    <t>1502-П6</t>
  </si>
  <si>
    <t>1502-П7</t>
  </si>
  <si>
    <t>1502-П8</t>
  </si>
  <si>
    <t>1502-П9</t>
  </si>
  <si>
    <t>1502-П10</t>
  </si>
  <si>
    <t>1502-П11</t>
  </si>
  <si>
    <t>1502-П12</t>
  </si>
  <si>
    <t>1502-П13</t>
  </si>
  <si>
    <t>1502-П14</t>
  </si>
  <si>
    <t>1502-П15</t>
  </si>
  <si>
    <t>1502-П16</t>
  </si>
  <si>
    <t>1502-П17</t>
  </si>
  <si>
    <t>1502-П18</t>
  </si>
  <si>
    <t>1502-П19</t>
  </si>
  <si>
    <t>1502-П20</t>
  </si>
  <si>
    <t>1502-П21</t>
  </si>
  <si>
    <t>1502-П22</t>
  </si>
  <si>
    <t>1502-П23</t>
  </si>
  <si>
    <t>1502-П24</t>
  </si>
  <si>
    <t>0101-П1</t>
  </si>
  <si>
    <t>0101-П2</t>
  </si>
  <si>
    <t>0101-П3</t>
  </si>
  <si>
    <t>0101-П4</t>
  </si>
  <si>
    <t>0101-П5</t>
  </si>
  <si>
    <t>0101-П6</t>
  </si>
  <si>
    <t>0101-П7</t>
  </si>
  <si>
    <t>0101-П8</t>
  </si>
  <si>
    <t>0101-П9</t>
  </si>
  <si>
    <t>0101-П10</t>
  </si>
  <si>
    <t>0101-П11</t>
  </si>
  <si>
    <t>0101-П12</t>
  </si>
  <si>
    <t>0101-П13</t>
  </si>
  <si>
    <t>0101-П14</t>
  </si>
  <si>
    <t>0101-П15</t>
  </si>
  <si>
    <t>0101-П16</t>
  </si>
  <si>
    <t>0401-П1</t>
  </si>
  <si>
    <t>0401-П2</t>
  </si>
  <si>
    <t>0401-П3</t>
  </si>
  <si>
    <t>0401-П4</t>
  </si>
  <si>
    <t>0401-П5</t>
  </si>
  <si>
    <t>0401-П6</t>
  </si>
  <si>
    <t>0401-П7</t>
  </si>
  <si>
    <t>0401-П8</t>
  </si>
  <si>
    <t>0401-П9</t>
  </si>
  <si>
    <t>0401-П10</t>
  </si>
  <si>
    <t>0401-П11</t>
  </si>
  <si>
    <t>0401-П12</t>
  </si>
  <si>
    <t>0401-П13</t>
  </si>
  <si>
    <t>0401-П14</t>
  </si>
  <si>
    <t>0401-П15</t>
  </si>
  <si>
    <t>0701-П1</t>
  </si>
  <si>
    <t>0701-П2</t>
  </si>
  <si>
    <t>0701-П3</t>
  </si>
  <si>
    <t>0701-П4</t>
  </si>
  <si>
    <t>0701-П5</t>
  </si>
  <si>
    <t>0701-П6</t>
  </si>
  <si>
    <t>0701-П7</t>
  </si>
  <si>
    <t>0701-П8</t>
  </si>
  <si>
    <t>0701-П9</t>
  </si>
  <si>
    <t>0701-П10</t>
  </si>
  <si>
    <t>0701-П11</t>
  </si>
  <si>
    <t>0701-П12</t>
  </si>
  <si>
    <t>0701-П13</t>
  </si>
  <si>
    <t>0701-П14</t>
  </si>
  <si>
    <t>0701-П15</t>
  </si>
  <si>
    <t>0701-П16</t>
  </si>
  <si>
    <t>0701-П17</t>
  </si>
  <si>
    <t>0701-П18</t>
  </si>
  <si>
    <t>0701-П19</t>
  </si>
  <si>
    <t>0701-П20</t>
  </si>
  <si>
    <t>0701-П21</t>
  </si>
  <si>
    <t>0701-П22</t>
  </si>
  <si>
    <t>0701-П23</t>
  </si>
  <si>
    <t>0701-П24</t>
  </si>
  <si>
    <t>0701-П25</t>
  </si>
  <si>
    <t>0701-П26</t>
  </si>
  <si>
    <t>0701-П27</t>
  </si>
  <si>
    <t>0701-П28</t>
  </si>
  <si>
    <t>0701-П29</t>
  </si>
  <si>
    <t>0701-П30</t>
  </si>
  <si>
    <t>0701-П31</t>
  </si>
  <si>
    <t>0701-П32</t>
  </si>
  <si>
    <t>0701-П33</t>
  </si>
  <si>
    <t>0701-П34</t>
  </si>
  <si>
    <t>0701-П35</t>
  </si>
  <si>
    <t>0701-П36</t>
  </si>
  <si>
    <t>0701-П37</t>
  </si>
  <si>
    <t>0701-П38</t>
  </si>
  <si>
    <t>0701-П39</t>
  </si>
  <si>
    <t>0701-П40</t>
  </si>
  <si>
    <t>0701-П41</t>
  </si>
  <si>
    <t>0701-П42</t>
  </si>
  <si>
    <t>0701-П43</t>
  </si>
  <si>
    <t>0701-П44</t>
  </si>
  <si>
    <t>0701-П45</t>
  </si>
  <si>
    <t>0701-П46</t>
  </si>
  <si>
    <t>0701-П47</t>
  </si>
  <si>
    <t>0701-П48</t>
  </si>
  <si>
    <t>0701-П49</t>
  </si>
  <si>
    <t>0701-П50</t>
  </si>
  <si>
    <t>2001-П3</t>
  </si>
  <si>
    <t>2001-П4</t>
  </si>
  <si>
    <t>2001-П5</t>
  </si>
  <si>
    <t>2001-П6</t>
  </si>
  <si>
    <t>2001-П7</t>
  </si>
  <si>
    <t>2001-П8</t>
  </si>
  <si>
    <t>2001-П9</t>
  </si>
  <si>
    <t>2001-П10</t>
  </si>
  <si>
    <t>2001-П11</t>
  </si>
  <si>
    <t>2001-П12</t>
  </si>
  <si>
    <t>2001-П13</t>
  </si>
  <si>
    <t>2001-П14</t>
  </si>
  <si>
    <t>2001-П15</t>
  </si>
  <si>
    <t>2001-П16</t>
  </si>
  <si>
    <t>2001-П17</t>
  </si>
  <si>
    <t>2001-П18</t>
  </si>
  <si>
    <t>2001-П19</t>
  </si>
  <si>
    <t>2001-П20</t>
  </si>
  <si>
    <t>2001-П21</t>
  </si>
  <si>
    <t>2001-П22</t>
  </si>
  <si>
    <t>2001-П23</t>
  </si>
  <si>
    <t>2001-П24</t>
  </si>
  <si>
    <t>2001-П25</t>
  </si>
  <si>
    <t>2001-П26</t>
  </si>
  <si>
    <t>2001-П27</t>
  </si>
  <si>
    <t>2001-П28</t>
  </si>
  <si>
    <t>2001-П29</t>
  </si>
  <si>
    <t>2002-П1</t>
  </si>
  <si>
    <t>2002-П2</t>
  </si>
  <si>
    <t>2002-П3</t>
  </si>
  <si>
    <t>2002-П4</t>
  </si>
  <si>
    <t>2002-П5</t>
  </si>
  <si>
    <t>2002-П6</t>
  </si>
  <si>
    <t>2002-П7</t>
  </si>
  <si>
    <t>2002-П8</t>
  </si>
  <si>
    <t>2002-П9</t>
  </si>
  <si>
    <t>2002-П10</t>
  </si>
  <si>
    <t>2002-П11</t>
  </si>
  <si>
    <t>2002-П12</t>
  </si>
  <si>
    <t>2002-П13</t>
  </si>
  <si>
    <t>2002-П14</t>
  </si>
  <si>
    <t>2002-П15</t>
  </si>
  <si>
    <t>2002-П16</t>
  </si>
  <si>
    <t>2002-П17</t>
  </si>
  <si>
    <t>2002-П18</t>
  </si>
  <si>
    <t>2002-П19</t>
  </si>
  <si>
    <t>2002-П20</t>
  </si>
  <si>
    <t>2002-П21</t>
  </si>
  <si>
    <t>2002-П22</t>
  </si>
  <si>
    <t>2002-П23</t>
  </si>
  <si>
    <t>2002-П24</t>
  </si>
  <si>
    <t>2002-П25</t>
  </si>
  <si>
    <t>2002-П26</t>
  </si>
  <si>
    <t>2002-П27</t>
  </si>
  <si>
    <t>2002-П28</t>
  </si>
  <si>
    <t>2002-П29</t>
  </si>
  <si>
    <t>2002-П30</t>
  </si>
  <si>
    <t>2003-П1</t>
  </si>
  <si>
    <t>2003-П2</t>
  </si>
  <si>
    <t>2003-П3</t>
  </si>
  <si>
    <t>2003-П4</t>
  </si>
  <si>
    <t>2003-П5</t>
  </si>
  <si>
    <t>2003-П6</t>
  </si>
  <si>
    <t>2003-П7</t>
  </si>
  <si>
    <t>2003-П8</t>
  </si>
  <si>
    <t>2003-П9</t>
  </si>
  <si>
    <t>2003-П10</t>
  </si>
  <si>
    <t>2003-П11</t>
  </si>
  <si>
    <t>2003-П12</t>
  </si>
  <si>
    <t>2003-П13</t>
  </si>
  <si>
    <t>2003-П14</t>
  </si>
  <si>
    <t>2003-П15</t>
  </si>
  <si>
    <t>2003-П16</t>
  </si>
  <si>
    <t>2003-П17</t>
  </si>
  <si>
    <t>2003-П18</t>
  </si>
  <si>
    <t>2003-П19</t>
  </si>
  <si>
    <t>2003-П20</t>
  </si>
  <si>
    <t>2003-П21</t>
  </si>
  <si>
    <t>2003-П22</t>
  </si>
  <si>
    <t>2003-П23</t>
  </si>
  <si>
    <t>2003-П24</t>
  </si>
  <si>
    <t>2003-П25</t>
  </si>
  <si>
    <t>2003-П26</t>
  </si>
  <si>
    <t>2003-П27</t>
  </si>
  <si>
    <t>2003-П28</t>
  </si>
  <si>
    <t>2003-П29</t>
  </si>
  <si>
    <t>2003-П30</t>
  </si>
  <si>
    <t>2001-П30</t>
  </si>
  <si>
    <t>0901-П1</t>
  </si>
  <si>
    <t>0901-П2</t>
  </si>
  <si>
    <t>0901-П3</t>
  </si>
  <si>
    <t>0901-П4</t>
  </si>
  <si>
    <t>0901-П5</t>
  </si>
  <si>
    <t>0901-П6</t>
  </si>
  <si>
    <t>0901-П7</t>
  </si>
  <si>
    <t>0901-П8</t>
  </si>
  <si>
    <t>0901-П9</t>
  </si>
  <si>
    <t>0901-П10</t>
  </si>
  <si>
    <t>0901-П11</t>
  </si>
  <si>
    <t>0901-П12</t>
  </si>
  <si>
    <t>0901-П13</t>
  </si>
  <si>
    <t>0901-П14</t>
  </si>
  <si>
    <t>0901-П15</t>
  </si>
  <si>
    <t>0901-П16</t>
  </si>
  <si>
    <t>0901-П17</t>
  </si>
  <si>
    <t>0901-П18</t>
  </si>
  <si>
    <t>0901-П19</t>
  </si>
  <si>
    <t>0901-П20</t>
  </si>
  <si>
    <t>0901-П21</t>
  </si>
  <si>
    <t>0901-П22</t>
  </si>
  <si>
    <t>0901-П23</t>
  </si>
  <si>
    <t>0901-П24</t>
  </si>
  <si>
    <t>0901-П25</t>
  </si>
  <si>
    <t>0901-П26</t>
  </si>
  <si>
    <t>0901-П27</t>
  </si>
  <si>
    <t>0901-П28</t>
  </si>
  <si>
    <t>0901-П29</t>
  </si>
  <si>
    <t>0901-П30</t>
  </si>
  <si>
    <t>1801-П1</t>
  </si>
  <si>
    <t>1801-П2</t>
  </si>
  <si>
    <t>1801-П3</t>
  </si>
  <si>
    <t>1801-П4</t>
  </si>
  <si>
    <t>1801-П5</t>
  </si>
  <si>
    <t>1801-П6</t>
  </si>
  <si>
    <t>1801-П7</t>
  </si>
  <si>
    <t>1801-П8</t>
  </si>
  <si>
    <t>1801-П9</t>
  </si>
  <si>
    <t>1801-П10</t>
  </si>
  <si>
    <t>1801-П11</t>
  </si>
  <si>
    <t>1801-П12</t>
  </si>
  <si>
    <t>1801-П13</t>
  </si>
  <si>
    <t>1801-П14</t>
  </si>
  <si>
    <t>1801-П15</t>
  </si>
  <si>
    <t>1801-П16</t>
  </si>
  <si>
    <t>1801-П17</t>
  </si>
  <si>
    <t>1801-П18</t>
  </si>
  <si>
    <t>1801-П19</t>
  </si>
  <si>
    <t>1801-П20</t>
  </si>
  <si>
    <t>1801-П21</t>
  </si>
  <si>
    <t>1801-П22</t>
  </si>
  <si>
    <t>1801-П23</t>
  </si>
  <si>
    <t>1801-П24</t>
  </si>
  <si>
    <t>1801-П25</t>
  </si>
  <si>
    <t>1801-П26</t>
  </si>
  <si>
    <t>1801-П27</t>
  </si>
  <si>
    <t>1801-П28</t>
  </si>
  <si>
    <t>1801-П29</t>
  </si>
  <si>
    <t>1801-П30</t>
  </si>
  <si>
    <t>1201-П1</t>
  </si>
  <si>
    <t>1201-П2</t>
  </si>
  <si>
    <t>1201-П3</t>
  </si>
  <si>
    <t>1201-П4</t>
  </si>
  <si>
    <t>1201-П5</t>
  </si>
  <si>
    <t>1201-П6</t>
  </si>
  <si>
    <t>1201-П7</t>
  </si>
  <si>
    <t>1201-П8</t>
  </si>
  <si>
    <t>1201-П9</t>
  </si>
  <si>
    <t>1201-П10</t>
  </si>
  <si>
    <t>1201-П11</t>
  </si>
  <si>
    <t>1201-П12</t>
  </si>
  <si>
    <t>1201-П13</t>
  </si>
  <si>
    <t>1201-П14</t>
  </si>
  <si>
    <t>1201-П15</t>
  </si>
  <si>
    <t>1201-П16</t>
  </si>
  <si>
    <t>1201-П17</t>
  </si>
  <si>
    <t>1201-П18</t>
  </si>
  <si>
    <t>1201-П19</t>
  </si>
  <si>
    <t>1201-П20</t>
  </si>
  <si>
    <t>1201-П21</t>
  </si>
  <si>
    <t>1201-П22</t>
  </si>
  <si>
    <t>1201-П23</t>
  </si>
  <si>
    <t>1201-П24</t>
  </si>
  <si>
    <t>1201-П25</t>
  </si>
  <si>
    <t>1201-П26</t>
  </si>
  <si>
    <t>1201-П27</t>
  </si>
  <si>
    <t>1201-П28</t>
  </si>
  <si>
    <t>1201-П29</t>
  </si>
  <si>
    <t>1201-П30</t>
  </si>
  <si>
    <t>1201-П31</t>
  </si>
  <si>
    <t>1201-П32</t>
  </si>
  <si>
    <t>1201-П33</t>
  </si>
  <si>
    <t>1201-П34</t>
  </si>
  <si>
    <t>1201-П35</t>
  </si>
  <si>
    <t>1201-П36</t>
  </si>
  <si>
    <t>1201-П37</t>
  </si>
  <si>
    <t>1201-П38</t>
  </si>
  <si>
    <t>1201-П39</t>
  </si>
  <si>
    <t>1201-П40</t>
  </si>
  <si>
    <t>1201-П41</t>
  </si>
  <si>
    <t>1201-П42</t>
  </si>
  <si>
    <t>1201-П43</t>
  </si>
  <si>
    <t>1201-П44</t>
  </si>
  <si>
    <t>1201-П45</t>
  </si>
  <si>
    <t>1201-П46</t>
  </si>
  <si>
    <t>1201-П47</t>
  </si>
  <si>
    <t>1201-П48</t>
  </si>
  <si>
    <t>1201-П49</t>
  </si>
  <si>
    <t>1201-П50</t>
  </si>
  <si>
    <t>1301-П1</t>
  </si>
  <si>
    <t>1301-П2</t>
  </si>
  <si>
    <t>1301-П3</t>
  </si>
  <si>
    <t>1301-П4</t>
  </si>
  <si>
    <t>1301-П5</t>
  </si>
  <si>
    <t>1301-П6</t>
  </si>
  <si>
    <t>1301-П7</t>
  </si>
  <si>
    <t>1301-П8</t>
  </si>
  <si>
    <t>1301-П9</t>
  </si>
  <si>
    <t>1301-П10</t>
  </si>
  <si>
    <t>1301-П11</t>
  </si>
  <si>
    <t>1301-П12</t>
  </si>
  <si>
    <t>1301-П13</t>
  </si>
  <si>
    <t>1301-П14</t>
  </si>
  <si>
    <t>1301-П15</t>
  </si>
  <si>
    <t>1301-П16</t>
  </si>
  <si>
    <t>1301-П17</t>
  </si>
  <si>
    <t>1301-П18</t>
  </si>
  <si>
    <t>1301-П19</t>
  </si>
  <si>
    <t>1301-П20</t>
  </si>
  <si>
    <t>1301-П21</t>
  </si>
  <si>
    <t>1301-П22</t>
  </si>
  <si>
    <t>1301-П23</t>
  </si>
  <si>
    <t>1301-П24</t>
  </si>
  <si>
    <t>1301-П25</t>
  </si>
  <si>
    <t>1301-П26</t>
  </si>
  <si>
    <t>1301-П27</t>
  </si>
  <si>
    <t>1301-П28</t>
  </si>
  <si>
    <t>1301-П29</t>
  </si>
  <si>
    <t>1301-П30</t>
  </si>
  <si>
    <t>1301-П31</t>
  </si>
  <si>
    <t>1301-П32</t>
  </si>
  <si>
    <t>1301-П33</t>
  </si>
  <si>
    <t>1301-П34</t>
  </si>
  <si>
    <t>1301-П35</t>
  </si>
  <si>
    <t>1301-П36</t>
  </si>
  <si>
    <t>1301-П37</t>
  </si>
  <si>
    <t>1301-П38</t>
  </si>
  <si>
    <t>1301-П39</t>
  </si>
  <si>
    <t>1301-П40</t>
  </si>
  <si>
    <t>1301-П41</t>
  </si>
  <si>
    <t>1301-П42</t>
  </si>
  <si>
    <t>1301-П43</t>
  </si>
  <si>
    <t>1301-П44</t>
  </si>
  <si>
    <t>1301-П45</t>
  </si>
  <si>
    <t>1301-П46</t>
  </si>
  <si>
    <t>1301-П47</t>
  </si>
  <si>
    <t>1301-П48</t>
  </si>
  <si>
    <t>1301-П49</t>
  </si>
  <si>
    <t>1301-П50</t>
  </si>
  <si>
    <t>0602-П1</t>
  </si>
  <si>
    <t>0602-П2</t>
  </si>
  <si>
    <t>0602-П3</t>
  </si>
  <si>
    <t>0602-П4</t>
  </si>
  <si>
    <t>0602-П5</t>
  </si>
  <si>
    <t>0602-П6</t>
  </si>
  <si>
    <t>0602-П7</t>
  </si>
  <si>
    <t>0602-П8</t>
  </si>
  <si>
    <t>0602-П9</t>
  </si>
  <si>
    <t>0602-П10</t>
  </si>
  <si>
    <t>0602-П11</t>
  </si>
  <si>
    <t>0602-П12</t>
  </si>
  <si>
    <t>0602-П13</t>
  </si>
  <si>
    <t>0602-П14</t>
  </si>
  <si>
    <t>0602-П15</t>
  </si>
  <si>
    <t>0602-П16</t>
  </si>
  <si>
    <t>0602-П17</t>
  </si>
  <si>
    <t>0602-П18</t>
  </si>
  <si>
    <t>0602-П19</t>
  </si>
  <si>
    <t>0602-П20</t>
  </si>
  <si>
    <t>0602-П21</t>
  </si>
  <si>
    <t>0602-П22</t>
  </si>
  <si>
    <t>0602-П23</t>
  </si>
  <si>
    <t>0602-П24</t>
  </si>
  <si>
    <t>0602-П25</t>
  </si>
  <si>
    <t>0602-П26</t>
  </si>
  <si>
    <t>0602-П27</t>
  </si>
  <si>
    <t>0602-П28</t>
  </si>
  <si>
    <t>0602-П29</t>
  </si>
  <si>
    <t>0602-П30</t>
  </si>
  <si>
    <t>0602-П31</t>
  </si>
  <si>
    <t>0602-П32</t>
  </si>
  <si>
    <t>0602-П33</t>
  </si>
  <si>
    <t>0602-П34</t>
  </si>
  <si>
    <t>0602-П35</t>
  </si>
  <si>
    <t>0602-П36</t>
  </si>
  <si>
    <t>0602-П37</t>
  </si>
  <si>
    <t>0602-П38</t>
  </si>
  <si>
    <t>0602-П39</t>
  </si>
  <si>
    <t>0602-П40</t>
  </si>
  <si>
    <t>0602-П41</t>
  </si>
  <si>
    <t>0602-П42</t>
  </si>
  <si>
    <t>0602-П43</t>
  </si>
  <si>
    <t>0602-П44</t>
  </si>
  <si>
    <t>0602-П45</t>
  </si>
  <si>
    <t>0602-П46</t>
  </si>
  <si>
    <t>0602-П47</t>
  </si>
  <si>
    <t>0602-П48</t>
  </si>
  <si>
    <t>0602-П49</t>
  </si>
  <si>
    <t>0602-П50</t>
  </si>
  <si>
    <t>0602-П51</t>
  </si>
  <si>
    <t>0602-П52</t>
  </si>
  <si>
    <t>0602-П53</t>
  </si>
  <si>
    <t>0602-П54</t>
  </si>
  <si>
    <t>0602-П55</t>
  </si>
  <si>
    <t>0602-П56</t>
  </si>
  <si>
    <t>0602-П57</t>
  </si>
  <si>
    <t>0602-П58</t>
  </si>
  <si>
    <t>0602-П59</t>
  </si>
  <si>
    <t>0602-П60</t>
  </si>
  <si>
    <t>0602-П61</t>
  </si>
  <si>
    <t>0602-П62</t>
  </si>
  <si>
    <t>0602-П63</t>
  </si>
  <si>
    <t>0602-П64</t>
  </si>
  <si>
    <t>0602-П65</t>
  </si>
  <si>
    <t>0602-П66</t>
  </si>
  <si>
    <t>0602-П67</t>
  </si>
  <si>
    <t>0602-П68</t>
  </si>
  <si>
    <t>0602-П69</t>
  </si>
  <si>
    <t>0602-П70</t>
  </si>
  <si>
    <t>Свега за пројекат 0602-П1:</t>
  </si>
  <si>
    <t>Свега за пројекат 0602-П2:</t>
  </si>
  <si>
    <t>Извори финансирања за Пројекат 0101-П1:</t>
  </si>
  <si>
    <t>Свега за Пројекат 0101-П1:</t>
  </si>
  <si>
    <t>Свега за Пројекат 1801-П1:</t>
  </si>
  <si>
    <t>Свега за Пројекат 1502-П1:</t>
  </si>
  <si>
    <t>Свега за Пројекат 1502-П2:</t>
  </si>
  <si>
    <t>Свега за Пројекат 1502-П3:</t>
  </si>
  <si>
    <t>Свега за Пројекат 1502-П4:</t>
  </si>
  <si>
    <t>Свега за пројекат 0701-П1:</t>
  </si>
  <si>
    <t>Свега за пројекат 0701-П2:</t>
  </si>
  <si>
    <t>Свега за пројекат 1201-П1:</t>
  </si>
  <si>
    <t>Свега за пројекат 1201-П2:</t>
  </si>
  <si>
    <t>Свега за пројекат 1201-П3:</t>
  </si>
  <si>
    <t>Свега за пројекат 1201-:</t>
  </si>
  <si>
    <t>Свега за пројекат 1201:</t>
  </si>
  <si>
    <t>Свега за пројекат 1201-П4:</t>
  </si>
  <si>
    <t>Свега за пројекат 1201-П5:</t>
  </si>
  <si>
    <t>Свега за пројекат 1201-П6:</t>
  </si>
  <si>
    <t>Свега за пројекат 1201-П7:</t>
  </si>
  <si>
    <t>Свега за пројекат 2002-П1:</t>
  </si>
  <si>
    <t>Свега за пројекат 2002-П2:</t>
  </si>
  <si>
    <t>Свега за пројекат 2003-П2:</t>
  </si>
  <si>
    <t>Извори финансирања за пројекат 0701-П1:</t>
  </si>
  <si>
    <t>Извори финансирања за пројекат 0701-П3:</t>
  </si>
  <si>
    <t>Свега за пројекат 0701-П3:</t>
  </si>
  <si>
    <t>Извори финансирања за пројекат 1201-П1:</t>
  </si>
  <si>
    <t>Извори финансирања за пројекат 1201-П2:</t>
  </si>
  <si>
    <t>Извори финансирања за пројекат 1201-П3:</t>
  </si>
  <si>
    <t>Извори финансирања за пројекат 1201-П4:</t>
  </si>
  <si>
    <t>Извори финансирања за пројекат 1201-П5:</t>
  </si>
  <si>
    <t>Извори финансирања за пројекат 1201-П6:</t>
  </si>
  <si>
    <t>Извори финансирања за пројекат 0602-П7:</t>
  </si>
  <si>
    <t>Извори финансирања за пројекат 2001-П1:</t>
  </si>
  <si>
    <t>Извори финансирања за пројекат 2002-П2:</t>
  </si>
  <si>
    <t>Извори финансирања за пројекат 2003-П1:</t>
  </si>
  <si>
    <t>Свега за пројекат 2003-П1:</t>
  </si>
  <si>
    <t>Извори финансирања за пројекат 2003-П2:</t>
  </si>
  <si>
    <t>Извори финансирања за пројекат 0602-П1:</t>
  </si>
  <si>
    <t>Извори финансирања за пројекат 0602-П2:</t>
  </si>
  <si>
    <t>Извори финансирања за пројекат 1101-П1:</t>
  </si>
  <si>
    <t>Извори финансирања за Пројекат 1801-П1:</t>
  </si>
  <si>
    <t>Извори финансирања за Пројекат 0602-П3:</t>
  </si>
  <si>
    <t>Свега за Пројекат 0602-П3:</t>
  </si>
  <si>
    <t>Извори финансирања за Пројекат 1502-П1:</t>
  </si>
  <si>
    <t>Извори финансирања за Пројекат 1502-П2:</t>
  </si>
  <si>
    <t>Извори финансирања за Пројекат 1502-П3:</t>
  </si>
  <si>
    <t>Извори финансирања за Пројекат 1502-П4:</t>
  </si>
  <si>
    <t xml:space="preserve">0701-0002 </t>
  </si>
  <si>
    <t>Извори финансирања за програмску активност 0701-0002:</t>
  </si>
  <si>
    <t>Свега за програмску активност 0701-0002:</t>
  </si>
  <si>
    <t>Извори финансирања за пројекат 0701-П2:</t>
  </si>
  <si>
    <t>Извори финансирања за Главу 8.2:</t>
  </si>
  <si>
    <t>Свега за Главу 8.2:</t>
  </si>
  <si>
    <t>Извори финансирања за Главу 8.3:</t>
  </si>
  <si>
    <t>Свега за Главу 8.3:</t>
  </si>
  <si>
    <t>Извори финансирања за Главу 8.4:</t>
  </si>
  <si>
    <t>Свега за Главу 8.4:</t>
  </si>
  <si>
    <t>Извори финансирања за Главу 8.5:</t>
  </si>
  <si>
    <t>Свега за Главу 8.5:</t>
  </si>
  <si>
    <t>Извори финансирања за Главу 8.6:</t>
  </si>
  <si>
    <t>Свега за Главу 8.6:</t>
  </si>
  <si>
    <t>Извори финансирања за Главу 8.7:</t>
  </si>
  <si>
    <t>Свега за Главу 8.7:</t>
  </si>
  <si>
    <t xml:space="preserve">Прослава Дана особођења Града </t>
  </si>
  <si>
    <t>Прослава Градске славе - Света Тројица</t>
  </si>
  <si>
    <t>Унапређење привредног амбијента (КЛЕР)</t>
  </si>
  <si>
    <t>Подстицаји за развој предузетништва (БИЦ Јумко)</t>
  </si>
  <si>
    <t>Одржавање економске инфраструктуре (Слободна зона)</t>
  </si>
  <si>
    <t>Финансијска подршка локалном економском развоју ( камате за предузетнике)</t>
  </si>
  <si>
    <t>Стручна пракса 2015</t>
  </si>
  <si>
    <t>Извори финансирања за Пројекат 1501-П1</t>
  </si>
  <si>
    <t>Свега за Пројекат 1501-П1:</t>
  </si>
  <si>
    <t>Школа заваривања 2015</t>
  </si>
  <si>
    <t xml:space="preserve">Набавка стеоних јуница </t>
  </si>
  <si>
    <t>Суфинансирање вештачке оплодње</t>
  </si>
  <si>
    <t>Међународна смотра фолклора</t>
  </si>
  <si>
    <t>Етно сајам</t>
  </si>
  <si>
    <t>Меморијал Бакије Бакића</t>
  </si>
  <si>
    <t>Новогодишње украшавање града</t>
  </si>
  <si>
    <t>Извори финансирања за Пројекат 1502-П5:</t>
  </si>
  <si>
    <t>Свега за Пројекат 1502-П5:</t>
  </si>
  <si>
    <t>Постављање Ски лифта "Суво Рудиште"</t>
  </si>
  <si>
    <t>Изградња улице Боре Станковића</t>
  </si>
  <si>
    <t>Изградња ...</t>
  </si>
  <si>
    <t>Публикација књиге ....</t>
  </si>
  <si>
    <t>Изградња и опремање зграде Позоришта</t>
  </si>
  <si>
    <t>Школа у природи</t>
  </si>
  <si>
    <t>Изградња школе у Бресници</t>
  </si>
  <si>
    <t>- из осталих извора</t>
  </si>
  <si>
    <t>Набавка контејнера</t>
  </si>
  <si>
    <t xml:space="preserve">1101-0002 </t>
  </si>
  <si>
    <t xml:space="preserve">Уређивање грађевинског земљишта </t>
  </si>
  <si>
    <t>РАЗВОЈНИ ФОНД</t>
  </si>
  <si>
    <t>Извори финансирања за пројекат 1201-П7:</t>
  </si>
  <si>
    <t>Извори финансирања за пројекат 1201-П8:</t>
  </si>
  <si>
    <t>Свега за пројекат 1201-П8:</t>
  </si>
  <si>
    <t>Извори финансирања за пројекат 1201-П9:</t>
  </si>
  <si>
    <t>Свега за пројекат 1201-П9:</t>
  </si>
  <si>
    <t>Извори финансирања за пројекат 1201-П10:</t>
  </si>
  <si>
    <t>Свега за пројекат 1201-П10:</t>
  </si>
  <si>
    <t>Извори финансирања за пројекат 1201-П11:</t>
  </si>
  <si>
    <t>Свега за пројекат 1201-П11:</t>
  </si>
  <si>
    <t>Извори финансирања за пројекат 1201-П12:</t>
  </si>
  <si>
    <t>Свега за пројекат 1201-П12:</t>
  </si>
  <si>
    <t>Примања од продаје финансијске имовине (категорија 92 осим 9211, 9221, 9219, 9227, 9228)</t>
  </si>
  <si>
    <t>(7+8) - (4+5)+(92 - 62)</t>
  </si>
  <si>
    <t>Неутрошена средства из претходних година</t>
  </si>
  <si>
    <t>(91+92+3) - (61+6211)</t>
  </si>
  <si>
    <t>B.</t>
  </si>
  <si>
    <t>Примања од продаје финансијске имовине (конта 9211, 9221, 9219, 9227, 9228)</t>
  </si>
  <si>
    <t>Напомена 3: За расходе који се финансирају из осталих извора и који се приказују у тој колони, нису унете аутоматске суме  те је потребно да корисник сам изврши сумирања у тој колони.</t>
  </si>
  <si>
    <t>Издаци за набавку финансијске имовине која није у циљу спровођења јавних политика (део 62)</t>
  </si>
  <si>
    <t>Издаци за набавку финансијске имовине (у циљу спровођења јавних политика) категорија 62</t>
  </si>
  <si>
    <t>Прихватилишта,прихватне станице и друге врсте смештаја</t>
  </si>
  <si>
    <t>Свега за Програмску активност 0901-0001:</t>
  </si>
  <si>
    <t>Свега за Програмску активност 0901-0002:</t>
  </si>
  <si>
    <t>Свега за Пројекат 0901-П2:</t>
  </si>
  <si>
    <t>Извори финансирања за Пројекат 0901-П2</t>
  </si>
  <si>
    <t>Пројекат "Помоћ у кући"</t>
  </si>
  <si>
    <t>Извори финансирања за Пројекат 0901-П3</t>
  </si>
  <si>
    <t>Свега за Пројекат 0901-П3:</t>
  </si>
  <si>
    <t>Пројекат "Дневни боравак"</t>
  </si>
  <si>
    <t>Дринска регата</t>
  </si>
  <si>
    <t>Пројекат Набавка опреме</t>
  </si>
  <si>
    <t>4631</t>
  </si>
  <si>
    <t>4632</t>
  </si>
  <si>
    <t>СРЕДЊА ШКОЛА " ВУК КАРАЏИЋ"</t>
  </si>
  <si>
    <t>ФОНД ЗА БЕЗБЕДНОСТ САОБРАЋАЈА</t>
  </si>
  <si>
    <t>Извори финансирања за функцију 360:</t>
  </si>
  <si>
    <t>Јавни ред и безбедност некласификоване на друом месту</t>
  </si>
  <si>
    <t>Функција 360:</t>
  </si>
  <si>
    <t>Извори финансирања за функцију 860:</t>
  </si>
  <si>
    <t>Функција 860:</t>
  </si>
  <si>
    <t>Извори финансирања за Програмску активност 1201-0002:</t>
  </si>
  <si>
    <t>Свега за Програмску активност 1201-0002:</t>
  </si>
  <si>
    <t>Санација и унапређење енергетске ефикасности</t>
  </si>
  <si>
    <t>Пројекат реконструкције санитарног чвора</t>
  </si>
  <si>
    <t>Социјална давања запосленима                                 160.000</t>
  </si>
  <si>
    <t>Накнаде трошкова за запослене                             3.400.000</t>
  </si>
  <si>
    <t>Награде запосленима и остали посебни расходи  800.000</t>
  </si>
  <si>
    <t>Стални трошкови                                                        8.420.000</t>
  </si>
  <si>
    <t>Трошкови путовања                                                  8.820.000</t>
  </si>
  <si>
    <t>Услуге по уговору                                                     1.030.000</t>
  </si>
  <si>
    <t>Специјализоване услуге                                              370.000</t>
  </si>
  <si>
    <t>Текуће поправке и одржавање                               1.200.000</t>
  </si>
  <si>
    <t>Материјал                                                                    1.620.000</t>
  </si>
  <si>
    <t>Порези, обавезне таксе, казне и пенали                    30.000</t>
  </si>
  <si>
    <t>Новчане казне и пенали по решењу судова           150.000</t>
  </si>
  <si>
    <t>Машине и опрема                                                        600.000</t>
  </si>
  <si>
    <t>ОСНОВНA ШКОЛA " ПЕТАР ВРАГОЛИЋ"</t>
  </si>
  <si>
    <t>Извори финансирања за Главу</t>
  </si>
  <si>
    <t>Свега за Главу</t>
  </si>
  <si>
    <t>Извори финансирања за Програм :</t>
  </si>
  <si>
    <t>Свега за Програм :</t>
  </si>
  <si>
    <t>Извори финансирања за Главу 8:</t>
  </si>
  <si>
    <t>Свега за Главу 8:</t>
  </si>
  <si>
    <t>ЈП ДИРЕКЦИЈА ЗА ГРАЂЕВИНСКО ЗЕМЉИШТЕ И ПУТЕВЕ</t>
  </si>
  <si>
    <t xml:space="preserve">0601-0008  </t>
  </si>
  <si>
    <t>ПРОГРАМ 2: КОМУНАЛНА ДЕЛАТНОСТ</t>
  </si>
  <si>
    <t>Извори финансирања за Главу 11:</t>
  </si>
  <si>
    <t>Свега за Главу 11:</t>
  </si>
  <si>
    <t>Извори финансирања за Пројекат 0601-П1:</t>
  </si>
  <si>
    <t>Свега за Пројекат 0601-П1:</t>
  </si>
  <si>
    <t>Извори финансирања за раздео 3:</t>
  </si>
  <si>
    <t>Свега за раздео 3:</t>
  </si>
  <si>
    <t>Извори финансирања за Разделе 1,2 и 3 :</t>
  </si>
  <si>
    <t>Свега за Разделе 1,2 и 3:</t>
  </si>
  <si>
    <t>Извори финансирања за Главу 3:</t>
  </si>
  <si>
    <t>Свега за Главу 3:</t>
  </si>
  <si>
    <t>Извори финансирања за Пројекат 0901-П1</t>
  </si>
  <si>
    <t>Свега за Пројекат 0901-П1:</t>
  </si>
  <si>
    <t>Извори финансирања за Пројекат 0401-П1:</t>
  </si>
  <si>
    <t>Свега за Пројекат 0401-П1:</t>
  </si>
  <si>
    <t>2001-П1</t>
  </si>
  <si>
    <t>Свега за пројекат 2001-П1:</t>
  </si>
  <si>
    <t>2001-П2</t>
  </si>
  <si>
    <t>Извори финансирања за пројекат 2001-П2:</t>
  </si>
  <si>
    <t>Свега за пројекат 2001-П2:</t>
  </si>
  <si>
    <t>Извори финансирања за Програм 8:</t>
  </si>
  <si>
    <t>Свега за Програм 8:</t>
  </si>
  <si>
    <t>Извори финансирања за функцију 520:</t>
  </si>
  <si>
    <t>Функција 520:</t>
  </si>
  <si>
    <t xml:space="preserve">0601-0003  </t>
  </si>
  <si>
    <t>Oдржавање депоније</t>
  </si>
  <si>
    <t>Извори финансирања за програмску активност 0601-0003:</t>
  </si>
  <si>
    <t>Свега за програмску активност 0601-0003:</t>
  </si>
  <si>
    <t xml:space="preserve">0601-0007 </t>
  </si>
  <si>
    <t>Извори финансирања за програмску активност 0601-0007:</t>
  </si>
  <si>
    <t>Свега за програмску активност 0601-0007:</t>
  </si>
  <si>
    <t>Изградња магистралног цевовода Врхпоље - Горња Трешњица</t>
  </si>
  <si>
    <t>Извори финансирања за функцију 630 :</t>
  </si>
  <si>
    <t>Извори финансирања за функцију 520 :</t>
  </si>
  <si>
    <t>Извори финансирања за Пројекат 0601-П2:</t>
  </si>
  <si>
    <t>Свега за Пројекат 0601-П2:</t>
  </si>
  <si>
    <t>Фекална пумпна станица</t>
  </si>
  <si>
    <t>Колектор од Старе пекаре до магистралног пута Љубовија - М.Зворник</t>
  </si>
  <si>
    <t>Извори финансирања за Пројекат 0601-П3:</t>
  </si>
  <si>
    <t>Свега за Пројекат 0601-П3:</t>
  </si>
  <si>
    <t>Водовод и канализација у Омладинској улици</t>
  </si>
  <si>
    <t>Извори финансирања за Пројекат 0601-П4:</t>
  </si>
  <si>
    <t>Свега за Пројекат 0601-П4:</t>
  </si>
  <si>
    <t>Водовод и канализација у Првомајској улици</t>
  </si>
  <si>
    <t>Извори финансирања за Пројекат 0601-П5:</t>
  </si>
  <si>
    <t>Свега за Пројекат 0601-П5:</t>
  </si>
  <si>
    <t>Извори финансирања за функцију 660 :</t>
  </si>
  <si>
    <t>Извори финансирања за Пројекат 0601-П6:</t>
  </si>
  <si>
    <t>Свега за Пројекат 0601-П6:</t>
  </si>
  <si>
    <t>Уређење Новог гробља</t>
  </si>
  <si>
    <t>Израда пројектне документације</t>
  </si>
  <si>
    <t>Извори финансирања за Пројекат 0601-П7:</t>
  </si>
  <si>
    <t>Свега за Пројекат 0601-П7:</t>
  </si>
  <si>
    <t>Реконструкција улице С.Чупића-В.Мишића-7.јула са уређењем и реконструкцијом градског парка</t>
  </si>
  <si>
    <t>Изградња пута Жичара-Т.Приседо- Разбојиште- Кошље</t>
  </si>
  <si>
    <t>Извори финансирања за Пројекат 0701-П1</t>
  </si>
  <si>
    <t>Свега за Пројекат 0701-П1:</t>
  </si>
  <si>
    <t>Извори финансирања за Пројекат 0701-П2</t>
  </si>
  <si>
    <t>Свега за Пројекат 0701-П2:</t>
  </si>
  <si>
    <t>Рехабилитација локалног пута  Грабовица - Поднемић Манастир Свете Тројице</t>
  </si>
  <si>
    <t>Извори финансирања за Пројекат 0701-П3</t>
  </si>
  <si>
    <t>Свега за Пројекат 0701-П3:</t>
  </si>
  <si>
    <t xml:space="preserve">Рехабилитација Радничке улице </t>
  </si>
  <si>
    <t>Извори финансирања за Пројекат 0701-П4</t>
  </si>
  <si>
    <t>Свега за Пројекат 0701-П4:</t>
  </si>
  <si>
    <t xml:space="preserve">Рехабилитација Косовске улице </t>
  </si>
  <si>
    <t>Извори финансирања за Пројекат 0701-П5</t>
  </si>
  <si>
    <t>Свега за Пројекат 0701-П5:</t>
  </si>
  <si>
    <t>Рехабилитација Омладинске улице</t>
  </si>
  <si>
    <t>Извори финансирања за Пројекат 0701-П6</t>
  </si>
  <si>
    <t>Свега за Пројекат 0701-П6:</t>
  </si>
  <si>
    <t>Саобраћајна инфраструктура у индустријској зони уз државни пут 2. реда број 144</t>
  </si>
  <si>
    <t>Извори финансирања за Пројекат 0701-П7</t>
  </si>
  <si>
    <t>Свега за Пројекат 0701-П7:</t>
  </si>
  <si>
    <t>Рехабилитација локалних путева</t>
  </si>
  <si>
    <t>0101-0003</t>
  </si>
  <si>
    <t>Рурални развој</t>
  </si>
  <si>
    <t>Извори финансирања за Програмску активност 0101-0003:</t>
  </si>
  <si>
    <t>Свега за Програмску активност 0101-0003:</t>
  </si>
  <si>
    <t>Накнаде трошкова за запослене          350.000</t>
  </si>
  <si>
    <t>Социјална давања запосленима             85.000</t>
  </si>
  <si>
    <t>Награде запосленима и остали посебни расходи          242.787</t>
  </si>
  <si>
    <t>Стални трошкови                                               1.590.000</t>
  </si>
  <si>
    <t>Трошкови путовања                                            170.000</t>
  </si>
  <si>
    <t>Услуге по уговору                                               374.000</t>
  </si>
  <si>
    <t>Специјализоване услуге                                     111.900</t>
  </si>
  <si>
    <t>Текуће поправке и одржавање                      1.148.868</t>
  </si>
  <si>
    <t>Материјал                                                               452.945</t>
  </si>
  <si>
    <t>Порези, обавезне таксе, казне и пенали             20.000</t>
  </si>
  <si>
    <t>Машине и опрема                                                 200.000</t>
  </si>
  <si>
    <t>СЕКТОР ЗА ВАНРЕДНЕ СИТУАЦИЈЕ</t>
  </si>
  <si>
    <t>Изградња нисконапонске мреже на територији општине Љубовија</t>
  </si>
  <si>
    <t>Извори финансирања за Пројекат 0701-П8</t>
  </si>
  <si>
    <t>Свега за Пројекат 0701-П8:</t>
  </si>
  <si>
    <t>Реконструкција зграде општине 3.000.000</t>
  </si>
  <si>
    <t>Пројектна документација             3.000.000</t>
  </si>
  <si>
    <t>Од тога за адаптацију сале за састанке 2.000.000</t>
  </si>
  <si>
    <t>Јавна безбедност неквалификована на другом месту</t>
  </si>
  <si>
    <t>Цапарић-Леовић              5.700.000</t>
  </si>
  <si>
    <t>Битиновац-Лукића брдо     3.000.000</t>
  </si>
  <si>
    <t>Велики Мајдан - Селанац    3.000.000</t>
  </si>
  <si>
    <t>Козловац - Оровичка планина     4.500.000</t>
  </si>
  <si>
    <t>Т.Приседо - Разбојиште         3.000.000</t>
  </si>
  <si>
    <t>Текући наменски трансфери, у ужем смислу, од Републике у корист нивоа општина</t>
  </si>
  <si>
    <t>Општинске административне таксе</t>
  </si>
  <si>
    <t>Приходи који својом делатношћу остваре органи и организације</t>
  </si>
  <si>
    <t>745151</t>
  </si>
  <si>
    <t>Остали приходи укорист нивоа општине</t>
  </si>
  <si>
    <t>Ненаменски трансфери од Републике у корист нивоа општина</t>
  </si>
  <si>
    <t>733154</t>
  </si>
  <si>
    <t xml:space="preserve">План за 2015. </t>
  </si>
  <si>
    <t>Остали извори</t>
  </si>
  <si>
    <t>Буџетска средствау динарима</t>
  </si>
  <si>
    <t>Година почетка финансирања пројекта: 2013</t>
  </si>
  <si>
    <t>Година завршетка финансирања пројекта: 2015</t>
  </si>
  <si>
    <t>Укупна вредност пројекта: 75.000.000</t>
  </si>
  <si>
    <t>Година почетка финансирања пројекта:  2007</t>
  </si>
  <si>
    <t>Укупна вредност пројекта: 224.000.000</t>
  </si>
  <si>
    <t>Година почетка финансирања пројекта: 2014</t>
  </si>
  <si>
    <t>Укупна вредност пројекта: 11.000.000</t>
  </si>
  <si>
    <t>Година почетка финансирања пројекта: 2015</t>
  </si>
  <si>
    <t>Укупна вредност пројекта:  13.000.000</t>
  </si>
  <si>
    <t>Рехабилитација Радничке улице 300 м</t>
  </si>
  <si>
    <t>Рехабилитација Косовске улице 250м</t>
  </si>
  <si>
    <t>Укупна вредност пројекта: 3.400.000</t>
  </si>
  <si>
    <t>Рехабилитација Омладинске улице 200м</t>
  </si>
  <si>
    <t>Укупна вредност пројекта: 8.400.000</t>
  </si>
  <si>
    <t>Укупна вредност пројекта:  3.000.000</t>
  </si>
  <si>
    <t>Асфалтирање општинских путева</t>
  </si>
  <si>
    <t>Укупна вредност пројекта:  45.200.000</t>
  </si>
  <si>
    <t>Санација и унапређење енергетске ефикасности на згради ПУ Полетарац</t>
  </si>
  <si>
    <t>Укупна вредност пројекта: 7.600.000</t>
  </si>
  <si>
    <t>Укупна вредност пројекта: 22.600.000</t>
  </si>
  <si>
    <t>Укупна вредност пројекта:  10.600.000</t>
  </si>
  <si>
    <t>Укупна вредност пројекта:  7.500.000</t>
  </si>
  <si>
    <t>Година завршетка финансирања пројекта: 2016</t>
  </si>
  <si>
    <t>Водовод и канализација у Омладинској улици и Првомајској улици</t>
  </si>
  <si>
    <t>Укупна вредност пројекта: 18.000.000</t>
  </si>
  <si>
    <t>Уређење новог гробља</t>
  </si>
  <si>
    <t>Укупна вредност пројекта:  14.700.000</t>
  </si>
  <si>
    <t>Главни одводни колектор отпадних вода од Врхпоља до Кашица</t>
  </si>
  <si>
    <t>Година почетка финансирања пројекта: 2016</t>
  </si>
  <si>
    <t>Година завршетка финансирања пројекта: 2017</t>
  </si>
  <si>
    <t>Укупна вредност пројекта: 32.000.000</t>
  </si>
  <si>
    <t>Изградња постројења за пречишћавање отпадних вода</t>
  </si>
  <si>
    <t>Укупна вредност пројекта:  200.000.000</t>
  </si>
  <si>
    <t>Изградња магистралног цевовода Г.Љубовиђа-Д.Оровица</t>
  </si>
  <si>
    <t>Укупна вредност пројекта:  31.000.000</t>
  </si>
  <si>
    <t>Изградња магистралног цевовода Узовница - Грачаница</t>
  </si>
  <si>
    <t>Укупна вредност пројекта:  41.000.000</t>
  </si>
  <si>
    <t>59</t>
  </si>
  <si>
    <t>60</t>
  </si>
  <si>
    <t>Реконструкција зграде општине Љубовија</t>
  </si>
  <si>
    <t>Набавка минибагера</t>
  </si>
  <si>
    <t>Набавка машине за чишћење улица</t>
  </si>
  <si>
    <t>Набавка приколице за транспорт грађевинских машина</t>
  </si>
  <si>
    <t>Уређај за лоцирање кварова на водоводној мрежи</t>
  </si>
  <si>
    <t>О Д Л У К У</t>
  </si>
  <si>
    <t>О БУЏЕТУ ОПШТИНЕ ЉУБОВИЈА за 2015. годину</t>
  </si>
  <si>
    <t xml:space="preserve">                           Члан.1</t>
  </si>
  <si>
    <t xml:space="preserve">                       I  ОПШТИ ДЕО</t>
  </si>
  <si>
    <t xml:space="preserve">                           Члан.2</t>
  </si>
  <si>
    <r>
      <t xml:space="preserve">                   </t>
    </r>
    <r>
      <rPr>
        <sz val="11"/>
        <color theme="1"/>
        <rFont val="Times New Roman"/>
        <family val="1"/>
        <charset val="238"/>
      </rPr>
      <t>Овом одлуком уређују се приходи и примања, расходи и издаци буџета општине Љубовија за 2015. годину, њено извршење, коришћење донација, права и обавезе корисника буџетских средстава.</t>
    </r>
  </si>
  <si>
    <r>
      <t xml:space="preserve">                      </t>
    </r>
    <r>
      <rPr>
        <sz val="11"/>
        <color theme="1"/>
        <rFont val="Times New Roman"/>
        <family val="1"/>
        <charset val="238"/>
      </rPr>
      <t>Буџет општине Љубовија за 2015. годину састоји се од:</t>
    </r>
  </si>
  <si>
    <t xml:space="preserve">                           Члан 3.</t>
  </si>
  <si>
    <t xml:space="preserve">                     Буџет општине Љубовија за 2015. годину састоји се од :</t>
  </si>
  <si>
    <t xml:space="preserve">  - приходи и примања у износу од          592.745.100,00 динара</t>
  </si>
  <si>
    <t xml:space="preserve">   - расхода и издатака у износу од            592.745.100,00 динара</t>
  </si>
  <si>
    <t xml:space="preserve">                           Члан 4.</t>
  </si>
  <si>
    <t xml:space="preserve">                 Средства текуће буџетске резерве планирају се у буџету општине у износу од 4.000.000 динара .</t>
  </si>
  <si>
    <t xml:space="preserve">                Средства из става 1. овог члна користе се за непланиране сврхе за које нису утврђене апропријације или за сврхе за које се у току године покаже да апропријације нису биле довољне.</t>
  </si>
  <si>
    <t xml:space="preserve">                           Члан 5.</t>
  </si>
  <si>
    <t xml:space="preserve">                 Председник општине /општинско веће, на предлог локалног органа надлежног за финансије, доноси решење о употреби текуће буџетске резерве.</t>
  </si>
  <si>
    <t xml:space="preserve">                </t>
  </si>
  <si>
    <t xml:space="preserve">                Средства сталне буџетске резерве планирају се у буџету општине у износу од 500.000 динара и користе се у складу са чланом 70. Закона о буџетском систему.         </t>
  </si>
  <si>
    <t xml:space="preserve">                 Председник општине /општинско веће, на предлог локалног органа надлежног за финансије, доноси решење о употреби  сталне буџетске резерве.</t>
  </si>
  <si>
    <t xml:space="preserve">                                                                        Члан 6.</t>
  </si>
  <si>
    <t xml:space="preserve">                   Приходи и примања буџета општине у укупном  износу од 592.745.100 динара по врстама, односно економским класификацијама, утврђени су у следећим износима:</t>
  </si>
  <si>
    <t xml:space="preserve">   Члан 7.</t>
  </si>
  <si>
    <t xml:space="preserve">                Издаци за капиталне пројекте, планирани за буџетску 2015. и наредне две године, исказане су у табели.</t>
  </si>
  <si>
    <t xml:space="preserve">             Укупни расходи и издаци буџета по основним наменама, утврђени су у следећим износима:</t>
  </si>
  <si>
    <t xml:space="preserve">                                                                             Члан 8.</t>
  </si>
  <si>
    <t xml:space="preserve">                                                                      Члан 9.</t>
  </si>
  <si>
    <t xml:space="preserve"> ПРОГРАМСКА КЛАСИФИКАЦИЈА РАСХОДА</t>
  </si>
  <si>
    <t xml:space="preserve">                 Укупна средства буџета у износу од 592.745.100 динара, утврђена овом одлуком, распоређена су по програмској класификацији датој у табели.</t>
  </si>
  <si>
    <t xml:space="preserve">               Расходи и издаци буџета по функционалној класификацији, утврђени су и распоређени у следећим износима:</t>
  </si>
  <si>
    <t xml:space="preserve">      ФУНКЦИОНАЛНА КЛАСИФИКАЦИЈА РАСХОДА</t>
  </si>
  <si>
    <t xml:space="preserve">         Средства буџета у износу од 576.900.000 динара и средства из осталих извора корисника буџета у износу од 15.845.100 динра , распоређују се по корисницима и врстама издатака и то:</t>
  </si>
  <si>
    <t xml:space="preserve">                                                                Члан 11.</t>
  </si>
  <si>
    <t xml:space="preserve">                                II    ПОСЕБАН ДЕО</t>
  </si>
  <si>
    <t>Примања буџета општине  Љубовија прикупљају се и наплаћују у складу са законом и другим прописима, независно од износа утврђених овом одлуком.</t>
  </si>
  <si>
    <t>Овом одлуом о буџету општине Љубовија обезбеђују се средства за 65 запослених на неодређено време и  5 запослених на одређено време. Овај број увећава се за 18 запослених на неодређено и 5 запослених на одређено време у предшколској установи, као и 59 запослених у ЈП Љубовија и ЈКП Стандард Љубовија.</t>
  </si>
  <si>
    <t xml:space="preserve">  На терет буџетских средстава корисник може преузимати обавезе само до износа апропријација утврђене овом одлуком.</t>
  </si>
  <si>
    <t xml:space="preserve">    Изузетно, корисници буџетских средстава могу преузети обавезе по уговорима који се односе на капиталне издатке и који захтевају плаћање у више година, на основу предлога органа надлежног за послове финансија уз сагласност председника општине/општинско веће.</t>
  </si>
  <si>
    <t xml:space="preserve">     У случају из става 1. овог члана корисници средстава буџета општине Љубовија могу преузети обавезе по уговору само за капиталне пројекте у складу са предвиђеним средствима за текућу и наредне две године у општем делу буџета исказаног у овој одлуци.</t>
  </si>
  <si>
    <t xml:space="preserve">     Корисници средстава буџета општине Љубовија обавезни су да пре покретања поступка јавне набавке за преузимање обавеза по уговору за капиталне пројекте из става 2. овог члана, прибаве сагласност надлежног органа из става 1. овог члана.</t>
  </si>
  <si>
    <t xml:space="preserve">    Изузетно у случају ако се буџету општине определе наменска средства са другог нивоа власти укључујући и средства за надокнаду штете услед елементарних непогод, као и у случају уговарања донација, чији износи нису могли бити познати у поступку доношења буџета, орган управе надлежан за финансије отвориће у складу са чланом 5. Закона о буџетском систему, на основу тог акта, одговарајуће апропријације за извршавање расхода по том основу.</t>
  </si>
  <si>
    <t xml:space="preserve">                                      Члан 12.</t>
  </si>
  <si>
    <t xml:space="preserve">                                     Члан 13.</t>
  </si>
  <si>
    <t xml:space="preserve">                                      Члан 14.</t>
  </si>
  <si>
    <t xml:space="preserve">                                       Члан 15.</t>
  </si>
  <si>
    <t xml:space="preserve">                                        Члан 16.</t>
  </si>
  <si>
    <t xml:space="preserve">                                        Члан 17.</t>
  </si>
  <si>
    <t xml:space="preserve">   Обавезе према корисницима буџетских средстава извршавају се сразмерно оствареним примањима буџета.</t>
  </si>
  <si>
    <t xml:space="preserve">  Ако се у току године примања смање, издаци буџета извршаваће се по приоритетима, и то: обавезе утврђене законским прописима и минимални стални трошкови за несметано функционисање корисника буџетских средстава.</t>
  </si>
  <si>
    <t xml:space="preserve">                                        Члан 18.</t>
  </si>
  <si>
    <t xml:space="preserve">    Средства буџета распоређују се и исказују по ближим наменама, у складу са економским и функционалним класификацијама, годишњим програмом и финансијским планом прихода и расхода.</t>
  </si>
  <si>
    <t xml:space="preserve">    Годишњи програм и финансијски план из става 1. овог члана доноси надлежни орган корисник, најкасније 45 дана од дана ступања на снагу ове одлуке.</t>
  </si>
  <si>
    <t xml:space="preserve">                                        Члан 19.</t>
  </si>
  <si>
    <t xml:space="preserve">    Приликом додељивања уговора о набавци добара, пружања услуга и извођењу радова сви корисници буџета треба да поступе на начин утврђен Законом о јавним набавкама.</t>
  </si>
  <si>
    <t xml:space="preserve">                                        Члан 20.</t>
  </si>
  <si>
    <t xml:space="preserve">   Корисници јавних средстава буџета општине Љубовија преузимају обавезе након писаног уговора или другог правног акта, уколико законом није друкчије прописано.</t>
  </si>
  <si>
    <t xml:space="preserve"> Корисници буџетских средстава дужни су да обавесте трезор локалне власти о: 1) намери преузимања обавезе; 2) предвиђеним условима ироковима плаћања нкон потписивања уговора; 3) свакој промени која се тиче износа, рокова и услова плаћања; 4) поднесу захтев за плаћање у року прописаном актом министра из члана 58. Закона о буџетском систему.</t>
  </si>
  <si>
    <t xml:space="preserve"> Преузете обавезе чији је износ већи од износа средстава предвиђених овом одлуком или које су настале у супротности са овом одлуком, не могу се извршавати на терет консолидованог рачуна трезора.</t>
  </si>
  <si>
    <t xml:space="preserve">                                        Члан 21.</t>
  </si>
  <si>
    <t xml:space="preserve"> У случају да се у току године обим пословања или овлашћења директног корисника буџетских средстава промени, износ апропријације издвојених за активности тог корисника могу се увећати, односно смањити на терет или у корист текуће буџетске резерве.</t>
  </si>
  <si>
    <t xml:space="preserve"> Решење о промени апропријације из става1. овог члана доноси председник општине/ општинско веће.</t>
  </si>
  <si>
    <t xml:space="preserve"> Ако у току године дође до промене околноси која не угрожав утврђене приоритете унутар буџета, председник општине/општинско веће доноси одлуку да се износ апропријације који није могуће користити , пренесе у текућу буџетску резерву и може се користити за намене које нису предвиђене буџетом или намене за које средства нису довољна.</t>
  </si>
  <si>
    <t>Директни корисник буџетских средстава , уз одобрење локалног органа надлежног за финансије , може извршити преусмеравање апропријација одобрених на име одређеног расхода у износу од 5% вредности апропријације за расход чији се износ умањује.</t>
  </si>
  <si>
    <t xml:space="preserve"> Укупан износ преусмеравања из става 4. овог члана мора бити у складу са чланом 69. Закона о буџетском систему.</t>
  </si>
  <si>
    <t xml:space="preserve">                                        Члан 22.</t>
  </si>
  <si>
    <t xml:space="preserve"> Директни корисник буџетских средстава, који оствари приход чији износ није могао бити познат у поступку доношења буџета, подноси захтев надлежном органу за финансије за отварање, односно повећање постојеће апропријације за извршење расхода из свих извора финансирања, осим за извор 01- приходи из буџета.</t>
  </si>
  <si>
    <t>Индиректни  корисник буџетских средстава, који оствари приход чији износ није могао бити познат у поступку доношења буџета, подноси захтев надлежном директном, односно повећање постојеће апропријације за извршење расхода из свих извора финансирања, осим за извор 01- приходи из буџета.</t>
  </si>
  <si>
    <t xml:space="preserve"> Апропријације из става 1. и 2. овог члана могу се мењати без ограничења.</t>
  </si>
  <si>
    <t xml:space="preserve">   За извршење ове одлуке одговоран је председник општине.</t>
  </si>
  <si>
    <t xml:space="preserve"> Наредбодавац за извршење буџета је председник општине,</t>
  </si>
  <si>
    <t xml:space="preserve">                                        Члан 23.</t>
  </si>
  <si>
    <t xml:space="preserve">                                        Члан 24.</t>
  </si>
  <si>
    <t xml:space="preserve"> Општинско веће је одговорно, у смислу Закона о буџетском систему, за спровођење фискалне политике и управљања јавном имовином, приходима и примањима и расходима и издацима.</t>
  </si>
  <si>
    <t xml:space="preserve"> Овлашћује се предсдни општине да поднесе захтев Министарству финансија за одобрење фискалног дефицита изнад утврђеног лимита од 10% уколико је реазултат реализација јавних инвестиција.</t>
  </si>
  <si>
    <t xml:space="preserve">                                        Члан 25.</t>
  </si>
  <si>
    <t xml:space="preserve">        Локални орган управе надлежан за финансије обавезан је да редовно прати извршење буџета и најмање два пута годишње информише председника општине/општинско веће, а обавезно у року од петнаест дана по истеку шестомесечног, односно деветомесечног периода.                                                                                                                                                                                             </t>
  </si>
  <si>
    <t xml:space="preserve">       У року од петнаест дана по доношењу извештаја из става 1. овог члана, председник општине/општинско веће усваја и доставља извештаје Скупштини општине.</t>
  </si>
  <si>
    <t xml:space="preserve">                                        Члан 26.</t>
  </si>
  <si>
    <t>Распоред и коришћење средстава врши се по финасијским плановима и програмима у оквиру раздела, чији су носиоци директни корисници буџетаски средстава и то:</t>
  </si>
  <si>
    <t>Раздео 1 - Скупштина општине</t>
  </si>
  <si>
    <t>Раздео 2- Председник општине - Општинско веће</t>
  </si>
  <si>
    <t>Раздео 3 - Општинска управа</t>
  </si>
  <si>
    <t>За коришћење средстава из одобрених апропријација у оквиру овог раздела захтеве подноси председник  општине или његов заменик, уз пратећу оргиналну документацију претходно припремљену и контролисану од стране одговорног лица за скупштинске послове.</t>
  </si>
  <si>
    <t>За коришћење средстава из одобрених апропријација у оквиру овог раздела захтеве подноси председник скупштине општине или његов заменик, уз пратећу оргиналну документацију претходно припремљену и контролисану од стране секретара Скупшине општине.</t>
  </si>
  <si>
    <t xml:space="preserve"> Руководиоци корисника и њихови заменици, из става 1 и 2., су непосредно одговорни Председнику општине за коришћење средстава из одобрених апропријација.</t>
  </si>
  <si>
    <t xml:space="preserve"> Сви захтеви из овог члана се подносе Трезору општине при одељењу зафинансије и буџет Општинске управе.</t>
  </si>
  <si>
    <t>На захтев Трезора корисници су дужни да доставе на увид и друге податке који су неопходни за пренос средстава.</t>
  </si>
  <si>
    <t xml:space="preserve">    На основу поднетих захтева и пратеће документације Председника општине доноси Решење о одобравању исплате са рачуна Извршења буџета које се спроводи и контролише у одељењу за финансије и буџет.</t>
  </si>
  <si>
    <t xml:space="preserve">    У случајевима када буџетски корисник намерава да покрене поступак јавне набавке, у оквиру додељених апропријација, исти је дужан да се претходно обрати Трезору захтевом за преузимање обавза нјмање три дана пре покретања поступка јавних анбавки. По спроведеном поступку јавне набавке буџетски корисник ће поднети Трезору захтев за пренос средстава.</t>
  </si>
  <si>
    <t xml:space="preserve"> За коришћење средстава из одобрених апропријација у оквиру овог раздела, везаних за функцију 62 и 630 захтеве подноси руководиоци корисника уз пратећу документацију (копију) претходно припремљену и контролисану од стране одговорних лица тих корисника.</t>
  </si>
  <si>
    <t xml:space="preserve">   За коришћење средстава из одобрених апропријација у оквиру овог раздела, везаних за функцију 130 захтеве подноси начелник општинске управе  или његов заменик, уз пратећу оргиналну документацију претходно припремљену и контролисану од стране одговорног лица задуженог у одељењу за финансије и буџет Општинске управе, а за коришћење средстава из одобрених апропријација у овом разделу, везаних за функције 740, 810, 090, 912, 920, 820, 911,473,360 захтеве подноси начелник Општинске управе уз пратећу књиговодствену документацију (копије) припремљену и контролисану од одговорних лица корисника и оверену од стране одговорног лица у надлежним одељењима или службама Општинске управе.</t>
  </si>
  <si>
    <t xml:space="preserve"> Унутар одељења за финансије и буџет спроводи се интерна контрола о оправданости и законитости поднетих докумената на плаћање из буџета, на основу одобрених апропријацијаиз ове одлуке, финансијских плнова и програма.</t>
  </si>
  <si>
    <t xml:space="preserve">                                        Члан 27.</t>
  </si>
  <si>
    <t xml:space="preserve">  За законито и наменско коришћење средстава распоређених овом одлуком, одговоран је председник општине Љубовија.</t>
  </si>
  <si>
    <t>За законито и наменско коришћење средстава распорених овом одлуком за остале кориснике одговоран је Начелник општинске управе и руководиоци корисника средстава.</t>
  </si>
  <si>
    <t xml:space="preserve">                                        Члан 28.</t>
  </si>
  <si>
    <t xml:space="preserve">       Директни и индиректни корисници буџетских средстава у 2015. години обрачунату исправку вредности нефинансијске имовине исказују на терт капитала, односно не исказују расход амортизације и употребе средстава за рад.</t>
  </si>
  <si>
    <t xml:space="preserve">                                        Члан 29.</t>
  </si>
  <si>
    <t xml:space="preserve"> У случају да за извршење одређеног плаћања корисника средстава буџета није постојао правни основ, средства се враћају у буџет.</t>
  </si>
  <si>
    <t xml:space="preserve">        Уколико индиректни корисник буџета својом делатношћу изазове судски спор, извршење правоснажних судских одлука и судска поравнања извршавају се на терет његових апропријација, а преко апропријације која је намењена за ову врсту расхода.</t>
  </si>
  <si>
    <t xml:space="preserve">                                        Члан 30.</t>
  </si>
  <si>
    <t xml:space="preserve">           Привремено расположива средства на рачуну буџета могу се краткорочно  пласирати или орочавати код банака или других финансијских организација, у складу са Законом.                                                                                                                       </t>
  </si>
  <si>
    <t xml:space="preserve">          Уговор из става 1. овог члана закључује лице које је овлашћено за управљање готовинским средствима Трезора.</t>
  </si>
  <si>
    <t xml:space="preserve">                                        Члан 31.</t>
  </si>
  <si>
    <t xml:space="preserve">       Приходи који су погрешно уплаћени, или уплаћени у већем износу од прописаних, враћају се на терт погрешно или више уплаћених прихода, ако посебним прописима није другачије одређено.                                       </t>
  </si>
  <si>
    <t xml:space="preserve">      Приходи из става 1.овог члана, враћају се у износима у којима су уплаћени у корист буџета.</t>
  </si>
  <si>
    <t xml:space="preserve">                                        Члан 32.</t>
  </si>
  <si>
    <t xml:space="preserve">           Корисници буџетских средстава, до 31.12.2015. године пренеће на рачун извршења буџета сва средства која нису утрошена за финансирање расхода у 2014. години, која су тим корисницима пренета у складу са Одлуком о буџету општине Љубовија за 2015. годину.</t>
  </si>
  <si>
    <t xml:space="preserve">                                        Члан 33.</t>
  </si>
  <si>
    <t xml:space="preserve"> Буџетски корисници су дужни да на захтев надлежног одељења, тј. Службе директног корисника, ставе на увид документацију о њиховом финансирању, као и да достављају извештаје о остварењу прихода и извршењу расхода у одређњном периоду (најмање тромесечно), укуључујући и приходе које остваре обављањем услуга.</t>
  </si>
  <si>
    <t xml:space="preserve">                                        Члан 34.</t>
  </si>
  <si>
    <t xml:space="preserve">  Одлуку о капиталном задуживању доноси Скупштина општине, по претходно прибављеном мишљењу Министарства финасија.</t>
  </si>
  <si>
    <t xml:space="preserve">                                        Члан 35.</t>
  </si>
  <si>
    <t>Ова одлука ступа на снагу осмог дана објављивања у Службеном листу општине Љубовија, а примењиваће се од 01.01.2015. године.</t>
  </si>
  <si>
    <t>СКУПШТИНА ОПШТИНЕ ЉУБОВИЈА</t>
  </si>
  <si>
    <t>ПРЕДСЕДНИК</t>
  </si>
  <si>
    <t>СКУПШТИНЕ ОПШТИНЕ</t>
  </si>
  <si>
    <t>Предраг Марковић</t>
  </si>
  <si>
    <t xml:space="preserve">                               III     ИЗВРШАВАЊЕ БУЏЕТА</t>
  </si>
  <si>
    <t>СКУПШТИНА ОПШТИНЕ        92135</t>
  </si>
  <si>
    <t>ПРЕДСЕДНИК ОПШТИНЕ ОПШТИНСКО ВЕЋЕ   92136</t>
  </si>
  <si>
    <t>ОПШТИНСКА УПРАВА         06068</t>
  </si>
  <si>
    <t>ФОНД ЗА РАЗВОЈ ПОЉОПРИВРЕДЕ            70926</t>
  </si>
  <si>
    <t>ФОНД ЗА ЗАШТИТУ ЖИВОТНЕ СРЕДИНЕ        80691</t>
  </si>
  <si>
    <t>ТУРИСТИЧКА ОРГАНИЗАЦИЈА ОПШТИНЕ    80175</t>
  </si>
  <si>
    <t>БИБЛИОТЕКА "Милован Глишић"70154</t>
  </si>
  <si>
    <t>ПРЕДШКОЛСКА УСТАНОВА  "ПОЛЕТАРАЦ" 70156</t>
  </si>
  <si>
    <t>ЈКП  СТАНДАРД ЉУБОВИЈА   70808</t>
  </si>
  <si>
    <t xml:space="preserve">                                                                           Члан 10.</t>
  </si>
  <si>
    <t xml:space="preserve">                                        Члан 36.</t>
  </si>
  <si>
    <t>Регионална развојна агенција   1.200.000</t>
  </si>
  <si>
    <t>Укупна вредност пројекта: 21.300.000</t>
  </si>
  <si>
    <t>Изградња магистралног цевовода Љубовија Гледеће</t>
  </si>
  <si>
    <t>Асфалтирање пута Узовница- Илијино брдо- Селанац 500м</t>
  </si>
  <si>
    <t>Укупна вредност пројекта:  1.500.000</t>
  </si>
  <si>
    <t>Реконструкција Сокоградске улице</t>
  </si>
  <si>
    <t>Укупна вредност пројекта:  30.000.000</t>
  </si>
  <si>
    <t xml:space="preserve">                    На основу члана 43. Закона о буџетском систему ("Службени гласник РС", бр. 54/09, 73/10, 101/2010, 101/11, 93/12, 62/13 и 108/2013), члана 32. Закона о локалној самоуправи   ( " Службени гласник РС", број 129/07) и  члана 15. Статута општине Љубовија         (" Службени лист општине Љубовија", број 6/2008), а на предлог Општинског већа, СКУПШТИНА ОПШТИНЕ ЉУБОВИЈА, на седници одржаној 17.12.2014. године , донела је</t>
  </si>
  <si>
    <t>Укупна вредност пројекта: 22.500.000</t>
  </si>
  <si>
    <t>Број:06-431/2014-03 од  17.12.2014. године</t>
  </si>
</sst>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164" formatCode="_-* #,##0.00\ _D_i_n_._-;\-* #,##0.00\ _D_i_n_._-;_-* &quot;-&quot;??\ _D_i_n_._-;_-@_-"/>
    <numFmt numFmtId="165" formatCode="_-* #,##0\ _d_i_n_._-;\-* #,##0\ _d_i_n_._-;_-* &quot;-&quot;\ _d_i_n_._-;_-@_-"/>
    <numFmt numFmtId="166" formatCode="_-* #,##0.00\ _d_i_n_._-;\-* #,##0.00\ _d_i_n_._-;_-* &quot;-&quot;??\ _d_i_n_._-;_-@_-"/>
    <numFmt numFmtId="167" formatCode="_(* #,##0.00_);_(* \(#,##0.00\);_(* \-??_);_(@_)"/>
    <numFmt numFmtId="168" formatCode="_(* #,##0_);_(* \(#,##0\);_(* \-_);_(@_)"/>
    <numFmt numFmtId="169" formatCode="0.0%"/>
    <numFmt numFmtId="170" formatCode="_-* #,##0.00\ _D_i_n_._-;\-* #,##0.00\ _D_i_n_._-;_-* \-??\ _D_i_n_._-;_-@_-"/>
    <numFmt numFmtId="171" formatCode="#,##0.0"/>
  </numFmts>
  <fonts count="91" x14ac:knownFonts="1">
    <font>
      <sz val="11"/>
      <color theme="1"/>
      <name val="Calibri"/>
      <family val="2"/>
      <charset val="238"/>
      <scheme val="minor"/>
    </font>
    <font>
      <b/>
      <sz val="12"/>
      <name val="Times New Roman"/>
      <family val="1"/>
      <charset val="238"/>
    </font>
    <font>
      <sz val="12"/>
      <name val="Times New Roman"/>
      <family val="1"/>
      <charset val="238"/>
    </font>
    <font>
      <sz val="10"/>
      <name val="Arial"/>
      <family val="2"/>
      <charset val="204"/>
    </font>
    <font>
      <sz val="11"/>
      <color indexed="8"/>
      <name val="Calibri"/>
      <family val="2"/>
      <charset val="204"/>
    </font>
    <font>
      <sz val="11"/>
      <color indexed="9"/>
      <name val="Calibri"/>
      <family val="2"/>
      <charset val="204"/>
    </font>
    <font>
      <sz val="11"/>
      <color indexed="20"/>
      <name val="Calibri"/>
      <family val="2"/>
      <charset val="204"/>
    </font>
    <font>
      <b/>
      <sz val="11"/>
      <color indexed="52"/>
      <name val="Calibri"/>
      <family val="2"/>
      <charset val="204"/>
    </font>
    <font>
      <b/>
      <sz val="11"/>
      <color indexed="9"/>
      <name val="Calibri"/>
      <family val="2"/>
      <charset val="204"/>
    </font>
    <font>
      <i/>
      <sz val="11"/>
      <color indexed="23"/>
      <name val="Calibri"/>
      <family val="2"/>
      <charset val="204"/>
    </font>
    <font>
      <sz val="11"/>
      <color indexed="17"/>
      <name val="Calibri"/>
      <family val="2"/>
      <charset val="204"/>
    </font>
    <font>
      <b/>
      <sz val="15"/>
      <color indexed="56"/>
      <name val="Calibri"/>
      <family val="2"/>
      <charset val="204"/>
    </font>
    <font>
      <b/>
      <sz val="13"/>
      <color indexed="56"/>
      <name val="Calibri"/>
      <family val="2"/>
      <charset val="204"/>
    </font>
    <font>
      <b/>
      <sz val="11"/>
      <color indexed="56"/>
      <name val="Calibri"/>
      <family val="2"/>
      <charset val="204"/>
    </font>
    <font>
      <sz val="11"/>
      <color indexed="62"/>
      <name val="Calibri"/>
      <family val="2"/>
      <charset val="204"/>
    </font>
    <font>
      <sz val="11"/>
      <color indexed="52"/>
      <name val="Calibri"/>
      <family val="2"/>
      <charset val="204"/>
    </font>
    <font>
      <sz val="11"/>
      <color indexed="60"/>
      <name val="Calibri"/>
      <family val="2"/>
      <charset val="204"/>
    </font>
    <font>
      <b/>
      <sz val="11"/>
      <color indexed="63"/>
      <name val="Calibri"/>
      <family val="2"/>
      <charset val="204"/>
    </font>
    <font>
      <b/>
      <sz val="18"/>
      <color indexed="56"/>
      <name val="Cambria"/>
      <family val="2"/>
      <charset val="204"/>
    </font>
    <font>
      <b/>
      <sz val="11"/>
      <color indexed="8"/>
      <name val="Calibri"/>
      <family val="2"/>
      <charset val="204"/>
    </font>
    <font>
      <sz val="11"/>
      <color indexed="10"/>
      <name val="Calibri"/>
      <family val="2"/>
      <charset val="204"/>
    </font>
    <font>
      <sz val="11"/>
      <name val="Times New Roman"/>
      <family val="1"/>
      <charset val="238"/>
    </font>
    <font>
      <b/>
      <sz val="11"/>
      <name val="Times New Roman"/>
      <family val="1"/>
      <charset val="238"/>
    </font>
    <font>
      <sz val="11"/>
      <name val="Times New Roman"/>
      <family val="1"/>
    </font>
    <font>
      <sz val="11"/>
      <color theme="1"/>
      <name val="Calibri"/>
      <family val="2"/>
      <scheme val="minor"/>
    </font>
    <font>
      <sz val="9"/>
      <color rgb="FF000000"/>
      <name val="Times New Roman Bold"/>
    </font>
    <font>
      <sz val="9"/>
      <color rgb="FF000000"/>
      <name val="Times New Roman Italic"/>
    </font>
    <font>
      <sz val="7"/>
      <color rgb="FF000000"/>
      <name val="Times New Roman Italic"/>
    </font>
    <font>
      <sz val="9"/>
      <color rgb="FF000000"/>
      <name val="Times New Roman"/>
      <family val="1"/>
    </font>
    <font>
      <b/>
      <sz val="14"/>
      <color theme="1"/>
      <name val="Calibri"/>
      <family val="2"/>
      <scheme val="minor"/>
    </font>
    <font>
      <sz val="11"/>
      <color theme="1"/>
      <name val="Calibri"/>
      <family val="2"/>
      <charset val="238"/>
      <scheme val="minor"/>
    </font>
    <font>
      <b/>
      <sz val="11"/>
      <color theme="1"/>
      <name val="Calibri"/>
      <family val="2"/>
      <scheme val="minor"/>
    </font>
    <font>
      <i/>
      <sz val="11"/>
      <color theme="1"/>
      <name val="Calibri"/>
      <family val="2"/>
      <scheme val="minor"/>
    </font>
    <font>
      <sz val="10"/>
      <color indexed="8"/>
      <name val="Calibri"/>
      <family val="2"/>
    </font>
    <font>
      <b/>
      <sz val="8"/>
      <color indexed="8"/>
      <name val="Tahoma"/>
      <family val="2"/>
      <charset val="204"/>
    </font>
    <font>
      <sz val="8"/>
      <color indexed="8"/>
      <name val="Tahoma"/>
      <family val="2"/>
      <charset val="204"/>
    </font>
    <font>
      <sz val="9"/>
      <color indexed="81"/>
      <name val="Tahoma"/>
      <family val="2"/>
    </font>
    <font>
      <b/>
      <sz val="9"/>
      <color indexed="81"/>
      <name val="Tahoma"/>
      <family val="2"/>
    </font>
    <font>
      <sz val="10"/>
      <name val="Arial"/>
      <family val="2"/>
      <charset val="238"/>
    </font>
    <font>
      <sz val="10"/>
      <name val="Times New Roman"/>
      <family val="1"/>
      <charset val="238"/>
    </font>
    <font>
      <b/>
      <sz val="10"/>
      <name val="Times New Roman"/>
      <family val="1"/>
      <charset val="238"/>
    </font>
    <font>
      <sz val="11"/>
      <color indexed="8"/>
      <name val="Times New Roman"/>
      <family val="1"/>
      <charset val="238"/>
    </font>
    <font>
      <b/>
      <sz val="11"/>
      <name val="Times New Roman"/>
      <family val="1"/>
    </font>
    <font>
      <b/>
      <sz val="9"/>
      <name val="Times New Roman"/>
      <family val="1"/>
    </font>
    <font>
      <b/>
      <sz val="11"/>
      <color indexed="8"/>
      <name val="Times New Roman"/>
      <family val="1"/>
    </font>
    <font>
      <sz val="8"/>
      <name val="Times New Roman"/>
      <family val="1"/>
    </font>
    <font>
      <b/>
      <sz val="10"/>
      <name val="Times New Roman"/>
      <family val="1"/>
    </font>
    <font>
      <b/>
      <sz val="8"/>
      <name val="Times New Roman"/>
      <family val="1"/>
    </font>
    <font>
      <sz val="11"/>
      <color theme="1"/>
      <name val="Times New Roman"/>
      <family val="1"/>
    </font>
    <font>
      <b/>
      <sz val="11"/>
      <color theme="1"/>
      <name val="Times New Roman"/>
      <family val="1"/>
    </font>
    <font>
      <i/>
      <sz val="10"/>
      <color indexed="8"/>
      <name val="Times New Roman"/>
      <family val="1"/>
    </font>
    <font>
      <b/>
      <sz val="10"/>
      <color indexed="8"/>
      <name val="Times New Roman"/>
      <family val="1"/>
    </font>
    <font>
      <sz val="10"/>
      <color indexed="8"/>
      <name val="Times New Roman"/>
      <family val="1"/>
    </font>
    <font>
      <sz val="10"/>
      <color theme="1"/>
      <name val="Times New Roman"/>
      <family val="1"/>
    </font>
    <font>
      <b/>
      <sz val="8"/>
      <color indexed="8"/>
      <name val="Times New Roman"/>
      <family val="1"/>
    </font>
    <font>
      <sz val="8"/>
      <color indexed="8"/>
      <name val="Times New Roman"/>
      <family val="1"/>
    </font>
    <font>
      <b/>
      <sz val="12"/>
      <name val="Times New Roman"/>
      <family val="1"/>
    </font>
    <font>
      <sz val="12"/>
      <name val="Times New Roman"/>
      <family val="1"/>
    </font>
    <font>
      <sz val="9"/>
      <name val="Times New Roman"/>
      <family val="1"/>
    </font>
    <font>
      <b/>
      <i/>
      <sz val="11"/>
      <color theme="1"/>
      <name val="Times New Roman"/>
      <family val="1"/>
    </font>
    <font>
      <i/>
      <sz val="11"/>
      <color theme="1"/>
      <name val="Times New Roman"/>
      <family val="1"/>
    </font>
    <font>
      <i/>
      <sz val="11"/>
      <name val="Times New Roman"/>
      <family val="1"/>
    </font>
    <font>
      <i/>
      <sz val="11"/>
      <color indexed="8"/>
      <name val="Times New Roman"/>
      <family val="1"/>
    </font>
    <font>
      <i/>
      <sz val="10"/>
      <name val="Times New Roman"/>
      <family val="1"/>
    </font>
    <font>
      <b/>
      <sz val="11"/>
      <color indexed="10"/>
      <name val="Times New Roman"/>
      <family val="1"/>
      <charset val="238"/>
    </font>
    <font>
      <b/>
      <sz val="10"/>
      <color indexed="10"/>
      <name val="Times New Roman"/>
      <family val="1"/>
      <charset val="238"/>
    </font>
    <font>
      <sz val="11"/>
      <color rgb="FFFF0000"/>
      <name val="Times New Roman"/>
      <family val="1"/>
    </font>
    <font>
      <b/>
      <sz val="11"/>
      <color rgb="FFFF0000"/>
      <name val="Times New Roman"/>
      <family val="1"/>
    </font>
    <font>
      <sz val="11"/>
      <color indexed="10"/>
      <name val="Times New Roman"/>
      <family val="1"/>
    </font>
    <font>
      <sz val="9"/>
      <color indexed="81"/>
      <name val="Tahoma"/>
      <family val="2"/>
      <charset val="238"/>
    </font>
    <font>
      <b/>
      <sz val="9"/>
      <color indexed="81"/>
      <name val="Tahoma"/>
      <family val="2"/>
      <charset val="238"/>
    </font>
    <font>
      <b/>
      <sz val="10"/>
      <color theme="1"/>
      <name val="Times New Roman"/>
      <family val="1"/>
    </font>
    <font>
      <sz val="11"/>
      <color theme="1"/>
      <name val="Times New Roman"/>
      <family val="1"/>
      <charset val="238"/>
    </font>
    <font>
      <b/>
      <sz val="11"/>
      <color theme="1"/>
      <name val="Times New Roman"/>
      <family val="1"/>
      <charset val="238"/>
    </font>
    <font>
      <i/>
      <sz val="11"/>
      <color theme="1"/>
      <name val="Times New Roman"/>
      <family val="1"/>
      <charset val="238"/>
    </font>
    <font>
      <i/>
      <sz val="11"/>
      <name val="Times New Roman"/>
      <family val="1"/>
      <charset val="238"/>
    </font>
    <font>
      <i/>
      <sz val="11"/>
      <color indexed="8"/>
      <name val="Times New Roman"/>
      <family val="1"/>
      <charset val="238"/>
    </font>
    <font>
      <b/>
      <sz val="9"/>
      <name val="Times New Roman"/>
      <family val="1"/>
      <charset val="238"/>
    </font>
    <font>
      <b/>
      <sz val="12"/>
      <color theme="1"/>
      <name val="Times New Roman"/>
      <family val="1"/>
    </font>
    <font>
      <b/>
      <i/>
      <sz val="11"/>
      <name val="Times New Roman"/>
      <family val="1"/>
      <charset val="238"/>
    </font>
    <font>
      <b/>
      <sz val="11"/>
      <color theme="1"/>
      <name val="Times New Roman"/>
      <family val="1"/>
      <charset val="204"/>
    </font>
    <font>
      <b/>
      <sz val="11"/>
      <color theme="1"/>
      <name val="Calibri"/>
      <family val="2"/>
      <charset val="238"/>
      <scheme val="minor"/>
    </font>
    <font>
      <sz val="12"/>
      <color theme="1"/>
      <name val="Times New Roman"/>
      <family val="1"/>
      <charset val="238"/>
    </font>
    <font>
      <b/>
      <sz val="12"/>
      <color theme="1"/>
      <name val="Times New Roman"/>
      <family val="1"/>
      <charset val="238"/>
    </font>
    <font>
      <sz val="11"/>
      <color indexed="8"/>
      <name val="Times New Roman"/>
      <family val="1"/>
    </font>
    <font>
      <b/>
      <sz val="14"/>
      <color theme="1"/>
      <name val="Times New Roman"/>
      <family val="1"/>
      <charset val="238"/>
    </font>
    <font>
      <sz val="16"/>
      <color theme="1"/>
      <name val="Times New Roman"/>
      <family val="1"/>
      <charset val="238"/>
    </font>
    <font>
      <b/>
      <sz val="16"/>
      <color theme="1"/>
      <name val="Times New Roman"/>
      <family val="1"/>
      <charset val="238"/>
    </font>
    <font>
      <sz val="12"/>
      <color theme="1"/>
      <name val="Times New Roman"/>
      <family val="1"/>
    </font>
    <font>
      <sz val="14"/>
      <color theme="1"/>
      <name val="Times New Roman"/>
      <family val="1"/>
    </font>
    <font>
      <i/>
      <sz val="11"/>
      <color indexed="8"/>
      <name val="Times New Roman"/>
      <family val="1"/>
      <charset val="204"/>
    </font>
  </fonts>
  <fills count="42">
    <fill>
      <patternFill patternType="none"/>
    </fill>
    <fill>
      <patternFill patternType="gray125"/>
    </fill>
    <fill>
      <patternFill patternType="solid">
        <fgColor indexed="31"/>
        <bgColor indexed="22"/>
      </patternFill>
    </fill>
    <fill>
      <patternFill patternType="solid">
        <fgColor indexed="45"/>
        <bgColor indexed="29"/>
      </patternFill>
    </fill>
    <fill>
      <patternFill patternType="solid">
        <fgColor indexed="42"/>
        <bgColor indexed="27"/>
      </patternFill>
    </fill>
    <fill>
      <patternFill patternType="solid">
        <fgColor indexed="46"/>
        <bgColor indexed="24"/>
      </patternFill>
    </fill>
    <fill>
      <patternFill patternType="solid">
        <fgColor indexed="27"/>
        <bgColor indexed="41"/>
      </patternFill>
    </fill>
    <fill>
      <patternFill patternType="solid">
        <fgColor indexed="47"/>
        <bgColor indexed="22"/>
      </patternFill>
    </fill>
    <fill>
      <patternFill patternType="solid">
        <fgColor indexed="44"/>
        <bgColor indexed="31"/>
      </patternFill>
    </fill>
    <fill>
      <patternFill patternType="solid">
        <fgColor indexed="29"/>
        <bgColor indexed="45"/>
      </patternFill>
    </fill>
    <fill>
      <patternFill patternType="solid">
        <fgColor indexed="11"/>
        <bgColor indexed="49"/>
      </patternFill>
    </fill>
    <fill>
      <patternFill patternType="solid">
        <fgColor indexed="51"/>
        <bgColor indexed="13"/>
      </patternFill>
    </fill>
    <fill>
      <patternFill patternType="solid">
        <fgColor indexed="30"/>
        <bgColor indexed="21"/>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3"/>
        <bgColor indexed="52"/>
      </patternFill>
    </fill>
    <fill>
      <patternFill patternType="solid">
        <fgColor indexed="22"/>
        <bgColor indexed="31"/>
      </patternFill>
    </fill>
    <fill>
      <patternFill patternType="solid">
        <fgColor indexed="55"/>
        <bgColor indexed="23"/>
      </patternFill>
    </fill>
    <fill>
      <patternFill patternType="solid">
        <fgColor indexed="43"/>
        <bgColor indexed="26"/>
      </patternFill>
    </fill>
    <fill>
      <patternFill patternType="solid">
        <fgColor indexed="26"/>
        <bgColor indexed="9"/>
      </patternFill>
    </fill>
    <fill>
      <patternFill patternType="solid">
        <fgColor indexed="43"/>
        <bgColor indexed="64"/>
      </patternFill>
    </fill>
    <fill>
      <patternFill patternType="solid">
        <fgColor indexed="45"/>
        <bgColor indexed="64"/>
      </patternFill>
    </fill>
    <fill>
      <patternFill patternType="solid">
        <fgColor indexed="22"/>
        <bgColor indexed="64"/>
      </patternFill>
    </fill>
    <fill>
      <patternFill patternType="solid">
        <fgColor indexed="51"/>
        <bgColor indexed="31"/>
      </patternFill>
    </fill>
    <fill>
      <patternFill patternType="solid">
        <fgColor indexed="51"/>
        <bgColor indexed="26"/>
      </patternFill>
    </fill>
    <fill>
      <patternFill patternType="solid">
        <fgColor theme="0" tint="-0.249977111117893"/>
        <bgColor indexed="64"/>
      </patternFill>
    </fill>
    <fill>
      <patternFill patternType="solid">
        <fgColor theme="0"/>
        <bgColor indexed="64"/>
      </patternFill>
    </fill>
    <fill>
      <patternFill patternType="solid">
        <fgColor theme="0" tint="-0.14999847407452621"/>
        <bgColor indexed="64"/>
      </patternFill>
    </fill>
    <fill>
      <patternFill patternType="solid">
        <fgColor rgb="FF66FFCC"/>
        <bgColor indexed="64"/>
      </patternFill>
    </fill>
    <fill>
      <patternFill patternType="solid">
        <fgColor theme="6" tint="0.39997558519241921"/>
        <bgColor indexed="64"/>
      </patternFill>
    </fill>
    <fill>
      <patternFill patternType="solid">
        <fgColor theme="3" tint="0.39997558519241921"/>
        <bgColor indexed="64"/>
      </patternFill>
    </fill>
    <fill>
      <patternFill patternType="solid">
        <fgColor theme="0" tint="-0.249977111117893"/>
        <bgColor indexed="26"/>
      </patternFill>
    </fill>
    <fill>
      <patternFill patternType="solid">
        <fgColor theme="9" tint="0.39997558519241921"/>
        <bgColor indexed="64"/>
      </patternFill>
    </fill>
    <fill>
      <patternFill patternType="solid">
        <fgColor theme="6" tint="0.59999389629810485"/>
        <bgColor indexed="64"/>
      </patternFill>
    </fill>
    <fill>
      <patternFill patternType="solid">
        <fgColor theme="0" tint="-0.34998626667073579"/>
        <bgColor indexed="64"/>
      </patternFill>
    </fill>
    <fill>
      <patternFill patternType="solid">
        <fgColor theme="0"/>
        <bgColor indexed="26"/>
      </patternFill>
    </fill>
    <fill>
      <patternFill patternType="solid">
        <fgColor theme="7" tint="0.59999389629810485"/>
        <bgColor indexed="26"/>
      </patternFill>
    </fill>
    <fill>
      <patternFill patternType="solid">
        <fgColor theme="7" tint="0.79998168889431442"/>
        <bgColor indexed="64"/>
      </patternFill>
    </fill>
  </fills>
  <borders count="51">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8"/>
      </left>
      <right style="thin">
        <color indexed="8"/>
      </right>
      <top style="thin">
        <color indexed="8"/>
      </top>
      <bottom style="thin">
        <color indexed="8"/>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8"/>
      </left>
      <right style="thin">
        <color indexed="8"/>
      </right>
      <top style="thin">
        <color indexed="8"/>
      </top>
      <bottom/>
      <diagonal/>
    </border>
    <border>
      <left style="thin">
        <color indexed="8"/>
      </left>
      <right style="thin">
        <color indexed="8"/>
      </right>
      <top/>
      <bottom style="thin">
        <color indexed="8"/>
      </bottom>
      <diagonal/>
    </border>
    <border>
      <left style="thin">
        <color auto="1"/>
      </left>
      <right style="thin">
        <color auto="1"/>
      </right>
      <top style="thin">
        <color auto="1"/>
      </top>
      <bottom style="hair">
        <color auto="1"/>
      </bottom>
      <diagonal/>
    </border>
    <border>
      <left style="thin">
        <color auto="1"/>
      </left>
      <right style="thin">
        <color auto="1"/>
      </right>
      <top style="hair">
        <color auto="1"/>
      </top>
      <bottom style="hair">
        <color auto="1"/>
      </bottom>
      <diagonal/>
    </border>
    <border>
      <left style="thin">
        <color auto="1"/>
      </left>
      <right style="thin">
        <color auto="1"/>
      </right>
      <top style="hair">
        <color auto="1"/>
      </top>
      <bottom style="thin">
        <color auto="1"/>
      </bottom>
      <diagonal/>
    </border>
    <border>
      <left style="thin">
        <color auto="1"/>
      </left>
      <right style="thin">
        <color auto="1"/>
      </right>
      <top/>
      <bottom style="hair">
        <color auto="1"/>
      </bottom>
      <diagonal/>
    </border>
    <border>
      <left/>
      <right/>
      <top style="medium">
        <color indexed="64"/>
      </top>
      <bottom style="medium">
        <color indexed="64"/>
      </bottom>
      <diagonal/>
    </border>
    <border>
      <left style="thin">
        <color indexed="64"/>
      </left>
      <right style="thin">
        <color indexed="64"/>
      </right>
      <top style="thin">
        <color indexed="64"/>
      </top>
      <bottom/>
      <diagonal/>
    </border>
    <border>
      <left style="thin">
        <color indexed="8"/>
      </left>
      <right style="thin">
        <color indexed="8"/>
      </right>
      <top style="hair">
        <color indexed="8"/>
      </top>
      <bottom style="hair">
        <color indexed="8"/>
      </bottom>
      <diagonal/>
    </border>
    <border>
      <left style="thin">
        <color indexed="8"/>
      </left>
      <right style="thin">
        <color indexed="8"/>
      </right>
      <top style="hair">
        <color indexed="8"/>
      </top>
      <bottom style="thin">
        <color indexed="8"/>
      </bottom>
      <diagonal/>
    </border>
    <border>
      <left style="thin">
        <color indexed="64"/>
      </left>
      <right style="thin">
        <color indexed="64"/>
      </right>
      <top style="hair">
        <color indexed="64"/>
      </top>
      <bottom style="hair">
        <color indexed="64"/>
      </bottom>
      <diagonal/>
    </border>
    <border>
      <left style="thin">
        <color indexed="8"/>
      </left>
      <right style="thin">
        <color indexed="8"/>
      </right>
      <top/>
      <bottom/>
      <diagonal/>
    </border>
    <border>
      <left style="thin">
        <color indexed="8"/>
      </left>
      <right style="thin">
        <color indexed="8"/>
      </right>
      <top/>
      <bottom style="hair">
        <color indexed="8"/>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medium">
        <color auto="1"/>
      </top>
      <bottom/>
      <diagonal/>
    </border>
    <border>
      <left/>
      <right/>
      <top style="thin">
        <color indexed="64"/>
      </top>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style="thin">
        <color auto="1"/>
      </left>
      <right style="thin">
        <color auto="1"/>
      </right>
      <top style="hair">
        <color auto="1"/>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right/>
      <top/>
      <bottom style="medium">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63">
    <xf numFmtId="0" fontId="0" fillId="0" borderId="0"/>
    <xf numFmtId="0" fontId="3" fillId="0" borderId="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5" borderId="0" applyNumberFormat="0" applyBorder="0" applyAlignment="0" applyProtection="0"/>
    <xf numFmtId="0" fontId="4" fillId="8" borderId="0" applyNumberFormat="0" applyBorder="0" applyAlignment="0" applyProtection="0"/>
    <xf numFmtId="0" fontId="4" fillId="11" borderId="0" applyNumberFormat="0" applyBorder="0" applyAlignment="0" applyProtection="0"/>
    <xf numFmtId="0" fontId="5" fillId="12"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9" borderId="0" applyNumberFormat="0" applyBorder="0" applyAlignment="0" applyProtection="0"/>
    <xf numFmtId="0" fontId="6" fillId="3" borderId="0" applyNumberFormat="0" applyBorder="0" applyAlignment="0" applyProtection="0"/>
    <xf numFmtId="0" fontId="7" fillId="20" borderId="1" applyNumberFormat="0" applyAlignment="0" applyProtection="0"/>
    <xf numFmtId="0" fontId="8" fillId="21" borderId="2" applyNumberFormat="0" applyAlignment="0" applyProtection="0"/>
    <xf numFmtId="167" fontId="3" fillId="0" borderId="0" applyFill="0" applyBorder="0" applyAlignment="0" applyProtection="0"/>
    <xf numFmtId="0" fontId="9" fillId="0" borderId="0" applyNumberFormat="0" applyFill="0" applyBorder="0" applyAlignment="0" applyProtection="0"/>
    <xf numFmtId="0" fontId="10" fillId="4" borderId="0" applyNumberFormat="0" applyBorder="0" applyAlignment="0" applyProtection="0"/>
    <xf numFmtId="0" fontId="11" fillId="0" borderId="3" applyNumberFormat="0" applyFill="0" applyAlignment="0" applyProtection="0"/>
    <xf numFmtId="0" fontId="12" fillId="0" borderId="4" applyNumberFormat="0" applyFill="0" applyAlignment="0" applyProtection="0"/>
    <xf numFmtId="0" fontId="13" fillId="0" borderId="5" applyNumberFormat="0" applyFill="0" applyAlignment="0" applyProtection="0"/>
    <xf numFmtId="0" fontId="13" fillId="0" borderId="0" applyNumberFormat="0" applyFill="0" applyBorder="0" applyAlignment="0" applyProtection="0"/>
    <xf numFmtId="0" fontId="14" fillId="7" borderId="1" applyNumberFormat="0" applyAlignment="0" applyProtection="0"/>
    <xf numFmtId="0" fontId="15" fillId="0" borderId="6" applyNumberFormat="0" applyFill="0" applyAlignment="0" applyProtection="0"/>
    <xf numFmtId="0" fontId="16" fillId="22" borderId="0" applyNumberFormat="0" applyBorder="0" applyAlignment="0" applyProtection="0"/>
    <xf numFmtId="0" fontId="3" fillId="23" borderId="7" applyNumberFormat="0" applyAlignment="0" applyProtection="0"/>
    <xf numFmtId="0" fontId="17" fillId="20" borderId="8" applyNumberFormat="0" applyAlignment="0" applyProtection="0"/>
    <xf numFmtId="9" fontId="3" fillId="0" borderId="0" applyFill="0" applyBorder="0" applyAlignment="0" applyProtection="0"/>
    <xf numFmtId="0" fontId="18" fillId="0" borderId="0" applyNumberFormat="0" applyFill="0" applyBorder="0" applyAlignment="0" applyProtection="0"/>
    <xf numFmtId="0" fontId="19" fillId="0" borderId="9" applyNumberFormat="0" applyFill="0" applyAlignment="0" applyProtection="0"/>
    <xf numFmtId="0" fontId="20" fillId="0" borderId="0" applyNumberFormat="0" applyFill="0" applyBorder="0" applyAlignment="0" applyProtection="0"/>
    <xf numFmtId="9" fontId="24" fillId="0" borderId="0" applyFont="0" applyFill="0" applyBorder="0" applyAlignment="0" applyProtection="0"/>
    <xf numFmtId="0" fontId="24" fillId="0" borderId="0"/>
    <xf numFmtId="166" fontId="30" fillId="0" borderId="0" applyFont="0" applyFill="0" applyBorder="0" applyAlignment="0" applyProtection="0"/>
    <xf numFmtId="9" fontId="30" fillId="0" borderId="0" applyFont="0" applyFill="0" applyBorder="0" applyAlignment="0" applyProtection="0"/>
    <xf numFmtId="0" fontId="38" fillId="0" borderId="0"/>
    <xf numFmtId="164" fontId="30" fillId="0" borderId="0" applyFont="0" applyFill="0" applyBorder="0" applyAlignment="0" applyProtection="0"/>
    <xf numFmtId="167" fontId="3" fillId="0" borderId="0" applyFill="0" applyBorder="0" applyAlignment="0" applyProtection="0"/>
    <xf numFmtId="0" fontId="30" fillId="0" borderId="0"/>
    <xf numFmtId="0" fontId="7" fillId="20" borderId="28" applyNumberFormat="0" applyAlignment="0" applyProtection="0"/>
    <xf numFmtId="0" fontId="14" fillId="7" borderId="28" applyNumberFormat="0" applyAlignment="0" applyProtection="0"/>
    <xf numFmtId="0" fontId="3" fillId="23" borderId="29" applyNumberFormat="0" applyAlignment="0" applyProtection="0"/>
    <xf numFmtId="0" fontId="17" fillId="20" borderId="30" applyNumberFormat="0" applyAlignment="0" applyProtection="0"/>
    <xf numFmtId="0" fontId="19" fillId="0" borderId="31" applyNumberFormat="0" applyFill="0" applyAlignment="0" applyProtection="0"/>
    <xf numFmtId="0" fontId="7" fillId="20" borderId="40" applyNumberFormat="0" applyAlignment="0" applyProtection="0"/>
    <xf numFmtId="0" fontId="14" fillId="7" borderId="40" applyNumberFormat="0" applyAlignment="0" applyProtection="0"/>
    <xf numFmtId="0" fontId="3" fillId="23" borderId="41" applyNumberFormat="0" applyAlignment="0" applyProtection="0"/>
    <xf numFmtId="0" fontId="17" fillId="20" borderId="42" applyNumberFormat="0" applyAlignment="0" applyProtection="0"/>
    <xf numFmtId="0" fontId="19" fillId="0" borderId="43" applyNumberFormat="0" applyFill="0" applyAlignment="0" applyProtection="0"/>
  </cellStyleXfs>
  <cellXfs count="949">
    <xf numFmtId="0" fontId="0" fillId="0" borderId="0" xfId="0"/>
    <xf numFmtId="49" fontId="1" fillId="0" borderId="10" xfId="1" applyNumberFormat="1" applyFont="1" applyFill="1" applyBorder="1" applyAlignment="1">
      <alignment horizontal="center" vertical="center"/>
    </xf>
    <xf numFmtId="49" fontId="2" fillId="0" borderId="10" xfId="1" applyNumberFormat="1" applyFont="1" applyFill="1" applyBorder="1" applyAlignment="1">
      <alignment horizontal="center" vertical="center"/>
    </xf>
    <xf numFmtId="0" fontId="2" fillId="0" borderId="10" xfId="1" applyNumberFormat="1" applyFont="1" applyFill="1" applyBorder="1" applyAlignment="1">
      <alignment horizontal="center" vertical="center"/>
    </xf>
    <xf numFmtId="0" fontId="1" fillId="0" borderId="10" xfId="1" applyNumberFormat="1" applyFont="1" applyFill="1" applyBorder="1" applyAlignment="1">
      <alignment horizontal="center" vertical="center"/>
    </xf>
    <xf numFmtId="0" fontId="2" fillId="0" borderId="10" xfId="1" applyNumberFormat="1" applyFont="1" applyFill="1" applyBorder="1" applyAlignment="1">
      <alignment horizontal="center" vertical="center" wrapText="1"/>
    </xf>
    <xf numFmtId="0" fontId="23" fillId="0" borderId="10" xfId="1" applyFont="1" applyFill="1" applyBorder="1" applyAlignment="1">
      <alignment horizontal="center" vertical="center" wrapText="1"/>
    </xf>
    <xf numFmtId="0" fontId="23" fillId="0" borderId="10" xfId="1" applyFont="1" applyBorder="1" applyAlignment="1">
      <alignment horizontal="center"/>
    </xf>
    <xf numFmtId="49" fontId="21" fillId="0" borderId="11" xfId="1" applyNumberFormat="1" applyFont="1" applyBorder="1" applyAlignment="1">
      <alignment horizontal="center"/>
    </xf>
    <xf numFmtId="0" fontId="21" fillId="0" borderId="0" xfId="1" applyFont="1" applyFill="1"/>
    <xf numFmtId="49" fontId="21" fillId="0" borderId="0" xfId="1" applyNumberFormat="1" applyFont="1" applyAlignment="1">
      <alignment horizontal="center" vertical="center"/>
    </xf>
    <xf numFmtId="49" fontId="22" fillId="20" borderId="10" xfId="1" applyNumberFormat="1" applyFont="1" applyFill="1" applyBorder="1" applyAlignment="1">
      <alignment horizontal="center" vertical="center"/>
    </xf>
    <xf numFmtId="0" fontId="22" fillId="20" borderId="10" xfId="1" applyFont="1" applyFill="1" applyBorder="1" applyAlignment="1">
      <alignment horizontal="center" vertical="center" wrapText="1"/>
    </xf>
    <xf numFmtId="49" fontId="21" fillId="0" borderId="10" xfId="1" applyNumberFormat="1" applyFont="1" applyBorder="1" applyAlignment="1">
      <alignment horizontal="center" vertical="center"/>
    </xf>
    <xf numFmtId="0" fontId="22" fillId="6" borderId="10" xfId="1" applyFont="1" applyFill="1" applyBorder="1" applyAlignment="1">
      <alignment horizontal="center" vertical="center"/>
    </xf>
    <xf numFmtId="0" fontId="22" fillId="6" borderId="10" xfId="1" applyFont="1" applyFill="1" applyBorder="1" applyAlignment="1">
      <alignment horizontal="center" vertical="center" wrapText="1"/>
    </xf>
    <xf numFmtId="4" fontId="22" fillId="6" borderId="10" xfId="29" applyNumberFormat="1" applyFont="1" applyFill="1" applyBorder="1" applyAlignment="1" applyProtection="1">
      <alignment horizontal="center" vertical="center" wrapText="1"/>
    </xf>
    <xf numFmtId="0" fontId="21" fillId="0" borderId="10" xfId="1" applyFont="1" applyFill="1" applyBorder="1" applyAlignment="1">
      <alignment horizontal="center" vertical="center" wrapText="1"/>
    </xf>
    <xf numFmtId="0" fontId="22" fillId="20" borderId="10" xfId="1" applyFont="1" applyFill="1" applyBorder="1" applyAlignment="1">
      <alignment vertical="center" wrapText="1"/>
    </xf>
    <xf numFmtId="3" fontId="22" fillId="20" borderId="10" xfId="29" applyNumberFormat="1" applyFont="1" applyFill="1" applyBorder="1" applyAlignment="1" applyProtection="1">
      <alignment vertical="center" wrapText="1"/>
    </xf>
    <xf numFmtId="0" fontId="22" fillId="22" borderId="10" xfId="1" applyFont="1" applyFill="1" applyBorder="1" applyAlignment="1">
      <alignment vertical="center" wrapText="1"/>
    </xf>
    <xf numFmtId="0" fontId="22" fillId="22" borderId="10" xfId="1" applyFont="1" applyFill="1" applyBorder="1" applyAlignment="1">
      <alignment horizontal="center" vertical="center" wrapText="1"/>
    </xf>
    <xf numFmtId="3" fontId="22" fillId="22" borderId="10" xfId="29" applyNumberFormat="1" applyFont="1" applyFill="1" applyBorder="1" applyAlignment="1" applyProtection="1">
      <alignment vertical="center" wrapText="1"/>
    </xf>
    <xf numFmtId="0" fontId="21" fillId="0" borderId="10" xfId="1" applyFont="1" applyFill="1" applyBorder="1" applyAlignment="1">
      <alignment vertical="center" wrapText="1"/>
    </xf>
    <xf numFmtId="3" fontId="21" fillId="0" borderId="10" xfId="29" applyNumberFormat="1" applyFont="1" applyFill="1" applyBorder="1" applyAlignment="1" applyProtection="1">
      <alignment vertical="center" wrapText="1"/>
    </xf>
    <xf numFmtId="0" fontId="22" fillId="22" borderId="15" xfId="1" applyFont="1" applyFill="1" applyBorder="1" applyAlignment="1">
      <alignment vertical="center" wrapText="1"/>
    </xf>
    <xf numFmtId="0" fontId="22" fillId="22" borderId="15" xfId="1" applyFont="1" applyFill="1" applyBorder="1" applyAlignment="1">
      <alignment horizontal="center" vertical="center" wrapText="1"/>
    </xf>
    <xf numFmtId="3" fontId="22" fillId="22" borderId="15" xfId="29" applyNumberFormat="1" applyFont="1" applyFill="1" applyBorder="1" applyAlignment="1" applyProtection="1">
      <alignment vertical="center" wrapText="1"/>
    </xf>
    <xf numFmtId="49" fontId="21" fillId="0" borderId="14" xfId="1" applyNumberFormat="1" applyFont="1" applyFill="1" applyBorder="1" applyAlignment="1">
      <alignment vertical="center" wrapText="1"/>
    </xf>
    <xf numFmtId="0" fontId="21" fillId="0" borderId="13" xfId="1" applyNumberFormat="1" applyFont="1" applyFill="1" applyBorder="1" applyAlignment="1">
      <alignment horizontal="center" vertical="center" wrapText="1"/>
    </xf>
    <xf numFmtId="3" fontId="21" fillId="0" borderId="11" xfId="29" applyNumberFormat="1" applyFont="1" applyFill="1" applyBorder="1" applyAlignment="1" applyProtection="1">
      <alignment vertical="center" wrapText="1"/>
    </xf>
    <xf numFmtId="0" fontId="21" fillId="0" borderId="14" xfId="1" applyFont="1" applyBorder="1" applyAlignment="1">
      <alignment vertical="center" wrapText="1"/>
    </xf>
    <xf numFmtId="0" fontId="22" fillId="22" borderId="16" xfId="1" applyFont="1" applyFill="1" applyBorder="1" applyAlignment="1">
      <alignment vertical="center" wrapText="1"/>
    </xf>
    <xf numFmtId="0" fontId="22" fillId="22" borderId="16" xfId="1" applyFont="1" applyFill="1" applyBorder="1" applyAlignment="1">
      <alignment horizontal="center" vertical="center" wrapText="1"/>
    </xf>
    <xf numFmtId="3" fontId="22" fillId="22" borderId="16" xfId="29" applyNumberFormat="1" applyFont="1" applyFill="1" applyBorder="1" applyAlignment="1" applyProtection="1">
      <alignment vertical="center" wrapText="1"/>
    </xf>
    <xf numFmtId="0" fontId="21" fillId="0" borderId="10" xfId="1" applyFont="1" applyFill="1" applyBorder="1" applyAlignment="1">
      <alignment horizontal="center"/>
    </xf>
    <xf numFmtId="3" fontId="21" fillId="0" borderId="10" xfId="29" applyNumberFormat="1" applyFont="1" applyFill="1" applyBorder="1" applyAlignment="1" applyProtection="1"/>
    <xf numFmtId="0" fontId="22" fillId="22" borderId="10" xfId="1" applyFont="1" applyFill="1" applyBorder="1" applyAlignment="1">
      <alignment horizontal="center"/>
    </xf>
    <xf numFmtId="3" fontId="22" fillId="22" borderId="10" xfId="29" applyNumberFormat="1" applyFont="1" applyFill="1" applyBorder="1" applyAlignment="1" applyProtection="1"/>
    <xf numFmtId="0" fontId="21" fillId="0" borderId="0" xfId="1" applyFont="1" applyFill="1" applyAlignment="1">
      <alignment horizontal="center"/>
    </xf>
    <xf numFmtId="3" fontId="21" fillId="0" borderId="0" xfId="29" applyNumberFormat="1" applyFont="1" applyFill="1" applyBorder="1" applyAlignment="1" applyProtection="1"/>
    <xf numFmtId="0" fontId="22" fillId="20" borderId="10" xfId="1" applyFont="1" applyFill="1" applyBorder="1" applyAlignment="1">
      <alignment horizontal="center" vertical="center"/>
    </xf>
    <xf numFmtId="49" fontId="22" fillId="22" borderId="10" xfId="1" applyNumberFormat="1" applyFont="1" applyFill="1" applyBorder="1" applyAlignment="1">
      <alignment horizontal="center" vertical="center"/>
    </xf>
    <xf numFmtId="49" fontId="22" fillId="22" borderId="15" xfId="1" applyNumberFormat="1" applyFont="1" applyFill="1" applyBorder="1" applyAlignment="1">
      <alignment horizontal="center" vertical="center"/>
    </xf>
    <xf numFmtId="49" fontId="21" fillId="0" borderId="11" xfId="1" applyNumberFormat="1" applyFont="1" applyFill="1" applyBorder="1" applyAlignment="1">
      <alignment horizontal="center" vertical="center"/>
    </xf>
    <xf numFmtId="49" fontId="21" fillId="0" borderId="11" xfId="1" applyNumberFormat="1" applyFont="1" applyBorder="1" applyAlignment="1">
      <alignment horizontal="center" vertical="center"/>
    </xf>
    <xf numFmtId="49" fontId="22" fillId="22" borderId="16" xfId="1" applyNumberFormat="1" applyFont="1" applyFill="1" applyBorder="1" applyAlignment="1">
      <alignment horizontal="center" vertical="center"/>
    </xf>
    <xf numFmtId="0" fontId="21" fillId="0" borderId="11" xfId="1" applyFont="1" applyBorder="1" applyAlignment="1">
      <alignment vertical="center" wrapText="1"/>
    </xf>
    <xf numFmtId="0" fontId="21" fillId="0" borderId="11" xfId="1" applyNumberFormat="1" applyFont="1" applyFill="1" applyBorder="1" applyAlignment="1">
      <alignment horizontal="center" vertical="center" wrapText="1"/>
    </xf>
    <xf numFmtId="0" fontId="21" fillId="0" borderId="11" xfId="1" applyFont="1" applyBorder="1" applyAlignment="1">
      <alignment horizontal="center" vertical="center" wrapText="1"/>
    </xf>
    <xf numFmtId="0" fontId="21" fillId="0" borderId="11" xfId="1" applyFont="1" applyFill="1" applyBorder="1" applyAlignment="1">
      <alignment vertical="center" wrapText="1"/>
    </xf>
    <xf numFmtId="0" fontId="21" fillId="0" borderId="11" xfId="1" applyFont="1" applyFill="1" applyBorder="1" applyAlignment="1">
      <alignment horizontal="center" vertical="center" wrapText="1"/>
    </xf>
    <xf numFmtId="49" fontId="25" fillId="0" borderId="11" xfId="46" applyNumberFormat="1" applyFont="1" applyBorder="1" applyAlignment="1" applyProtection="1">
      <alignment horizontal="left" vertical="top"/>
    </xf>
    <xf numFmtId="0" fontId="25" fillId="0" borderId="11" xfId="46" applyFont="1" applyBorder="1" applyAlignment="1" applyProtection="1">
      <alignment horizontal="left" vertical="top"/>
    </xf>
    <xf numFmtId="0" fontId="25" fillId="0" borderId="11" xfId="46" applyNumberFormat="1" applyFont="1" applyBorder="1" applyAlignment="1" applyProtection="1">
      <alignment horizontal="left" vertical="top"/>
    </xf>
    <xf numFmtId="49" fontId="26" fillId="0" borderId="11" xfId="46" applyNumberFormat="1" applyFont="1" applyBorder="1" applyAlignment="1" applyProtection="1">
      <alignment horizontal="left" vertical="top"/>
    </xf>
    <xf numFmtId="0" fontId="26" fillId="0" borderId="11" xfId="46" applyFont="1" applyBorder="1" applyAlignment="1" applyProtection="1">
      <alignment horizontal="left" vertical="top"/>
    </xf>
    <xf numFmtId="0" fontId="26" fillId="0" borderId="11" xfId="46" applyNumberFormat="1" applyFont="1" applyBorder="1" applyAlignment="1" applyProtection="1">
      <alignment horizontal="left" vertical="top"/>
    </xf>
    <xf numFmtId="49" fontId="28" fillId="0" borderId="11" xfId="46" applyNumberFormat="1" applyFont="1" applyBorder="1" applyAlignment="1" applyProtection="1">
      <alignment horizontal="left" vertical="top"/>
    </xf>
    <xf numFmtId="0" fontId="28" fillId="0" borderId="11" xfId="46" applyFont="1" applyBorder="1" applyAlignment="1" applyProtection="1">
      <alignment horizontal="left" vertical="top"/>
    </xf>
    <xf numFmtId="0" fontId="32" fillId="0" borderId="0" xfId="0" applyFont="1" applyAlignment="1">
      <alignment horizontal="center"/>
    </xf>
    <xf numFmtId="0" fontId="31" fillId="0" borderId="0" xfId="0" applyFont="1" applyAlignment="1">
      <alignment horizontal="center" vertical="center" wrapText="1"/>
    </xf>
    <xf numFmtId="0" fontId="31" fillId="0" borderId="0" xfId="0" applyFont="1"/>
    <xf numFmtId="0" fontId="29" fillId="0" borderId="0" xfId="0" applyFont="1" applyAlignment="1">
      <alignment vertical="center"/>
    </xf>
    <xf numFmtId="0" fontId="31" fillId="0" borderId="0" xfId="0" applyFont="1" applyAlignment="1">
      <alignment horizontal="center"/>
    </xf>
    <xf numFmtId="0" fontId="0" fillId="0" borderId="0" xfId="0" applyNumberFormat="1"/>
    <xf numFmtId="0" fontId="31" fillId="0" borderId="0" xfId="0" applyNumberFormat="1" applyFont="1"/>
    <xf numFmtId="0" fontId="33" fillId="0" borderId="0" xfId="0" applyFont="1" applyBorder="1" applyAlignment="1" applyProtection="1">
      <alignment vertical="top"/>
    </xf>
    <xf numFmtId="49" fontId="0" fillId="0" borderId="0" xfId="0" applyNumberFormat="1" applyAlignment="1" applyProtection="1">
      <alignment horizontal="left" vertical="top"/>
    </xf>
    <xf numFmtId="0" fontId="0" fillId="0" borderId="0" xfId="0" applyAlignment="1" applyProtection="1">
      <alignment vertical="top"/>
    </xf>
    <xf numFmtId="0" fontId="33" fillId="24" borderId="0" xfId="0" applyFont="1" applyFill="1" applyBorder="1" applyAlignment="1" applyProtection="1">
      <alignment vertical="top"/>
    </xf>
    <xf numFmtId="0" fontId="33" fillId="24" borderId="0" xfId="0" applyFont="1" applyFill="1" applyBorder="1" applyAlignment="1" applyProtection="1"/>
    <xf numFmtId="0" fontId="33" fillId="24" borderId="0" xfId="0" applyFont="1" applyFill="1" applyProtection="1"/>
    <xf numFmtId="0" fontId="33" fillId="24" borderId="0" xfId="0" applyFont="1" applyFill="1" applyAlignment="1" applyProtection="1">
      <alignment vertical="top"/>
    </xf>
    <xf numFmtId="4" fontId="22" fillId="6" borderId="10" xfId="29" applyNumberFormat="1" applyFont="1" applyFill="1" applyBorder="1" applyAlignment="1" applyProtection="1">
      <alignment horizontal="center" vertical="center" wrapText="1"/>
    </xf>
    <xf numFmtId="3" fontId="22" fillId="20" borderId="10" xfId="29" applyNumberFormat="1" applyFont="1" applyFill="1" applyBorder="1" applyAlignment="1" applyProtection="1">
      <alignment vertical="center" wrapText="1"/>
    </xf>
    <xf numFmtId="3" fontId="22" fillId="22" borderId="10" xfId="29" applyNumberFormat="1" applyFont="1" applyFill="1" applyBorder="1" applyAlignment="1" applyProtection="1">
      <alignment vertical="center" wrapText="1"/>
    </xf>
    <xf numFmtId="3" fontId="21" fillId="0" borderId="10" xfId="29" applyNumberFormat="1" applyFont="1" applyFill="1" applyBorder="1" applyAlignment="1" applyProtection="1">
      <alignment vertical="center" wrapText="1"/>
    </xf>
    <xf numFmtId="3" fontId="22" fillId="22" borderId="15" xfId="29" applyNumberFormat="1" applyFont="1" applyFill="1" applyBorder="1" applyAlignment="1" applyProtection="1">
      <alignment vertical="center" wrapText="1"/>
    </xf>
    <xf numFmtId="3" fontId="21" fillId="0" borderId="11" xfId="29" applyNumberFormat="1" applyFont="1" applyFill="1" applyBorder="1" applyAlignment="1" applyProtection="1">
      <alignment vertical="center" wrapText="1"/>
    </xf>
    <xf numFmtId="3" fontId="22" fillId="22" borderId="16" xfId="29" applyNumberFormat="1" applyFont="1" applyFill="1" applyBorder="1" applyAlignment="1" applyProtection="1">
      <alignment vertical="center" wrapText="1"/>
    </xf>
    <xf numFmtId="3" fontId="21" fillId="0" borderId="10" xfId="29" applyNumberFormat="1" applyFont="1" applyFill="1" applyBorder="1" applyAlignment="1" applyProtection="1"/>
    <xf numFmtId="3" fontId="22" fillId="22" borderId="10" xfId="29" applyNumberFormat="1" applyFont="1" applyFill="1" applyBorder="1" applyAlignment="1" applyProtection="1"/>
    <xf numFmtId="3" fontId="21" fillId="0" borderId="0" xfId="29" applyNumberFormat="1" applyFont="1" applyFill="1" applyBorder="1" applyAlignment="1" applyProtection="1"/>
    <xf numFmtId="0" fontId="48" fillId="0" borderId="0" xfId="0" applyFont="1"/>
    <xf numFmtId="49" fontId="50" fillId="0" borderId="11" xfId="1" applyNumberFormat="1" applyFont="1" applyFill="1" applyBorder="1" applyAlignment="1">
      <alignment horizontal="center" vertical="center" wrapText="1"/>
    </xf>
    <xf numFmtId="0" fontId="49" fillId="0" borderId="0" xfId="0" applyFont="1"/>
    <xf numFmtId="0" fontId="52" fillId="0" borderId="18" xfId="0" applyFont="1" applyFill="1" applyBorder="1" applyAlignment="1" applyProtection="1">
      <alignment horizontal="center" vertical="top"/>
    </xf>
    <xf numFmtId="0" fontId="48" fillId="0" borderId="0" xfId="0" applyFont="1" applyFill="1"/>
    <xf numFmtId="0" fontId="52" fillId="0" borderId="18" xfId="0" applyFont="1" applyFill="1" applyBorder="1" applyAlignment="1" applyProtection="1">
      <alignment horizontal="center"/>
    </xf>
    <xf numFmtId="0" fontId="53" fillId="0" borderId="18" xfId="0" applyFont="1" applyBorder="1" applyAlignment="1">
      <alignment horizontal="center" vertical="center"/>
    </xf>
    <xf numFmtId="49" fontId="45" fillId="0" borderId="23" xfId="0" applyNumberFormat="1" applyFont="1" applyFill="1" applyBorder="1" applyAlignment="1">
      <alignment horizontal="center" vertical="center"/>
    </xf>
    <xf numFmtId="49" fontId="47" fillId="20" borderId="23" xfId="0" applyNumberFormat="1" applyFont="1" applyFill="1" applyBorder="1" applyAlignment="1">
      <alignment horizontal="left" vertical="center"/>
    </xf>
    <xf numFmtId="0" fontId="54" fillId="20" borderId="23" xfId="0" applyFont="1" applyFill="1" applyBorder="1"/>
    <xf numFmtId="165" fontId="47" fillId="20" borderId="23" xfId="0" applyNumberFormat="1" applyFont="1" applyFill="1" applyBorder="1" applyAlignment="1">
      <alignment horizontal="center" vertical="center" wrapText="1"/>
    </xf>
    <xf numFmtId="0" fontId="45" fillId="0" borderId="23" xfId="0" applyFont="1" applyFill="1" applyBorder="1" applyAlignment="1">
      <alignment horizontal="left" vertical="center" wrapText="1"/>
    </xf>
    <xf numFmtId="165" fontId="45" fillId="0" borderId="23" xfId="0" applyNumberFormat="1" applyFont="1" applyFill="1" applyBorder="1" applyAlignment="1">
      <alignment horizontal="center" vertical="center" wrapText="1"/>
    </xf>
    <xf numFmtId="169" fontId="45" fillId="0" borderId="23" xfId="0" applyNumberFormat="1" applyFont="1" applyFill="1" applyBorder="1" applyAlignment="1">
      <alignment horizontal="center" vertical="center" wrapText="1"/>
    </xf>
    <xf numFmtId="49" fontId="47" fillId="20" borderId="23" xfId="0" applyNumberFormat="1" applyFont="1" applyFill="1" applyBorder="1" applyAlignment="1">
      <alignment horizontal="left"/>
    </xf>
    <xf numFmtId="0" fontId="47" fillId="20" borderId="23" xfId="0" applyFont="1" applyFill="1" applyBorder="1" applyAlignment="1">
      <alignment horizontal="left" wrapText="1"/>
    </xf>
    <xf numFmtId="169" fontId="47" fillId="20" borderId="23" xfId="0" applyNumberFormat="1" applyFont="1" applyFill="1" applyBorder="1" applyAlignment="1">
      <alignment horizontal="center" vertical="center" wrapText="1"/>
    </xf>
    <xf numFmtId="49" fontId="45" fillId="0" borderId="23" xfId="0" applyNumberFormat="1" applyFont="1" applyFill="1" applyBorder="1" applyAlignment="1">
      <alignment horizontal="center"/>
    </xf>
    <xf numFmtId="0" fontId="45" fillId="0" borderId="23" xfId="0" applyFont="1" applyFill="1" applyBorder="1" applyAlignment="1">
      <alignment horizontal="left" wrapText="1"/>
    </xf>
    <xf numFmtId="49" fontId="45" fillId="0" borderId="23" xfId="0" applyNumberFormat="1" applyFont="1" applyFill="1" applyBorder="1" applyAlignment="1">
      <alignment horizontal="right"/>
    </xf>
    <xf numFmtId="0" fontId="54" fillId="20" borderId="23" xfId="0" applyFont="1" applyFill="1" applyBorder="1" applyAlignment="1">
      <alignment wrapText="1"/>
    </xf>
    <xf numFmtId="0" fontId="55" fillId="0" borderId="23" xfId="0" applyFont="1" applyFill="1" applyBorder="1" applyAlignment="1">
      <alignment wrapText="1"/>
    </xf>
    <xf numFmtId="49" fontId="45" fillId="0" borderId="23" xfId="0" applyNumberFormat="1" applyFont="1" applyFill="1" applyBorder="1" applyAlignment="1">
      <alignment horizontal="right" vertical="center"/>
    </xf>
    <xf numFmtId="49" fontId="47" fillId="29" borderId="23" xfId="0" applyNumberFormat="1" applyFont="1" applyFill="1" applyBorder="1" applyAlignment="1">
      <alignment horizontal="left"/>
    </xf>
    <xf numFmtId="0" fontId="54" fillId="29" borderId="23" xfId="0" applyFont="1" applyFill="1" applyBorder="1" applyAlignment="1">
      <alignment wrapText="1"/>
    </xf>
    <xf numFmtId="165" fontId="47" fillId="29" borderId="23" xfId="0" applyNumberFormat="1" applyFont="1" applyFill="1" applyBorder="1" applyAlignment="1">
      <alignment horizontal="center" vertical="center" wrapText="1"/>
    </xf>
    <xf numFmtId="169" fontId="47" fillId="29" borderId="23" xfId="0" applyNumberFormat="1" applyFont="1" applyFill="1" applyBorder="1" applyAlignment="1">
      <alignment horizontal="center" vertical="center" wrapText="1"/>
    </xf>
    <xf numFmtId="0" fontId="47" fillId="26" borderId="23" xfId="0" applyFont="1" applyFill="1" applyBorder="1" applyAlignment="1">
      <alignment horizontal="left"/>
    </xf>
    <xf numFmtId="0" fontId="54" fillId="26" borderId="23" xfId="0" applyFont="1" applyFill="1" applyBorder="1" applyAlignment="1">
      <alignment wrapText="1"/>
    </xf>
    <xf numFmtId="165" fontId="47" fillId="26" borderId="23" xfId="0" applyNumberFormat="1" applyFont="1" applyFill="1" applyBorder="1" applyAlignment="1">
      <alignment horizontal="center" vertical="center" wrapText="1"/>
    </xf>
    <xf numFmtId="169" fontId="47" fillId="26" borderId="23" xfId="0" applyNumberFormat="1" applyFont="1" applyFill="1" applyBorder="1" applyAlignment="1">
      <alignment horizontal="center" vertical="center" wrapText="1"/>
    </xf>
    <xf numFmtId="49" fontId="47" fillId="20" borderId="23" xfId="0" applyNumberFormat="1" applyFont="1" applyFill="1" applyBorder="1" applyAlignment="1">
      <alignment horizontal="left" vertical="center" wrapText="1"/>
    </xf>
    <xf numFmtId="49" fontId="45" fillId="0" borderId="23" xfId="0" applyNumberFormat="1" applyFont="1" applyFill="1" applyBorder="1" applyAlignment="1">
      <alignment horizontal="center" vertical="center" wrapText="1"/>
    </xf>
    <xf numFmtId="49" fontId="45" fillId="4" borderId="24" xfId="0" applyNumberFormat="1" applyFont="1" applyFill="1" applyBorder="1" applyAlignment="1">
      <alignment horizontal="center"/>
    </xf>
    <xf numFmtId="0" fontId="47" fillId="4" borderId="24" xfId="0" applyFont="1" applyFill="1" applyBorder="1" applyAlignment="1">
      <alignment horizontal="center" vertical="center"/>
    </xf>
    <xf numFmtId="165" fontId="47" fillId="4" borderId="24" xfId="29" applyNumberFormat="1" applyFont="1" applyFill="1" applyBorder="1" applyAlignment="1" applyProtection="1">
      <alignment horizontal="right" vertical="center" wrapText="1"/>
    </xf>
    <xf numFmtId="169" fontId="47" fillId="4" borderId="24" xfId="29" applyNumberFormat="1" applyFont="1" applyFill="1" applyBorder="1" applyAlignment="1" applyProtection="1">
      <alignment horizontal="right" vertical="center" wrapText="1"/>
    </xf>
    <xf numFmtId="49" fontId="45" fillId="0" borderId="0" xfId="0" applyNumberFormat="1" applyFont="1" applyBorder="1" applyAlignment="1">
      <alignment horizontal="center" vertical="center" wrapText="1"/>
    </xf>
    <xf numFmtId="0" fontId="45" fillId="0" borderId="0" xfId="0" applyFont="1" applyBorder="1" applyAlignment="1">
      <alignment horizontal="left" vertical="center" wrapText="1"/>
    </xf>
    <xf numFmtId="170" fontId="45" fillId="0" borderId="0" xfId="29" applyNumberFormat="1" applyFont="1" applyFill="1" applyBorder="1" applyAlignment="1" applyProtection="1">
      <alignment horizontal="right" vertical="center" wrapText="1"/>
    </xf>
    <xf numFmtId="0" fontId="45" fillId="0" borderId="0" xfId="0" applyFont="1"/>
    <xf numFmtId="168" fontId="45" fillId="0" borderId="0" xfId="0" applyNumberFormat="1" applyFont="1" applyFill="1"/>
    <xf numFmtId="0" fontId="56" fillId="0" borderId="11" xfId="0" applyFont="1" applyBorder="1" applyAlignment="1">
      <alignment horizontal="center"/>
    </xf>
    <xf numFmtId="0" fontId="56" fillId="0" borderId="11" xfId="0" applyNumberFormat="1" applyFont="1" applyBorder="1" applyAlignment="1">
      <alignment horizontal="center" wrapText="1"/>
    </xf>
    <xf numFmtId="0" fontId="57" fillId="0" borderId="11" xfId="0" applyFont="1" applyBorder="1" applyAlignment="1">
      <alignment horizontal="center"/>
    </xf>
    <xf numFmtId="0" fontId="57" fillId="0" borderId="11" xfId="0" applyNumberFormat="1" applyFont="1" applyBorder="1" applyAlignment="1">
      <alignment horizontal="center" wrapText="1"/>
    </xf>
    <xf numFmtId="0" fontId="57" fillId="0" borderId="11" xfId="0" applyFont="1" applyBorder="1"/>
    <xf numFmtId="165" fontId="56" fillId="0" borderId="11" xfId="0" applyNumberFormat="1" applyFont="1" applyBorder="1" applyAlignment="1">
      <alignment horizontal="right" wrapText="1"/>
    </xf>
    <xf numFmtId="165" fontId="57" fillId="0" borderId="11" xfId="0" applyNumberFormat="1" applyFont="1" applyBorder="1" applyAlignment="1">
      <alignment horizontal="right" wrapText="1"/>
    </xf>
    <xf numFmtId="165" fontId="48" fillId="0" borderId="0" xfId="0" applyNumberFormat="1" applyFont="1" applyAlignment="1">
      <alignment wrapText="1"/>
    </xf>
    <xf numFmtId="168" fontId="43" fillId="6" borderId="20" xfId="0" applyNumberFormat="1" applyFont="1" applyFill="1" applyBorder="1" applyAlignment="1">
      <alignment horizontal="center" vertical="center" wrapText="1" shrinkToFit="1"/>
    </xf>
    <xf numFmtId="49" fontId="43" fillId="25" borderId="18" xfId="0" applyNumberFormat="1" applyFont="1" applyFill="1" applyBorder="1" applyAlignment="1">
      <alignment horizontal="center" wrapText="1"/>
    </xf>
    <xf numFmtId="49" fontId="43" fillId="25" borderId="18" xfId="0" applyNumberFormat="1" applyFont="1" applyFill="1" applyBorder="1" applyAlignment="1">
      <alignment horizontal="left" vertical="center" wrapText="1"/>
    </xf>
    <xf numFmtId="165" fontId="43" fillId="25" borderId="18" xfId="29" applyNumberFormat="1" applyFont="1" applyFill="1" applyBorder="1" applyAlignment="1" applyProtection="1">
      <alignment horizontal="right" vertical="center" wrapText="1"/>
    </xf>
    <xf numFmtId="49" fontId="43" fillId="26" borderId="18" xfId="0" applyNumberFormat="1" applyFont="1" applyFill="1" applyBorder="1" applyAlignment="1">
      <alignment horizontal="left" wrapText="1"/>
    </xf>
    <xf numFmtId="49" fontId="43" fillId="26" borderId="18" xfId="0" applyNumberFormat="1" applyFont="1" applyFill="1" applyBorder="1" applyAlignment="1">
      <alignment horizontal="center" wrapText="1"/>
    </xf>
    <xf numFmtId="49" fontId="43" fillId="26" borderId="18" xfId="0" applyNumberFormat="1" applyFont="1" applyFill="1" applyBorder="1" applyAlignment="1">
      <alignment horizontal="left" vertical="center" wrapText="1"/>
    </xf>
    <xf numFmtId="165" fontId="43" fillId="26" borderId="18" xfId="29" applyNumberFormat="1" applyFont="1" applyFill="1" applyBorder="1" applyAlignment="1" applyProtection="1">
      <alignment horizontal="right" vertical="center" wrapText="1"/>
    </xf>
    <xf numFmtId="0" fontId="43" fillId="27" borderId="18" xfId="0" applyFont="1" applyFill="1" applyBorder="1" applyAlignment="1">
      <alignment horizontal="center" vertical="center" wrapText="1"/>
    </xf>
    <xf numFmtId="0" fontId="43" fillId="27" borderId="18" xfId="0" applyFont="1" applyFill="1" applyBorder="1" applyAlignment="1">
      <alignment horizontal="left" vertical="center" wrapText="1"/>
    </xf>
    <xf numFmtId="165" fontId="43" fillId="27" borderId="18" xfId="29" applyNumberFormat="1" applyFont="1" applyFill="1" applyBorder="1" applyAlignment="1" applyProtection="1">
      <alignment horizontal="right" vertical="center" wrapText="1"/>
    </xf>
    <xf numFmtId="0" fontId="43" fillId="22" borderId="18" xfId="0" applyFont="1" applyFill="1" applyBorder="1" applyAlignment="1">
      <alignment horizontal="right" vertical="center" wrapText="1"/>
    </xf>
    <xf numFmtId="0" fontId="58" fillId="22" borderId="18" xfId="0" applyFont="1" applyFill="1" applyBorder="1" applyAlignment="1">
      <alignment horizontal="center" vertical="center" wrapText="1"/>
    </xf>
    <xf numFmtId="0" fontId="43" fillId="22" borderId="18" xfId="0" applyFont="1" applyFill="1" applyBorder="1" applyAlignment="1">
      <alignment vertical="center" wrapText="1"/>
    </xf>
    <xf numFmtId="165" fontId="43" fillId="22" borderId="18" xfId="29" applyNumberFormat="1" applyFont="1" applyFill="1" applyBorder="1" applyAlignment="1" applyProtection="1">
      <alignment horizontal="right" vertical="center" wrapText="1"/>
    </xf>
    <xf numFmtId="0" fontId="58" fillId="0" borderId="18" xfId="0" applyFont="1" applyFill="1" applyBorder="1" applyAlignment="1">
      <alignment horizontal="center" vertical="center" wrapText="1"/>
    </xf>
    <xf numFmtId="0" fontId="58" fillId="0" borderId="18" xfId="0" applyFont="1" applyBorder="1" applyAlignment="1">
      <alignment vertical="center" wrapText="1"/>
    </xf>
    <xf numFmtId="165" fontId="58" fillId="0" borderId="18" xfId="29" applyNumberFormat="1" applyFont="1" applyFill="1" applyBorder="1" applyAlignment="1" applyProtection="1">
      <alignment horizontal="right" vertical="center" wrapText="1"/>
    </xf>
    <xf numFmtId="0" fontId="43" fillId="0" borderId="18" xfId="0" applyFont="1" applyFill="1" applyBorder="1" applyAlignment="1">
      <alignment horizontal="center" vertical="center" wrapText="1"/>
    </xf>
    <xf numFmtId="0" fontId="43" fillId="22" borderId="18" xfId="0" applyFont="1" applyFill="1" applyBorder="1" applyAlignment="1">
      <alignment horizontal="center" vertical="center" wrapText="1"/>
    </xf>
    <xf numFmtId="0" fontId="58" fillId="0" borderId="18" xfId="0" applyFont="1" applyFill="1" applyBorder="1" applyAlignment="1">
      <alignment vertical="center" wrapText="1"/>
    </xf>
    <xf numFmtId="49" fontId="58" fillId="0" borderId="18" xfId="0" applyNumberFormat="1" applyFont="1" applyFill="1" applyBorder="1" applyAlignment="1">
      <alignment horizontal="center" vertical="center" wrapText="1"/>
    </xf>
    <xf numFmtId="49" fontId="43" fillId="22" borderId="18" xfId="0" applyNumberFormat="1" applyFont="1" applyFill="1" applyBorder="1" applyAlignment="1">
      <alignment horizontal="right" vertical="center" wrapText="1"/>
    </xf>
    <xf numFmtId="49" fontId="58" fillId="22" borderId="18" xfId="0" applyNumberFormat="1" applyFont="1" applyFill="1" applyBorder="1" applyAlignment="1">
      <alignment horizontal="center" vertical="center" wrapText="1"/>
    </xf>
    <xf numFmtId="49" fontId="43" fillId="22" borderId="18" xfId="0" applyNumberFormat="1" applyFont="1" applyFill="1" applyBorder="1" applyAlignment="1">
      <alignment vertical="center" wrapText="1"/>
    </xf>
    <xf numFmtId="49" fontId="43" fillId="27" borderId="18" xfId="0" applyNumberFormat="1" applyFont="1" applyFill="1" applyBorder="1" applyAlignment="1">
      <alignment horizontal="center" vertical="center" wrapText="1"/>
    </xf>
    <xf numFmtId="49" fontId="58" fillId="27" borderId="18" xfId="0" applyNumberFormat="1" applyFont="1" applyFill="1" applyBorder="1" applyAlignment="1">
      <alignment horizontal="center" vertical="center" wrapText="1"/>
    </xf>
    <xf numFmtId="49" fontId="43" fillId="27" borderId="18" xfId="0" applyNumberFormat="1" applyFont="1" applyFill="1" applyBorder="1" applyAlignment="1">
      <alignment vertical="center" wrapText="1"/>
    </xf>
    <xf numFmtId="49" fontId="58" fillId="0" borderId="18" xfId="0" applyNumberFormat="1" applyFont="1" applyFill="1" applyBorder="1" applyAlignment="1">
      <alignment vertical="center" wrapText="1"/>
    </xf>
    <xf numFmtId="49" fontId="43" fillId="0" borderId="18" xfId="0" applyNumberFormat="1" applyFont="1" applyFill="1" applyBorder="1" applyAlignment="1">
      <alignment horizontal="center" vertical="center" wrapText="1"/>
    </xf>
    <xf numFmtId="0" fontId="58" fillId="0" borderId="18" xfId="0" applyFont="1" applyBorder="1" applyAlignment="1">
      <alignment horizontal="center"/>
    </xf>
    <xf numFmtId="0" fontId="58" fillId="0" borderId="18" xfId="0" applyFont="1" applyBorder="1"/>
    <xf numFmtId="49" fontId="43" fillId="28" borderId="18" xfId="0" applyNumberFormat="1" applyFont="1" applyFill="1" applyBorder="1" applyAlignment="1">
      <alignment horizontal="center" vertical="center" wrapText="1"/>
    </xf>
    <xf numFmtId="49" fontId="58" fillId="28" borderId="18" xfId="0" applyNumberFormat="1" applyFont="1" applyFill="1" applyBorder="1" applyAlignment="1">
      <alignment horizontal="center" vertical="center" wrapText="1"/>
    </xf>
    <xf numFmtId="49" fontId="43" fillId="28" borderId="18" xfId="0" applyNumberFormat="1" applyFont="1" applyFill="1" applyBorder="1" applyAlignment="1">
      <alignment vertical="center" wrapText="1"/>
    </xf>
    <xf numFmtId="165" fontId="43" fillId="28" borderId="18" xfId="29" applyNumberFormat="1" applyFont="1" applyFill="1" applyBorder="1" applyAlignment="1" applyProtection="1">
      <alignment horizontal="right" vertical="center" wrapText="1"/>
    </xf>
    <xf numFmtId="49" fontId="43" fillId="20" borderId="18" xfId="0" applyNumberFormat="1" applyFont="1" applyFill="1" applyBorder="1" applyAlignment="1">
      <alignment horizontal="left" vertical="center" wrapText="1"/>
    </xf>
    <xf numFmtId="49" fontId="58" fillId="20" borderId="18" xfId="0" applyNumberFormat="1" applyFont="1" applyFill="1" applyBorder="1" applyAlignment="1">
      <alignment horizontal="center" vertical="center" wrapText="1"/>
    </xf>
    <xf numFmtId="49" fontId="43" fillId="20" borderId="18" xfId="0" applyNumberFormat="1" applyFont="1" applyFill="1" applyBorder="1" applyAlignment="1">
      <alignment vertical="center" wrapText="1"/>
    </xf>
    <xf numFmtId="165" fontId="43" fillId="20" borderId="18" xfId="29" applyNumberFormat="1" applyFont="1" applyFill="1" applyBorder="1" applyAlignment="1" applyProtection="1">
      <alignment horizontal="right" vertical="center" wrapText="1"/>
    </xf>
    <xf numFmtId="0" fontId="43" fillId="28" borderId="18" xfId="0" applyFont="1" applyFill="1" applyBorder="1" applyAlignment="1">
      <alignment horizontal="center" vertical="center" wrapText="1"/>
    </xf>
    <xf numFmtId="0" fontId="43" fillId="28" borderId="18" xfId="0" applyFont="1" applyFill="1" applyBorder="1"/>
    <xf numFmtId="0" fontId="43" fillId="28" borderId="18" xfId="0" applyFont="1" applyFill="1" applyBorder="1" applyAlignment="1">
      <alignment horizontal="center" vertical="top" wrapText="1"/>
    </xf>
    <xf numFmtId="0" fontId="43" fillId="28" borderId="18" xfId="0" applyFont="1" applyFill="1" applyBorder="1" applyAlignment="1">
      <alignment wrapText="1"/>
    </xf>
    <xf numFmtId="165" fontId="43" fillId="28" borderId="18" xfId="0" applyNumberFormat="1" applyFont="1" applyFill="1" applyBorder="1" applyAlignment="1">
      <alignment horizontal="right" vertical="top" wrapText="1"/>
    </xf>
    <xf numFmtId="0" fontId="58" fillId="20" borderId="18" xfId="0" applyFont="1" applyFill="1" applyBorder="1"/>
    <xf numFmtId="0" fontId="43" fillId="20" borderId="18" xfId="0" applyFont="1" applyFill="1" applyBorder="1"/>
    <xf numFmtId="49" fontId="43" fillId="25" borderId="18" xfId="0" applyNumberFormat="1" applyFont="1" applyFill="1" applyBorder="1" applyAlignment="1">
      <alignment horizontal="center" vertical="center" wrapText="1"/>
    </xf>
    <xf numFmtId="49" fontId="43" fillId="25" borderId="18" xfId="0" applyNumberFormat="1" applyFont="1" applyFill="1" applyBorder="1" applyAlignment="1">
      <alignment vertical="center" wrapText="1"/>
    </xf>
    <xf numFmtId="0" fontId="46" fillId="0" borderId="0" xfId="0" applyFont="1" applyAlignment="1">
      <alignment horizontal="center"/>
    </xf>
    <xf numFmtId="0" fontId="46" fillId="0" borderId="0" xfId="0" applyFont="1" applyAlignment="1">
      <alignment vertical="center" wrapText="1"/>
    </xf>
    <xf numFmtId="165" fontId="43" fillId="25" borderId="25" xfId="29" applyNumberFormat="1" applyFont="1" applyFill="1" applyBorder="1" applyAlignment="1" applyProtection="1">
      <alignment horizontal="right" vertical="center" wrapText="1"/>
    </xf>
    <xf numFmtId="165" fontId="43" fillId="26" borderId="25" xfId="29" applyNumberFormat="1" applyFont="1" applyFill="1" applyBorder="1" applyAlignment="1" applyProtection="1">
      <alignment horizontal="right" vertical="center" wrapText="1"/>
    </xf>
    <xf numFmtId="165" fontId="43" fillId="27" borderId="25" xfId="29" applyNumberFormat="1" applyFont="1" applyFill="1" applyBorder="1" applyAlignment="1" applyProtection="1">
      <alignment horizontal="right" vertical="center" wrapText="1"/>
    </xf>
    <xf numFmtId="165" fontId="43" fillId="22" borderId="25" xfId="29" applyNumberFormat="1" applyFont="1" applyFill="1" applyBorder="1" applyAlignment="1" applyProtection="1">
      <alignment horizontal="right" vertical="center" wrapText="1"/>
    </xf>
    <xf numFmtId="165" fontId="58" fillId="0" borderId="25" xfId="29" applyNumberFormat="1" applyFont="1" applyFill="1" applyBorder="1" applyAlignment="1" applyProtection="1">
      <alignment horizontal="right" vertical="center" wrapText="1"/>
    </xf>
    <xf numFmtId="165" fontId="43" fillId="28" borderId="25" xfId="29" applyNumberFormat="1" applyFont="1" applyFill="1" applyBorder="1" applyAlignment="1" applyProtection="1">
      <alignment horizontal="right" vertical="center" wrapText="1"/>
    </xf>
    <xf numFmtId="0" fontId="43" fillId="6" borderId="22" xfId="0" applyFont="1" applyFill="1" applyBorder="1" applyAlignment="1">
      <alignment horizontal="center" vertical="center" wrapText="1"/>
    </xf>
    <xf numFmtId="165" fontId="46" fillId="30" borderId="0" xfId="0" applyNumberFormat="1" applyFont="1" applyFill="1" applyAlignment="1">
      <alignment horizontal="right"/>
    </xf>
    <xf numFmtId="0" fontId="46" fillId="30" borderId="0" xfId="0" applyFont="1" applyFill="1" applyBorder="1"/>
    <xf numFmtId="0" fontId="58" fillId="32" borderId="18" xfId="0" applyFont="1" applyFill="1" applyBorder="1" applyAlignment="1">
      <alignment horizontal="center"/>
    </xf>
    <xf numFmtId="0" fontId="43" fillId="32" borderId="18" xfId="0" applyFont="1" applyFill="1" applyBorder="1" applyAlignment="1">
      <alignment horizontal="center" vertical="center" wrapText="1"/>
    </xf>
    <xf numFmtId="0" fontId="43" fillId="32" borderId="18" xfId="0" applyFont="1" applyFill="1" applyBorder="1" applyAlignment="1">
      <alignment vertical="center" wrapText="1"/>
    </xf>
    <xf numFmtId="165" fontId="43" fillId="32" borderId="18" xfId="0" applyNumberFormat="1" applyFont="1" applyFill="1" applyBorder="1" applyAlignment="1">
      <alignment horizontal="right" vertical="center" wrapText="1"/>
    </xf>
    <xf numFmtId="165" fontId="43" fillId="32" borderId="25" xfId="0" applyNumberFormat="1" applyFont="1" applyFill="1" applyBorder="1" applyAlignment="1">
      <alignment horizontal="right" vertical="center" wrapText="1"/>
    </xf>
    <xf numFmtId="169" fontId="43" fillId="25" borderId="18" xfId="48" applyNumberFormat="1" applyFont="1" applyFill="1" applyBorder="1" applyAlignment="1" applyProtection="1">
      <alignment horizontal="center" vertical="center" wrapText="1"/>
    </xf>
    <xf numFmtId="169" fontId="43" fillId="26" borderId="18" xfId="48" applyNumberFormat="1" applyFont="1" applyFill="1" applyBorder="1" applyAlignment="1">
      <alignment horizontal="center" vertical="center" wrapText="1"/>
    </xf>
    <xf numFmtId="169" fontId="43" fillId="27" borderId="18" xfId="48" applyNumberFormat="1" applyFont="1" applyFill="1" applyBorder="1" applyAlignment="1" applyProtection="1">
      <alignment horizontal="center" vertical="center" wrapText="1"/>
    </xf>
    <xf numFmtId="169" fontId="43" fillId="22" borderId="18" xfId="48" applyNumberFormat="1" applyFont="1" applyFill="1" applyBorder="1" applyAlignment="1" applyProtection="1">
      <alignment horizontal="center" vertical="center" wrapText="1"/>
    </xf>
    <xf numFmtId="169" fontId="58" fillId="0" borderId="18" xfId="48" applyNumberFormat="1" applyFont="1" applyFill="1" applyBorder="1" applyAlignment="1" applyProtection="1">
      <alignment horizontal="center" vertical="center" wrapText="1"/>
    </xf>
    <xf numFmtId="169" fontId="43" fillId="28" borderId="18" xfId="48" applyNumberFormat="1" applyFont="1" applyFill="1" applyBorder="1" applyAlignment="1" applyProtection="1">
      <alignment horizontal="center" vertical="center" wrapText="1"/>
    </xf>
    <xf numFmtId="169" fontId="43" fillId="20" borderId="18" xfId="48" applyNumberFormat="1" applyFont="1" applyFill="1" applyBorder="1" applyAlignment="1" applyProtection="1">
      <alignment horizontal="center" vertical="center" wrapText="1"/>
    </xf>
    <xf numFmtId="169" fontId="43" fillId="28" borderId="18" xfId="48" applyNumberFormat="1" applyFont="1" applyFill="1" applyBorder="1" applyAlignment="1">
      <alignment horizontal="center" vertical="top" wrapText="1"/>
    </xf>
    <xf numFmtId="169" fontId="43" fillId="32" borderId="18" xfId="48" applyNumberFormat="1" applyFont="1" applyFill="1" applyBorder="1" applyAlignment="1">
      <alignment horizontal="center" vertical="center" wrapText="1"/>
    </xf>
    <xf numFmtId="0" fontId="23" fillId="0" borderId="26" xfId="1" applyFont="1" applyFill="1" applyBorder="1" applyAlignment="1">
      <alignment horizontal="center" vertical="center" wrapText="1"/>
    </xf>
    <xf numFmtId="0" fontId="45" fillId="0" borderId="27" xfId="0" applyFont="1" applyFill="1" applyBorder="1" applyAlignment="1">
      <alignment horizontal="center" vertical="center" wrapText="1"/>
    </xf>
    <xf numFmtId="0" fontId="48" fillId="0" borderId="11" xfId="0" applyFont="1" applyBorder="1"/>
    <xf numFmtId="0" fontId="48" fillId="0" borderId="11" xfId="0" applyFont="1" applyFill="1" applyBorder="1"/>
    <xf numFmtId="3" fontId="42" fillId="0" borderId="11" xfId="49" applyNumberFormat="1" applyFont="1" applyBorder="1" applyAlignment="1">
      <alignment horizontal="center" vertical="center" textRotation="90" wrapText="1"/>
    </xf>
    <xf numFmtId="0" fontId="42" fillId="0" borderId="11" xfId="49" applyFont="1" applyBorder="1" applyAlignment="1">
      <alignment horizontal="center" vertical="center" textRotation="90" wrapText="1"/>
    </xf>
    <xf numFmtId="3" fontId="42" fillId="0" borderId="11" xfId="49" applyNumberFormat="1" applyFont="1" applyBorder="1" applyAlignment="1">
      <alignment horizontal="center" vertical="center" wrapText="1"/>
    </xf>
    <xf numFmtId="49" fontId="42" fillId="0" borderId="13" xfId="49" applyNumberFormat="1" applyFont="1" applyBorder="1" applyAlignment="1">
      <alignment horizontal="center" vertical="center" textRotation="90" wrapText="1"/>
    </xf>
    <xf numFmtId="0" fontId="48" fillId="29" borderId="0" xfId="0" applyFont="1" applyFill="1" applyAlignment="1">
      <alignment horizontal="center" vertical="center"/>
    </xf>
    <xf numFmtId="0" fontId="48" fillId="0" borderId="0" xfId="0" applyFont="1" applyAlignment="1">
      <alignment vertical="center"/>
    </xf>
    <xf numFmtId="0" fontId="48" fillId="0" borderId="0" xfId="0" applyFont="1" applyAlignment="1">
      <alignment horizontal="center" vertical="center"/>
    </xf>
    <xf numFmtId="0" fontId="49" fillId="0" borderId="0" xfId="0" applyFont="1" applyAlignment="1">
      <alignment horizontal="center" vertical="center"/>
    </xf>
    <xf numFmtId="49" fontId="48" fillId="29" borderId="0" xfId="0" applyNumberFormat="1" applyFont="1" applyFill="1" applyAlignment="1">
      <alignment horizontal="left" vertical="center"/>
    </xf>
    <xf numFmtId="49" fontId="48" fillId="0" borderId="0" xfId="0" applyNumberFormat="1" applyFont="1" applyAlignment="1">
      <alignment horizontal="left" vertical="center"/>
    </xf>
    <xf numFmtId="0" fontId="48" fillId="0" borderId="0" xfId="0" applyFont="1" applyBorder="1" applyAlignment="1">
      <alignment horizontal="center" vertical="center"/>
    </xf>
    <xf numFmtId="0" fontId="48" fillId="0" borderId="0" xfId="0" applyFont="1" applyAlignment="1">
      <alignment horizontal="left" vertical="center" wrapText="1"/>
    </xf>
    <xf numFmtId="0" fontId="21" fillId="0" borderId="0" xfId="0" applyFont="1" applyAlignment="1">
      <alignment horizontal="center" vertical="center" wrapText="1"/>
    </xf>
    <xf numFmtId="0" fontId="21" fillId="0" borderId="0" xfId="0" applyFont="1" applyBorder="1" applyAlignment="1">
      <alignment horizontal="center" vertical="center" wrapText="1"/>
    </xf>
    <xf numFmtId="3" fontId="21" fillId="0" borderId="0" xfId="0" applyNumberFormat="1" applyFont="1" applyBorder="1" applyAlignment="1">
      <alignment horizontal="center" vertical="center" wrapText="1"/>
    </xf>
    <xf numFmtId="0" fontId="21" fillId="0" borderId="0" xfId="0" applyFont="1" applyBorder="1" applyAlignment="1">
      <alignment horizontal="center" vertical="center" wrapText="1"/>
    </xf>
    <xf numFmtId="49" fontId="49" fillId="0" borderId="0" xfId="0" applyNumberFormat="1" applyFont="1" applyAlignment="1">
      <alignment horizontal="left" vertical="center"/>
    </xf>
    <xf numFmtId="0" fontId="49" fillId="0" borderId="21" xfId="0" applyFont="1" applyBorder="1" applyAlignment="1">
      <alignment vertical="center" wrapText="1"/>
    </xf>
    <xf numFmtId="0" fontId="48" fillId="0" borderId="0" xfId="0" applyFont="1" applyAlignment="1">
      <alignment vertical="center" wrapText="1"/>
    </xf>
    <xf numFmtId="3" fontId="22" fillId="0" borderId="32" xfId="1" applyNumberFormat="1" applyFont="1" applyFill="1" applyBorder="1" applyAlignment="1">
      <alignment horizontal="left" vertical="center" wrapText="1"/>
    </xf>
    <xf numFmtId="0" fontId="49" fillId="29" borderId="0" xfId="0" applyFont="1" applyFill="1" applyAlignment="1">
      <alignment vertical="center" wrapText="1"/>
    </xf>
    <xf numFmtId="0" fontId="21" fillId="0" borderId="0" xfId="1" applyNumberFormat="1" applyFont="1" applyBorder="1" applyAlignment="1">
      <alignment horizontal="center" vertical="center" wrapText="1"/>
    </xf>
    <xf numFmtId="3" fontId="21" fillId="0" borderId="0" xfId="0" applyNumberFormat="1" applyFont="1" applyBorder="1" applyAlignment="1">
      <alignment horizontal="center" vertical="center" wrapText="1"/>
    </xf>
    <xf numFmtId="0" fontId="21" fillId="0" borderId="0" xfId="0" applyFont="1" applyAlignment="1">
      <alignment horizontal="center" vertical="center" wrapText="1"/>
    </xf>
    <xf numFmtId="0" fontId="21" fillId="0" borderId="0" xfId="0" applyFont="1" applyBorder="1" applyAlignment="1">
      <alignment horizontal="center" vertical="center" wrapText="1"/>
    </xf>
    <xf numFmtId="3" fontId="22" fillId="29" borderId="0" xfId="49" applyNumberFormat="1" applyFont="1" applyFill="1" applyBorder="1" applyAlignment="1">
      <alignment horizontal="left" vertical="center" wrapText="1"/>
    </xf>
    <xf numFmtId="3" fontId="21" fillId="0" borderId="0" xfId="0" applyNumberFormat="1" applyFont="1" applyBorder="1" applyAlignment="1">
      <alignment horizontal="center" vertical="center" wrapText="1"/>
    </xf>
    <xf numFmtId="0" fontId="21" fillId="0" borderId="0" xfId="0" applyFont="1" applyAlignment="1">
      <alignment horizontal="center" vertical="center" wrapText="1"/>
    </xf>
    <xf numFmtId="0" fontId="21" fillId="0" borderId="0" xfId="0" applyFont="1" applyBorder="1" applyAlignment="1">
      <alignment horizontal="center" vertical="center" wrapText="1"/>
    </xf>
    <xf numFmtId="3" fontId="21" fillId="0" borderId="0" xfId="0" applyNumberFormat="1" applyFont="1" applyBorder="1" applyAlignment="1">
      <alignment horizontal="center" vertical="center" wrapText="1"/>
    </xf>
    <xf numFmtId="0" fontId="21" fillId="0" borderId="0" xfId="0" applyFont="1" applyAlignment="1">
      <alignment horizontal="center" vertical="center" wrapText="1"/>
    </xf>
    <xf numFmtId="0" fontId="21" fillId="0" borderId="0" xfId="0" applyFont="1" applyBorder="1" applyAlignment="1">
      <alignment horizontal="center" vertical="center" wrapText="1"/>
    </xf>
    <xf numFmtId="0" fontId="49" fillId="29" borderId="0" xfId="0" applyFont="1" applyFill="1" applyAlignment="1">
      <alignment horizontal="center" vertical="center"/>
    </xf>
    <xf numFmtId="3" fontId="21" fillId="0" borderId="0" xfId="0" applyNumberFormat="1" applyFont="1" applyBorder="1" applyAlignment="1">
      <alignment horizontal="center" vertical="center" wrapText="1"/>
    </xf>
    <xf numFmtId="0" fontId="21" fillId="0" borderId="0" xfId="0" applyFont="1" applyAlignment="1">
      <alignment horizontal="center" vertical="center" wrapText="1"/>
    </xf>
    <xf numFmtId="0" fontId="21" fillId="0" borderId="0" xfId="0" applyFont="1" applyBorder="1" applyAlignment="1">
      <alignment horizontal="center" vertical="center" wrapText="1"/>
    </xf>
    <xf numFmtId="0" fontId="48" fillId="0" borderId="0" xfId="0" applyFont="1" applyFill="1" applyBorder="1" applyAlignment="1">
      <alignment horizontal="center" vertical="center"/>
    </xf>
    <xf numFmtId="0" fontId="21" fillId="0" borderId="0" xfId="1" applyNumberFormat="1" applyFont="1" applyBorder="1" applyAlignment="1">
      <alignment horizontal="center" vertical="center" wrapText="1"/>
    </xf>
    <xf numFmtId="3" fontId="22" fillId="0" borderId="0" xfId="1" applyNumberFormat="1" applyFont="1" applyFill="1" applyBorder="1" applyAlignment="1">
      <alignment horizontal="left" vertical="center" wrapText="1"/>
    </xf>
    <xf numFmtId="3" fontId="22" fillId="0" borderId="0" xfId="49" applyNumberFormat="1" applyFont="1" applyFill="1" applyBorder="1" applyAlignment="1">
      <alignment horizontal="center" vertical="center"/>
    </xf>
    <xf numFmtId="3" fontId="21" fillId="0" borderId="0" xfId="1" applyNumberFormat="1" applyFont="1" applyFill="1" applyBorder="1" applyAlignment="1">
      <alignment horizontal="left" vertical="center" wrapText="1"/>
    </xf>
    <xf numFmtId="3" fontId="42" fillId="26" borderId="0" xfId="49" applyNumberFormat="1" applyFont="1" applyFill="1" applyBorder="1" applyAlignment="1">
      <alignment horizontal="center" vertical="center"/>
    </xf>
    <xf numFmtId="0" fontId="42" fillId="26" borderId="0" xfId="49" applyNumberFormat="1" applyFont="1" applyFill="1" applyBorder="1" applyAlignment="1">
      <alignment horizontal="center" vertical="center"/>
    </xf>
    <xf numFmtId="3" fontId="22" fillId="26" borderId="0" xfId="49" applyNumberFormat="1" applyFont="1" applyFill="1" applyBorder="1" applyAlignment="1">
      <alignment horizontal="center" vertical="center"/>
    </xf>
    <xf numFmtId="0" fontId="42" fillId="0" borderId="0" xfId="49" applyNumberFormat="1" applyFont="1" applyFill="1" applyBorder="1" applyAlignment="1">
      <alignment horizontal="center" vertical="center"/>
    </xf>
    <xf numFmtId="3" fontId="39" fillId="0" borderId="0" xfId="49" applyNumberFormat="1" applyFont="1" applyFill="1" applyBorder="1" applyAlignment="1">
      <alignment horizontal="center" vertical="center"/>
    </xf>
    <xf numFmtId="3" fontId="22" fillId="26" borderId="0" xfId="49" applyNumberFormat="1" applyFont="1" applyFill="1" applyBorder="1" applyAlignment="1">
      <alignment horizontal="left" vertical="center" wrapText="1"/>
    </xf>
    <xf numFmtId="3" fontId="39" fillId="26" borderId="0" xfId="49" applyNumberFormat="1" applyFont="1" applyFill="1" applyBorder="1" applyAlignment="1">
      <alignment horizontal="center" vertical="center"/>
    </xf>
    <xf numFmtId="3" fontId="21" fillId="0" borderId="0" xfId="0" applyNumberFormat="1" applyFont="1" applyBorder="1" applyAlignment="1">
      <alignment horizontal="center" vertical="center" wrapText="1"/>
    </xf>
    <xf numFmtId="3" fontId="42" fillId="0" borderId="0" xfId="49" applyNumberFormat="1" applyFont="1" applyFill="1" applyBorder="1" applyAlignment="1">
      <alignment horizontal="center" vertical="center"/>
    </xf>
    <xf numFmtId="3" fontId="42" fillId="0" borderId="0" xfId="49" applyNumberFormat="1" applyFont="1" applyFill="1" applyBorder="1" applyAlignment="1">
      <alignment horizontal="left" vertical="center" wrapText="1"/>
    </xf>
    <xf numFmtId="0" fontId="21" fillId="0" borderId="0" xfId="0" applyFont="1" applyAlignment="1">
      <alignment horizontal="center" vertical="center" wrapText="1"/>
    </xf>
    <xf numFmtId="0" fontId="21" fillId="0" borderId="0" xfId="0" applyFont="1" applyBorder="1" applyAlignment="1">
      <alignment horizontal="center" vertical="center" wrapText="1"/>
    </xf>
    <xf numFmtId="49" fontId="49" fillId="0" borderId="0" xfId="0" applyNumberFormat="1" applyFont="1" applyFill="1" applyBorder="1" applyAlignment="1" applyProtection="1">
      <alignment horizontal="left" vertical="top"/>
    </xf>
    <xf numFmtId="0" fontId="48" fillId="0" borderId="0" xfId="0" applyFont="1" applyFill="1" applyAlignment="1">
      <alignment horizontal="center" vertical="center"/>
    </xf>
    <xf numFmtId="0" fontId="48" fillId="0" borderId="0" xfId="0" applyFont="1" applyFill="1" applyBorder="1" applyAlignment="1">
      <alignment vertical="center" wrapText="1"/>
    </xf>
    <xf numFmtId="0" fontId="51" fillId="0" borderId="0" xfId="0" applyFont="1" applyFill="1" applyBorder="1" applyAlignment="1" applyProtection="1">
      <alignment vertical="top"/>
    </xf>
    <xf numFmtId="0" fontId="52" fillId="0" borderId="0" xfId="0" applyFont="1" applyFill="1" applyBorder="1" applyAlignment="1" applyProtection="1"/>
    <xf numFmtId="0" fontId="53" fillId="0" borderId="0" xfId="0" applyFont="1" applyFill="1" applyBorder="1"/>
    <xf numFmtId="0" fontId="52" fillId="0" borderId="0" xfId="0" applyFont="1" applyFill="1" applyBorder="1" applyAlignment="1" applyProtection="1">
      <alignment horizontal="left" vertical="top"/>
    </xf>
    <xf numFmtId="49" fontId="48" fillId="0" borderId="0" xfId="0" applyNumberFormat="1" applyFont="1" applyFill="1" applyBorder="1" applyAlignment="1" applyProtection="1">
      <alignment horizontal="left" vertical="top"/>
    </xf>
    <xf numFmtId="0" fontId="53" fillId="0" borderId="0" xfId="0" applyFont="1" applyBorder="1"/>
    <xf numFmtId="0" fontId="49" fillId="0" borderId="0" xfId="0" applyFont="1" applyBorder="1" applyAlignment="1">
      <alignment horizontal="center" vertical="center"/>
    </xf>
    <xf numFmtId="0" fontId="48" fillId="0" borderId="0" xfId="0" applyFont="1" applyFill="1" applyAlignment="1">
      <alignment vertical="center"/>
    </xf>
    <xf numFmtId="0" fontId="49" fillId="0" borderId="0" xfId="0" applyFont="1" applyFill="1" applyBorder="1" applyAlignment="1">
      <alignment horizontal="left"/>
    </xf>
    <xf numFmtId="0" fontId="49" fillId="0" borderId="0" xfId="0" applyFont="1" applyBorder="1" applyAlignment="1">
      <alignment horizontal="center"/>
    </xf>
    <xf numFmtId="0" fontId="44" fillId="0" borderId="0" xfId="0" applyFont="1" applyFill="1" applyBorder="1" applyAlignment="1" applyProtection="1"/>
    <xf numFmtId="3" fontId="42" fillId="29" borderId="0" xfId="49" applyNumberFormat="1" applyFont="1" applyFill="1" applyBorder="1" applyAlignment="1">
      <alignment horizontal="center" vertical="center"/>
    </xf>
    <xf numFmtId="0" fontId="42" fillId="29" borderId="0" xfId="49" applyFont="1" applyFill="1" applyBorder="1" applyAlignment="1">
      <alignment horizontal="center" vertical="center"/>
    </xf>
    <xf numFmtId="49" fontId="22" fillId="29" borderId="0" xfId="49" applyNumberFormat="1" applyFont="1" applyFill="1" applyBorder="1" applyAlignment="1">
      <alignment horizontal="center" vertical="center"/>
    </xf>
    <xf numFmtId="49" fontId="40" fillId="29" borderId="0" xfId="49" applyNumberFormat="1" applyFont="1" applyFill="1" applyBorder="1" applyAlignment="1">
      <alignment horizontal="center" vertical="center"/>
    </xf>
    <xf numFmtId="3" fontId="22" fillId="29" borderId="0" xfId="49" applyNumberFormat="1" applyFont="1" applyFill="1" applyBorder="1" applyAlignment="1">
      <alignment horizontal="left" vertical="center"/>
    </xf>
    <xf numFmtId="3" fontId="42" fillId="29" borderId="0" xfId="0" applyNumberFormat="1" applyFont="1" applyFill="1" applyAlignment="1">
      <alignment horizontal="left" vertical="center" wrapText="1"/>
    </xf>
    <xf numFmtId="0" fontId="48" fillId="0" borderId="0" xfId="0" applyFont="1" applyBorder="1"/>
    <xf numFmtId="0" fontId="49" fillId="0" borderId="0" xfId="0" applyFont="1" applyBorder="1" applyAlignment="1">
      <alignment vertical="center" wrapText="1"/>
    </xf>
    <xf numFmtId="0" fontId="49" fillId="0" borderId="0" xfId="0" applyFont="1" applyBorder="1" applyAlignment="1">
      <alignment vertical="center"/>
    </xf>
    <xf numFmtId="3" fontId="21" fillId="0" borderId="0" xfId="0" applyNumberFormat="1" applyFont="1" applyBorder="1" applyAlignment="1">
      <alignment horizontal="center" vertical="center" wrapText="1"/>
    </xf>
    <xf numFmtId="3" fontId="42" fillId="0" borderId="0" xfId="49" applyNumberFormat="1" applyFont="1" applyFill="1" applyBorder="1" applyAlignment="1">
      <alignment horizontal="center" vertical="center"/>
    </xf>
    <xf numFmtId="0" fontId="21" fillId="0" borderId="0" xfId="0" applyFont="1" applyAlignment="1">
      <alignment horizontal="center" vertical="center" wrapText="1"/>
    </xf>
    <xf numFmtId="0" fontId="21" fillId="0" borderId="0" xfId="0" applyFont="1" applyBorder="1" applyAlignment="1">
      <alignment horizontal="center" vertical="center" wrapText="1"/>
    </xf>
    <xf numFmtId="3" fontId="21" fillId="0" borderId="0" xfId="0" applyNumberFormat="1" applyFont="1" applyAlignment="1">
      <alignment horizontal="left" vertical="center" wrapText="1"/>
    </xf>
    <xf numFmtId="3" fontId="21" fillId="0" borderId="0" xfId="0" applyNumberFormat="1" applyFont="1" applyBorder="1" applyAlignment="1">
      <alignment horizontal="center" vertical="center" wrapText="1"/>
    </xf>
    <xf numFmtId="3" fontId="22" fillId="0" borderId="0" xfId="49" applyNumberFormat="1" applyFont="1" applyFill="1" applyBorder="1" applyAlignment="1">
      <alignment horizontal="left" vertical="center" wrapText="1"/>
    </xf>
    <xf numFmtId="3" fontId="41" fillId="0" borderId="0" xfId="0" applyNumberFormat="1" applyFont="1" applyAlignment="1">
      <alignment horizontal="left" vertical="center" wrapText="1"/>
    </xf>
    <xf numFmtId="3" fontId="44" fillId="0" borderId="0" xfId="0" applyNumberFormat="1" applyFont="1" applyBorder="1" applyAlignment="1">
      <alignment horizontal="left" vertical="center" wrapText="1"/>
    </xf>
    <xf numFmtId="3" fontId="42" fillId="0" borderId="0" xfId="49" applyNumberFormat="1" applyFont="1" applyFill="1" applyBorder="1" applyAlignment="1">
      <alignment horizontal="center" vertical="center"/>
    </xf>
    <xf numFmtId="3" fontId="41" fillId="0" borderId="0" xfId="0" applyNumberFormat="1" applyFont="1" applyBorder="1" applyAlignment="1">
      <alignment horizontal="left" vertical="center" wrapText="1"/>
    </xf>
    <xf numFmtId="3" fontId="21" fillId="0" borderId="0" xfId="0" applyNumberFormat="1" applyFont="1" applyBorder="1" applyAlignment="1">
      <alignment horizontal="left" vertical="center" wrapText="1"/>
    </xf>
    <xf numFmtId="0" fontId="21" fillId="0" borderId="0" xfId="0" applyFont="1" applyAlignment="1">
      <alignment horizontal="center" vertical="center" wrapText="1"/>
    </xf>
    <xf numFmtId="0" fontId="21" fillId="0" borderId="0" xfId="0" applyFont="1" applyBorder="1" applyAlignment="1">
      <alignment horizontal="center" vertical="center" wrapText="1"/>
    </xf>
    <xf numFmtId="3" fontId="42" fillId="0" borderId="33" xfId="49" applyNumberFormat="1" applyFont="1" applyBorder="1" applyAlignment="1">
      <alignment horizontal="center" vertical="center" wrapText="1"/>
    </xf>
    <xf numFmtId="0" fontId="42" fillId="0" borderId="33" xfId="49" applyFont="1" applyBorder="1" applyAlignment="1">
      <alignment horizontal="center" vertical="center" wrapText="1"/>
    </xf>
    <xf numFmtId="49" fontId="42" fillId="0" borderId="34" xfId="49" applyNumberFormat="1" applyFont="1" applyBorder="1" applyAlignment="1">
      <alignment horizontal="center" vertical="center" wrapText="1"/>
    </xf>
    <xf numFmtId="0" fontId="59" fillId="0" borderId="0" xfId="0" applyFont="1" applyAlignment="1">
      <alignment horizontal="center" vertical="center"/>
    </xf>
    <xf numFmtId="0" fontId="49" fillId="0" borderId="0" xfId="0" applyFont="1" applyFill="1" applyAlignment="1">
      <alignment vertical="center"/>
    </xf>
    <xf numFmtId="0" fontId="44" fillId="0" borderId="0" xfId="0" applyFont="1" applyFill="1" applyBorder="1" applyAlignment="1" applyProtection="1">
      <alignment vertical="center"/>
    </xf>
    <xf numFmtId="0" fontId="53" fillId="0" borderId="0" xfId="0" applyFont="1" applyBorder="1" applyAlignment="1">
      <alignment vertical="center"/>
    </xf>
    <xf numFmtId="0" fontId="51" fillId="0" borderId="0" xfId="0" applyFont="1" applyFill="1" applyBorder="1" applyAlignment="1" applyProtection="1">
      <alignment vertical="center"/>
    </xf>
    <xf numFmtId="0" fontId="53" fillId="0" borderId="0" xfId="0" applyFont="1" applyFill="1" applyBorder="1" applyAlignment="1">
      <alignment vertical="center"/>
    </xf>
    <xf numFmtId="0" fontId="52" fillId="0" borderId="0" xfId="0" applyFont="1" applyFill="1" applyBorder="1" applyAlignment="1" applyProtection="1">
      <alignment vertical="center"/>
    </xf>
    <xf numFmtId="0" fontId="60" fillId="0" borderId="0" xfId="0" applyFont="1" applyAlignment="1">
      <alignment horizontal="center" vertical="center"/>
    </xf>
    <xf numFmtId="0" fontId="61" fillId="0" borderId="0" xfId="0" applyFont="1" applyFill="1" applyBorder="1" applyAlignment="1">
      <alignment horizontal="left" vertical="center" wrapText="1"/>
    </xf>
    <xf numFmtId="3" fontId="61" fillId="0" borderId="0" xfId="49" applyNumberFormat="1" applyFont="1" applyFill="1" applyBorder="1" applyAlignment="1">
      <alignment horizontal="left" vertical="center" wrapText="1"/>
    </xf>
    <xf numFmtId="3" fontId="42" fillId="26" borderId="0" xfId="49" applyNumberFormat="1" applyFont="1" applyFill="1" applyBorder="1" applyAlignment="1">
      <alignment horizontal="left" vertical="center"/>
    </xf>
    <xf numFmtId="3" fontId="42" fillId="0" borderId="0" xfId="49" applyNumberFormat="1" applyFont="1" applyFill="1" applyBorder="1" applyAlignment="1">
      <alignment horizontal="left" vertical="center"/>
    </xf>
    <xf numFmtId="0" fontId="48" fillId="0" borderId="0" xfId="0" applyFont="1" applyBorder="1" applyAlignment="1">
      <alignment horizontal="left"/>
    </xf>
    <xf numFmtId="0" fontId="48" fillId="0" borderId="0" xfId="0" applyFont="1" applyFill="1" applyAlignment="1">
      <alignment horizontal="left"/>
    </xf>
    <xf numFmtId="49" fontId="48" fillId="0" borderId="0" xfId="0" applyNumberFormat="1" applyFont="1" applyFill="1" applyBorder="1" applyAlignment="1" applyProtection="1">
      <alignment horizontal="left" vertical="center"/>
    </xf>
    <xf numFmtId="0" fontId="48" fillId="0" borderId="0" xfId="0" applyFont="1" applyAlignment="1">
      <alignment horizontal="left"/>
    </xf>
    <xf numFmtId="0" fontId="53" fillId="0" borderId="0" xfId="0" applyFont="1" applyBorder="1" applyAlignment="1">
      <alignment horizontal="left" vertical="center"/>
    </xf>
    <xf numFmtId="3" fontId="42" fillId="29" borderId="0" xfId="49" applyNumberFormat="1" applyFont="1" applyFill="1" applyBorder="1" applyAlignment="1">
      <alignment horizontal="left" vertical="center"/>
    </xf>
    <xf numFmtId="0" fontId="49" fillId="0" borderId="0" xfId="0" applyFont="1" applyBorder="1" applyAlignment="1">
      <alignment horizontal="left" vertical="center"/>
    </xf>
    <xf numFmtId="0" fontId="60" fillId="0" borderId="0" xfId="0" applyFont="1" applyAlignment="1">
      <alignment vertical="center"/>
    </xf>
    <xf numFmtId="0" fontId="60" fillId="0" borderId="0" xfId="0" applyFont="1" applyFill="1" applyAlignment="1">
      <alignment vertical="center"/>
    </xf>
    <xf numFmtId="3" fontId="22" fillId="0" borderId="35" xfId="1" applyNumberFormat="1" applyFont="1" applyFill="1" applyBorder="1" applyAlignment="1">
      <alignment horizontal="left" vertical="center" wrapText="1"/>
    </xf>
    <xf numFmtId="3" fontId="42" fillId="0" borderId="35" xfId="1" applyNumberFormat="1" applyFont="1" applyFill="1" applyBorder="1" applyAlignment="1">
      <alignment horizontal="left" vertical="center" wrapText="1"/>
    </xf>
    <xf numFmtId="0" fontId="60" fillId="0" borderId="0" xfId="0" applyNumberFormat="1" applyFont="1" applyFill="1" applyBorder="1" applyAlignment="1" applyProtection="1">
      <alignment horizontal="center" vertical="top"/>
    </xf>
    <xf numFmtId="0" fontId="60" fillId="0" borderId="0" xfId="0" applyFont="1" applyFill="1" applyBorder="1" applyAlignment="1">
      <alignment horizontal="center" vertical="center"/>
    </xf>
    <xf numFmtId="0" fontId="62" fillId="0" borderId="0" xfId="0" applyFont="1" applyFill="1" applyBorder="1" applyAlignment="1" applyProtection="1">
      <alignment vertical="center"/>
    </xf>
    <xf numFmtId="3" fontId="23" fillId="0" borderId="0" xfId="49" applyNumberFormat="1" applyFont="1" applyFill="1" applyBorder="1" applyAlignment="1">
      <alignment horizontal="center" vertical="center"/>
    </xf>
    <xf numFmtId="0" fontId="23" fillId="0" borderId="0" xfId="49" applyNumberFormat="1" applyFont="1" applyFill="1" applyBorder="1" applyAlignment="1">
      <alignment horizontal="center" vertical="center"/>
    </xf>
    <xf numFmtId="0" fontId="61" fillId="0" borderId="0" xfId="0" applyFont="1" applyFill="1" applyBorder="1" applyAlignment="1">
      <alignment horizontal="left" wrapText="1"/>
    </xf>
    <xf numFmtId="49" fontId="60" fillId="0" borderId="0" xfId="0" applyNumberFormat="1" applyFont="1" applyFill="1" applyBorder="1" applyAlignment="1" applyProtection="1">
      <alignment horizontal="center" vertical="top"/>
    </xf>
    <xf numFmtId="3" fontId="63" fillId="0" borderId="0" xfId="49" applyNumberFormat="1" applyFont="1" applyFill="1" applyBorder="1" applyAlignment="1">
      <alignment horizontal="center" vertical="center"/>
    </xf>
    <xf numFmtId="49" fontId="61" fillId="0" borderId="0" xfId="49" applyNumberFormat="1" applyFont="1" applyFill="1" applyBorder="1" applyAlignment="1">
      <alignment horizontal="center" vertical="center"/>
    </xf>
    <xf numFmtId="3" fontId="61" fillId="0" borderId="0" xfId="49" applyNumberFormat="1" applyFont="1" applyFill="1" applyBorder="1" applyAlignment="1">
      <alignment horizontal="center" vertical="center"/>
    </xf>
    <xf numFmtId="0" fontId="60" fillId="0" borderId="0" xfId="0" applyFont="1" applyAlignment="1">
      <alignment vertical="center" wrapText="1"/>
    </xf>
    <xf numFmtId="0" fontId="59" fillId="0" borderId="0" xfId="0" applyFont="1"/>
    <xf numFmtId="0" fontId="60" fillId="0" borderId="0" xfId="0" applyFont="1"/>
    <xf numFmtId="0" fontId="59" fillId="0" borderId="0" xfId="0" applyFont="1" applyAlignment="1">
      <alignment horizontal="left"/>
    </xf>
    <xf numFmtId="0" fontId="60" fillId="0" borderId="0" xfId="0" applyFont="1" applyAlignment="1">
      <alignment horizontal="center"/>
    </xf>
    <xf numFmtId="49" fontId="60" fillId="0" borderId="0" xfId="0" applyNumberFormat="1" applyFont="1" applyAlignment="1">
      <alignment horizontal="center" vertical="center"/>
    </xf>
    <xf numFmtId="49" fontId="60" fillId="0" borderId="0" xfId="0" applyNumberFormat="1" applyFont="1" applyAlignment="1">
      <alignment horizontal="left" vertical="center"/>
    </xf>
    <xf numFmtId="3" fontId="21" fillId="0" borderId="0" xfId="0" applyNumberFormat="1" applyFont="1" applyAlignment="1">
      <alignment horizontal="left" vertical="center" wrapText="1"/>
    </xf>
    <xf numFmtId="3" fontId="21" fillId="0" borderId="0" xfId="0" applyNumberFormat="1" applyFont="1" applyBorder="1" applyAlignment="1">
      <alignment horizontal="center" vertical="center" wrapText="1"/>
    </xf>
    <xf numFmtId="3" fontId="22" fillId="0" borderId="0" xfId="49" applyNumberFormat="1" applyFont="1" applyFill="1" applyBorder="1" applyAlignment="1">
      <alignment horizontal="left" vertical="center" wrapText="1"/>
    </xf>
    <xf numFmtId="3" fontId="41" fillId="0" borderId="0" xfId="0" applyNumberFormat="1" applyFont="1" applyAlignment="1">
      <alignment horizontal="left" vertical="center" wrapText="1"/>
    </xf>
    <xf numFmtId="3" fontId="44" fillId="0" borderId="0" xfId="0" applyNumberFormat="1" applyFont="1" applyBorder="1" applyAlignment="1">
      <alignment horizontal="left" vertical="center" wrapText="1"/>
    </xf>
    <xf numFmtId="3" fontId="42" fillId="26" borderId="0" xfId="49" applyNumberFormat="1" applyFont="1" applyFill="1" applyBorder="1" applyAlignment="1">
      <alignment horizontal="center" vertical="center"/>
    </xf>
    <xf numFmtId="49" fontId="22" fillId="26" borderId="0" xfId="49" applyNumberFormat="1" applyFont="1" applyFill="1" applyBorder="1" applyAlignment="1">
      <alignment horizontal="center" vertical="center"/>
    </xf>
    <xf numFmtId="3" fontId="42" fillId="0" borderId="0" xfId="49" applyNumberFormat="1" applyFont="1" applyFill="1" applyBorder="1" applyAlignment="1">
      <alignment horizontal="center" vertical="center"/>
    </xf>
    <xf numFmtId="3" fontId="41" fillId="0" borderId="0" xfId="0" applyNumberFormat="1" applyFont="1" applyBorder="1" applyAlignment="1">
      <alignment horizontal="left" vertical="center" wrapText="1"/>
    </xf>
    <xf numFmtId="49" fontId="40" fillId="26" borderId="0" xfId="49" applyNumberFormat="1" applyFont="1" applyFill="1" applyBorder="1" applyAlignment="1">
      <alignment horizontal="center" vertical="center"/>
    </xf>
    <xf numFmtId="3" fontId="22" fillId="26" borderId="0" xfId="49" applyNumberFormat="1" applyFont="1" applyFill="1" applyBorder="1" applyAlignment="1">
      <alignment horizontal="left" vertical="center"/>
    </xf>
    <xf numFmtId="3" fontId="21" fillId="0" borderId="0" xfId="0" applyNumberFormat="1" applyFont="1" applyBorder="1" applyAlignment="1">
      <alignment horizontal="left" vertical="center" wrapText="1"/>
    </xf>
    <xf numFmtId="0" fontId="21" fillId="0" borderId="0" xfId="0" applyFont="1" applyAlignment="1">
      <alignment horizontal="center" vertical="center" wrapText="1"/>
    </xf>
    <xf numFmtId="0" fontId="21" fillId="0" borderId="0" xfId="0" applyFont="1" applyBorder="1" applyAlignment="1">
      <alignment horizontal="center" vertical="center" wrapText="1"/>
    </xf>
    <xf numFmtId="0" fontId="42" fillId="26" borderId="0" xfId="49" applyFont="1" applyFill="1" applyBorder="1" applyAlignment="1">
      <alignment horizontal="center" vertical="center"/>
    </xf>
    <xf numFmtId="3" fontId="21" fillId="0" borderId="0" xfId="0" applyNumberFormat="1" applyFont="1" applyAlignment="1">
      <alignment horizontal="left" vertical="center" wrapText="1"/>
    </xf>
    <xf numFmtId="3" fontId="21" fillId="0" borderId="0" xfId="0" applyNumberFormat="1" applyFont="1" applyBorder="1" applyAlignment="1">
      <alignment horizontal="center" vertical="center" wrapText="1"/>
    </xf>
    <xf numFmtId="3" fontId="41" fillId="0" borderId="0" xfId="0" applyNumberFormat="1" applyFont="1" applyAlignment="1">
      <alignment horizontal="left" vertical="center" wrapText="1"/>
    </xf>
    <xf numFmtId="3" fontId="42" fillId="26" borderId="0" xfId="49" applyNumberFormat="1" applyFont="1" applyFill="1" applyBorder="1" applyAlignment="1">
      <alignment horizontal="center" vertical="center"/>
    </xf>
    <xf numFmtId="49" fontId="22" fillId="26" borderId="0" xfId="49" applyNumberFormat="1" applyFont="1" applyFill="1" applyBorder="1" applyAlignment="1">
      <alignment horizontal="center" vertical="center"/>
    </xf>
    <xf numFmtId="3" fontId="42" fillId="0" borderId="0" xfId="49" applyNumberFormat="1" applyFont="1" applyFill="1" applyBorder="1" applyAlignment="1">
      <alignment horizontal="center" vertical="center"/>
    </xf>
    <xf numFmtId="3" fontId="41" fillId="0" borderId="0" xfId="0" applyNumberFormat="1" applyFont="1" applyBorder="1" applyAlignment="1">
      <alignment horizontal="left" vertical="center" wrapText="1"/>
    </xf>
    <xf numFmtId="49" fontId="40" fillId="26" borderId="0" xfId="49" applyNumberFormat="1" applyFont="1" applyFill="1" applyBorder="1" applyAlignment="1">
      <alignment horizontal="center" vertical="center"/>
    </xf>
    <xf numFmtId="3" fontId="22" fillId="26" borderId="0" xfId="49" applyNumberFormat="1" applyFont="1" applyFill="1" applyBorder="1" applyAlignment="1">
      <alignment horizontal="left" vertical="center"/>
    </xf>
    <xf numFmtId="3" fontId="21" fillId="0" borderId="0" xfId="0" applyNumberFormat="1" applyFont="1" applyBorder="1" applyAlignment="1">
      <alignment horizontal="left" vertical="center" wrapText="1"/>
    </xf>
    <xf numFmtId="0" fontId="21" fillId="0" borderId="0" xfId="0" applyFont="1" applyAlignment="1">
      <alignment horizontal="center" vertical="center" wrapText="1"/>
    </xf>
    <xf numFmtId="0" fontId="21" fillId="0" borderId="0" xfId="0" applyFont="1" applyBorder="1" applyAlignment="1">
      <alignment horizontal="center" vertical="center" wrapText="1"/>
    </xf>
    <xf numFmtId="0" fontId="42" fillId="26" borderId="0" xfId="49" applyFont="1" applyFill="1" applyBorder="1" applyAlignment="1">
      <alignment horizontal="center" vertical="center"/>
    </xf>
    <xf numFmtId="3" fontId="21" fillId="0" borderId="0" xfId="0" applyNumberFormat="1" applyFont="1" applyAlignment="1">
      <alignment horizontal="left" vertical="center" wrapText="1"/>
    </xf>
    <xf numFmtId="3" fontId="21" fillId="0" borderId="0" xfId="0" applyNumberFormat="1" applyFont="1" applyBorder="1" applyAlignment="1">
      <alignment horizontal="center" vertical="center" wrapText="1"/>
    </xf>
    <xf numFmtId="3" fontId="41" fillId="0" borderId="0" xfId="0" applyNumberFormat="1" applyFont="1" applyAlignment="1">
      <alignment horizontal="left" vertical="center" wrapText="1"/>
    </xf>
    <xf numFmtId="3" fontId="22" fillId="0" borderId="0" xfId="0" applyNumberFormat="1" applyFont="1" applyBorder="1" applyAlignment="1">
      <alignment horizontal="left" vertical="center"/>
    </xf>
    <xf numFmtId="3" fontId="42" fillId="0" borderId="0" xfId="49" applyNumberFormat="1" applyFont="1" applyFill="1" applyBorder="1" applyAlignment="1">
      <alignment horizontal="center" vertical="center"/>
    </xf>
    <xf numFmtId="3" fontId="41" fillId="0" borderId="0" xfId="0" applyNumberFormat="1" applyFont="1" applyBorder="1" applyAlignment="1">
      <alignment horizontal="left" vertical="center" wrapText="1"/>
    </xf>
    <xf numFmtId="3" fontId="21" fillId="0" borderId="0" xfId="0" applyNumberFormat="1" applyFont="1" applyBorder="1" applyAlignment="1">
      <alignment horizontal="left" vertical="center" wrapText="1"/>
    </xf>
    <xf numFmtId="0" fontId="21" fillId="0" borderId="0" xfId="0" applyFont="1" applyAlignment="1">
      <alignment horizontal="center" vertical="center" wrapText="1"/>
    </xf>
    <xf numFmtId="0" fontId="21" fillId="0" borderId="0" xfId="0" applyFont="1" applyBorder="1" applyAlignment="1">
      <alignment horizontal="center" vertical="center" wrapText="1"/>
    </xf>
    <xf numFmtId="3" fontId="42" fillId="0" borderId="0" xfId="0" applyNumberFormat="1" applyFont="1" applyAlignment="1">
      <alignment horizontal="left" vertical="center" wrapText="1"/>
    </xf>
    <xf numFmtId="3" fontId="21" fillId="0" borderId="0" xfId="0" applyNumberFormat="1" applyFont="1" applyAlignment="1">
      <alignment horizontal="left" vertical="center" wrapText="1"/>
    </xf>
    <xf numFmtId="3" fontId="21" fillId="0" borderId="0" xfId="0" applyNumberFormat="1" applyFont="1" applyBorder="1" applyAlignment="1">
      <alignment horizontal="center" vertical="center" wrapText="1"/>
    </xf>
    <xf numFmtId="3" fontId="41" fillId="0" borderId="0" xfId="0" applyNumberFormat="1" applyFont="1" applyAlignment="1">
      <alignment horizontal="left" vertical="center" wrapText="1"/>
    </xf>
    <xf numFmtId="3" fontId="22" fillId="0" borderId="0" xfId="0" applyNumberFormat="1" applyFont="1" applyBorder="1" applyAlignment="1">
      <alignment horizontal="left" vertical="center"/>
    </xf>
    <xf numFmtId="3" fontId="42" fillId="0" borderId="0" xfId="49" applyNumberFormat="1" applyFont="1" applyFill="1" applyBorder="1" applyAlignment="1">
      <alignment horizontal="center" vertical="center"/>
    </xf>
    <xf numFmtId="3" fontId="41" fillId="0" borderId="0" xfId="0" applyNumberFormat="1" applyFont="1" applyBorder="1" applyAlignment="1">
      <alignment horizontal="left" vertical="center" wrapText="1"/>
    </xf>
    <xf numFmtId="3" fontId="21" fillId="0" borderId="0" xfId="0" applyNumberFormat="1" applyFont="1" applyBorder="1" applyAlignment="1">
      <alignment horizontal="left" vertical="center" wrapText="1"/>
    </xf>
    <xf numFmtId="0" fontId="21" fillId="0" borderId="0" xfId="0" applyFont="1" applyAlignment="1">
      <alignment horizontal="center" vertical="center" wrapText="1"/>
    </xf>
    <xf numFmtId="0" fontId="21" fillId="0" borderId="0" xfId="0" applyFont="1" applyBorder="1" applyAlignment="1">
      <alignment horizontal="center" vertical="center" wrapText="1"/>
    </xf>
    <xf numFmtId="3" fontId="21" fillId="0" borderId="0" xfId="0" applyNumberFormat="1" applyFont="1" applyAlignment="1">
      <alignment horizontal="left" vertical="center" wrapText="1"/>
    </xf>
    <xf numFmtId="3" fontId="21" fillId="0" borderId="0" xfId="0" applyNumberFormat="1" applyFont="1" applyBorder="1" applyAlignment="1">
      <alignment horizontal="center" vertical="center" wrapText="1"/>
    </xf>
    <xf numFmtId="3" fontId="41" fillId="0" borderId="0" xfId="0" applyNumberFormat="1" applyFont="1" applyAlignment="1">
      <alignment horizontal="left" vertical="center" wrapText="1"/>
    </xf>
    <xf numFmtId="3" fontId="44" fillId="0" borderId="0" xfId="0" applyNumberFormat="1" applyFont="1" applyBorder="1" applyAlignment="1">
      <alignment horizontal="left" vertical="center" wrapText="1"/>
    </xf>
    <xf numFmtId="3" fontId="42" fillId="26" borderId="0" xfId="49" applyNumberFormat="1" applyFont="1" applyFill="1" applyBorder="1" applyAlignment="1">
      <alignment horizontal="center" vertical="center"/>
    </xf>
    <xf numFmtId="49" fontId="22" fillId="26" borderId="0" xfId="49" applyNumberFormat="1" applyFont="1" applyFill="1" applyBorder="1" applyAlignment="1">
      <alignment horizontal="center" vertical="center"/>
    </xf>
    <xf numFmtId="3" fontId="42" fillId="0" borderId="0" xfId="49" applyNumberFormat="1" applyFont="1" applyFill="1" applyBorder="1" applyAlignment="1">
      <alignment horizontal="center" vertical="center"/>
    </xf>
    <xf numFmtId="3" fontId="41" fillId="0" borderId="0" xfId="0" applyNumberFormat="1" applyFont="1" applyBorder="1" applyAlignment="1">
      <alignment horizontal="left" vertical="center" wrapText="1"/>
    </xf>
    <xf numFmtId="3" fontId="42" fillId="0" borderId="0" xfId="0" applyNumberFormat="1" applyFont="1" applyAlignment="1">
      <alignment horizontal="left" vertical="center" wrapText="1"/>
    </xf>
    <xf numFmtId="49" fontId="40" fillId="26" borderId="0" xfId="49" applyNumberFormat="1" applyFont="1" applyFill="1" applyBorder="1" applyAlignment="1">
      <alignment horizontal="center" vertical="center"/>
    </xf>
    <xf numFmtId="3" fontId="22" fillId="26" borderId="0" xfId="49" applyNumberFormat="1" applyFont="1" applyFill="1" applyBorder="1" applyAlignment="1">
      <alignment horizontal="left" vertical="center"/>
    </xf>
    <xf numFmtId="3" fontId="21" fillId="0" borderId="0" xfId="0" applyNumberFormat="1" applyFont="1" applyBorder="1" applyAlignment="1">
      <alignment horizontal="left" vertical="center" wrapText="1"/>
    </xf>
    <xf numFmtId="0" fontId="21" fillId="0" borderId="0" xfId="0" applyFont="1" applyAlignment="1">
      <alignment horizontal="center" vertical="center" wrapText="1"/>
    </xf>
    <xf numFmtId="0" fontId="21" fillId="0" borderId="0" xfId="0" applyFont="1" applyBorder="1" applyAlignment="1">
      <alignment horizontal="center" vertical="center" wrapText="1"/>
    </xf>
    <xf numFmtId="0" fontId="42" fillId="26" borderId="0" xfId="49" applyFont="1" applyFill="1" applyBorder="1" applyAlignment="1">
      <alignment horizontal="center" vertical="center"/>
    </xf>
    <xf numFmtId="3" fontId="21" fillId="0" borderId="0" xfId="0" applyNumberFormat="1" applyFont="1" applyAlignment="1">
      <alignment horizontal="left" vertical="center" wrapText="1"/>
    </xf>
    <xf numFmtId="3" fontId="21" fillId="0" borderId="0" xfId="0" applyNumberFormat="1" applyFont="1" applyBorder="1" applyAlignment="1">
      <alignment horizontal="center" vertical="center" wrapText="1"/>
    </xf>
    <xf numFmtId="3" fontId="22" fillId="0" borderId="0" xfId="49" applyNumberFormat="1" applyFont="1" applyFill="1" applyBorder="1" applyAlignment="1">
      <alignment horizontal="left" vertical="center" wrapText="1"/>
    </xf>
    <xf numFmtId="3" fontId="41" fillId="0" borderId="0" xfId="0" applyNumberFormat="1" applyFont="1" applyAlignment="1">
      <alignment horizontal="left" vertical="center" wrapText="1"/>
    </xf>
    <xf numFmtId="3" fontId="42" fillId="0" borderId="0" xfId="49" applyNumberFormat="1" applyFont="1" applyFill="1" applyBorder="1" applyAlignment="1">
      <alignment horizontal="center" vertical="center"/>
    </xf>
    <xf numFmtId="3" fontId="41" fillId="0" borderId="0" xfId="0" applyNumberFormat="1" applyFont="1" applyBorder="1" applyAlignment="1">
      <alignment horizontal="left" vertical="center" wrapText="1"/>
    </xf>
    <xf numFmtId="3" fontId="21" fillId="0" borderId="0" xfId="0" applyNumberFormat="1" applyFont="1" applyBorder="1" applyAlignment="1">
      <alignment horizontal="left" vertical="center" wrapText="1"/>
    </xf>
    <xf numFmtId="0" fontId="21" fillId="0" borderId="0" xfId="0" applyFont="1" applyAlignment="1">
      <alignment horizontal="center" vertical="center" wrapText="1"/>
    </xf>
    <xf numFmtId="0" fontId="21" fillId="0" borderId="0" xfId="0" applyFont="1" applyBorder="1" applyAlignment="1">
      <alignment horizontal="center" vertical="center" wrapText="1"/>
    </xf>
    <xf numFmtId="3" fontId="22" fillId="0" borderId="0" xfId="49" applyNumberFormat="1" applyFont="1" applyFill="1" applyBorder="1" applyAlignment="1">
      <alignment horizontal="left" vertical="center" wrapText="1"/>
    </xf>
    <xf numFmtId="3" fontId="21" fillId="0" borderId="0" xfId="0" applyNumberFormat="1" applyFont="1" applyAlignment="1">
      <alignment horizontal="left" vertical="center" wrapText="1"/>
    </xf>
    <xf numFmtId="3" fontId="21" fillId="0" borderId="0" xfId="0" applyNumberFormat="1" applyFont="1" applyBorder="1" applyAlignment="1">
      <alignment horizontal="center" vertical="center" wrapText="1"/>
    </xf>
    <xf numFmtId="3" fontId="22" fillId="0" borderId="0" xfId="49" applyNumberFormat="1" applyFont="1" applyFill="1" applyBorder="1" applyAlignment="1">
      <alignment horizontal="left" vertical="center" wrapText="1"/>
    </xf>
    <xf numFmtId="3" fontId="41" fillId="0" borderId="0" xfId="0" applyNumberFormat="1" applyFont="1" applyAlignment="1">
      <alignment horizontal="left" vertical="center" wrapText="1"/>
    </xf>
    <xf numFmtId="3" fontId="42" fillId="0" borderId="0" xfId="49" applyNumberFormat="1" applyFont="1" applyFill="1" applyBorder="1" applyAlignment="1">
      <alignment horizontal="center" vertical="center"/>
    </xf>
    <xf numFmtId="3" fontId="41" fillId="0" borderId="0" xfId="0" applyNumberFormat="1" applyFont="1" applyBorder="1" applyAlignment="1">
      <alignment horizontal="left" vertical="center" wrapText="1"/>
    </xf>
    <xf numFmtId="3" fontId="21" fillId="0" borderId="0" xfId="0" applyNumberFormat="1" applyFont="1" applyBorder="1" applyAlignment="1">
      <alignment horizontal="left" vertical="center" wrapText="1"/>
    </xf>
    <xf numFmtId="0" fontId="21" fillId="0" borderId="0" xfId="0" applyFont="1" applyAlignment="1">
      <alignment horizontal="center" vertical="center" wrapText="1"/>
    </xf>
    <xf numFmtId="0" fontId="21" fillId="0" borderId="0" xfId="0" applyFont="1" applyBorder="1" applyAlignment="1">
      <alignment horizontal="center" vertical="center" wrapText="1"/>
    </xf>
    <xf numFmtId="3" fontId="21" fillId="0" borderId="0" xfId="0" applyNumberFormat="1" applyFont="1" applyAlignment="1">
      <alignment horizontal="left" vertical="center" wrapText="1"/>
    </xf>
    <xf numFmtId="3" fontId="21" fillId="0" borderId="0" xfId="0" applyNumberFormat="1" applyFont="1" applyBorder="1" applyAlignment="1">
      <alignment horizontal="center" vertical="center" wrapText="1"/>
    </xf>
    <xf numFmtId="3" fontId="22" fillId="0" borderId="0" xfId="49" applyNumberFormat="1" applyFont="1" applyFill="1" applyBorder="1" applyAlignment="1">
      <alignment horizontal="left" vertical="center" wrapText="1"/>
    </xf>
    <xf numFmtId="3" fontId="41" fillId="0" borderId="0" xfId="0" applyNumberFormat="1" applyFont="1" applyAlignment="1">
      <alignment horizontal="left" vertical="center" wrapText="1"/>
    </xf>
    <xf numFmtId="3" fontId="41" fillId="0" borderId="0" xfId="0" applyNumberFormat="1" applyFont="1" applyBorder="1" applyAlignment="1">
      <alignment horizontal="left" vertical="center" wrapText="1"/>
    </xf>
    <xf numFmtId="3" fontId="21" fillId="0" borderId="0" xfId="0" applyNumberFormat="1" applyFont="1" applyBorder="1" applyAlignment="1">
      <alignment horizontal="left" vertical="center" wrapText="1"/>
    </xf>
    <xf numFmtId="0" fontId="21" fillId="0" borderId="0" xfId="0" applyFont="1" applyAlignment="1">
      <alignment horizontal="center" vertical="center" wrapText="1"/>
    </xf>
    <xf numFmtId="0" fontId="21" fillId="0" borderId="0" xfId="0" applyFont="1" applyBorder="1" applyAlignment="1">
      <alignment horizontal="center" vertical="center" wrapText="1"/>
    </xf>
    <xf numFmtId="3" fontId="21" fillId="0" borderId="0" xfId="0" applyNumberFormat="1" applyFont="1" applyAlignment="1">
      <alignment horizontal="left" vertical="center" wrapText="1"/>
    </xf>
    <xf numFmtId="3" fontId="21" fillId="0" borderId="0" xfId="0" applyNumberFormat="1" applyFont="1" applyBorder="1" applyAlignment="1">
      <alignment horizontal="center" vertical="center" wrapText="1"/>
    </xf>
    <xf numFmtId="3" fontId="22" fillId="0" borderId="0" xfId="49" applyNumberFormat="1" applyFont="1" applyFill="1" applyBorder="1" applyAlignment="1">
      <alignment horizontal="left" vertical="center" wrapText="1"/>
    </xf>
    <xf numFmtId="3" fontId="41" fillId="0" borderId="0" xfId="0" applyNumberFormat="1" applyFont="1" applyAlignment="1">
      <alignment horizontal="left" vertical="center" wrapText="1"/>
    </xf>
    <xf numFmtId="3" fontId="44" fillId="0" borderId="0" xfId="0" applyNumberFormat="1" applyFont="1" applyBorder="1" applyAlignment="1">
      <alignment horizontal="left" vertical="center" wrapText="1"/>
    </xf>
    <xf numFmtId="3" fontId="41" fillId="0" borderId="0" xfId="0" applyNumberFormat="1" applyFont="1" applyBorder="1" applyAlignment="1">
      <alignment horizontal="left" vertical="center" wrapText="1"/>
    </xf>
    <xf numFmtId="3" fontId="21" fillId="0" borderId="0" xfId="0" applyNumberFormat="1" applyFont="1" applyBorder="1" applyAlignment="1">
      <alignment horizontal="left" vertical="center" wrapText="1"/>
    </xf>
    <xf numFmtId="0" fontId="21" fillId="0" borderId="0" xfId="0" applyFont="1" applyAlignment="1">
      <alignment horizontal="center" vertical="center" wrapText="1"/>
    </xf>
    <xf numFmtId="0" fontId="21" fillId="0" borderId="0" xfId="0" applyFont="1" applyBorder="1" applyAlignment="1">
      <alignment horizontal="center" vertical="center" wrapText="1"/>
    </xf>
    <xf numFmtId="3" fontId="42" fillId="33" borderId="0" xfId="49" applyNumberFormat="1" applyFont="1" applyFill="1" applyBorder="1" applyAlignment="1">
      <alignment horizontal="center" vertical="center"/>
    </xf>
    <xf numFmtId="49" fontId="42" fillId="33" borderId="0" xfId="49" applyNumberFormat="1" applyFont="1" applyFill="1" applyBorder="1" applyAlignment="1">
      <alignment horizontal="center" vertical="center"/>
    </xf>
    <xf numFmtId="49" fontId="22" fillId="33" borderId="0" xfId="49" applyNumberFormat="1" applyFont="1" applyFill="1" applyBorder="1" applyAlignment="1">
      <alignment horizontal="center" vertical="center"/>
    </xf>
    <xf numFmtId="49" fontId="40" fillId="33" borderId="0" xfId="49" applyNumberFormat="1" applyFont="1" applyFill="1" applyBorder="1" applyAlignment="1">
      <alignment horizontal="center" vertical="center"/>
    </xf>
    <xf numFmtId="3" fontId="22" fillId="33" borderId="0" xfId="49" applyNumberFormat="1" applyFont="1" applyFill="1" applyBorder="1" applyAlignment="1">
      <alignment horizontal="left" vertical="center"/>
    </xf>
    <xf numFmtId="3" fontId="42" fillId="33" borderId="0" xfId="49" applyNumberFormat="1" applyFont="1" applyFill="1" applyBorder="1" applyAlignment="1">
      <alignment horizontal="center" vertical="center"/>
    </xf>
    <xf numFmtId="49" fontId="42" fillId="33" borderId="0" xfId="49" applyNumberFormat="1" applyFont="1" applyFill="1" applyBorder="1" applyAlignment="1">
      <alignment horizontal="center" vertical="center"/>
    </xf>
    <xf numFmtId="49" fontId="22" fillId="33" borderId="0" xfId="49" applyNumberFormat="1" applyFont="1" applyFill="1" applyBorder="1" applyAlignment="1">
      <alignment horizontal="center" vertical="center"/>
    </xf>
    <xf numFmtId="49" fontId="40" fillId="33" borderId="0" xfId="49" applyNumberFormat="1" applyFont="1" applyFill="1" applyBorder="1" applyAlignment="1">
      <alignment horizontal="center" vertical="center"/>
    </xf>
    <xf numFmtId="3" fontId="22" fillId="33" borderId="0" xfId="49" applyNumberFormat="1" applyFont="1" applyFill="1" applyBorder="1" applyAlignment="1">
      <alignment horizontal="left" vertical="center"/>
    </xf>
    <xf numFmtId="3" fontId="42" fillId="33" borderId="0" xfId="49" applyNumberFormat="1" applyFont="1" applyFill="1" applyBorder="1" applyAlignment="1">
      <alignment horizontal="center" vertical="center"/>
    </xf>
    <xf numFmtId="49" fontId="42" fillId="33" borderId="0" xfId="49" applyNumberFormat="1" applyFont="1" applyFill="1" applyBorder="1" applyAlignment="1">
      <alignment horizontal="center" vertical="center"/>
    </xf>
    <xf numFmtId="49" fontId="22" fillId="33" borderId="0" xfId="49" applyNumberFormat="1" applyFont="1" applyFill="1" applyBorder="1" applyAlignment="1">
      <alignment horizontal="center" vertical="center"/>
    </xf>
    <xf numFmtId="49" fontId="40" fillId="33" borderId="0" xfId="49" applyNumberFormat="1" applyFont="1" applyFill="1" applyBorder="1" applyAlignment="1">
      <alignment horizontal="center" vertical="center"/>
    </xf>
    <xf numFmtId="3" fontId="22" fillId="33" borderId="0" xfId="49" applyNumberFormat="1" applyFont="1" applyFill="1" applyBorder="1" applyAlignment="1">
      <alignment horizontal="left" vertical="center"/>
    </xf>
    <xf numFmtId="3" fontId="42" fillId="33" borderId="0" xfId="49" applyNumberFormat="1" applyFont="1" applyFill="1" applyBorder="1" applyAlignment="1">
      <alignment horizontal="center" vertical="center"/>
    </xf>
    <xf numFmtId="49" fontId="42" fillId="33" borderId="0" xfId="49" applyNumberFormat="1" applyFont="1" applyFill="1" applyBorder="1" applyAlignment="1">
      <alignment horizontal="center" vertical="center"/>
    </xf>
    <xf numFmtId="49" fontId="22" fillId="33" borderId="0" xfId="49" applyNumberFormat="1" applyFont="1" applyFill="1" applyBorder="1" applyAlignment="1">
      <alignment horizontal="center" vertical="center"/>
    </xf>
    <xf numFmtId="49" fontId="40" fillId="33" borderId="0" xfId="49" applyNumberFormat="1" applyFont="1" applyFill="1" applyBorder="1" applyAlignment="1">
      <alignment horizontal="center" vertical="center"/>
    </xf>
    <xf numFmtId="3" fontId="22" fillId="33" borderId="0" xfId="49" applyNumberFormat="1" applyFont="1" applyFill="1" applyBorder="1" applyAlignment="1">
      <alignment horizontal="left" vertical="center"/>
    </xf>
    <xf numFmtId="3" fontId="42" fillId="33" borderId="0" xfId="49" applyNumberFormat="1" applyFont="1" applyFill="1" applyBorder="1" applyAlignment="1">
      <alignment horizontal="center" vertical="center"/>
    </xf>
    <xf numFmtId="49" fontId="42" fillId="33" borderId="0" xfId="49" applyNumberFormat="1" applyFont="1" applyFill="1" applyBorder="1" applyAlignment="1">
      <alignment horizontal="center" vertical="center"/>
    </xf>
    <xf numFmtId="49" fontId="22" fillId="33" borderId="0" xfId="49" applyNumberFormat="1" applyFont="1" applyFill="1" applyBorder="1" applyAlignment="1">
      <alignment horizontal="center" vertical="center"/>
    </xf>
    <xf numFmtId="49" fontId="40" fillId="33" borderId="0" xfId="49" applyNumberFormat="1" applyFont="1" applyFill="1" applyBorder="1" applyAlignment="1">
      <alignment horizontal="center" vertical="center"/>
    </xf>
    <xf numFmtId="3" fontId="22" fillId="33" borderId="0" xfId="49" applyNumberFormat="1" applyFont="1" applyFill="1" applyBorder="1" applyAlignment="1">
      <alignment horizontal="left" vertical="center"/>
    </xf>
    <xf numFmtId="3" fontId="42" fillId="33" borderId="0" xfId="49" applyNumberFormat="1" applyFont="1" applyFill="1" applyBorder="1" applyAlignment="1">
      <alignment horizontal="center" vertical="center"/>
    </xf>
    <xf numFmtId="49" fontId="42" fillId="33" borderId="0" xfId="49" applyNumberFormat="1" applyFont="1" applyFill="1" applyBorder="1" applyAlignment="1">
      <alignment horizontal="center" vertical="center"/>
    </xf>
    <xf numFmtId="49" fontId="22" fillId="33" borderId="0" xfId="49" applyNumberFormat="1" applyFont="1" applyFill="1" applyBorder="1" applyAlignment="1">
      <alignment horizontal="center" vertical="center"/>
    </xf>
    <xf numFmtId="49" fontId="40" fillId="33" borderId="0" xfId="49" applyNumberFormat="1" applyFont="1" applyFill="1" applyBorder="1" applyAlignment="1">
      <alignment horizontal="center" vertical="center"/>
    </xf>
    <xf numFmtId="3" fontId="22" fillId="33" borderId="0" xfId="49" applyNumberFormat="1" applyFont="1" applyFill="1" applyBorder="1" applyAlignment="1">
      <alignment horizontal="left" vertical="center"/>
    </xf>
    <xf numFmtId="3" fontId="21" fillId="0" borderId="0" xfId="0" applyNumberFormat="1" applyFont="1" applyAlignment="1">
      <alignment horizontal="left" vertical="center" wrapText="1"/>
    </xf>
    <xf numFmtId="3" fontId="21" fillId="0" borderId="0" xfId="0" applyNumberFormat="1" applyFont="1" applyBorder="1" applyAlignment="1">
      <alignment horizontal="center" vertical="center" wrapText="1"/>
    </xf>
    <xf numFmtId="3" fontId="22" fillId="0" borderId="0" xfId="49" applyNumberFormat="1" applyFont="1" applyFill="1" applyBorder="1" applyAlignment="1">
      <alignment horizontal="left" vertical="center" wrapText="1"/>
    </xf>
    <xf numFmtId="3" fontId="41" fillId="0" borderId="0" xfId="0" applyNumberFormat="1" applyFont="1" applyAlignment="1">
      <alignment horizontal="left" vertical="center" wrapText="1"/>
    </xf>
    <xf numFmtId="3" fontId="44" fillId="0" borderId="0" xfId="0" applyNumberFormat="1" applyFont="1" applyBorder="1" applyAlignment="1">
      <alignment horizontal="left" vertical="center" wrapText="1"/>
    </xf>
    <xf numFmtId="3" fontId="41" fillId="0" borderId="0" xfId="0" applyNumberFormat="1" applyFont="1" applyBorder="1" applyAlignment="1">
      <alignment horizontal="left" vertical="center" wrapText="1"/>
    </xf>
    <xf numFmtId="3" fontId="42" fillId="33" borderId="0" xfId="49" applyNumberFormat="1" applyFont="1" applyFill="1" applyBorder="1" applyAlignment="1">
      <alignment horizontal="center" vertical="center"/>
    </xf>
    <xf numFmtId="49" fontId="42" fillId="33" borderId="0" xfId="49" applyNumberFormat="1" applyFont="1" applyFill="1" applyBorder="1" applyAlignment="1">
      <alignment horizontal="center" vertical="center"/>
    </xf>
    <xf numFmtId="49" fontId="22" fillId="33" borderId="0" xfId="49" applyNumberFormat="1" applyFont="1" applyFill="1" applyBorder="1" applyAlignment="1">
      <alignment horizontal="center" vertical="center"/>
    </xf>
    <xf numFmtId="49" fontId="40" fillId="33" borderId="0" xfId="49" applyNumberFormat="1" applyFont="1" applyFill="1" applyBorder="1" applyAlignment="1">
      <alignment horizontal="center" vertical="center"/>
    </xf>
    <xf numFmtId="3" fontId="22" fillId="33" borderId="0" xfId="49" applyNumberFormat="1" applyFont="1" applyFill="1" applyBorder="1" applyAlignment="1">
      <alignment horizontal="left" vertical="center"/>
    </xf>
    <xf numFmtId="3" fontId="21" fillId="0" borderId="0" xfId="0" applyNumberFormat="1" applyFont="1" applyBorder="1" applyAlignment="1">
      <alignment horizontal="left" vertical="center" wrapText="1"/>
    </xf>
    <xf numFmtId="0" fontId="21" fillId="0" borderId="0" xfId="0" applyFont="1" applyAlignment="1">
      <alignment horizontal="center" vertical="center" wrapText="1"/>
    </xf>
    <xf numFmtId="0" fontId="21" fillId="0" borderId="0" xfId="0" applyFont="1" applyBorder="1" applyAlignment="1">
      <alignment horizontal="center" vertical="center" wrapText="1"/>
    </xf>
    <xf numFmtId="49" fontId="42" fillId="29" borderId="0" xfId="49" applyNumberFormat="1" applyFont="1" applyFill="1" applyBorder="1" applyAlignment="1">
      <alignment horizontal="center" vertical="center"/>
    </xf>
    <xf numFmtId="3" fontId="42" fillId="26" borderId="0" xfId="0" applyNumberFormat="1" applyFont="1" applyFill="1" applyBorder="1" applyAlignment="1">
      <alignment wrapText="1"/>
    </xf>
    <xf numFmtId="0" fontId="42" fillId="26" borderId="0" xfId="0" applyNumberFormat="1" applyFont="1" applyFill="1" applyBorder="1" applyAlignment="1">
      <alignment horizontal="center" vertical="center" wrapText="1"/>
    </xf>
    <xf numFmtId="3" fontId="42" fillId="26" borderId="0" xfId="0" applyNumberFormat="1" applyFont="1" applyFill="1" applyBorder="1" applyAlignment="1">
      <alignment horizontal="center" vertical="center" wrapText="1"/>
    </xf>
    <xf numFmtId="49" fontId="22" fillId="26" borderId="0" xfId="0" applyNumberFormat="1" applyFont="1" applyFill="1" applyBorder="1" applyAlignment="1">
      <alignment horizontal="center" wrapText="1"/>
    </xf>
    <xf numFmtId="49" fontId="40" fillId="26" borderId="0" xfId="0" applyNumberFormat="1" applyFont="1" applyFill="1" applyBorder="1" applyAlignment="1">
      <alignment horizontal="center" wrapText="1"/>
    </xf>
    <xf numFmtId="3" fontId="22" fillId="26" borderId="0" xfId="0" applyNumberFormat="1" applyFont="1" applyFill="1" applyBorder="1" applyAlignment="1">
      <alignment horizontal="left" vertical="center"/>
    </xf>
    <xf numFmtId="0" fontId="42" fillId="26" borderId="0" xfId="0" applyNumberFormat="1" applyFont="1" applyFill="1" applyBorder="1" applyAlignment="1">
      <alignment horizontal="center" vertical="center" wrapText="1"/>
    </xf>
    <xf numFmtId="3" fontId="42" fillId="26" borderId="0" xfId="0" applyNumberFormat="1" applyFont="1" applyFill="1" applyBorder="1" applyAlignment="1">
      <alignment horizontal="center" vertical="center" wrapText="1"/>
    </xf>
    <xf numFmtId="49" fontId="21" fillId="26" borderId="0" xfId="0" applyNumberFormat="1" applyFont="1" applyFill="1" applyAlignment="1">
      <alignment horizontal="center" vertical="center" wrapText="1"/>
    </xf>
    <xf numFmtId="49" fontId="40" fillId="26" borderId="0" xfId="0" applyNumberFormat="1" applyFont="1" applyFill="1" applyBorder="1" applyAlignment="1">
      <alignment horizontal="center" vertical="center" wrapText="1"/>
    </xf>
    <xf numFmtId="3" fontId="22" fillId="26" borderId="0" xfId="0" applyNumberFormat="1" applyFont="1" applyFill="1" applyBorder="1" applyAlignment="1">
      <alignment vertical="center" wrapText="1"/>
    </xf>
    <xf numFmtId="49" fontId="48" fillId="0" borderId="0" xfId="0" applyNumberFormat="1" applyFont="1" applyBorder="1" applyAlignment="1" applyProtection="1">
      <alignment horizontal="center" vertical="top"/>
    </xf>
    <xf numFmtId="0" fontId="42" fillId="26" borderId="0" xfId="0" applyNumberFormat="1" applyFont="1" applyFill="1" applyBorder="1" applyAlignment="1">
      <alignment horizontal="center" vertical="center" wrapText="1"/>
    </xf>
    <xf numFmtId="3" fontId="42" fillId="26" borderId="0" xfId="0" applyNumberFormat="1" applyFont="1" applyFill="1" applyBorder="1" applyAlignment="1">
      <alignment horizontal="center" vertical="center" wrapText="1"/>
    </xf>
    <xf numFmtId="49" fontId="64" fillId="26" borderId="0" xfId="0" applyNumberFormat="1" applyFont="1" applyFill="1" applyBorder="1" applyAlignment="1">
      <alignment horizontal="center" vertical="center" wrapText="1"/>
    </xf>
    <xf numFmtId="49" fontId="65" fillId="26" borderId="0" xfId="0" applyNumberFormat="1" applyFont="1" applyFill="1" applyBorder="1" applyAlignment="1">
      <alignment horizontal="center" vertical="center" wrapText="1"/>
    </xf>
    <xf numFmtId="3" fontId="22" fillId="26" borderId="0" xfId="0" applyNumberFormat="1" applyFont="1" applyFill="1" applyBorder="1" applyAlignment="1">
      <alignment horizontal="left" vertical="center" wrapText="1"/>
    </xf>
    <xf numFmtId="3" fontId="21" fillId="0" borderId="0" xfId="0" applyNumberFormat="1" applyFont="1" applyAlignment="1">
      <alignment horizontal="left" vertical="center" wrapText="1"/>
    </xf>
    <xf numFmtId="3" fontId="21" fillId="0" borderId="0" xfId="0" applyNumberFormat="1" applyFont="1" applyBorder="1" applyAlignment="1">
      <alignment horizontal="center" vertical="center" wrapText="1"/>
    </xf>
    <xf numFmtId="3" fontId="22" fillId="0" borderId="0" xfId="49" applyNumberFormat="1" applyFont="1" applyFill="1" applyBorder="1" applyAlignment="1">
      <alignment horizontal="left" vertical="center" wrapText="1"/>
    </xf>
    <xf numFmtId="3" fontId="41" fillId="0" borderId="0" xfId="0" applyNumberFormat="1" applyFont="1" applyAlignment="1">
      <alignment horizontal="left" vertical="center" wrapText="1"/>
    </xf>
    <xf numFmtId="3" fontId="42" fillId="0" borderId="0" xfId="49" applyNumberFormat="1" applyFont="1" applyFill="1" applyBorder="1" applyAlignment="1">
      <alignment horizontal="center" vertical="center"/>
    </xf>
    <xf numFmtId="3" fontId="41" fillId="0" borderId="0" xfId="0" applyNumberFormat="1" applyFont="1" applyBorder="1" applyAlignment="1">
      <alignment horizontal="left" vertical="center" wrapText="1"/>
    </xf>
    <xf numFmtId="3" fontId="42" fillId="0" borderId="0" xfId="49" applyNumberFormat="1" applyFont="1" applyFill="1" applyBorder="1" applyAlignment="1">
      <alignment horizontal="left" vertical="center" wrapText="1"/>
    </xf>
    <xf numFmtId="3" fontId="21" fillId="0" borderId="0" xfId="0" applyNumberFormat="1" applyFont="1" applyBorder="1" applyAlignment="1">
      <alignment horizontal="left" vertical="center" wrapText="1"/>
    </xf>
    <xf numFmtId="0" fontId="21" fillId="0" borderId="0" xfId="0" applyFont="1" applyAlignment="1">
      <alignment horizontal="center" vertical="center" wrapText="1"/>
    </xf>
    <xf numFmtId="0" fontId="21" fillId="0" borderId="0" xfId="0" applyFont="1" applyBorder="1" applyAlignment="1">
      <alignment horizontal="center" vertical="center" wrapText="1"/>
    </xf>
    <xf numFmtId="49" fontId="48" fillId="0" borderId="0" xfId="0" applyNumberFormat="1" applyFont="1" applyFill="1" applyAlignment="1">
      <alignment horizontal="left" vertical="center"/>
    </xf>
    <xf numFmtId="3" fontId="21" fillId="0" borderId="0" xfId="0" applyNumberFormat="1" applyFont="1" applyAlignment="1">
      <alignment horizontal="left" vertical="center" wrapText="1"/>
    </xf>
    <xf numFmtId="3" fontId="21" fillId="0" borderId="0" xfId="0" applyNumberFormat="1" applyFont="1" applyBorder="1" applyAlignment="1">
      <alignment horizontal="center" vertical="center" wrapText="1"/>
    </xf>
    <xf numFmtId="3" fontId="22" fillId="0" borderId="0" xfId="49" applyNumberFormat="1" applyFont="1" applyFill="1" applyBorder="1" applyAlignment="1">
      <alignment horizontal="left" vertical="center" wrapText="1"/>
    </xf>
    <xf numFmtId="3" fontId="21" fillId="0" borderId="0" xfId="51" applyNumberFormat="1" applyFont="1" applyFill="1" applyBorder="1" applyAlignment="1">
      <alignment horizontal="right" vertical="center" wrapText="1"/>
    </xf>
    <xf numFmtId="3" fontId="41" fillId="0" borderId="0" xfId="0" applyNumberFormat="1" applyFont="1" applyAlignment="1">
      <alignment horizontal="left" vertical="center" wrapText="1"/>
    </xf>
    <xf numFmtId="3" fontId="44" fillId="0" borderId="0" xfId="0" applyNumberFormat="1" applyFont="1" applyBorder="1" applyAlignment="1">
      <alignment horizontal="left" vertical="center" wrapText="1"/>
    </xf>
    <xf numFmtId="3" fontId="21" fillId="0" borderId="0" xfId="50" applyNumberFormat="1" applyFont="1" applyFill="1" applyBorder="1" applyAlignment="1">
      <alignment horizontal="right" vertical="center" wrapText="1"/>
    </xf>
    <xf numFmtId="3" fontId="21" fillId="0" borderId="0" xfId="0" applyNumberFormat="1" applyFont="1" applyFill="1" applyBorder="1" applyAlignment="1">
      <alignment horizontal="right" vertical="center" wrapText="1"/>
    </xf>
    <xf numFmtId="3" fontId="41" fillId="0" borderId="0" xfId="0" applyNumberFormat="1" applyFont="1" applyBorder="1" applyAlignment="1">
      <alignment horizontal="left" vertical="center" wrapText="1"/>
    </xf>
    <xf numFmtId="3" fontId="42" fillId="0" borderId="0" xfId="0" applyNumberFormat="1" applyFont="1" applyFill="1" applyAlignment="1">
      <alignment horizontal="left" vertical="center" wrapText="1"/>
    </xf>
    <xf numFmtId="3" fontId="21" fillId="0" borderId="0" xfId="0" applyNumberFormat="1" applyFont="1" applyBorder="1" applyAlignment="1">
      <alignment horizontal="left" vertical="center" wrapText="1"/>
    </xf>
    <xf numFmtId="0" fontId="21" fillId="0" borderId="0" xfId="0" applyFont="1" applyAlignment="1">
      <alignment horizontal="center" vertical="center" wrapText="1"/>
    </xf>
    <xf numFmtId="0" fontId="21" fillId="0" borderId="0" xfId="0" applyFont="1" applyBorder="1" applyAlignment="1">
      <alignment horizontal="center" vertical="center" wrapText="1"/>
    </xf>
    <xf numFmtId="3" fontId="22" fillId="0" borderId="0" xfId="0" applyNumberFormat="1" applyFont="1" applyFill="1" applyBorder="1" applyAlignment="1">
      <alignment horizontal="right" vertical="center" wrapText="1"/>
    </xf>
    <xf numFmtId="0" fontId="52" fillId="0" borderId="0" xfId="0" applyFont="1" applyFill="1" applyBorder="1" applyAlignment="1" applyProtection="1">
      <alignment vertical="top"/>
    </xf>
    <xf numFmtId="49" fontId="48" fillId="0" borderId="0" xfId="0" applyNumberFormat="1" applyFont="1" applyBorder="1" applyAlignment="1" applyProtection="1">
      <alignment horizontal="center" vertical="center"/>
    </xf>
    <xf numFmtId="49" fontId="48" fillId="0" borderId="0" xfId="0" applyNumberFormat="1" applyFont="1" applyFill="1" applyBorder="1" applyAlignment="1" applyProtection="1">
      <alignment horizontal="center" vertical="top"/>
    </xf>
    <xf numFmtId="0" fontId="48" fillId="0" borderId="0" xfId="0" applyFont="1" applyFill="1" applyBorder="1"/>
    <xf numFmtId="49" fontId="48" fillId="0" borderId="0" xfId="0" applyNumberFormat="1" applyFont="1" applyFill="1" applyBorder="1" applyAlignment="1" applyProtection="1">
      <alignment horizontal="center" vertical="center"/>
    </xf>
    <xf numFmtId="0" fontId="48" fillId="29" borderId="0" xfId="0" applyFont="1" applyFill="1" applyAlignment="1">
      <alignment vertical="center" wrapText="1"/>
    </xf>
    <xf numFmtId="0" fontId="48" fillId="0" borderId="0" xfId="0" applyFont="1" applyBorder="1" applyAlignment="1">
      <alignment horizontal="center"/>
    </xf>
    <xf numFmtId="0" fontId="59" fillId="0" borderId="0" xfId="0" applyFont="1" applyBorder="1"/>
    <xf numFmtId="0" fontId="48" fillId="0" borderId="0" xfId="0" applyFont="1" applyBorder="1" applyAlignment="1">
      <alignment vertical="center" wrapText="1"/>
    </xf>
    <xf numFmtId="0" fontId="49" fillId="0" borderId="0" xfId="0" applyFont="1" applyBorder="1"/>
    <xf numFmtId="0" fontId="51" fillId="31" borderId="11" xfId="0" applyFont="1" applyFill="1" applyBorder="1" applyAlignment="1" applyProtection="1">
      <alignment vertical="top"/>
    </xf>
    <xf numFmtId="0" fontId="52" fillId="0" borderId="20" xfId="0" applyFont="1" applyFill="1" applyBorder="1" applyAlignment="1" applyProtection="1">
      <alignment horizontal="center" vertical="top"/>
    </xf>
    <xf numFmtId="0" fontId="52" fillId="0" borderId="20" xfId="0" applyFont="1" applyFill="1" applyBorder="1" applyAlignment="1" applyProtection="1">
      <alignment horizontal="center"/>
    </xf>
    <xf numFmtId="0" fontId="53" fillId="0" borderId="20" xfId="0" applyFont="1" applyBorder="1" applyAlignment="1">
      <alignment horizontal="center" vertical="center"/>
    </xf>
    <xf numFmtId="169" fontId="43" fillId="35" borderId="18" xfId="48" applyNumberFormat="1" applyFont="1" applyFill="1" applyBorder="1" applyAlignment="1" applyProtection="1">
      <alignment horizontal="center" vertical="center" wrapText="1"/>
    </xf>
    <xf numFmtId="0" fontId="58" fillId="36" borderId="18" xfId="0" applyFont="1" applyFill="1" applyBorder="1" applyAlignment="1">
      <alignment horizontal="center" vertical="center" wrapText="1"/>
    </xf>
    <xf numFmtId="49" fontId="58" fillId="36" borderId="18" xfId="0" applyNumberFormat="1" applyFont="1" applyFill="1" applyBorder="1" applyAlignment="1">
      <alignment horizontal="center" vertical="center" wrapText="1"/>
    </xf>
    <xf numFmtId="0" fontId="58" fillId="37" borderId="18" xfId="0" applyFont="1" applyFill="1" applyBorder="1" applyAlignment="1">
      <alignment horizontal="center" vertical="center" wrapText="1"/>
    </xf>
    <xf numFmtId="49" fontId="58" fillId="37" borderId="18" xfId="0" applyNumberFormat="1" applyFont="1" applyFill="1" applyBorder="1" applyAlignment="1">
      <alignment horizontal="center" vertical="center" wrapText="1"/>
    </xf>
    <xf numFmtId="165" fontId="48" fillId="0" borderId="0" xfId="0" applyNumberFormat="1" applyFont="1"/>
    <xf numFmtId="0" fontId="48" fillId="36" borderId="11" xfId="0" applyFont="1" applyFill="1" applyBorder="1"/>
    <xf numFmtId="3" fontId="48" fillId="0" borderId="11" xfId="0" applyNumberFormat="1" applyFont="1" applyBorder="1" applyAlignment="1">
      <alignment horizontal="right"/>
    </xf>
    <xf numFmtId="0" fontId="66" fillId="37" borderId="11" xfId="0" applyFont="1" applyFill="1" applyBorder="1"/>
    <xf numFmtId="0" fontId="48" fillId="0" borderId="11" xfId="0" applyFont="1" applyBorder="1" applyAlignment="1">
      <alignment horizontal="center" vertical="center"/>
    </xf>
    <xf numFmtId="0" fontId="48" fillId="0" borderId="11" xfId="0" applyFont="1" applyBorder="1" applyAlignment="1">
      <alignment horizontal="center" vertical="center" wrapText="1"/>
    </xf>
    <xf numFmtId="3" fontId="48" fillId="0" borderId="11" xfId="0" applyNumberFormat="1" applyFont="1" applyBorder="1"/>
    <xf numFmtId="0" fontId="21" fillId="0" borderId="11" xfId="46" applyNumberFormat="1" applyFont="1" applyBorder="1" applyAlignment="1" applyProtection="1">
      <alignment horizontal="center" vertical="center" wrapText="1"/>
    </xf>
    <xf numFmtId="3" fontId="21" fillId="0" borderId="11" xfId="46" applyNumberFormat="1" applyFont="1" applyFill="1" applyBorder="1" applyAlignment="1" applyProtection="1">
      <alignment horizontal="left" vertical="center"/>
    </xf>
    <xf numFmtId="49" fontId="1" fillId="31" borderId="10" xfId="1" applyNumberFormat="1" applyFont="1" applyFill="1" applyBorder="1" applyAlignment="1">
      <alignment horizontal="center" vertical="center"/>
    </xf>
    <xf numFmtId="0" fontId="1" fillId="31" borderId="10" xfId="1" applyFont="1" applyFill="1" applyBorder="1" applyAlignment="1">
      <alignment horizontal="center" vertical="center" wrapText="1"/>
    </xf>
    <xf numFmtId="0" fontId="49" fillId="0" borderId="11" xfId="0" applyFont="1" applyBorder="1" applyAlignment="1">
      <alignment horizontal="left" vertical="center"/>
    </xf>
    <xf numFmtId="3" fontId="49" fillId="0" borderId="11" xfId="0" applyNumberFormat="1" applyFont="1" applyBorder="1" applyAlignment="1">
      <alignment vertical="center"/>
    </xf>
    <xf numFmtId="49" fontId="45" fillId="0" borderId="27" xfId="0" applyNumberFormat="1" applyFont="1" applyFill="1" applyBorder="1" applyAlignment="1">
      <alignment horizontal="center" vertical="center"/>
    </xf>
    <xf numFmtId="0" fontId="45" fillId="0" borderId="27" xfId="0" applyFont="1" applyFill="1" applyBorder="1" applyAlignment="1">
      <alignment horizontal="center" vertical="center"/>
    </xf>
    <xf numFmtId="49" fontId="47" fillId="6" borderId="11" xfId="0" applyNumberFormat="1" applyFont="1" applyFill="1" applyBorder="1" applyAlignment="1">
      <alignment horizontal="center" vertical="center" wrapText="1"/>
    </xf>
    <xf numFmtId="0" fontId="47" fillId="6" borderId="11" xfId="0" applyFont="1" applyFill="1" applyBorder="1" applyAlignment="1">
      <alignment horizontal="center" vertical="center" wrapText="1" shrinkToFit="1"/>
    </xf>
    <xf numFmtId="169" fontId="47" fillId="20" borderId="23" xfId="48" applyNumberFormat="1" applyFont="1" applyFill="1" applyBorder="1" applyAlignment="1">
      <alignment horizontal="center" vertical="center" wrapText="1"/>
    </xf>
    <xf numFmtId="49" fontId="47" fillId="0" borderId="0" xfId="0" applyNumberFormat="1" applyFont="1" applyBorder="1" applyAlignment="1">
      <alignment vertical="center" wrapText="1"/>
    </xf>
    <xf numFmtId="0" fontId="51" fillId="31" borderId="11" xfId="0" applyFont="1" applyFill="1" applyBorder="1" applyAlignment="1" applyProtection="1">
      <alignment horizontal="left" vertical="top"/>
    </xf>
    <xf numFmtId="0" fontId="52" fillId="0" borderId="20" xfId="0" applyFont="1" applyFill="1" applyBorder="1" applyAlignment="1" applyProtection="1">
      <alignment horizontal="left"/>
    </xf>
    <xf numFmtId="0" fontId="52" fillId="0" borderId="18" xfId="0" applyFont="1" applyFill="1" applyBorder="1" applyAlignment="1" applyProtection="1">
      <alignment horizontal="left"/>
    </xf>
    <xf numFmtId="0" fontId="53" fillId="0" borderId="20" xfId="0" applyFont="1" applyBorder="1" applyAlignment="1">
      <alignment horizontal="left"/>
    </xf>
    <xf numFmtId="0" fontId="53" fillId="0" borderId="18" xfId="0" applyFont="1" applyBorder="1" applyAlignment="1">
      <alignment horizontal="left"/>
    </xf>
    <xf numFmtId="0" fontId="53" fillId="0" borderId="39" xfId="0" applyFont="1" applyBorder="1" applyAlignment="1">
      <alignment horizontal="left"/>
    </xf>
    <xf numFmtId="0" fontId="52" fillId="0" borderId="20" xfId="0" applyFont="1" applyFill="1" applyBorder="1" applyAlignment="1" applyProtection="1">
      <alignment horizontal="left" vertical="top"/>
    </xf>
    <xf numFmtId="0" fontId="52" fillId="0" borderId="18" xfId="0" applyFont="1" applyFill="1" applyBorder="1" applyAlignment="1" applyProtection="1">
      <alignment horizontal="left" vertical="top"/>
    </xf>
    <xf numFmtId="0" fontId="52" fillId="0" borderId="20" xfId="0" applyFont="1" applyBorder="1" applyAlignment="1" applyProtection="1">
      <alignment horizontal="left" vertical="top"/>
    </xf>
    <xf numFmtId="0" fontId="52" fillId="0" borderId="18" xfId="0" applyFont="1" applyBorder="1" applyAlignment="1" applyProtection="1">
      <alignment horizontal="left" vertical="top"/>
    </xf>
    <xf numFmtId="0" fontId="56" fillId="0" borderId="11" xfId="0" applyFont="1" applyBorder="1" applyAlignment="1">
      <alignment horizontal="center"/>
    </xf>
    <xf numFmtId="0" fontId="66" fillId="0" borderId="0" xfId="0" applyFont="1" applyFill="1" applyAlignment="1">
      <alignment horizontal="center" vertical="center"/>
    </xf>
    <xf numFmtId="49" fontId="66" fillId="0" borderId="0" xfId="0" applyNumberFormat="1" applyFont="1" applyFill="1" applyAlignment="1">
      <alignment horizontal="left" vertical="center"/>
    </xf>
    <xf numFmtId="0" fontId="67" fillId="0" borderId="0" xfId="0" applyFont="1" applyFill="1" applyBorder="1" applyAlignment="1">
      <alignment vertical="center" wrapText="1"/>
    </xf>
    <xf numFmtId="49" fontId="57" fillId="0" borderId="11" xfId="0" applyNumberFormat="1" applyFont="1" applyBorder="1" applyAlignment="1">
      <alignment horizontal="center"/>
    </xf>
    <xf numFmtId="49" fontId="56" fillId="0" borderId="11" xfId="0" applyNumberFormat="1" applyFont="1" applyBorder="1"/>
    <xf numFmtId="49" fontId="57" fillId="0" borderId="11" xfId="0" applyNumberFormat="1" applyFont="1" applyBorder="1" applyAlignment="1">
      <alignment vertical="top"/>
    </xf>
    <xf numFmtId="49" fontId="48" fillId="0" borderId="0" xfId="0" applyNumberFormat="1" applyFont="1"/>
    <xf numFmtId="49" fontId="57" fillId="0" borderId="11" xfId="0" applyNumberFormat="1" applyFont="1" applyBorder="1"/>
    <xf numFmtId="49" fontId="48" fillId="0" borderId="11" xfId="0" applyNumberFormat="1" applyFont="1" applyBorder="1"/>
    <xf numFmtId="3" fontId="42" fillId="0" borderId="11" xfId="47" applyNumberFormat="1" applyFont="1" applyBorder="1" applyAlignment="1">
      <alignment horizontal="center" vertical="center" wrapText="1"/>
    </xf>
    <xf numFmtId="3" fontId="42" fillId="0" borderId="37" xfId="47" applyNumberFormat="1" applyFont="1" applyFill="1" applyBorder="1" applyAlignment="1">
      <alignment horizontal="center" vertical="center" wrapText="1"/>
    </xf>
    <xf numFmtId="3" fontId="42" fillId="0" borderId="33" xfId="47" applyNumberFormat="1" applyFont="1" applyBorder="1" applyAlignment="1">
      <alignment horizontal="center" vertical="center" wrapText="1"/>
    </xf>
    <xf numFmtId="3" fontId="42" fillId="0" borderId="38" xfId="47" applyNumberFormat="1" applyFont="1" applyFill="1" applyBorder="1" applyAlignment="1">
      <alignment horizontal="center" vertical="center" wrapText="1"/>
    </xf>
    <xf numFmtId="3" fontId="48" fillId="29" borderId="0" xfId="47" applyNumberFormat="1" applyFont="1" applyFill="1" applyAlignment="1">
      <alignment horizontal="right" vertical="center"/>
    </xf>
    <xf numFmtId="3" fontId="48" fillId="29" borderId="0" xfId="47" applyNumberFormat="1" applyFont="1" applyFill="1" applyAlignment="1">
      <alignment vertical="center"/>
    </xf>
    <xf numFmtId="3" fontId="48" fillId="0" borderId="0" xfId="47" applyNumberFormat="1" applyFont="1" applyAlignment="1">
      <alignment horizontal="right" vertical="center"/>
    </xf>
    <xf numFmtId="3" fontId="48" fillId="0" borderId="0" xfId="47" applyNumberFormat="1" applyFont="1" applyAlignment="1">
      <alignment vertical="center"/>
    </xf>
    <xf numFmtId="3" fontId="42" fillId="0" borderId="35" xfId="47" applyNumberFormat="1" applyFont="1" applyFill="1" applyBorder="1" applyAlignment="1">
      <alignment horizontal="right" vertical="center" wrapText="1"/>
    </xf>
    <xf numFmtId="3" fontId="42" fillId="0" borderId="35" xfId="47" applyNumberFormat="1" applyFont="1" applyBorder="1" applyAlignment="1">
      <alignment horizontal="right" vertical="center" wrapText="1"/>
    </xf>
    <xf numFmtId="3" fontId="48" fillId="0" borderId="0" xfId="47" applyNumberFormat="1" applyFont="1" applyBorder="1" applyAlignment="1">
      <alignment horizontal="right" vertical="center"/>
    </xf>
    <xf numFmtId="3" fontId="48" fillId="0" borderId="0" xfId="47" applyNumberFormat="1" applyFont="1" applyBorder="1" applyAlignment="1">
      <alignment vertical="center"/>
    </xf>
    <xf numFmtId="3" fontId="49" fillId="0" borderId="21" xfId="47" applyNumberFormat="1" applyFont="1" applyBorder="1" applyAlignment="1">
      <alignment horizontal="right" vertical="center"/>
    </xf>
    <xf numFmtId="3" fontId="49" fillId="0" borderId="21" xfId="47" applyNumberFormat="1" applyFont="1" applyBorder="1" applyAlignment="1">
      <alignment vertical="center"/>
    </xf>
    <xf numFmtId="3" fontId="42" fillId="0" borderId="32" xfId="47" applyNumberFormat="1" applyFont="1" applyFill="1" applyBorder="1" applyAlignment="1">
      <alignment horizontal="right" vertical="center" wrapText="1"/>
    </xf>
    <xf numFmtId="3" fontId="42" fillId="0" borderId="36" xfId="47" applyNumberFormat="1" applyFont="1" applyBorder="1" applyAlignment="1">
      <alignment horizontal="right" vertical="center" wrapText="1"/>
    </xf>
    <xf numFmtId="3" fontId="49" fillId="0" borderId="0" xfId="47" applyNumberFormat="1" applyFont="1" applyBorder="1" applyAlignment="1">
      <alignment horizontal="right" vertical="center"/>
    </xf>
    <xf numFmtId="3" fontId="49" fillId="0" borderId="0" xfId="47" applyNumberFormat="1" applyFont="1" applyBorder="1" applyAlignment="1">
      <alignment vertical="center"/>
    </xf>
    <xf numFmtId="3" fontId="42" fillId="0" borderId="0" xfId="47" applyNumberFormat="1" applyFont="1" applyFill="1" applyBorder="1" applyAlignment="1">
      <alignment horizontal="right" vertical="center" wrapText="1"/>
    </xf>
    <xf numFmtId="3" fontId="42" fillId="0" borderId="0" xfId="47" applyNumberFormat="1" applyFont="1" applyBorder="1" applyAlignment="1">
      <alignment horizontal="right" vertical="center" wrapText="1"/>
    </xf>
    <xf numFmtId="3" fontId="60" fillId="0" borderId="0" xfId="47" applyNumberFormat="1" applyFont="1" applyAlignment="1">
      <alignment horizontal="right" vertical="center"/>
    </xf>
    <xf numFmtId="3" fontId="60" fillId="0" borderId="0" xfId="47" applyNumberFormat="1" applyFont="1" applyAlignment="1">
      <alignment vertical="center"/>
    </xf>
    <xf numFmtId="3" fontId="48" fillId="0" borderId="0" xfId="47" applyNumberFormat="1" applyFont="1" applyFill="1" applyAlignment="1">
      <alignment vertical="center"/>
    </xf>
    <xf numFmtId="3" fontId="48" fillId="0" borderId="0" xfId="47" applyNumberFormat="1" applyFont="1" applyAlignment="1">
      <alignment horizontal="right"/>
    </xf>
    <xf numFmtId="3" fontId="48" fillId="0" borderId="0" xfId="47" applyNumberFormat="1" applyFont="1"/>
    <xf numFmtId="3" fontId="59" fillId="0" borderId="0" xfId="47" applyNumberFormat="1" applyFont="1" applyAlignment="1">
      <alignment horizontal="right" vertical="center"/>
    </xf>
    <xf numFmtId="3" fontId="59" fillId="0" borderId="0" xfId="47" applyNumberFormat="1" applyFont="1" applyAlignment="1">
      <alignment vertical="center"/>
    </xf>
    <xf numFmtId="3" fontId="48" fillId="0" borderId="0" xfId="47" applyNumberFormat="1" applyFont="1" applyFill="1" applyAlignment="1">
      <alignment horizontal="right"/>
    </xf>
    <xf numFmtId="3" fontId="48" fillId="0" borderId="0" xfId="47" applyNumberFormat="1" applyFont="1" applyFill="1"/>
    <xf numFmtId="3" fontId="48" fillId="29" borderId="0" xfId="47" applyNumberFormat="1" applyFont="1" applyFill="1"/>
    <xf numFmtId="3" fontId="48" fillId="33" borderId="0" xfId="47" applyNumberFormat="1" applyFont="1" applyFill="1" applyAlignment="1">
      <alignment vertical="center"/>
    </xf>
    <xf numFmtId="3" fontId="48" fillId="0" borderId="0" xfId="47" applyNumberFormat="1" applyFont="1" applyFill="1" applyAlignment="1">
      <alignment horizontal="right" vertical="center"/>
    </xf>
    <xf numFmtId="3" fontId="67" fillId="0" borderId="0" xfId="47" applyNumberFormat="1" applyFont="1" applyFill="1" applyBorder="1" applyAlignment="1">
      <alignment horizontal="right" vertical="center"/>
    </xf>
    <xf numFmtId="3" fontId="67" fillId="0" borderId="0" xfId="47" applyNumberFormat="1" applyFont="1" applyFill="1" applyBorder="1" applyAlignment="1">
      <alignment vertical="center"/>
    </xf>
    <xf numFmtId="3" fontId="23" fillId="0" borderId="35" xfId="47" applyNumberFormat="1" applyFont="1" applyBorder="1" applyAlignment="1">
      <alignment horizontal="right" vertical="center" wrapText="1"/>
    </xf>
    <xf numFmtId="3" fontId="23" fillId="0" borderId="32" xfId="47" applyNumberFormat="1" applyFont="1" applyBorder="1" applyAlignment="1">
      <alignment horizontal="right" vertical="center" wrapText="1"/>
    </xf>
    <xf numFmtId="3" fontId="23" fillId="0" borderId="0" xfId="47" applyNumberFormat="1" applyFont="1" applyBorder="1" applyAlignment="1">
      <alignment horizontal="right" vertical="center" wrapText="1"/>
    </xf>
    <xf numFmtId="3" fontId="23" fillId="26" borderId="0" xfId="47" applyNumberFormat="1" applyFont="1" applyFill="1" applyBorder="1" applyAlignment="1">
      <alignment horizontal="right" vertical="center"/>
    </xf>
    <xf numFmtId="3" fontId="23" fillId="26" borderId="0" xfId="47" applyNumberFormat="1" applyFont="1" applyFill="1" applyBorder="1" applyAlignment="1">
      <alignment horizontal="right" vertical="center" wrapText="1"/>
    </xf>
    <xf numFmtId="3" fontId="23" fillId="0" borderId="0" xfId="47" applyNumberFormat="1" applyFont="1" applyFill="1" applyBorder="1" applyAlignment="1">
      <alignment horizontal="right" vertical="center"/>
    </xf>
    <xf numFmtId="3" fontId="23" fillId="0" borderId="0" xfId="47" applyNumberFormat="1" applyFont="1" applyFill="1" applyBorder="1" applyAlignment="1">
      <alignment horizontal="right" vertical="center" wrapText="1"/>
    </xf>
    <xf numFmtId="3" fontId="23" fillId="29" borderId="0" xfId="47" applyNumberFormat="1" applyFont="1" applyFill="1" applyBorder="1" applyAlignment="1">
      <alignment horizontal="right" vertical="center"/>
    </xf>
    <xf numFmtId="3" fontId="23" fillId="29" borderId="0" xfId="47" applyNumberFormat="1" applyFont="1" applyFill="1" applyBorder="1" applyAlignment="1">
      <alignment horizontal="center" vertical="center"/>
    </xf>
    <xf numFmtId="3" fontId="23" fillId="26" borderId="0" xfId="47" applyNumberFormat="1" applyFont="1" applyFill="1" applyBorder="1" applyAlignment="1">
      <alignment horizontal="center" vertical="center"/>
    </xf>
    <xf numFmtId="3" fontId="23" fillId="33" borderId="0" xfId="47" applyNumberFormat="1" applyFont="1" applyFill="1" applyBorder="1" applyAlignment="1">
      <alignment horizontal="right" vertical="center"/>
    </xf>
    <xf numFmtId="3" fontId="23" fillId="33" borderId="0" xfId="47" applyNumberFormat="1" applyFont="1" applyFill="1" applyBorder="1" applyAlignment="1">
      <alignment horizontal="center" vertical="center"/>
    </xf>
    <xf numFmtId="3" fontId="23" fillId="26" borderId="0" xfId="47" applyNumberFormat="1" applyFont="1" applyFill="1" applyBorder="1" applyAlignment="1">
      <alignment horizontal="right" wrapText="1"/>
    </xf>
    <xf numFmtId="3" fontId="23" fillId="26" borderId="0" xfId="47" applyNumberFormat="1" applyFont="1" applyFill="1" applyBorder="1" applyAlignment="1">
      <alignment wrapText="1"/>
    </xf>
    <xf numFmtId="3" fontId="68" fillId="26" borderId="0" xfId="47" applyNumberFormat="1" applyFont="1" applyFill="1" applyBorder="1" applyAlignment="1">
      <alignment horizontal="right" vertical="center" wrapText="1"/>
    </xf>
    <xf numFmtId="3" fontId="68" fillId="26" borderId="0" xfId="47" applyNumberFormat="1" applyFont="1" applyFill="1" applyBorder="1" applyAlignment="1">
      <alignment horizontal="center" vertical="center" wrapText="1"/>
    </xf>
    <xf numFmtId="0" fontId="42" fillId="29" borderId="0" xfId="49" applyNumberFormat="1" applyFont="1" applyFill="1" applyBorder="1" applyAlignment="1">
      <alignment horizontal="center" vertical="center"/>
    </xf>
    <xf numFmtId="3" fontId="22" fillId="29" borderId="0" xfId="49" applyNumberFormat="1" applyFont="1" applyFill="1" applyBorder="1" applyAlignment="1">
      <alignment horizontal="center" vertical="center"/>
    </xf>
    <xf numFmtId="3" fontId="39" fillId="29" borderId="0" xfId="49" applyNumberFormat="1" applyFont="1" applyFill="1" applyBorder="1" applyAlignment="1">
      <alignment horizontal="center" vertical="center"/>
    </xf>
    <xf numFmtId="3" fontId="23" fillId="29" borderId="0" xfId="47" applyNumberFormat="1" applyFont="1" applyFill="1" applyBorder="1" applyAlignment="1">
      <alignment horizontal="right" vertical="center" wrapText="1"/>
    </xf>
    <xf numFmtId="0" fontId="21" fillId="0" borderId="0" xfId="1" applyNumberFormat="1" applyFont="1" applyBorder="1" applyAlignment="1">
      <alignment horizontal="center" vertical="center" wrapText="1"/>
    </xf>
    <xf numFmtId="3" fontId="21" fillId="0" borderId="0" xfId="1" applyNumberFormat="1" applyFont="1" applyFill="1" applyBorder="1" applyAlignment="1">
      <alignment horizontal="left" vertical="center" wrapText="1"/>
    </xf>
    <xf numFmtId="0" fontId="53" fillId="0" borderId="0" xfId="0" applyFont="1"/>
    <xf numFmtId="0" fontId="46" fillId="6" borderId="11" xfId="1" applyFont="1" applyFill="1" applyBorder="1" applyAlignment="1">
      <alignment horizontal="center" vertical="center" wrapText="1"/>
    </xf>
    <xf numFmtId="0" fontId="53" fillId="0" borderId="11" xfId="0" applyFont="1" applyBorder="1" applyAlignment="1">
      <alignment horizontal="center"/>
    </xf>
    <xf numFmtId="49" fontId="71" fillId="31" borderId="11" xfId="0" applyNumberFormat="1" applyFont="1" applyFill="1" applyBorder="1" applyAlignment="1" applyProtection="1">
      <alignment horizontal="center" vertical="top"/>
    </xf>
    <xf numFmtId="49" fontId="71" fillId="31" borderId="11" xfId="0" applyNumberFormat="1" applyFont="1" applyFill="1" applyBorder="1" applyAlignment="1" applyProtection="1">
      <alignment horizontal="left" vertical="top"/>
    </xf>
    <xf numFmtId="0" fontId="71" fillId="31" borderId="11" xfId="0" applyFont="1" applyFill="1" applyBorder="1"/>
    <xf numFmtId="0" fontId="53" fillId="0" borderId="20" xfId="0" applyFont="1" applyBorder="1" applyAlignment="1">
      <alignment horizontal="center"/>
    </xf>
    <xf numFmtId="0" fontId="53" fillId="0" borderId="20" xfId="0" applyFont="1" applyBorder="1"/>
    <xf numFmtId="0" fontId="53" fillId="0" borderId="18" xfId="0" applyFont="1" applyBorder="1" applyAlignment="1">
      <alignment horizontal="center"/>
    </xf>
    <xf numFmtId="0" fontId="53" fillId="0" borderId="18" xfId="0" applyFont="1" applyBorder="1"/>
    <xf numFmtId="0" fontId="53" fillId="0" borderId="39" xfId="0" applyFont="1" applyBorder="1" applyAlignment="1">
      <alignment horizontal="center"/>
    </xf>
    <xf numFmtId="0" fontId="71" fillId="0" borderId="0" xfId="0" applyFont="1"/>
    <xf numFmtId="49" fontId="53" fillId="0" borderId="20" xfId="0" applyNumberFormat="1" applyFont="1" applyBorder="1" applyAlignment="1" applyProtection="1">
      <alignment horizontal="center" vertical="center"/>
    </xf>
    <xf numFmtId="49" fontId="53" fillId="0" borderId="18" xfId="0" applyNumberFormat="1" applyFont="1" applyBorder="1" applyAlignment="1" applyProtection="1">
      <alignment horizontal="center" vertical="top"/>
    </xf>
    <xf numFmtId="49" fontId="53" fillId="0" borderId="39" xfId="0" applyNumberFormat="1" applyFont="1" applyBorder="1" applyAlignment="1" applyProtection="1">
      <alignment horizontal="center" vertical="top"/>
    </xf>
    <xf numFmtId="49" fontId="53" fillId="0" borderId="20" xfId="0" applyNumberFormat="1" applyFont="1" applyBorder="1" applyAlignment="1" applyProtection="1">
      <alignment horizontal="center" vertical="top"/>
    </xf>
    <xf numFmtId="49" fontId="53" fillId="0" borderId="18" xfId="0" applyNumberFormat="1" applyFont="1" applyBorder="1" applyAlignment="1" applyProtection="1">
      <alignment horizontal="center" vertical="center"/>
    </xf>
    <xf numFmtId="0" fontId="53" fillId="0" borderId="19" xfId="0" applyFont="1" applyBorder="1"/>
    <xf numFmtId="0" fontId="46" fillId="6" borderId="11" xfId="1" applyFont="1" applyFill="1" applyBorder="1" applyAlignment="1">
      <alignment horizontal="left" vertical="center" wrapText="1"/>
    </xf>
    <xf numFmtId="0" fontId="53" fillId="0" borderId="0" xfId="0" applyFont="1" applyAlignment="1">
      <alignment horizontal="left"/>
    </xf>
    <xf numFmtId="165" fontId="53" fillId="0" borderId="0" xfId="0" applyNumberFormat="1" applyFont="1"/>
    <xf numFmtId="4" fontId="53" fillId="0" borderId="0" xfId="47" applyNumberFormat="1" applyFont="1"/>
    <xf numFmtId="0" fontId="53" fillId="0" borderId="19" xfId="0" applyFont="1" applyBorder="1" applyAlignment="1">
      <alignment horizontal="center"/>
    </xf>
    <xf numFmtId="0" fontId="52" fillId="0" borderId="19" xfId="0" applyFont="1" applyFill="1" applyBorder="1" applyAlignment="1" applyProtection="1">
      <alignment horizontal="left"/>
    </xf>
    <xf numFmtId="49" fontId="2" fillId="0" borderId="44" xfId="1" applyNumberFormat="1" applyFont="1" applyFill="1" applyBorder="1" applyAlignment="1">
      <alignment horizontal="center" vertical="center"/>
    </xf>
    <xf numFmtId="0" fontId="2" fillId="0" borderId="44" xfId="1" applyNumberFormat="1" applyFont="1" applyFill="1" applyBorder="1" applyAlignment="1">
      <alignment horizontal="center" vertical="center" wrapText="1"/>
    </xf>
    <xf numFmtId="49" fontId="57" fillId="0" borderId="44" xfId="1" applyNumberFormat="1" applyFont="1" applyFill="1" applyBorder="1" applyAlignment="1">
      <alignment horizontal="center" vertical="center"/>
    </xf>
    <xf numFmtId="0" fontId="2" fillId="0" borderId="44" xfId="1" applyNumberFormat="1" applyFont="1" applyFill="1" applyBorder="1" applyAlignment="1">
      <alignment horizontal="center" vertical="center"/>
    </xf>
    <xf numFmtId="0" fontId="1" fillId="31" borderId="10" xfId="1" applyNumberFormat="1" applyFont="1" applyFill="1" applyBorder="1" applyAlignment="1">
      <alignment horizontal="center" vertical="center"/>
    </xf>
    <xf numFmtId="165" fontId="53" fillId="0" borderId="0" xfId="47" applyNumberFormat="1" applyFont="1" applyAlignment="1">
      <alignment horizontal="right"/>
    </xf>
    <xf numFmtId="165" fontId="53" fillId="0" borderId="0" xfId="47" applyNumberFormat="1" applyFont="1"/>
    <xf numFmtId="0" fontId="50" fillId="0" borderId="11" xfId="47" applyNumberFormat="1" applyFont="1" applyFill="1" applyBorder="1" applyAlignment="1">
      <alignment horizontal="center" vertical="center" wrapText="1"/>
    </xf>
    <xf numFmtId="0" fontId="50" fillId="0" borderId="11" xfId="1" applyNumberFormat="1" applyFont="1" applyFill="1" applyBorder="1" applyAlignment="1">
      <alignment horizontal="center" vertical="center" wrapText="1"/>
    </xf>
    <xf numFmtId="3" fontId="71" fillId="31" borderId="11" xfId="47" applyNumberFormat="1" applyFont="1" applyFill="1" applyBorder="1" applyAlignment="1">
      <alignment vertical="center"/>
    </xf>
    <xf numFmtId="169" fontId="53" fillId="31" borderId="11" xfId="48" applyNumberFormat="1" applyFont="1" applyFill="1" applyBorder="1" applyAlignment="1">
      <alignment vertical="center"/>
    </xf>
    <xf numFmtId="3" fontId="71" fillId="31" borderId="11" xfId="0" applyNumberFormat="1" applyFont="1" applyFill="1" applyBorder="1" applyAlignment="1">
      <alignment vertical="center"/>
    </xf>
    <xf numFmtId="0" fontId="53" fillId="31" borderId="11" xfId="0" applyFont="1" applyFill="1" applyBorder="1" applyAlignment="1">
      <alignment vertical="center"/>
    </xf>
    <xf numFmtId="3" fontId="53" fillId="0" borderId="20" xfId="47" applyNumberFormat="1" applyFont="1" applyBorder="1" applyAlignment="1">
      <alignment vertical="center"/>
    </xf>
    <xf numFmtId="169" fontId="53" fillId="0" borderId="20" xfId="48" applyNumberFormat="1" applyFont="1" applyBorder="1" applyAlignment="1">
      <alignment vertical="center"/>
    </xf>
    <xf numFmtId="3" fontId="53" fillId="0" borderId="20" xfId="0" applyNumberFormat="1" applyFont="1" applyBorder="1" applyAlignment="1">
      <alignment vertical="center"/>
    </xf>
    <xf numFmtId="0" fontId="53" fillId="0" borderId="20" xfId="0" applyFont="1" applyBorder="1" applyAlignment="1">
      <alignment vertical="center"/>
    </xf>
    <xf numFmtId="3" fontId="53" fillId="0" borderId="18" xfId="47" applyNumberFormat="1" applyFont="1" applyBorder="1" applyAlignment="1">
      <alignment vertical="center"/>
    </xf>
    <xf numFmtId="169" fontId="53" fillId="0" borderId="18" xfId="48" applyNumberFormat="1" applyFont="1" applyBorder="1" applyAlignment="1">
      <alignment vertical="center"/>
    </xf>
    <xf numFmtId="3" fontId="53" fillId="0" borderId="18" xfId="0" applyNumberFormat="1" applyFont="1" applyBorder="1" applyAlignment="1">
      <alignment vertical="center"/>
    </xf>
    <xf numFmtId="0" fontId="53" fillId="0" borderId="25" xfId="0" applyFont="1" applyBorder="1" applyAlignment="1">
      <alignment vertical="center"/>
    </xf>
    <xf numFmtId="3" fontId="52" fillId="0" borderId="18" xfId="47" applyNumberFormat="1" applyFont="1" applyFill="1" applyBorder="1" applyAlignment="1" applyProtection="1">
      <alignment vertical="center"/>
    </xf>
    <xf numFmtId="3" fontId="52" fillId="0" borderId="18" xfId="0" applyNumberFormat="1" applyFont="1" applyFill="1" applyBorder="1" applyAlignment="1" applyProtection="1">
      <alignment vertical="center"/>
    </xf>
    <xf numFmtId="0" fontId="53" fillId="0" borderId="18" xfId="0" applyFont="1" applyBorder="1" applyAlignment="1">
      <alignment vertical="center"/>
    </xf>
    <xf numFmtId="3" fontId="52" fillId="0" borderId="19" xfId="47" applyNumberFormat="1" applyFont="1" applyFill="1" applyBorder="1" applyAlignment="1" applyProtection="1">
      <alignment vertical="center"/>
    </xf>
    <xf numFmtId="169" fontId="53" fillId="0" borderId="19" xfId="48" applyNumberFormat="1" applyFont="1" applyBorder="1" applyAlignment="1">
      <alignment vertical="center"/>
    </xf>
    <xf numFmtId="3" fontId="52" fillId="0" borderId="19" xfId="0" applyNumberFormat="1" applyFont="1" applyFill="1" applyBorder="1" applyAlignment="1" applyProtection="1">
      <alignment vertical="center"/>
    </xf>
    <xf numFmtId="3" fontId="53" fillId="0" borderId="19" xfId="47" applyNumberFormat="1" applyFont="1" applyBorder="1" applyAlignment="1">
      <alignment vertical="center"/>
    </xf>
    <xf numFmtId="0" fontId="53" fillId="0" borderId="19" xfId="0" applyFont="1" applyBorder="1" applyAlignment="1">
      <alignment vertical="center"/>
    </xf>
    <xf numFmtId="0" fontId="53" fillId="0" borderId="39" xfId="0" applyFont="1" applyBorder="1" applyAlignment="1">
      <alignment vertical="center"/>
    </xf>
    <xf numFmtId="0" fontId="71" fillId="31" borderId="11" xfId="0" applyFont="1" applyFill="1" applyBorder="1" applyAlignment="1">
      <alignment vertical="center"/>
    </xf>
    <xf numFmtId="3" fontId="51" fillId="31" borderId="11" xfId="47" applyNumberFormat="1" applyFont="1" applyFill="1" applyBorder="1" applyAlignment="1" applyProtection="1">
      <alignment vertical="center"/>
    </xf>
    <xf numFmtId="0" fontId="53" fillId="0" borderId="25" xfId="0" applyFont="1" applyFill="1" applyBorder="1" applyAlignment="1">
      <alignment vertical="center"/>
    </xf>
    <xf numFmtId="0" fontId="53" fillId="0" borderId="39" xfId="0" applyFont="1" applyFill="1" applyBorder="1" applyAlignment="1">
      <alignment vertical="center"/>
    </xf>
    <xf numFmtId="0" fontId="52" fillId="0" borderId="20" xfId="0" applyFont="1" applyFill="1" applyBorder="1" applyAlignment="1" applyProtection="1">
      <alignment vertical="center"/>
    </xf>
    <xf numFmtId="0" fontId="52" fillId="0" borderId="25" xfId="0" applyFont="1" applyFill="1" applyBorder="1" applyAlignment="1" applyProtection="1">
      <alignment vertical="center"/>
    </xf>
    <xf numFmtId="0" fontId="52" fillId="0" borderId="18" xfId="0" applyFont="1" applyFill="1" applyBorder="1" applyAlignment="1" applyProtection="1">
      <alignment vertical="center"/>
    </xf>
    <xf numFmtId="3" fontId="53" fillId="0" borderId="20" xfId="47" applyNumberFormat="1" applyFont="1" applyFill="1" applyBorder="1" applyAlignment="1">
      <alignment vertical="center"/>
    </xf>
    <xf numFmtId="3" fontId="53" fillId="0" borderId="18" xfId="47" applyNumberFormat="1" applyFont="1" applyFill="1" applyBorder="1" applyAlignment="1">
      <alignment vertical="center"/>
    </xf>
    <xf numFmtId="4" fontId="53" fillId="0" borderId="18" xfId="47" applyNumberFormat="1" applyFont="1" applyFill="1" applyBorder="1" applyAlignment="1">
      <alignment vertical="center"/>
    </xf>
    <xf numFmtId="3" fontId="46" fillId="6" borderId="11" xfId="47" applyNumberFormat="1" applyFont="1" applyFill="1" applyBorder="1" applyAlignment="1">
      <alignment vertical="center" wrapText="1"/>
    </xf>
    <xf numFmtId="169" fontId="46" fillId="6" borderId="11" xfId="48" applyNumberFormat="1" applyFont="1" applyFill="1" applyBorder="1" applyAlignment="1">
      <alignment vertical="center" wrapText="1"/>
    </xf>
    <xf numFmtId="3" fontId="46" fillId="6" borderId="11" xfId="1" applyNumberFormat="1" applyFont="1" applyFill="1" applyBorder="1" applyAlignment="1">
      <alignment vertical="center" wrapText="1"/>
    </xf>
    <xf numFmtId="0" fontId="46" fillId="6" borderId="11" xfId="1" applyFont="1" applyFill="1" applyBorder="1" applyAlignment="1">
      <alignment vertical="center" wrapText="1"/>
    </xf>
    <xf numFmtId="0" fontId="23" fillId="0" borderId="0" xfId="0" applyFont="1" applyFill="1" applyBorder="1" applyAlignment="1">
      <alignment horizontal="left"/>
    </xf>
    <xf numFmtId="3" fontId="42" fillId="30" borderId="0" xfId="49" applyNumberFormat="1" applyFont="1" applyFill="1" applyBorder="1" applyAlignment="1">
      <alignment horizontal="center" vertical="center"/>
    </xf>
    <xf numFmtId="0" fontId="42" fillId="30" borderId="0" xfId="49" applyNumberFormat="1" applyFont="1" applyFill="1" applyBorder="1" applyAlignment="1">
      <alignment horizontal="center" vertical="center"/>
    </xf>
    <xf numFmtId="49" fontId="49" fillId="30" borderId="0" xfId="0" applyNumberFormat="1" applyFont="1" applyFill="1" applyBorder="1" applyAlignment="1" applyProtection="1">
      <alignment horizontal="left" vertical="top"/>
    </xf>
    <xf numFmtId="0" fontId="48" fillId="30" borderId="0" xfId="0" applyFont="1" applyFill="1"/>
    <xf numFmtId="0" fontId="48" fillId="30" borderId="0" xfId="0" applyFont="1" applyFill="1" applyAlignment="1">
      <alignment vertical="center"/>
    </xf>
    <xf numFmtId="3" fontId="48" fillId="30" borderId="0" xfId="47" applyNumberFormat="1" applyFont="1" applyFill="1" applyAlignment="1">
      <alignment horizontal="right"/>
    </xf>
    <xf numFmtId="3" fontId="48" fillId="30" borderId="0" xfId="47" applyNumberFormat="1" applyFont="1" applyFill="1"/>
    <xf numFmtId="0" fontId="48" fillId="30" borderId="0" xfId="0" applyFont="1" applyFill="1" applyBorder="1"/>
    <xf numFmtId="49" fontId="48" fillId="0" borderId="0" xfId="0" applyNumberFormat="1" applyFont="1" applyAlignment="1">
      <alignment horizontal="center" vertical="center"/>
    </xf>
    <xf numFmtId="49" fontId="73" fillId="0" borderId="0" xfId="0" applyNumberFormat="1" applyFont="1" applyAlignment="1">
      <alignment horizontal="left" vertical="center"/>
    </xf>
    <xf numFmtId="0" fontId="72" fillId="0" borderId="48" xfId="0" applyFont="1" applyBorder="1" applyAlignment="1">
      <alignment vertical="center" wrapText="1"/>
    </xf>
    <xf numFmtId="0" fontId="74" fillId="0" borderId="0" xfId="0" applyFont="1" applyBorder="1" applyAlignment="1">
      <alignment vertical="center" wrapText="1"/>
    </xf>
    <xf numFmtId="3" fontId="72" fillId="0" borderId="48" xfId="47" applyNumberFormat="1" applyFont="1" applyBorder="1" applyAlignment="1">
      <alignment horizontal="right" vertical="center"/>
    </xf>
    <xf numFmtId="3" fontId="49" fillId="0" borderId="48" xfId="47" applyNumberFormat="1" applyFont="1" applyBorder="1" applyAlignment="1">
      <alignment vertical="center"/>
    </xf>
    <xf numFmtId="0" fontId="49" fillId="0" borderId="48" xfId="0" applyFont="1" applyBorder="1" applyAlignment="1">
      <alignment vertical="center" wrapText="1"/>
    </xf>
    <xf numFmtId="3" fontId="49" fillId="0" borderId="48" xfId="47" applyNumberFormat="1" applyFont="1" applyBorder="1" applyAlignment="1">
      <alignment horizontal="right" vertical="center"/>
    </xf>
    <xf numFmtId="3" fontId="72" fillId="0" borderId="48" xfId="47" applyNumberFormat="1" applyFont="1" applyBorder="1" applyAlignment="1">
      <alignment vertical="center"/>
    </xf>
    <xf numFmtId="0" fontId="74" fillId="0" borderId="0" xfId="0" applyFont="1" applyAlignment="1">
      <alignment horizontal="center" vertical="center"/>
    </xf>
    <xf numFmtId="49" fontId="74" fillId="0" borderId="0" xfId="0" applyNumberFormat="1" applyFont="1" applyAlignment="1">
      <alignment horizontal="left" vertical="center"/>
    </xf>
    <xf numFmtId="0" fontId="75" fillId="0" borderId="0" xfId="0" applyFont="1" applyAlignment="1">
      <alignment horizontal="center" vertical="center" wrapText="1"/>
    </xf>
    <xf numFmtId="3" fontId="76" fillId="0" borderId="0" xfId="0" applyNumberFormat="1" applyFont="1" applyBorder="1" applyAlignment="1">
      <alignment horizontal="left" vertical="center" wrapText="1"/>
    </xf>
    <xf numFmtId="3" fontId="74" fillId="0" borderId="0" xfId="47" applyNumberFormat="1" applyFont="1" applyAlignment="1">
      <alignment horizontal="right" vertical="center"/>
    </xf>
    <xf numFmtId="3" fontId="74" fillId="0" borderId="0" xfId="47" applyNumberFormat="1" applyFont="1" applyAlignment="1">
      <alignment vertical="center"/>
    </xf>
    <xf numFmtId="0" fontId="74" fillId="0" borderId="0" xfId="0" applyFont="1" applyFill="1" applyBorder="1"/>
    <xf numFmtId="0" fontId="74" fillId="0" borderId="0" xfId="0" applyFont="1" applyBorder="1"/>
    <xf numFmtId="0" fontId="74" fillId="0" borderId="0" xfId="0" applyFont="1"/>
    <xf numFmtId="171" fontId="42" fillId="29" borderId="0" xfId="49" applyNumberFormat="1" applyFont="1" applyFill="1" applyBorder="1" applyAlignment="1">
      <alignment horizontal="center" vertical="center"/>
    </xf>
    <xf numFmtId="171" fontId="22" fillId="29" borderId="0" xfId="49" applyNumberFormat="1" applyFont="1" applyFill="1" applyBorder="1" applyAlignment="1">
      <alignment horizontal="center" vertical="center"/>
    </xf>
    <xf numFmtId="171" fontId="40" fillId="29" borderId="0" xfId="49" applyNumberFormat="1" applyFont="1" applyFill="1" applyBorder="1" applyAlignment="1">
      <alignment horizontal="center" vertical="center"/>
    </xf>
    <xf numFmtId="171" fontId="22" fillId="29" borderId="0" xfId="49" applyNumberFormat="1" applyFont="1" applyFill="1" applyBorder="1" applyAlignment="1">
      <alignment horizontal="left" vertical="center"/>
    </xf>
    <xf numFmtId="171" fontId="23" fillId="29" borderId="0" xfId="47" applyNumberFormat="1" applyFont="1" applyFill="1" applyBorder="1" applyAlignment="1">
      <alignment horizontal="right" vertical="center"/>
    </xf>
    <xf numFmtId="171" fontId="23" fillId="29" borderId="0" xfId="47" applyNumberFormat="1" applyFont="1" applyFill="1" applyBorder="1" applyAlignment="1">
      <alignment horizontal="center" vertical="center"/>
    </xf>
    <xf numFmtId="171" fontId="48" fillId="29" borderId="0" xfId="47" applyNumberFormat="1" applyFont="1" applyFill="1" applyAlignment="1">
      <alignment vertical="center"/>
    </xf>
    <xf numFmtId="171" fontId="48" fillId="0" borderId="0" xfId="0" applyNumberFormat="1" applyFont="1" applyBorder="1"/>
    <xf numFmtId="171" fontId="48" fillId="0" borderId="0" xfId="0" applyNumberFormat="1" applyFont="1"/>
    <xf numFmtId="171" fontId="48" fillId="0" borderId="0" xfId="0" applyNumberFormat="1" applyFont="1" applyAlignment="1">
      <alignment horizontal="center" vertical="center"/>
    </xf>
    <xf numFmtId="171" fontId="49" fillId="0" borderId="0" xfId="0" applyNumberFormat="1" applyFont="1" applyAlignment="1">
      <alignment horizontal="left" vertical="center"/>
    </xf>
    <xf numFmtId="171" fontId="22" fillId="0" borderId="0" xfId="49" applyNumberFormat="1" applyFont="1" applyFill="1" applyBorder="1" applyAlignment="1">
      <alignment horizontal="left" vertical="center" wrapText="1"/>
    </xf>
    <xf numFmtId="171" fontId="48" fillId="0" borderId="0" xfId="47" applyNumberFormat="1" applyFont="1" applyAlignment="1">
      <alignment horizontal="right" vertical="center"/>
    </xf>
    <xf numFmtId="171" fontId="48" fillId="0" borderId="0" xfId="47" applyNumberFormat="1" applyFont="1" applyAlignment="1">
      <alignment vertical="center"/>
    </xf>
    <xf numFmtId="171" fontId="49" fillId="0" borderId="0" xfId="0" applyNumberFormat="1" applyFont="1" applyAlignment="1">
      <alignment horizontal="center" vertical="center"/>
    </xf>
    <xf numFmtId="171" fontId="61" fillId="0" borderId="0" xfId="0" applyNumberFormat="1" applyFont="1" applyFill="1" applyBorder="1" applyAlignment="1">
      <alignment horizontal="left" vertical="center" wrapText="1"/>
    </xf>
    <xf numFmtId="171" fontId="48" fillId="0" borderId="0" xfId="0" applyNumberFormat="1" applyFont="1" applyAlignment="1">
      <alignment horizontal="left" vertical="center"/>
    </xf>
    <xf numFmtId="171" fontId="41" fillId="0" borderId="0" xfId="0" applyNumberFormat="1" applyFont="1" applyAlignment="1">
      <alignment horizontal="left" vertical="center" wrapText="1"/>
    </xf>
    <xf numFmtId="171" fontId="21" fillId="0" borderId="0" xfId="0" applyNumberFormat="1" applyFont="1" applyAlignment="1">
      <alignment horizontal="left" vertical="center" wrapText="1"/>
    </xf>
    <xf numFmtId="171" fontId="48" fillId="0" borderId="0" xfId="0" applyNumberFormat="1" applyFont="1" applyAlignment="1">
      <alignment horizontal="left" vertical="center" wrapText="1"/>
    </xf>
    <xf numFmtId="171" fontId="41" fillId="0" borderId="0" xfId="0" applyNumberFormat="1" applyFont="1" applyBorder="1" applyAlignment="1">
      <alignment horizontal="left" vertical="center" wrapText="1"/>
    </xf>
    <xf numFmtId="171" fontId="21" fillId="0" borderId="0" xfId="0" applyNumberFormat="1" applyFont="1" applyBorder="1" applyAlignment="1">
      <alignment horizontal="center" vertical="center" wrapText="1"/>
    </xf>
    <xf numFmtId="171" fontId="21" fillId="0" borderId="0" xfId="0" applyNumberFormat="1" applyFont="1" applyBorder="1" applyAlignment="1">
      <alignment horizontal="left" vertical="center" wrapText="1"/>
    </xf>
    <xf numFmtId="171" fontId="42" fillId="0" borderId="35" xfId="1" applyNumberFormat="1" applyFont="1" applyFill="1" applyBorder="1" applyAlignment="1">
      <alignment horizontal="left" vertical="center" wrapText="1"/>
    </xf>
    <xf numFmtId="171" fontId="42" fillId="0" borderId="35" xfId="47" applyNumberFormat="1" applyFont="1" applyFill="1" applyBorder="1" applyAlignment="1">
      <alignment horizontal="right" vertical="center" wrapText="1"/>
    </xf>
    <xf numFmtId="171" fontId="23" fillId="0" borderId="35" xfId="47" applyNumberFormat="1" applyFont="1" applyBorder="1" applyAlignment="1">
      <alignment horizontal="right" vertical="center" wrapText="1"/>
    </xf>
    <xf numFmtId="171" fontId="42" fillId="0" borderId="35" xfId="47" applyNumberFormat="1" applyFont="1" applyBorder="1" applyAlignment="1">
      <alignment horizontal="right" vertical="center" wrapText="1"/>
    </xf>
    <xf numFmtId="171" fontId="48" fillId="0" borderId="0" xfId="0" applyNumberFormat="1" applyFont="1" applyBorder="1" applyAlignment="1">
      <alignment horizontal="center" vertical="center"/>
    </xf>
    <xf numFmtId="171" fontId="21" fillId="0" borderId="0" xfId="1" applyNumberFormat="1" applyFont="1" applyBorder="1" applyAlignment="1">
      <alignment horizontal="center" vertical="center" wrapText="1"/>
    </xf>
    <xf numFmtId="171" fontId="21" fillId="0" borderId="0" xfId="1" applyNumberFormat="1" applyFont="1" applyFill="1" applyBorder="1" applyAlignment="1">
      <alignment horizontal="left" vertical="center" wrapText="1"/>
    </xf>
    <xf numFmtId="171" fontId="48" fillId="0" borderId="0" xfId="47" applyNumberFormat="1" applyFont="1" applyBorder="1" applyAlignment="1">
      <alignment horizontal="right" vertical="center"/>
    </xf>
    <xf numFmtId="171" fontId="48" fillId="0" borderId="0" xfId="47" applyNumberFormat="1" applyFont="1" applyBorder="1" applyAlignment="1">
      <alignment vertical="center"/>
    </xf>
    <xf numFmtId="171" fontId="49" fillId="0" borderId="21" xfId="0" applyNumberFormat="1" applyFont="1" applyBorder="1" applyAlignment="1">
      <alignment vertical="center" wrapText="1"/>
    </xf>
    <xf numFmtId="171" fontId="49" fillId="0" borderId="21" xfId="47" applyNumberFormat="1" applyFont="1" applyBorder="1" applyAlignment="1">
      <alignment horizontal="right" vertical="center"/>
    </xf>
    <xf numFmtId="171" fontId="49" fillId="0" borderId="21" xfId="47" applyNumberFormat="1" applyFont="1" applyBorder="1" applyAlignment="1">
      <alignment vertical="center"/>
    </xf>
    <xf numFmtId="171" fontId="22" fillId="0" borderId="32" xfId="1" applyNumberFormat="1" applyFont="1" applyFill="1" applyBorder="1" applyAlignment="1">
      <alignment horizontal="left" vertical="center" wrapText="1"/>
    </xf>
    <xf numFmtId="171" fontId="42" fillId="0" borderId="32" xfId="47" applyNumberFormat="1" applyFont="1" applyFill="1" applyBorder="1" applyAlignment="1">
      <alignment horizontal="right" vertical="center" wrapText="1"/>
    </xf>
    <xf numFmtId="171" fontId="23" fillId="0" borderId="32" xfId="47" applyNumberFormat="1" applyFont="1" applyBorder="1" applyAlignment="1">
      <alignment horizontal="right" vertical="center" wrapText="1"/>
    </xf>
    <xf numFmtId="171" fontId="42" fillId="0" borderId="36" xfId="47" applyNumberFormat="1" applyFont="1" applyBorder="1" applyAlignment="1">
      <alignment horizontal="right" vertical="center" wrapText="1"/>
    </xf>
    <xf numFmtId="171" fontId="48" fillId="0" borderId="0" xfId="0" applyNumberFormat="1" applyFont="1" applyAlignment="1">
      <alignment vertical="center" wrapText="1"/>
    </xf>
    <xf numFmtId="49" fontId="21" fillId="0" borderId="0" xfId="0" applyNumberFormat="1" applyFont="1" applyAlignment="1">
      <alignment horizontal="center" vertical="center" wrapText="1"/>
    </xf>
    <xf numFmtId="49" fontId="21" fillId="0" borderId="0" xfId="0" applyNumberFormat="1" applyFont="1" applyBorder="1" applyAlignment="1">
      <alignment horizontal="center" vertical="center" wrapText="1"/>
    </xf>
    <xf numFmtId="0" fontId="77" fillId="0" borderId="23" xfId="0" applyFont="1" applyFill="1" applyBorder="1" applyAlignment="1">
      <alignment horizontal="left" wrapText="1"/>
    </xf>
    <xf numFmtId="0" fontId="48" fillId="38" borderId="0" xfId="0" applyFont="1" applyFill="1" applyAlignment="1">
      <alignment horizontal="center" vertical="center"/>
    </xf>
    <xf numFmtId="49" fontId="48" fillId="38" borderId="0" xfId="0" applyNumberFormat="1" applyFont="1" applyFill="1" applyAlignment="1">
      <alignment horizontal="left" vertical="center"/>
    </xf>
    <xf numFmtId="3" fontId="49" fillId="38" borderId="0" xfId="47" applyNumberFormat="1" applyFont="1" applyFill="1" applyBorder="1" applyAlignment="1">
      <alignment horizontal="right" vertical="center"/>
    </xf>
    <xf numFmtId="3" fontId="49" fillId="38" borderId="0" xfId="47" applyNumberFormat="1" applyFont="1" applyFill="1" applyBorder="1" applyAlignment="1">
      <alignment vertical="center"/>
    </xf>
    <xf numFmtId="0" fontId="78" fillId="38" borderId="0" xfId="0" applyFont="1" applyFill="1" applyBorder="1" applyAlignment="1">
      <alignment vertical="center" wrapText="1"/>
    </xf>
    <xf numFmtId="3" fontId="42" fillId="0" borderId="0" xfId="1" applyNumberFormat="1" applyFont="1" applyFill="1" applyBorder="1" applyAlignment="1">
      <alignment horizontal="left" vertical="center" wrapText="1"/>
    </xf>
    <xf numFmtId="171" fontId="49" fillId="0" borderId="0" xfId="0" applyNumberFormat="1" applyFont="1" applyBorder="1" applyAlignment="1">
      <alignment vertical="center" wrapText="1"/>
    </xf>
    <xf numFmtId="171" fontId="49" fillId="0" borderId="0" xfId="47" applyNumberFormat="1" applyFont="1" applyBorder="1" applyAlignment="1">
      <alignment horizontal="right" vertical="center"/>
    </xf>
    <xf numFmtId="171" fontId="49" fillId="0" borderId="0" xfId="47" applyNumberFormat="1" applyFont="1" applyBorder="1" applyAlignment="1">
      <alignment vertical="center"/>
    </xf>
    <xf numFmtId="49" fontId="73" fillId="0" borderId="0" xfId="0" applyNumberFormat="1" applyFont="1" applyFill="1" applyAlignment="1">
      <alignment horizontal="left"/>
    </xf>
    <xf numFmtId="0" fontId="73" fillId="0" borderId="0" xfId="0" applyFont="1" applyFill="1"/>
    <xf numFmtId="0" fontId="73" fillId="0" borderId="0" xfId="0" applyFont="1" applyFill="1" applyAlignment="1">
      <alignment vertical="center"/>
    </xf>
    <xf numFmtId="3" fontId="75" fillId="0" borderId="0" xfId="0" applyNumberFormat="1" applyFont="1" applyBorder="1" applyAlignment="1">
      <alignment horizontal="left" vertical="center" wrapText="1"/>
    </xf>
    <xf numFmtId="3" fontId="79" fillId="0" borderId="0" xfId="0" applyNumberFormat="1" applyFont="1" applyBorder="1" applyAlignment="1">
      <alignment horizontal="left" vertical="center" wrapText="1"/>
    </xf>
    <xf numFmtId="171" fontId="41" fillId="0" borderId="0" xfId="0" applyNumberFormat="1" applyFont="1" applyAlignment="1">
      <alignment horizontal="left" vertical="top" wrapText="1"/>
    </xf>
    <xf numFmtId="0" fontId="56" fillId="0" borderId="11" xfId="0" applyFont="1" applyBorder="1" applyAlignment="1">
      <alignment horizontal="center"/>
    </xf>
    <xf numFmtId="0" fontId="80" fillId="0" borderId="0" xfId="0" applyFont="1" applyAlignment="1">
      <alignment horizontal="center" vertical="center"/>
    </xf>
    <xf numFmtId="3" fontId="76" fillId="0" borderId="0" xfId="0" applyNumberFormat="1" applyFont="1" applyAlignment="1">
      <alignment horizontal="left" vertical="center" wrapText="1"/>
    </xf>
    <xf numFmtId="165" fontId="43" fillId="39" borderId="25" xfId="29" applyNumberFormat="1" applyFont="1" applyFill="1" applyBorder="1" applyAlignment="1" applyProtection="1">
      <alignment horizontal="right" vertical="center" wrapText="1"/>
    </xf>
    <xf numFmtId="165" fontId="43" fillId="40" borderId="25" xfId="29" applyNumberFormat="1" applyFont="1" applyFill="1" applyBorder="1" applyAlignment="1" applyProtection="1">
      <alignment horizontal="right" vertical="center" wrapText="1"/>
    </xf>
    <xf numFmtId="0" fontId="1" fillId="31" borderId="45" xfId="1" applyFont="1" applyFill="1" applyBorder="1" applyAlignment="1">
      <alignment horizontal="center" vertical="center" wrapText="1"/>
    </xf>
    <xf numFmtId="3" fontId="2" fillId="0" borderId="45" xfId="29" applyNumberFormat="1" applyFont="1" applyFill="1" applyBorder="1" applyAlignment="1" applyProtection="1">
      <alignment horizontal="right" vertical="center"/>
    </xf>
    <xf numFmtId="3" fontId="1" fillId="0" borderId="45" xfId="29" applyNumberFormat="1" applyFont="1" applyFill="1" applyBorder="1" applyAlignment="1" applyProtection="1">
      <alignment horizontal="right" vertical="center"/>
    </xf>
    <xf numFmtId="3" fontId="2" fillId="0" borderId="45" xfId="29" applyNumberFormat="1" applyFont="1" applyFill="1" applyBorder="1" applyAlignment="1" applyProtection="1">
      <alignment horizontal="right" vertical="center" wrapText="1"/>
    </xf>
    <xf numFmtId="3" fontId="1" fillId="31" borderId="45" xfId="29" applyNumberFormat="1" applyFont="1" applyFill="1" applyBorder="1" applyAlignment="1" applyProtection="1">
      <alignment horizontal="right" vertical="center"/>
    </xf>
    <xf numFmtId="0" fontId="0" fillId="0" borderId="11" xfId="0" applyBorder="1"/>
    <xf numFmtId="0" fontId="0" fillId="41" borderId="11" xfId="0" applyFill="1" applyBorder="1"/>
    <xf numFmtId="0" fontId="81" fillId="41" borderId="11" xfId="0" applyFont="1" applyFill="1" applyBorder="1" applyAlignment="1">
      <alignment vertical="center"/>
    </xf>
    <xf numFmtId="3" fontId="82" fillId="0" borderId="11" xfId="0" applyNumberFormat="1" applyFont="1" applyBorder="1" applyAlignment="1">
      <alignment vertical="center"/>
    </xf>
    <xf numFmtId="0" fontId="83" fillId="0" borderId="11" xfId="0" applyFont="1" applyBorder="1" applyAlignment="1">
      <alignment horizontal="right" vertical="center"/>
    </xf>
    <xf numFmtId="0" fontId="83" fillId="41" borderId="11" xfId="0" applyFont="1" applyFill="1" applyBorder="1" applyAlignment="1">
      <alignment vertical="center"/>
    </xf>
    <xf numFmtId="0" fontId="49" fillId="0" borderId="11" xfId="0" applyFont="1" applyBorder="1" applyAlignment="1">
      <alignment vertical="center" wrapText="1"/>
    </xf>
    <xf numFmtId="3" fontId="44" fillId="0" borderId="11" xfId="0" applyNumberFormat="1" applyFont="1" applyBorder="1" applyAlignment="1">
      <alignment horizontal="left" vertical="center" wrapText="1"/>
    </xf>
    <xf numFmtId="49" fontId="56" fillId="0" borderId="11" xfId="0" applyNumberFormat="1" applyFont="1" applyBorder="1" applyAlignment="1">
      <alignment wrapText="1"/>
    </xf>
    <xf numFmtId="49" fontId="56" fillId="0" borderId="11" xfId="0" applyNumberFormat="1" applyFont="1" applyBorder="1" applyAlignment="1">
      <alignment vertical="center" wrapText="1"/>
    </xf>
    <xf numFmtId="0" fontId="42" fillId="0" borderId="0" xfId="0" applyFont="1"/>
    <xf numFmtId="0" fontId="42" fillId="0" borderId="0" xfId="0" applyFont="1" applyAlignment="1">
      <alignment horizontal="left"/>
    </xf>
    <xf numFmtId="0" fontId="42" fillId="0" borderId="0" xfId="0" applyFont="1" applyAlignment="1">
      <alignment horizontal="right" vertical="center" wrapText="1"/>
    </xf>
    <xf numFmtId="49" fontId="42" fillId="6" borderId="0" xfId="0" applyNumberFormat="1" applyFont="1" applyFill="1" applyBorder="1" applyAlignment="1">
      <alignment horizontal="center" vertical="center" wrapText="1"/>
    </xf>
    <xf numFmtId="0" fontId="42" fillId="6" borderId="0" xfId="0" applyFont="1" applyFill="1" applyBorder="1" applyAlignment="1">
      <alignment horizontal="center" vertical="center" wrapText="1" shrinkToFit="1"/>
    </xf>
    <xf numFmtId="49" fontId="23" fillId="0" borderId="0" xfId="0" applyNumberFormat="1" applyFont="1" applyBorder="1" applyAlignment="1">
      <alignment horizontal="center" vertical="center"/>
    </xf>
    <xf numFmtId="0" fontId="23" fillId="0" borderId="0" xfId="0" applyFont="1" applyBorder="1" applyAlignment="1">
      <alignment horizontal="center" vertical="center"/>
    </xf>
    <xf numFmtId="0" fontId="23" fillId="0" borderId="0" xfId="0" applyFont="1" applyBorder="1" applyAlignment="1">
      <alignment horizontal="center" vertical="center" wrapText="1"/>
    </xf>
    <xf numFmtId="49" fontId="42" fillId="34" borderId="0" xfId="0" applyNumberFormat="1" applyFont="1" applyFill="1" applyBorder="1" applyAlignment="1">
      <alignment horizontal="center" vertical="center"/>
    </xf>
    <xf numFmtId="0" fontId="42" fillId="34" borderId="0" xfId="0" applyFont="1" applyFill="1" applyBorder="1" applyAlignment="1">
      <alignment horizontal="left" vertical="center"/>
    </xf>
    <xf numFmtId="165" fontId="23" fillId="34" borderId="0" xfId="0" applyNumberFormat="1" applyFont="1" applyFill="1" applyBorder="1" applyAlignment="1">
      <alignment horizontal="right" vertical="center" wrapText="1"/>
    </xf>
    <xf numFmtId="169" fontId="23" fillId="34" borderId="0" xfId="0" applyNumberFormat="1" applyFont="1" applyFill="1" applyBorder="1" applyAlignment="1">
      <alignment horizontal="right" vertical="center" wrapText="1"/>
    </xf>
    <xf numFmtId="49" fontId="42" fillId="20" borderId="0" xfId="0" applyNumberFormat="1" applyFont="1" applyFill="1" applyBorder="1" applyAlignment="1">
      <alignment horizontal="center"/>
    </xf>
    <xf numFmtId="0" fontId="42" fillId="20" borderId="0" xfId="0" applyFont="1" applyFill="1" applyBorder="1" applyAlignment="1">
      <alignment horizontal="left"/>
    </xf>
    <xf numFmtId="165" fontId="42" fillId="20" borderId="0" xfId="29" applyNumberFormat="1" applyFont="1" applyFill="1" applyBorder="1" applyAlignment="1" applyProtection="1">
      <alignment horizontal="right" vertical="center" wrapText="1"/>
    </xf>
    <xf numFmtId="169" fontId="42" fillId="20" borderId="0" xfId="48" applyNumberFormat="1" applyFont="1" applyFill="1" applyBorder="1" applyAlignment="1" applyProtection="1">
      <alignment horizontal="right" vertical="center" wrapText="1"/>
    </xf>
    <xf numFmtId="49" fontId="23" fillId="0" borderId="0" xfId="0" applyNumberFormat="1" applyFont="1" applyFill="1" applyBorder="1" applyAlignment="1">
      <alignment horizontal="center"/>
    </xf>
    <xf numFmtId="165" fontId="23" fillId="0" borderId="0" xfId="29" applyNumberFormat="1" applyFont="1" applyFill="1" applyBorder="1" applyAlignment="1" applyProtection="1">
      <alignment horizontal="right" vertical="center" wrapText="1"/>
    </xf>
    <xf numFmtId="169" fontId="23" fillId="0" borderId="0" xfId="48" applyNumberFormat="1" applyFont="1" applyFill="1" applyBorder="1" applyAlignment="1" applyProtection="1">
      <alignment horizontal="right" vertical="center" wrapText="1"/>
    </xf>
    <xf numFmtId="0" fontId="23" fillId="0" borderId="0" xfId="0" applyNumberFormat="1" applyFont="1" applyFill="1" applyBorder="1" applyAlignment="1">
      <alignment horizontal="center"/>
    </xf>
    <xf numFmtId="165" fontId="42" fillId="0" borderId="0" xfId="29" applyNumberFormat="1" applyFont="1" applyFill="1" applyBorder="1" applyAlignment="1" applyProtection="1">
      <alignment horizontal="right" vertical="center" wrapText="1"/>
    </xf>
    <xf numFmtId="0" fontId="23" fillId="0" borderId="0" xfId="0" applyFont="1" applyFill="1" applyAlignment="1">
      <alignment horizontal="center" vertical="center"/>
    </xf>
    <xf numFmtId="0" fontId="23" fillId="0" borderId="0" xfId="0" applyFont="1" applyFill="1"/>
    <xf numFmtId="1" fontId="23" fillId="0" borderId="0" xfId="0" applyNumberFormat="1" applyFont="1" applyFill="1" applyAlignment="1">
      <alignment horizontal="center" vertical="center" wrapText="1"/>
    </xf>
    <xf numFmtId="0" fontId="84" fillId="0" borderId="0" xfId="0" applyFont="1" applyFill="1" applyAlignment="1">
      <alignment horizontal="left" vertical="center" wrapText="1"/>
    </xf>
    <xf numFmtId="0" fontId="42" fillId="20" borderId="0" xfId="0" applyFont="1" applyFill="1" applyBorder="1" applyAlignment="1">
      <alignment horizontal="center"/>
    </xf>
    <xf numFmtId="0" fontId="42" fillId="20" borderId="0" xfId="0" applyFont="1" applyFill="1" applyBorder="1" applyAlignment="1">
      <alignment horizontal="justify"/>
    </xf>
    <xf numFmtId="0" fontId="23" fillId="0" borderId="0" xfId="0" applyFont="1" applyFill="1" applyBorder="1" applyAlignment="1">
      <alignment horizontal="center"/>
    </xf>
    <xf numFmtId="0" fontId="23" fillId="0" borderId="0" xfId="0" applyFont="1" applyFill="1" applyBorder="1" applyAlignment="1">
      <alignment horizontal="justify"/>
    </xf>
    <xf numFmtId="49" fontId="42" fillId="34" borderId="0" xfId="0" applyNumberFormat="1" applyFont="1" applyFill="1" applyBorder="1" applyAlignment="1">
      <alignment horizontal="center"/>
    </xf>
    <xf numFmtId="0" fontId="42" fillId="34" borderId="0" xfId="0" applyFont="1" applyFill="1" applyBorder="1" applyAlignment="1">
      <alignment horizontal="left"/>
    </xf>
    <xf numFmtId="165" fontId="42" fillId="34" borderId="0" xfId="29" applyNumberFormat="1" applyFont="1" applyFill="1" applyBorder="1" applyAlignment="1" applyProtection="1">
      <alignment horizontal="right" vertical="center" wrapText="1"/>
    </xf>
    <xf numFmtId="169" fontId="23" fillId="34" borderId="0" xfId="48" applyNumberFormat="1" applyFont="1" applyFill="1" applyBorder="1" applyAlignment="1" applyProtection="1">
      <alignment horizontal="right" vertical="center" wrapText="1"/>
    </xf>
    <xf numFmtId="0" fontId="84" fillId="0" borderId="0" xfId="0" applyFont="1" applyFill="1" applyAlignment="1">
      <alignment horizontal="justify" vertical="center" wrapText="1"/>
    </xf>
    <xf numFmtId="169" fontId="23" fillId="0" borderId="0" xfId="48" applyNumberFormat="1" applyFont="1" applyFill="1" applyAlignment="1">
      <alignment horizontal="right" vertical="center" wrapText="1"/>
    </xf>
    <xf numFmtId="0" fontId="84" fillId="0" borderId="0" xfId="0" applyFont="1" applyFill="1" applyAlignment="1">
      <alignment vertical="center" wrapText="1"/>
    </xf>
    <xf numFmtId="165" fontId="42" fillId="20" borderId="0" xfId="47" applyNumberFormat="1" applyFont="1" applyFill="1" applyAlignment="1">
      <alignment horizontal="right" vertical="center" wrapText="1"/>
    </xf>
    <xf numFmtId="169" fontId="42" fillId="20" borderId="0" xfId="48" applyNumberFormat="1" applyFont="1" applyFill="1" applyAlignment="1">
      <alignment horizontal="right" vertical="center" wrapText="1"/>
    </xf>
    <xf numFmtId="165" fontId="42" fillId="20" borderId="0" xfId="0" applyNumberFormat="1" applyFont="1" applyFill="1" applyAlignment="1">
      <alignment horizontal="right" vertical="center" wrapText="1"/>
    </xf>
    <xf numFmtId="1" fontId="42" fillId="20" borderId="0" xfId="0" applyNumberFormat="1" applyFont="1" applyFill="1" applyAlignment="1">
      <alignment horizontal="center" vertical="center" wrapText="1"/>
    </xf>
    <xf numFmtId="0" fontId="42" fillId="20" borderId="0" xfId="0" applyFont="1" applyFill="1" applyAlignment="1">
      <alignment vertical="center" wrapText="1"/>
    </xf>
    <xf numFmtId="169" fontId="23" fillId="20" borderId="0" xfId="48" applyNumberFormat="1" applyFont="1" applyFill="1" applyAlignment="1">
      <alignment horizontal="right" vertical="center" wrapText="1"/>
    </xf>
    <xf numFmtId="0" fontId="23" fillId="0" borderId="0" xfId="0" applyFont="1" applyFill="1" applyAlignment="1">
      <alignment wrapText="1"/>
    </xf>
    <xf numFmtId="49" fontId="23" fillId="0" borderId="0" xfId="0" applyNumberFormat="1" applyFont="1" applyBorder="1" applyAlignment="1">
      <alignment horizontal="center"/>
    </xf>
    <xf numFmtId="0" fontId="23" fillId="0" borderId="0" xfId="0" applyFont="1" applyBorder="1" applyAlignment="1">
      <alignment horizontal="left"/>
    </xf>
    <xf numFmtId="169" fontId="23" fillId="0" borderId="0" xfId="48" applyNumberFormat="1" applyFont="1" applyAlignment="1">
      <alignment horizontal="right" vertical="center" wrapText="1"/>
    </xf>
    <xf numFmtId="0" fontId="42" fillId="4" borderId="0" xfId="0" applyFont="1" applyFill="1"/>
    <xf numFmtId="49" fontId="42" fillId="4" borderId="0" xfId="0" applyNumberFormat="1" applyFont="1" applyFill="1" applyBorder="1" applyAlignment="1">
      <alignment vertical="center" wrapText="1"/>
    </xf>
    <xf numFmtId="165" fontId="42" fillId="4" borderId="0" xfId="0" applyNumberFormat="1" applyFont="1" applyFill="1" applyAlignment="1">
      <alignment horizontal="right" vertical="center" wrapText="1"/>
    </xf>
    <xf numFmtId="169" fontId="42" fillId="4" borderId="0" xfId="48" applyNumberFormat="1" applyFont="1" applyFill="1" applyBorder="1" applyAlignment="1" applyProtection="1">
      <alignment horizontal="right" vertical="center" wrapText="1"/>
    </xf>
    <xf numFmtId="165" fontId="42" fillId="4" borderId="0" xfId="29" applyNumberFormat="1" applyFont="1" applyFill="1" applyBorder="1" applyAlignment="1" applyProtection="1">
      <alignment horizontal="right" vertical="center" wrapText="1"/>
    </xf>
    <xf numFmtId="0" fontId="56" fillId="0" borderId="11" xfId="0" applyFont="1" applyBorder="1" applyAlignment="1">
      <alignment horizontal="center"/>
    </xf>
    <xf numFmtId="165" fontId="2" fillId="0" borderId="11" xfId="0" applyNumberFormat="1" applyFont="1" applyBorder="1" applyAlignment="1">
      <alignment horizontal="right" wrapText="1"/>
    </xf>
    <xf numFmtId="0" fontId="0" fillId="0" borderId="0" xfId="0" applyAlignment="1">
      <alignment horizontal="left" vertical="top" wrapText="1"/>
    </xf>
    <xf numFmtId="0" fontId="87" fillId="0" borderId="0" xfId="0" applyFont="1" applyAlignment="1">
      <alignment horizontal="center" vertical="top" wrapText="1"/>
    </xf>
    <xf numFmtId="0" fontId="85" fillId="0" borderId="0" xfId="0" applyFont="1" applyAlignment="1">
      <alignment horizontal="left" vertical="top" wrapText="1"/>
    </xf>
    <xf numFmtId="0" fontId="72" fillId="0" borderId="0" xfId="0" applyFont="1" applyAlignment="1">
      <alignment horizontal="left" vertical="top" wrapText="1"/>
    </xf>
    <xf numFmtId="0" fontId="72" fillId="0" borderId="0" xfId="0" applyFont="1"/>
    <xf numFmtId="0" fontId="48" fillId="0" borderId="0" xfId="0" applyFont="1" applyAlignment="1">
      <alignment horizontal="center" wrapText="1"/>
    </xf>
    <xf numFmtId="0" fontId="72" fillId="0" borderId="0" xfId="0" applyFont="1" applyAlignment="1">
      <alignment horizontal="center"/>
    </xf>
    <xf numFmtId="49" fontId="43" fillId="0" borderId="0" xfId="0" applyNumberFormat="1" applyFont="1" applyBorder="1" applyAlignment="1">
      <alignment vertical="center"/>
    </xf>
    <xf numFmtId="0" fontId="48" fillId="0" borderId="0" xfId="0" applyFont="1" applyAlignment="1">
      <alignment horizontal="center"/>
    </xf>
    <xf numFmtId="0" fontId="88" fillId="0" borderId="0" xfId="0" applyFont="1" applyAlignment="1">
      <alignment vertical="center" wrapText="1"/>
    </xf>
    <xf numFmtId="0" fontId="88" fillId="0" borderId="0" xfId="0" applyFont="1" applyAlignment="1">
      <alignment horizontal="center" vertical="center"/>
    </xf>
    <xf numFmtId="49" fontId="88" fillId="0" borderId="0" xfId="0" applyNumberFormat="1" applyFont="1" applyAlignment="1">
      <alignment horizontal="left" vertical="center"/>
    </xf>
    <xf numFmtId="3" fontId="88" fillId="0" borderId="0" xfId="47" applyNumberFormat="1" applyFont="1" applyAlignment="1">
      <alignment vertical="center"/>
    </xf>
    <xf numFmtId="3" fontId="88" fillId="0" borderId="0" xfId="47" applyNumberFormat="1" applyFont="1" applyAlignment="1">
      <alignment horizontal="right" vertical="center"/>
    </xf>
    <xf numFmtId="0" fontId="83" fillId="0" borderId="0" xfId="0" applyFont="1" applyAlignment="1">
      <alignment horizontal="center" vertical="center" wrapText="1"/>
    </xf>
    <xf numFmtId="0" fontId="82" fillId="0" borderId="0" xfId="0" applyFont="1" applyAlignment="1">
      <alignment horizontal="center" vertical="center"/>
    </xf>
    <xf numFmtId="49" fontId="82" fillId="0" borderId="0" xfId="0" applyNumberFormat="1" applyFont="1" applyAlignment="1">
      <alignment horizontal="left" vertical="center"/>
    </xf>
    <xf numFmtId="0" fontId="82" fillId="0" borderId="0" xfId="0" applyFont="1" applyAlignment="1">
      <alignment vertical="center" wrapText="1"/>
    </xf>
    <xf numFmtId="3" fontId="82" fillId="0" borderId="0" xfId="47" applyNumberFormat="1" applyFont="1" applyAlignment="1">
      <alignment horizontal="right" vertical="center"/>
    </xf>
    <xf numFmtId="3" fontId="82" fillId="0" borderId="0" xfId="47" applyNumberFormat="1" applyFont="1" applyAlignment="1">
      <alignment vertical="center"/>
    </xf>
    <xf numFmtId="0" fontId="88" fillId="0" borderId="0" xfId="0" applyFont="1" applyAlignment="1">
      <alignment horizontal="left" vertical="center" wrapText="1"/>
    </xf>
    <xf numFmtId="0" fontId="2" fillId="0" borderId="0" xfId="0" applyFont="1" applyBorder="1" applyAlignment="1">
      <alignment horizontal="left" vertical="top" wrapText="1"/>
    </xf>
    <xf numFmtId="49" fontId="42" fillId="26" borderId="0" xfId="49" applyNumberFormat="1" applyFont="1" applyFill="1" applyBorder="1" applyAlignment="1">
      <alignment horizontal="center" vertical="center"/>
    </xf>
    <xf numFmtId="3" fontId="90" fillId="0" borderId="0" xfId="0" applyNumberFormat="1" applyFont="1" applyAlignment="1">
      <alignment horizontal="left" vertical="center" wrapText="1"/>
    </xf>
    <xf numFmtId="0" fontId="56" fillId="0" borderId="11" xfId="0" applyFont="1" applyBorder="1" applyAlignment="1">
      <alignment horizontal="center"/>
    </xf>
    <xf numFmtId="0" fontId="72" fillId="0" borderId="0" xfId="0" applyFont="1" applyAlignment="1">
      <alignment horizontal="left" vertical="top" wrapText="1"/>
    </xf>
    <xf numFmtId="0" fontId="86" fillId="0" borderId="0" xfId="0" applyFont="1" applyAlignment="1">
      <alignment horizontal="left" vertical="top" wrapText="1"/>
    </xf>
    <xf numFmtId="0" fontId="72" fillId="0" borderId="0" xfId="0" applyFont="1" applyAlignment="1">
      <alignment horizontal="left" wrapText="1"/>
    </xf>
    <xf numFmtId="0" fontId="72" fillId="0" borderId="0" xfId="0" applyFont="1" applyAlignment="1">
      <alignment horizontal="center" wrapText="1"/>
    </xf>
    <xf numFmtId="3" fontId="1" fillId="31" borderId="10" xfId="1" applyNumberFormat="1" applyFont="1" applyFill="1" applyBorder="1" applyAlignment="1">
      <alignment vertical="center" wrapText="1"/>
    </xf>
    <xf numFmtId="3" fontId="2" fillId="0" borderId="45" xfId="1" applyNumberFormat="1" applyFont="1" applyFill="1" applyBorder="1" applyAlignment="1">
      <alignment horizontal="left" vertical="center" wrapText="1"/>
    </xf>
    <xf numFmtId="3" fontId="2" fillId="0" borderId="46" xfId="1" applyNumberFormat="1" applyFont="1" applyFill="1" applyBorder="1" applyAlignment="1">
      <alignment horizontal="left" vertical="center" wrapText="1"/>
    </xf>
    <xf numFmtId="3" fontId="2" fillId="0" borderId="47" xfId="1" applyNumberFormat="1" applyFont="1" applyFill="1" applyBorder="1" applyAlignment="1">
      <alignment horizontal="left" vertical="center" wrapText="1"/>
    </xf>
    <xf numFmtId="3" fontId="2" fillId="0" borderId="45" xfId="1" applyNumberFormat="1" applyFont="1" applyFill="1" applyBorder="1" applyAlignment="1">
      <alignment vertical="center" wrapText="1"/>
    </xf>
    <xf numFmtId="3" fontId="2" fillId="0" borderId="46" xfId="1" applyNumberFormat="1" applyFont="1" applyFill="1" applyBorder="1" applyAlignment="1">
      <alignment vertical="center" wrapText="1"/>
    </xf>
    <xf numFmtId="3" fontId="2" fillId="0" borderId="47" xfId="1" applyNumberFormat="1" applyFont="1" applyFill="1" applyBorder="1" applyAlignment="1">
      <alignment vertical="center" wrapText="1"/>
    </xf>
    <xf numFmtId="3" fontId="1" fillId="0" borderId="10" xfId="1" applyNumberFormat="1" applyFont="1" applyFill="1" applyBorder="1" applyAlignment="1">
      <alignment vertical="center" wrapText="1"/>
    </xf>
    <xf numFmtId="3" fontId="1" fillId="31" borderId="10" xfId="1" applyNumberFormat="1" applyFont="1" applyFill="1" applyBorder="1" applyAlignment="1">
      <alignment horizontal="left" vertical="center" wrapText="1"/>
    </xf>
    <xf numFmtId="3" fontId="1" fillId="31" borderId="45" xfId="1" applyNumberFormat="1" applyFont="1" applyFill="1" applyBorder="1" applyAlignment="1">
      <alignment horizontal="left" vertical="center" wrapText="1"/>
    </xf>
    <xf numFmtId="3" fontId="2" fillId="0" borderId="10" xfId="1" applyNumberFormat="1" applyFont="1" applyFill="1" applyBorder="1" applyAlignment="1">
      <alignment vertical="center" wrapText="1"/>
    </xf>
    <xf numFmtId="0" fontId="87" fillId="0" borderId="0" xfId="0" applyFont="1" applyAlignment="1">
      <alignment horizontal="center" vertical="top" wrapText="1"/>
    </xf>
    <xf numFmtId="0" fontId="0" fillId="0" borderId="0" xfId="0" applyAlignment="1">
      <alignment horizontal="left" vertical="top" wrapText="1"/>
    </xf>
    <xf numFmtId="0" fontId="85" fillId="0" borderId="0" xfId="0" applyFont="1" applyAlignment="1">
      <alignment horizontal="left" vertical="top" wrapText="1"/>
    </xf>
    <xf numFmtId="0" fontId="1" fillId="31" borderId="10" xfId="1" applyFont="1" applyFill="1" applyBorder="1" applyAlignment="1">
      <alignment horizontal="left" vertical="center" wrapText="1"/>
    </xf>
    <xf numFmtId="0" fontId="48" fillId="0" borderId="0" xfId="0" applyFont="1" applyAlignment="1">
      <alignment horizontal="left" vertical="top" wrapText="1"/>
    </xf>
    <xf numFmtId="168" fontId="43" fillId="6" borderId="37" xfId="0" applyNumberFormat="1" applyFont="1" applyFill="1" applyBorder="1" applyAlignment="1">
      <alignment horizontal="center" vertical="center" wrapText="1" shrinkToFit="1"/>
    </xf>
    <xf numFmtId="168" fontId="43" fillId="6" borderId="49" xfId="0" applyNumberFormat="1" applyFont="1" applyFill="1" applyBorder="1" applyAlignment="1">
      <alignment horizontal="center" vertical="center" wrapText="1" shrinkToFit="1"/>
    </xf>
    <xf numFmtId="168" fontId="43" fillId="6" borderId="50" xfId="0" applyNumberFormat="1" applyFont="1" applyFill="1" applyBorder="1" applyAlignment="1">
      <alignment horizontal="center" vertical="center" wrapText="1" shrinkToFit="1"/>
    </xf>
    <xf numFmtId="168" fontId="43" fillId="6" borderId="22" xfId="0" applyNumberFormat="1" applyFont="1" applyFill="1" applyBorder="1" applyAlignment="1">
      <alignment horizontal="center" vertical="center" wrapText="1" shrinkToFit="1"/>
    </xf>
    <xf numFmtId="168" fontId="43" fillId="6" borderId="20" xfId="0" applyNumberFormat="1" applyFont="1" applyFill="1" applyBorder="1" applyAlignment="1">
      <alignment horizontal="center" vertical="center" wrapText="1" shrinkToFit="1"/>
    </xf>
    <xf numFmtId="49" fontId="43" fillId="6" borderId="17" xfId="0" applyNumberFormat="1" applyFont="1" applyFill="1" applyBorder="1" applyAlignment="1">
      <alignment horizontal="center" vertical="center" wrapText="1"/>
    </xf>
    <xf numFmtId="49" fontId="43" fillId="6" borderId="18" xfId="0" applyNumberFormat="1" applyFont="1" applyFill="1" applyBorder="1" applyAlignment="1">
      <alignment horizontal="center" vertical="center" wrapText="1"/>
    </xf>
    <xf numFmtId="0" fontId="56" fillId="0" borderId="11" xfId="0" applyFont="1" applyBorder="1" applyAlignment="1">
      <alignment horizontal="center"/>
    </xf>
    <xf numFmtId="49" fontId="56" fillId="0" borderId="11" xfId="0" applyNumberFormat="1" applyFont="1" applyBorder="1" applyAlignment="1">
      <alignment horizontal="center"/>
    </xf>
    <xf numFmtId="165" fontId="56" fillId="0" borderId="11" xfId="0" applyNumberFormat="1" applyFont="1" applyBorder="1" applyAlignment="1">
      <alignment horizontal="center" wrapText="1"/>
    </xf>
    <xf numFmtId="0" fontId="48" fillId="0" borderId="0" xfId="0" applyFont="1" applyAlignment="1">
      <alignment horizontal="center" wrapText="1"/>
    </xf>
    <xf numFmtId="49" fontId="21" fillId="0" borderId="0" xfId="0" applyNumberFormat="1" applyFont="1" applyBorder="1" applyAlignment="1">
      <alignment horizontal="left" vertical="center" wrapText="1"/>
    </xf>
    <xf numFmtId="49" fontId="21" fillId="0" borderId="0" xfId="0" applyNumberFormat="1" applyFont="1" applyBorder="1" applyAlignment="1">
      <alignment horizontal="left" vertical="top" wrapText="1"/>
    </xf>
    <xf numFmtId="0" fontId="48" fillId="0" borderId="0" xfId="0" applyFont="1" applyAlignment="1">
      <alignment horizontal="center" vertical="top" wrapText="1"/>
    </xf>
    <xf numFmtId="0" fontId="46" fillId="6" borderId="11" xfId="1" applyFont="1" applyFill="1" applyBorder="1" applyAlignment="1">
      <alignment horizontal="center" vertical="center" wrapText="1"/>
    </xf>
    <xf numFmtId="4" fontId="46" fillId="6" borderId="11" xfId="47" applyNumberFormat="1" applyFont="1" applyFill="1" applyBorder="1" applyAlignment="1">
      <alignment horizontal="center" vertical="center" wrapText="1"/>
    </xf>
    <xf numFmtId="49" fontId="46" fillId="0" borderId="12" xfId="1" applyNumberFormat="1" applyFont="1" applyBorder="1" applyAlignment="1">
      <alignment horizontal="center" vertical="center" wrapText="1"/>
    </xf>
    <xf numFmtId="0" fontId="46" fillId="6" borderId="13" xfId="1" applyFont="1" applyFill="1" applyBorder="1" applyAlignment="1">
      <alignment horizontal="center" vertical="center" wrapText="1"/>
    </xf>
    <xf numFmtId="0" fontId="46" fillId="6" borderId="14" xfId="1" applyFont="1" applyFill="1" applyBorder="1" applyAlignment="1">
      <alignment horizontal="center" vertical="center" wrapText="1"/>
    </xf>
    <xf numFmtId="49" fontId="46" fillId="0" borderId="0" xfId="0" applyNumberFormat="1" applyFont="1" applyBorder="1" applyAlignment="1">
      <alignment horizontal="center" vertical="center" wrapText="1"/>
    </xf>
    <xf numFmtId="3" fontId="48" fillId="0" borderId="0" xfId="47" applyNumberFormat="1" applyFont="1" applyAlignment="1">
      <alignment horizontal="center" vertical="center" wrapText="1"/>
    </xf>
    <xf numFmtId="0" fontId="85" fillId="0" borderId="0" xfId="0" applyFont="1" applyAlignment="1">
      <alignment horizontal="center" vertical="center" wrapText="1"/>
    </xf>
    <xf numFmtId="0" fontId="48" fillId="0" borderId="0" xfId="0" applyFont="1" applyAlignment="1">
      <alignment horizontal="left" vertical="center" wrapText="1"/>
    </xf>
    <xf numFmtId="0" fontId="88" fillId="0" borderId="0" xfId="0" applyFont="1" applyAlignment="1">
      <alignment horizontal="left" vertical="center" wrapText="1"/>
    </xf>
    <xf numFmtId="0" fontId="2" fillId="0" borderId="0" xfId="0" applyFont="1" applyBorder="1" applyAlignment="1">
      <alignment horizontal="left" vertical="top" wrapText="1"/>
    </xf>
    <xf numFmtId="0" fontId="82" fillId="0" borderId="0" xfId="0" applyFont="1" applyAlignment="1">
      <alignment horizontal="left" vertical="center" wrapText="1"/>
    </xf>
    <xf numFmtId="0" fontId="88" fillId="0" borderId="0" xfId="0" applyFont="1" applyAlignment="1">
      <alignment horizontal="left" vertical="top" wrapText="1"/>
    </xf>
    <xf numFmtId="0" fontId="88" fillId="0" borderId="0" xfId="0" applyFont="1" applyAlignment="1">
      <alignment horizontal="center" vertical="center" wrapText="1"/>
    </xf>
    <xf numFmtId="0" fontId="89" fillId="0" borderId="0" xfId="0" applyFont="1" applyAlignment="1">
      <alignment horizontal="left" vertical="center" wrapText="1"/>
    </xf>
    <xf numFmtId="0" fontId="66" fillId="0" borderId="0" xfId="0" applyFont="1" applyBorder="1" applyAlignment="1">
      <alignment horizontal="left" vertical="center" wrapText="1"/>
    </xf>
    <xf numFmtId="0" fontId="48" fillId="0" borderId="0" xfId="0" applyFont="1" applyBorder="1" applyAlignment="1">
      <alignment horizontal="left" vertical="top" wrapText="1"/>
    </xf>
    <xf numFmtId="49" fontId="29" fillId="0" borderId="12" xfId="46" applyNumberFormat="1" applyFont="1" applyBorder="1" applyAlignment="1" applyProtection="1">
      <alignment horizontal="center" vertical="top"/>
    </xf>
    <xf numFmtId="0" fontId="29" fillId="0" borderId="11" xfId="46" applyFont="1" applyBorder="1" applyAlignment="1" applyProtection="1">
      <alignment horizontal="center"/>
    </xf>
    <xf numFmtId="0" fontId="29" fillId="0" borderId="0" xfId="0" applyFont="1" applyAlignment="1">
      <alignment horizontal="center" vertical="center"/>
    </xf>
  </cellXfs>
  <cellStyles count="63">
    <cellStyle name="20% - Accent1 2" xfId="2"/>
    <cellStyle name="20% - Accent2 2" xfId="3"/>
    <cellStyle name="20% - Accent3 2" xfId="4"/>
    <cellStyle name="20% - Accent4 2" xfId="5"/>
    <cellStyle name="20% - Accent5 2" xfId="6"/>
    <cellStyle name="20% - Accent6 2" xfId="7"/>
    <cellStyle name="40% - Accent1 2" xfId="8"/>
    <cellStyle name="40% - Accent2 2" xfId="9"/>
    <cellStyle name="40% - Accent3 2" xfId="10"/>
    <cellStyle name="40% - Accent4 2" xfId="11"/>
    <cellStyle name="40% - Accent5 2" xfId="12"/>
    <cellStyle name="40% - Accent6 2" xfId="13"/>
    <cellStyle name="60% - Accent1 2" xfId="14"/>
    <cellStyle name="60% - Accent2 2" xfId="15"/>
    <cellStyle name="60% - Accent3 2" xfId="16"/>
    <cellStyle name="60% - Accent4 2" xfId="17"/>
    <cellStyle name="60% - Accent5 2" xfId="18"/>
    <cellStyle name="60% - Accent6 2" xfId="19"/>
    <cellStyle name="Accent1 2" xfId="20"/>
    <cellStyle name="Accent2 2" xfId="21"/>
    <cellStyle name="Accent3 2" xfId="22"/>
    <cellStyle name="Accent4 2" xfId="23"/>
    <cellStyle name="Accent5 2" xfId="24"/>
    <cellStyle name="Accent6 2" xfId="25"/>
    <cellStyle name="Bad 2" xfId="26"/>
    <cellStyle name="Calculation 2" xfId="27"/>
    <cellStyle name="Calculation 3" xfId="53"/>
    <cellStyle name="Calculation 4" xfId="58"/>
    <cellStyle name="Check Cell 2" xfId="28"/>
    <cellStyle name="Comma" xfId="47" builtinId="3"/>
    <cellStyle name="Comma 2" xfId="29"/>
    <cellStyle name="Comma 3" xfId="50"/>
    <cellStyle name="Comma_Расходи по корисницима 2" xfId="51"/>
    <cellStyle name="Explanatory Text 2" xfId="30"/>
    <cellStyle name="Good 2" xfId="31"/>
    <cellStyle name="Heading 1 2" xfId="32"/>
    <cellStyle name="Heading 2 2" xfId="33"/>
    <cellStyle name="Heading 3 2" xfId="34"/>
    <cellStyle name="Heading 4 2" xfId="35"/>
    <cellStyle name="Input 2" xfId="36"/>
    <cellStyle name="Input 3" xfId="54"/>
    <cellStyle name="Input 4" xfId="59"/>
    <cellStyle name="Linked Cell 2" xfId="37"/>
    <cellStyle name="Neutral 2" xfId="38"/>
    <cellStyle name="Normal" xfId="0" builtinId="0"/>
    <cellStyle name="Normal 2" xfId="1"/>
    <cellStyle name="Normal 2 2" xfId="52"/>
    <cellStyle name="Normal 3" xfId="46"/>
    <cellStyle name="Normal_Расходи по корисницима" xfId="49"/>
    <cellStyle name="Note 2" xfId="39"/>
    <cellStyle name="Note 3" xfId="55"/>
    <cellStyle name="Note 4" xfId="60"/>
    <cellStyle name="Output 2" xfId="40"/>
    <cellStyle name="Output 3" xfId="56"/>
    <cellStyle name="Output 4" xfId="61"/>
    <cellStyle name="Percent" xfId="48" builtinId="5"/>
    <cellStyle name="Percent 2" xfId="41"/>
    <cellStyle name="Percent 3" xfId="45"/>
    <cellStyle name="Title 2" xfId="42"/>
    <cellStyle name="Total 2" xfId="43"/>
    <cellStyle name="Total 3" xfId="57"/>
    <cellStyle name="Total 4" xfId="62"/>
    <cellStyle name="Warning Text 2" xfId="44"/>
  </cellStyles>
  <dxfs count="7">
    <dxf>
      <fill>
        <patternFill patternType="solid">
          <fgColor indexed="60"/>
          <bgColor indexed="10"/>
        </patternFill>
      </fill>
    </dxf>
    <dxf>
      <fill>
        <patternFill>
          <bgColor theme="5" tint="0.59996337778862885"/>
        </patternFill>
      </fill>
    </dxf>
    <dxf>
      <fill>
        <patternFill>
          <bgColor theme="5" tint="0.59996337778862885"/>
        </patternFill>
      </fill>
    </dxf>
    <dxf>
      <fill>
        <patternFill patternType="solid">
          <fgColor indexed="60"/>
          <bgColor indexed="10"/>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s>
  <tableStyles count="0" defaultTableStyle="TableStyleMedium2" defaultPivotStyle="PivotStyleLight16"/>
  <colors>
    <mruColors>
      <color rgb="FF66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sr-Latn-RS"/>
            </a:pPr>
            <a:r>
              <a:rPr lang="sr-Cyrl-RS"/>
              <a:t>Струтура</a:t>
            </a:r>
            <a:r>
              <a:rPr lang="sr-Cyrl-RS" baseline="0"/>
              <a:t> буџета по економској класификацији </a:t>
            </a:r>
            <a:endParaRPr lang="en-US"/>
          </a:p>
        </c:rich>
      </c:tx>
      <c:layout>
        <c:manualLayout>
          <c:xMode val="edge"/>
          <c:yMode val="edge"/>
          <c:x val="0.15640950466298145"/>
          <c:y val="1.8720742697559165E-2"/>
        </c:manualLayout>
      </c:layout>
      <c:overlay val="0"/>
    </c:title>
    <c:autoTitleDeleted val="0"/>
    <c:plotArea>
      <c:layout/>
      <c:pieChart>
        <c:varyColors val="1"/>
        <c:ser>
          <c:idx val="0"/>
          <c:order val="0"/>
          <c:cat>
            <c:multiLvlStrRef>
              <c:f>('По основ. нам.'!$A$7:$B$7,'По основ. нам.'!$A$16:$B$16,'По основ. нам.'!$A$23:$B$23,'По основ. нам.'!$A$29:$B$29,'По основ. нам.'!$A$34:$B$34,'По основ. нам.'!$A$40:$B$40,'По основ. нам.'!$A$47:$B$47,'По основ. нам.'!$A$49:$B$49,'По основ. нам.'!$A$56:$B$56,'По основ. нам.'!$A$64:$B$64,'По основ. нам.'!$A$70:$B$70,'По основ. нам.'!$A$75:$B$75,'По основ. нам.'!$A$81:$B$81,'По основ. нам.'!$A$85:$B$85)</c:f>
              <c:multiLvlStrCache>
                <c:ptCount val="14"/>
                <c:lvl>
                  <c:pt idx="0">
                    <c:v>РАСХОДИ ЗА ЗАПОСЛЕНЕ</c:v>
                  </c:pt>
                  <c:pt idx="1">
                    <c:v>КОРИШЋЕЊЕ УСЛУГА И РОБА</c:v>
                  </c:pt>
                  <c:pt idx="2">
                    <c:v>УПОТРЕБА ОСНОВНИХ СРЕДСТАВА</c:v>
                  </c:pt>
                  <c:pt idx="3">
                    <c:v>ОТПЛАТА КАМАТА</c:v>
                  </c:pt>
                  <c:pt idx="4">
                    <c:v>СУБВЕНЦИЈЕ</c:v>
                  </c:pt>
                  <c:pt idx="5">
                    <c:v>ДОНАЦИЈЕ И ТРАНСФЕРИ</c:v>
                  </c:pt>
                  <c:pt idx="6">
                    <c:v>СОЦИЈАЛНА ПОМОЋ</c:v>
                  </c:pt>
                  <c:pt idx="7">
                    <c:v>ОСТАЛИ РАСХОДИ</c:v>
                  </c:pt>
                  <c:pt idx="8">
                    <c:v>АДМИНИСТРАТИВНИ ТРАНСФЕРИ БУЏЕТА</c:v>
                  </c:pt>
                  <c:pt idx="9">
                    <c:v>ОСНОВНА СРЕДСТВА</c:v>
                  </c:pt>
                  <c:pt idx="10">
                    <c:v>ЗАЛИХЕ</c:v>
                  </c:pt>
                  <c:pt idx="11">
                    <c:v>ПРИРОДНА ИМОВИНА</c:v>
                  </c:pt>
                  <c:pt idx="12">
                    <c:v>ОТПЛАТА ГЛАВНИЦЕ </c:v>
                  </c:pt>
                  <c:pt idx="13">
                    <c:v>Набавка финансијске имовине</c:v>
                  </c:pt>
                </c:lvl>
                <c:lvl>
                  <c:pt idx="0">
                    <c:v>410</c:v>
                  </c:pt>
                  <c:pt idx="1">
                    <c:v>420</c:v>
                  </c:pt>
                  <c:pt idx="2">
                    <c:v>430</c:v>
                  </c:pt>
                  <c:pt idx="3">
                    <c:v>440</c:v>
                  </c:pt>
                  <c:pt idx="4">
                    <c:v>450</c:v>
                  </c:pt>
                  <c:pt idx="5">
                    <c:v>460</c:v>
                  </c:pt>
                  <c:pt idx="6">
                    <c:v>470</c:v>
                  </c:pt>
                  <c:pt idx="7">
                    <c:v>480</c:v>
                  </c:pt>
                  <c:pt idx="8">
                    <c:v>490</c:v>
                  </c:pt>
                  <c:pt idx="9">
                    <c:v>510</c:v>
                  </c:pt>
                  <c:pt idx="10">
                    <c:v>520</c:v>
                  </c:pt>
                  <c:pt idx="11">
                    <c:v>540</c:v>
                  </c:pt>
                  <c:pt idx="12">
                    <c:v>610</c:v>
                  </c:pt>
                  <c:pt idx="13">
                    <c:v>620</c:v>
                  </c:pt>
                </c:lvl>
              </c:multiLvlStrCache>
            </c:multiLvlStrRef>
          </c:cat>
          <c:val>
            <c:numRef>
              <c:f>('По основ. нам.'!$C$7,'По основ. нам.'!$C$16,'По основ. нам.'!$C$23,'По основ. нам.'!$C$29,'По основ. нам.'!$C$34,'По основ. нам.'!$C$40,'По основ. нам.'!$C$47,'По основ. нам.'!$C$49,'По основ. нам.'!$C$56,'По основ. нам.'!$C$64,'По основ. нам.'!$C$70,'По основ. нам.'!$C$75,'По основ. нам.'!$C$81,'По основ. нам.'!$C$85)</c:f>
              <c:numCache>
                <c:formatCode>_-* #,##0\ _d_i_n_._-;\-* #,##0\ _d_i_n_._-;_-* "-"\ _d_i_n_._-;_-@_-</c:formatCode>
                <c:ptCount val="14"/>
                <c:pt idx="0">
                  <c:v>119832431</c:v>
                </c:pt>
                <c:pt idx="1">
                  <c:v>173966224</c:v>
                </c:pt>
                <c:pt idx="2">
                  <c:v>0</c:v>
                </c:pt>
                <c:pt idx="3">
                  <c:v>0</c:v>
                </c:pt>
                <c:pt idx="4">
                  <c:v>28900000</c:v>
                </c:pt>
                <c:pt idx="5">
                  <c:v>48723020</c:v>
                </c:pt>
                <c:pt idx="6">
                  <c:v>4300000</c:v>
                </c:pt>
                <c:pt idx="7">
                  <c:v>35229325</c:v>
                </c:pt>
                <c:pt idx="8">
                  <c:v>4500000</c:v>
                </c:pt>
                <c:pt idx="9">
                  <c:v>160849000</c:v>
                </c:pt>
                <c:pt idx="10">
                  <c:v>0</c:v>
                </c:pt>
                <c:pt idx="11">
                  <c:v>600000</c:v>
                </c:pt>
                <c:pt idx="12">
                  <c:v>0</c:v>
                </c:pt>
                <c:pt idx="13">
                  <c:v>0</c:v>
                </c:pt>
              </c:numCache>
            </c:numRef>
          </c:val>
        </c:ser>
        <c:dLbls>
          <c:showLegendKey val="0"/>
          <c:showVal val="0"/>
          <c:showCatName val="0"/>
          <c:showSerName val="0"/>
          <c:showPercent val="0"/>
          <c:showBubbleSize val="0"/>
          <c:showLeaderLines val="1"/>
        </c:dLbls>
        <c:firstSliceAng val="0"/>
      </c:pieChart>
    </c:plotArea>
    <c:legend>
      <c:legendPos val="r"/>
      <c:overlay val="0"/>
      <c:txPr>
        <a:bodyPr/>
        <a:lstStyle/>
        <a:p>
          <a:pPr>
            <a:defRPr lang="sr-Latn-RS"/>
          </a:pPr>
          <a:endParaRPr lang="en-US"/>
        </a:p>
      </c:txPr>
    </c:legend>
    <c:plotVisOnly val="1"/>
    <c:dispBlanksAs val="zero"/>
    <c:showDLblsOverMax val="0"/>
  </c:chart>
  <c:printSettings>
    <c:headerFooter/>
    <c:pageMargins b="0.75000000000000178" l="0.70000000000000062" r="0.70000000000000062" t="0.75000000000000178" header="0.30000000000000032" footer="0.30000000000000032"/>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sr-Latn-RS"/>
            </a:pPr>
            <a:r>
              <a:rPr lang="sr-Cyrl-RS"/>
              <a:t>Структура</a:t>
            </a:r>
            <a:r>
              <a:rPr lang="sr-Cyrl-RS" baseline="0"/>
              <a:t> буџета по програмској класификацији</a:t>
            </a:r>
            <a:endParaRPr lang="en-US"/>
          </a:p>
        </c:rich>
      </c:tx>
      <c:layout>
        <c:manualLayout>
          <c:xMode val="edge"/>
          <c:yMode val="edge"/>
          <c:x val="8.8610279348884463E-2"/>
          <c:y val="1.6309885251288677E-2"/>
        </c:manualLayout>
      </c:layout>
      <c:overlay val="1"/>
    </c:title>
    <c:autoTitleDeleted val="0"/>
    <c:plotArea>
      <c:layout>
        <c:manualLayout>
          <c:layoutTarget val="inner"/>
          <c:xMode val="edge"/>
          <c:yMode val="edge"/>
          <c:x val="2.8422402060853516E-2"/>
          <c:y val="0.30585418379210005"/>
          <c:w val="0.43132728200641651"/>
          <c:h val="0.66786147228826953"/>
        </c:manualLayout>
      </c:layout>
      <c:pieChart>
        <c:varyColors val="1"/>
        <c:ser>
          <c:idx val="0"/>
          <c:order val="0"/>
          <c:dLbls>
            <c:dLbl>
              <c:idx val="0"/>
              <c:layout>
                <c:manualLayout>
                  <c:x val="-0.15432098765432131"/>
                  <c:y val="-2.628434391963359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
                  <c:y val="-5.2568687839267186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5.8641975308641917E-2"/>
                  <c:y val="-2.38948581087577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2.9320987654320951E-2"/>
                  <c:y val="-6.451611689364607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2.6234567901234612E-2"/>
                  <c:y val="-2.38948581087577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6.1728395061728392E-2"/>
                  <c:y val="2.150537229788199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5.5555555555555455E-2"/>
                  <c:y val="-4.7789716217515581E-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4"/>
              <c:layout>
                <c:manualLayout>
                  <c:x val="4.4753086419753133E-2"/>
                  <c:y val="-1.4336914865254525E-2"/>
                </c:manualLayout>
              </c:layout>
              <c:dLblPos val="bestFit"/>
              <c:showLegendKey val="0"/>
              <c:showVal val="0"/>
              <c:showCatName val="1"/>
              <c:showSerName val="0"/>
              <c:showPercent val="1"/>
              <c:showBubbleSize val="0"/>
              <c:extLst>
                <c:ext xmlns:c15="http://schemas.microsoft.com/office/drawing/2012/chart" uri="{CE6537A1-D6FC-4f65-9D91-7224C49458BB}"/>
              </c:extLst>
            </c:dLbl>
            <c:spPr>
              <a:noFill/>
              <a:ln>
                <a:noFill/>
              </a:ln>
              <a:effectLst/>
            </c:spPr>
            <c:txPr>
              <a:bodyPr/>
              <a:lstStyle/>
              <a:p>
                <a:pPr>
                  <a:defRPr lang="sr-Latn-RS"/>
                </a:pPr>
                <a:endParaRPr lang="en-US"/>
              </a:p>
            </c:txPr>
            <c:dLblPos val="outEnd"/>
            <c:showLegendKey val="0"/>
            <c:showVal val="0"/>
            <c:showCatName val="1"/>
            <c:showSerName val="0"/>
            <c:showPercent val="1"/>
            <c:showBubbleSize val="0"/>
            <c:showLeaderLines val="1"/>
            <c:extLst>
              <c:ext xmlns:c15="http://schemas.microsoft.com/office/drawing/2012/chart" uri="{CE6537A1-D6FC-4f65-9D91-7224C49458BB}"/>
            </c:extLst>
          </c:dLbls>
          <c:cat>
            <c:strRef>
              <c:f>Програмска!$A$607:$A$621</c:f>
              <c:strCache>
                <c:ptCount val="15"/>
                <c:pt idx="0">
                  <c:v>Програм 1.  Локални развој и просторно планирање</c:v>
                </c:pt>
                <c:pt idx="1">
                  <c:v>Програм 2.  Комунална делатност</c:v>
                </c:pt>
                <c:pt idx="2">
                  <c:v>Програм 3.  Локални економски развој</c:v>
                </c:pt>
                <c:pt idx="3">
                  <c:v>Програм 4.  Развој туризма</c:v>
                </c:pt>
                <c:pt idx="4">
                  <c:v>Програм 5.  Развој пољопривреде</c:v>
                </c:pt>
                <c:pt idx="5">
                  <c:v>Програм 6.  Заштита животне средине</c:v>
                </c:pt>
                <c:pt idx="6">
                  <c:v>Програм 7.  Путна инфраструктура</c:v>
                </c:pt>
                <c:pt idx="7">
                  <c:v>Програм 8.  Предшколско васпитање</c:v>
                </c:pt>
                <c:pt idx="8">
                  <c:v>Програм 9.  Основно образовање</c:v>
                </c:pt>
                <c:pt idx="9">
                  <c:v>Програм 10. Средње образовање</c:v>
                </c:pt>
                <c:pt idx="10">
                  <c:v>Програм 11.  Социјална  и дечја заштита</c:v>
                </c:pt>
                <c:pt idx="11">
                  <c:v>Програм 12.  Примарна здравствена заштита</c:v>
                </c:pt>
                <c:pt idx="12">
                  <c:v>Програм 13.  Развој културе</c:v>
                </c:pt>
                <c:pt idx="13">
                  <c:v>Програм 14.  Развој спорта и омладине</c:v>
                </c:pt>
                <c:pt idx="14">
                  <c:v>Програм 15.  Локална самоуправа</c:v>
                </c:pt>
              </c:strCache>
            </c:strRef>
          </c:cat>
          <c:val>
            <c:numRef>
              <c:f>Програмска!$B$607:$B$621</c:f>
              <c:numCache>
                <c:formatCode>General</c:formatCode>
                <c:ptCount val="15"/>
                <c:pt idx="0">
                  <c:v>0</c:v>
                </c:pt>
                <c:pt idx="1">
                  <c:v>122282000</c:v>
                </c:pt>
                <c:pt idx="2">
                  <c:v>0</c:v>
                </c:pt>
                <c:pt idx="3">
                  <c:v>10846000</c:v>
                </c:pt>
                <c:pt idx="4">
                  <c:v>30500000</c:v>
                </c:pt>
                <c:pt idx="5">
                  <c:v>3800000</c:v>
                </c:pt>
                <c:pt idx="6">
                  <c:v>197983206</c:v>
                </c:pt>
                <c:pt idx="7">
                  <c:v>21499000</c:v>
                </c:pt>
                <c:pt idx="8">
                  <c:v>27000000</c:v>
                </c:pt>
                <c:pt idx="9">
                  <c:v>4845000</c:v>
                </c:pt>
                <c:pt idx="10">
                  <c:v>9429000</c:v>
                </c:pt>
                <c:pt idx="11">
                  <c:v>3150000</c:v>
                </c:pt>
                <c:pt idx="12">
                  <c:v>13172000</c:v>
                </c:pt>
                <c:pt idx="13">
                  <c:v>8000000</c:v>
                </c:pt>
                <c:pt idx="14">
                  <c:v>124393794</c:v>
                </c:pt>
              </c:numCache>
            </c:numRef>
          </c:val>
        </c:ser>
        <c:dLbls>
          <c:showLegendKey val="0"/>
          <c:showVal val="0"/>
          <c:showCatName val="0"/>
          <c:showSerName val="0"/>
          <c:showPercent val="0"/>
          <c:showBubbleSize val="0"/>
          <c:showLeaderLines val="1"/>
        </c:dLbls>
        <c:firstSliceAng val="0"/>
      </c:pieChart>
    </c:plotArea>
    <c:legend>
      <c:legendPos val="r"/>
      <c:layout>
        <c:manualLayout>
          <c:xMode val="edge"/>
          <c:yMode val="edge"/>
          <c:x val="0.67025424241324882"/>
          <c:y val="9.1840546471053067E-2"/>
          <c:w val="0.320529167725004"/>
          <c:h val="0.89786833331433724"/>
        </c:manualLayout>
      </c:layout>
      <c:overlay val="0"/>
      <c:txPr>
        <a:bodyPr/>
        <a:lstStyle/>
        <a:p>
          <a:pPr>
            <a:defRPr lang="sr-Latn-RS"/>
          </a:pPr>
          <a:endParaRPr lang="en-US"/>
        </a:p>
      </c:txPr>
    </c:legend>
    <c:plotVisOnly val="1"/>
    <c:dispBlanksAs val="zero"/>
    <c:showDLblsOverMax val="0"/>
  </c:chart>
  <c:printSettings>
    <c:headerFooter/>
    <c:pageMargins b="0.74803149606299324" l="0.70866141732283594" r="0.70866141732283594" t="0.74803149606299324" header="0.31496062992126089" footer="0.31496062992126089"/>
    <c:pageSetup orientation="landscape"/>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sr-Latn-RS"/>
            </a:pPr>
            <a:r>
              <a:rPr lang="sr-Cyrl-RS"/>
              <a:t>Структура буџета по функционалној класификацији</a:t>
            </a:r>
            <a:endParaRPr lang="en-US"/>
          </a:p>
        </c:rich>
      </c:tx>
      <c:overlay val="0"/>
    </c:title>
    <c:autoTitleDeleted val="0"/>
    <c:plotArea>
      <c:layout/>
      <c:pieChart>
        <c:varyColors val="1"/>
        <c:ser>
          <c:idx val="0"/>
          <c:order val="0"/>
          <c:dLbls>
            <c:dLbl>
              <c:idx val="0"/>
              <c:layout>
                <c:manualLayout>
                  <c:x val="6.8671566054243224E-2"/>
                  <c:y val="-2.733723884514442E-2"/>
                </c:manualLayout>
              </c:layout>
              <c:showLegendKey val="0"/>
              <c:showVal val="0"/>
              <c:showCatName val="1"/>
              <c:showSerName val="0"/>
              <c:showPercent val="1"/>
              <c:showBubbleSize val="0"/>
              <c:separator>
</c:separator>
              <c:extLst>
                <c:ext xmlns:c15="http://schemas.microsoft.com/office/drawing/2012/chart" uri="{CE6537A1-D6FC-4f65-9D91-7224C49458BB}"/>
              </c:extLst>
            </c:dLbl>
            <c:dLbl>
              <c:idx val="2"/>
              <c:layout>
                <c:manualLayout>
                  <c:x val="0.16207305336832895"/>
                  <c:y val="7.8004073490813702E-2"/>
                </c:manualLayout>
              </c:layout>
              <c:showLegendKey val="0"/>
              <c:showVal val="0"/>
              <c:showCatName val="1"/>
              <c:showSerName val="0"/>
              <c:showPercent val="1"/>
              <c:showBubbleSize val="0"/>
              <c:separator>
</c:separator>
              <c:extLst>
                <c:ext xmlns:c15="http://schemas.microsoft.com/office/drawing/2012/chart" uri="{CE6537A1-D6FC-4f65-9D91-7224C49458BB}"/>
              </c:extLst>
            </c:dLbl>
            <c:dLbl>
              <c:idx val="4"/>
              <c:layout>
                <c:manualLayout>
                  <c:x val="2.9866666666666666E-2"/>
                  <c:y val="0.2431753070866142"/>
                </c:manualLayout>
              </c:layout>
              <c:showLegendKey val="0"/>
              <c:showVal val="0"/>
              <c:showCatName val="1"/>
              <c:showSerName val="0"/>
              <c:showPercent val="1"/>
              <c:showBubbleSize val="0"/>
              <c:separator>
</c:separator>
              <c:extLst>
                <c:ext xmlns:c15="http://schemas.microsoft.com/office/drawing/2012/chart" uri="{CE6537A1-D6FC-4f65-9D91-7224C49458BB}"/>
              </c:extLst>
            </c:dLbl>
            <c:dLbl>
              <c:idx val="5"/>
              <c:layout>
                <c:manualLayout>
                  <c:x val="1.3444444444444445E-3"/>
                  <c:y val="-0.21750576377952771"/>
                </c:manualLayout>
              </c:layout>
              <c:showLegendKey val="0"/>
              <c:showVal val="0"/>
              <c:showCatName val="1"/>
              <c:showSerName val="0"/>
              <c:showPercent val="1"/>
              <c:showBubbleSize val="0"/>
              <c:separator>
</c:separator>
              <c:extLst>
                <c:ext xmlns:c15="http://schemas.microsoft.com/office/drawing/2012/chart" uri="{CE6537A1-D6FC-4f65-9D91-7224C49458BB}"/>
              </c:extLst>
            </c:dLbl>
            <c:dLbl>
              <c:idx val="6"/>
              <c:layout>
                <c:manualLayout>
                  <c:x val="0.10272222222222259"/>
                  <c:y val="-0.10011481364829396"/>
                </c:manualLayout>
              </c:layout>
              <c:showLegendKey val="0"/>
              <c:showVal val="0"/>
              <c:showCatName val="1"/>
              <c:showSerName val="0"/>
              <c:showPercent val="1"/>
              <c:showBubbleSize val="0"/>
              <c:separator>
</c:separator>
              <c:extLst>
                <c:ext xmlns:c15="http://schemas.microsoft.com/office/drawing/2012/chart" uri="{CE6537A1-D6FC-4f65-9D91-7224C49458BB}"/>
              </c:extLst>
            </c:dLbl>
            <c:dLbl>
              <c:idx val="8"/>
              <c:layout>
                <c:manualLayout>
                  <c:x val="-2.0056780402449695E-2"/>
                  <c:y val="-0.10990295013123379"/>
                </c:manualLayout>
              </c:layout>
              <c:showLegendKey val="0"/>
              <c:showVal val="0"/>
              <c:showCatName val="1"/>
              <c:showSerName val="0"/>
              <c:showPercent val="1"/>
              <c:showBubbleSize val="0"/>
              <c:separator>
</c:separator>
              <c:extLst>
                <c:ext xmlns:c15="http://schemas.microsoft.com/office/drawing/2012/chart" uri="{CE6537A1-D6FC-4f65-9D91-7224C49458BB}"/>
              </c:extLst>
            </c:dLbl>
            <c:spPr>
              <a:noFill/>
              <a:ln>
                <a:noFill/>
              </a:ln>
              <a:effectLst/>
            </c:spPr>
            <c:txPr>
              <a:bodyPr/>
              <a:lstStyle/>
              <a:p>
                <a:pPr>
                  <a:defRPr lang="sr-Latn-RS"/>
                </a:pPr>
                <a:endParaRPr lang="en-US"/>
              </a:p>
            </c:txPr>
            <c:showLegendKey val="0"/>
            <c:showVal val="0"/>
            <c:showCatName val="1"/>
            <c:showSerName val="0"/>
            <c:showPercent val="1"/>
            <c:showBubbleSize val="0"/>
            <c:separator>
</c:separator>
            <c:showLeaderLines val="1"/>
            <c:extLst>
              <c:ext xmlns:c15="http://schemas.microsoft.com/office/drawing/2012/chart" uri="{CE6537A1-D6FC-4f65-9D91-7224C49458BB}"/>
            </c:extLst>
          </c:dLbls>
          <c:cat>
            <c:multiLvlStrRef>
              <c:f>('Расх по функц. '!$A$6:$B$6,'Расх по функц. '!$A$16:$B$16,'Расх по функц. '!$A$33:$B$33,'Расх по функц. '!$A$40:$B$40,'Расх по функц. '!$A$80:$B$80,'Расх по функц. '!$A$87:$B$87,'Расх по функц. '!$A$94:$B$94,'Расх по функц. '!$A$112:$B$112,'Расх по функц. '!$A$119:$B$119)</c:f>
              <c:multiLvlStrCache>
                <c:ptCount val="9"/>
                <c:lvl>
                  <c:pt idx="0">
                    <c:v>СОЦИЈАЛНА ЗАШТИТА</c:v>
                  </c:pt>
                  <c:pt idx="1">
                    <c:v>ОПШТЕ ЈАВНЕ УСЛУГЕ</c:v>
                  </c:pt>
                  <c:pt idx="2">
                    <c:v>ЈАВНИ РЕД И БЕЗБЕДНОСТ</c:v>
                  </c:pt>
                  <c:pt idx="3">
                    <c:v>ЕКОНОМСКИ ПОСЛОВИ</c:v>
                  </c:pt>
                  <c:pt idx="4">
                    <c:v>ЗАШТИТА ЖИВОТНЕ СРЕДИНЕ</c:v>
                  </c:pt>
                  <c:pt idx="5">
                    <c:v>ПОСЛОВИ СТАНОВАЊА И ЗАЈЕДНИЦЕ</c:v>
                  </c:pt>
                  <c:pt idx="6">
                    <c:v>ЗДРАВСТВО</c:v>
                  </c:pt>
                  <c:pt idx="7">
                    <c:v>РЕКРЕАЦИЈА, СПОРТ, КУЛТУРА И ВЕРЕ</c:v>
                  </c:pt>
                  <c:pt idx="8">
                    <c:v>ОБРАЗОВАЊЕ</c:v>
                  </c:pt>
                </c:lvl>
                <c:lvl>
                  <c:pt idx="0">
                    <c:v>000</c:v>
                  </c:pt>
                  <c:pt idx="1">
                    <c:v>100</c:v>
                  </c:pt>
                  <c:pt idx="2">
                    <c:v>300</c:v>
                  </c:pt>
                  <c:pt idx="3">
                    <c:v>400</c:v>
                  </c:pt>
                  <c:pt idx="4">
                    <c:v>500</c:v>
                  </c:pt>
                  <c:pt idx="5">
                    <c:v>600</c:v>
                  </c:pt>
                  <c:pt idx="6">
                    <c:v>700</c:v>
                  </c:pt>
                  <c:pt idx="7">
                    <c:v>800</c:v>
                  </c:pt>
                  <c:pt idx="8">
                    <c:v>900</c:v>
                  </c:pt>
                </c:lvl>
              </c:multiLvlStrCache>
            </c:multiLvlStrRef>
          </c:cat>
          <c:val>
            <c:numRef>
              <c:f>('Расх по функц. '!$C$6,'Расх по функц. '!$C$16,'Расх по функц. '!$C$33,'Расх по функц. '!$C$40,'Расх по функц. '!$C$80,'Расх по функц. '!$C$87,'Расх по функц. '!$C$94,'Расх по функц. '!$C$112,'Расх по функц. '!$C$119)</c:f>
              <c:numCache>
                <c:formatCode>_-* #,##0\ _d_i_n_._-;\-* #,##0\ _d_i_n_._-;_-* "-"\ _d_i_n_._-;_-@_-</c:formatCode>
                <c:ptCount val="9"/>
                <c:pt idx="0">
                  <c:v>9429000</c:v>
                </c:pt>
                <c:pt idx="1">
                  <c:v>111793794</c:v>
                </c:pt>
                <c:pt idx="2">
                  <c:v>14900000</c:v>
                </c:pt>
                <c:pt idx="3">
                  <c:v>41346000</c:v>
                </c:pt>
                <c:pt idx="4">
                  <c:v>35240000</c:v>
                </c:pt>
                <c:pt idx="5">
                  <c:v>286525206</c:v>
                </c:pt>
                <c:pt idx="6">
                  <c:v>3150000</c:v>
                </c:pt>
                <c:pt idx="7">
                  <c:v>21172000</c:v>
                </c:pt>
                <c:pt idx="8">
                  <c:v>53344000</c:v>
                </c:pt>
              </c:numCache>
            </c:numRef>
          </c:val>
        </c:ser>
        <c:dLbls>
          <c:showLegendKey val="0"/>
          <c:showVal val="0"/>
          <c:showCatName val="0"/>
          <c:showSerName val="0"/>
          <c:showPercent val="0"/>
          <c:showBubbleSize val="0"/>
          <c:showLeaderLines val="1"/>
        </c:dLbls>
        <c:firstSliceAng val="0"/>
      </c:pieChart>
    </c:plotArea>
    <c:legend>
      <c:legendPos val="r"/>
      <c:layout>
        <c:manualLayout>
          <c:xMode val="edge"/>
          <c:yMode val="edge"/>
          <c:x val="0.6623343832020997"/>
          <c:y val="0.29888806299212767"/>
          <c:w val="0.32433228346456844"/>
          <c:h val="0.579183874015748"/>
        </c:manualLayout>
      </c:layout>
      <c:overlay val="0"/>
      <c:txPr>
        <a:bodyPr/>
        <a:lstStyle/>
        <a:p>
          <a:pPr>
            <a:defRPr lang="sr-Latn-RS"/>
          </a:pPr>
          <a:endParaRPr lang="en-US"/>
        </a:p>
      </c:txPr>
    </c:legend>
    <c:plotVisOnly val="1"/>
    <c:dispBlanksAs val="zero"/>
    <c:showDLblsOverMax val="0"/>
  </c:chart>
  <c:printSettings>
    <c:headerFooter/>
    <c:pageMargins b="0.75000000000000178" l="0.70000000000000062" r="0.70000000000000062" t="0.75000000000000178" header="0.30000000000000032" footer="0.30000000000000032"/>
    <c:pageSetup/>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xdr:from>
      <xdr:col>0</xdr:col>
      <xdr:colOff>361949</xdr:colOff>
      <xdr:row>89</xdr:row>
      <xdr:rowOff>66676</xdr:rowOff>
    </xdr:from>
    <xdr:to>
      <xdr:col>6</xdr:col>
      <xdr:colOff>57150</xdr:colOff>
      <xdr:row>120</xdr:row>
      <xdr:rowOff>9526</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9525</xdr:colOff>
      <xdr:row>605</xdr:row>
      <xdr:rowOff>419099</xdr:rowOff>
    </xdr:from>
    <xdr:to>
      <xdr:col>6</xdr:col>
      <xdr:colOff>990600</xdr:colOff>
      <xdr:row>638</xdr:row>
      <xdr:rowOff>104775</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7</xdr:col>
      <xdr:colOff>285750</xdr:colOff>
      <xdr:row>3</xdr:row>
      <xdr:rowOff>142874</xdr:rowOff>
    </xdr:from>
    <xdr:to>
      <xdr:col>16</xdr:col>
      <xdr:colOff>514350</xdr:colOff>
      <xdr:row>32</xdr:row>
      <xdr:rowOff>66675</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theme="1"/>
  </sheetPr>
  <dimension ref="A2:J46"/>
  <sheetViews>
    <sheetView topLeftCell="A17" workbookViewId="0">
      <selection activeCell="I16" sqref="I16"/>
    </sheetView>
  </sheetViews>
  <sheetFormatPr defaultRowHeight="15" x14ac:dyDescent="0.25"/>
  <cols>
    <col min="7" max="7" width="10.28515625" customWidth="1"/>
    <col min="8" max="8" width="25.5703125" customWidth="1"/>
    <col min="9" max="9" width="17.7109375" customWidth="1"/>
    <col min="10" max="10" width="14.5703125" customWidth="1"/>
  </cols>
  <sheetData>
    <row r="2" spans="1:10" ht="67.5" customHeight="1" x14ac:dyDescent="0.25">
      <c r="A2" s="895" t="s">
        <v>5483</v>
      </c>
      <c r="B2" s="895"/>
      <c r="C2" s="895"/>
      <c r="D2" s="895"/>
      <c r="E2" s="895"/>
      <c r="F2" s="895"/>
      <c r="G2" s="895"/>
      <c r="H2" s="895"/>
      <c r="I2" s="895"/>
      <c r="J2" s="895"/>
    </row>
    <row r="3" spans="1:10" ht="19.5" customHeight="1" x14ac:dyDescent="0.25">
      <c r="A3" s="870"/>
      <c r="B3" s="870"/>
      <c r="C3" s="870"/>
      <c r="D3" s="870"/>
      <c r="E3" s="910" t="s">
        <v>5347</v>
      </c>
      <c r="F3" s="910"/>
      <c r="G3" s="910"/>
      <c r="H3" s="910"/>
      <c r="I3" s="870"/>
      <c r="J3" s="870"/>
    </row>
    <row r="4" spans="1:10" ht="19.5" customHeight="1" x14ac:dyDescent="0.25">
      <c r="A4" s="870"/>
      <c r="B4" s="870"/>
      <c r="C4" s="910" t="s">
        <v>5348</v>
      </c>
      <c r="D4" s="910"/>
      <c r="E4" s="910"/>
      <c r="F4" s="910"/>
      <c r="G4" s="910"/>
      <c r="H4" s="910"/>
      <c r="I4" s="910"/>
      <c r="J4" s="870"/>
    </row>
    <row r="5" spans="1:10" ht="19.5" customHeight="1" x14ac:dyDescent="0.25">
      <c r="A5" s="870"/>
      <c r="B5" s="870"/>
      <c r="C5" s="871"/>
      <c r="D5" s="871"/>
      <c r="E5" s="871"/>
      <c r="F5" s="871"/>
      <c r="G5" s="871"/>
      <c r="H5" s="871"/>
      <c r="I5" s="871"/>
      <c r="J5" s="870"/>
    </row>
    <row r="6" spans="1:10" ht="19.5" customHeight="1" x14ac:dyDescent="0.25">
      <c r="A6" s="870"/>
      <c r="B6" s="870"/>
      <c r="C6" s="871"/>
      <c r="D6" s="871"/>
      <c r="E6" s="871"/>
      <c r="F6" s="895" t="s">
        <v>5349</v>
      </c>
      <c r="G6" s="896"/>
      <c r="H6" s="896"/>
      <c r="I6" s="871"/>
      <c r="J6" s="870"/>
    </row>
    <row r="7" spans="1:10" ht="38.25" customHeight="1" x14ac:dyDescent="0.25">
      <c r="A7" s="911" t="s">
        <v>5352</v>
      </c>
      <c r="B7" s="911"/>
      <c r="C7" s="911"/>
      <c r="D7" s="911"/>
      <c r="E7" s="911"/>
      <c r="F7" s="911"/>
      <c r="G7" s="911"/>
      <c r="H7" s="911"/>
      <c r="I7" s="911"/>
      <c r="J7" s="911"/>
    </row>
    <row r="8" spans="1:10" ht="19.5" customHeight="1" x14ac:dyDescent="0.25">
      <c r="A8" s="870"/>
      <c r="B8" s="870"/>
      <c r="C8" s="871"/>
      <c r="D8" s="871"/>
      <c r="E8" s="912" t="s">
        <v>5350</v>
      </c>
      <c r="F8" s="912"/>
      <c r="G8" s="912"/>
      <c r="H8" s="912"/>
      <c r="I8" s="871"/>
      <c r="J8" s="870"/>
    </row>
    <row r="9" spans="1:10" s="874" customFormat="1" ht="10.5" customHeight="1" x14ac:dyDescent="0.25">
      <c r="A9" s="873"/>
      <c r="B9" s="873"/>
      <c r="C9" s="871"/>
      <c r="D9" s="871"/>
      <c r="E9" s="872"/>
      <c r="F9" s="872"/>
      <c r="G9" s="872"/>
      <c r="H9" s="872"/>
      <c r="I9" s="871"/>
      <c r="J9" s="873"/>
    </row>
    <row r="10" spans="1:10" ht="19.5" customHeight="1" x14ac:dyDescent="0.25">
      <c r="A10" s="870"/>
      <c r="B10" s="870"/>
      <c r="C10" s="871"/>
      <c r="D10" s="871"/>
      <c r="E10" s="872"/>
      <c r="F10" s="895" t="s">
        <v>5351</v>
      </c>
      <c r="G10" s="896"/>
      <c r="H10" s="896"/>
      <c r="I10" s="871"/>
      <c r="J10" s="870"/>
    </row>
    <row r="11" spans="1:10" ht="19.5" customHeight="1" x14ac:dyDescent="0.25">
      <c r="A11" s="911" t="s">
        <v>5353</v>
      </c>
      <c r="B11" s="911"/>
      <c r="C11" s="911"/>
      <c r="D11" s="911"/>
      <c r="E11" s="911"/>
      <c r="F11" s="911"/>
      <c r="G11" s="911"/>
      <c r="H11" s="911"/>
      <c r="I11" s="911"/>
      <c r="J11" s="911"/>
    </row>
    <row r="12" spans="1:10" s="874" customFormat="1" ht="19.5" hidden="1" customHeight="1" x14ac:dyDescent="0.25">
      <c r="A12" s="873"/>
      <c r="B12" s="873"/>
      <c r="C12" s="871"/>
      <c r="D12" s="871"/>
      <c r="E12" s="872"/>
      <c r="F12" s="872"/>
      <c r="G12" s="872"/>
      <c r="H12" s="872"/>
      <c r="I12" s="871"/>
      <c r="J12" s="873"/>
    </row>
    <row r="13" spans="1:10" hidden="1" x14ac:dyDescent="0.25"/>
    <row r="14" spans="1:10" ht="47.25" x14ac:dyDescent="0.25">
      <c r="A14" s="558" t="s">
        <v>0</v>
      </c>
      <c r="B14" s="913" t="s">
        <v>1</v>
      </c>
      <c r="C14" s="913"/>
      <c r="D14" s="913"/>
      <c r="E14" s="913"/>
      <c r="F14" s="913"/>
      <c r="G14" s="913"/>
      <c r="H14" s="559" t="s">
        <v>2</v>
      </c>
      <c r="I14" s="802" t="s">
        <v>5302</v>
      </c>
      <c r="J14" s="809" t="s">
        <v>5301</v>
      </c>
    </row>
    <row r="15" spans="1:10" ht="30" customHeight="1" x14ac:dyDescent="0.25">
      <c r="A15" s="2" t="s">
        <v>15</v>
      </c>
      <c r="B15" s="909" t="s">
        <v>3</v>
      </c>
      <c r="C15" s="909"/>
      <c r="D15" s="909"/>
      <c r="E15" s="909"/>
      <c r="F15" s="909"/>
      <c r="G15" s="909"/>
      <c r="H15" s="3" t="s">
        <v>4</v>
      </c>
      <c r="I15" s="803">
        <f>'Оптшти део - (6)'!D7+'Оптшти део - (6)'!D85</f>
        <v>576900000</v>
      </c>
      <c r="J15" s="810">
        <v>15845100</v>
      </c>
    </row>
    <row r="16" spans="1:10" ht="30" customHeight="1" x14ac:dyDescent="0.25">
      <c r="A16" s="2" t="s">
        <v>16</v>
      </c>
      <c r="B16" s="909" t="s">
        <v>5</v>
      </c>
      <c r="C16" s="909"/>
      <c r="D16" s="909"/>
      <c r="E16" s="909"/>
      <c r="F16" s="909"/>
      <c r="G16" s="909"/>
      <c r="H16" s="3" t="s">
        <v>6</v>
      </c>
      <c r="I16" s="803">
        <f>'По основ. нам.'!C6+'По основ. нам.'!C63</f>
        <v>576900000</v>
      </c>
      <c r="J16" s="810">
        <v>15845100</v>
      </c>
    </row>
    <row r="17" spans="1:10" ht="30" customHeight="1" x14ac:dyDescent="0.25">
      <c r="A17" s="1" t="s">
        <v>17</v>
      </c>
      <c r="B17" s="906" t="s">
        <v>7</v>
      </c>
      <c r="C17" s="906"/>
      <c r="D17" s="906"/>
      <c r="E17" s="906"/>
      <c r="F17" s="906"/>
      <c r="G17" s="906"/>
      <c r="H17" s="4" t="s">
        <v>8</v>
      </c>
      <c r="I17" s="804">
        <f>I15-I16</f>
        <v>0</v>
      </c>
      <c r="J17" s="807"/>
    </row>
    <row r="18" spans="1:10" ht="30" customHeight="1" x14ac:dyDescent="0.25">
      <c r="A18" s="2" t="s">
        <v>18</v>
      </c>
      <c r="B18" s="903" t="s">
        <v>5144</v>
      </c>
      <c r="C18" s="904"/>
      <c r="D18" s="904"/>
      <c r="E18" s="904"/>
      <c r="F18" s="904"/>
      <c r="G18" s="905"/>
      <c r="H18" s="5">
        <v>62</v>
      </c>
      <c r="I18" s="805">
        <f>'По основ. нам.'!C85-'По основ. нам.'!C86</f>
        <v>0</v>
      </c>
      <c r="J18" s="807"/>
    </row>
    <row r="19" spans="1:10" ht="30" customHeight="1" x14ac:dyDescent="0.25">
      <c r="A19" s="670" t="s">
        <v>19</v>
      </c>
      <c r="B19" s="900" t="s">
        <v>5136</v>
      </c>
      <c r="C19" s="901"/>
      <c r="D19" s="901"/>
      <c r="E19" s="901"/>
      <c r="F19" s="901"/>
      <c r="G19" s="902"/>
      <c r="H19" s="669">
        <v>92</v>
      </c>
      <c r="I19" s="805"/>
      <c r="J19" s="807"/>
    </row>
    <row r="20" spans="1:10" ht="30" customHeight="1" x14ac:dyDescent="0.25">
      <c r="A20" s="1" t="s">
        <v>20</v>
      </c>
      <c r="B20" s="906" t="s">
        <v>9</v>
      </c>
      <c r="C20" s="906"/>
      <c r="D20" s="906"/>
      <c r="E20" s="906"/>
      <c r="F20" s="906"/>
      <c r="G20" s="906"/>
      <c r="H20" s="4" t="s">
        <v>5137</v>
      </c>
      <c r="I20" s="804">
        <f>I17+I19-I18</f>
        <v>0</v>
      </c>
      <c r="J20" s="811">
        <v>0</v>
      </c>
    </row>
    <row r="21" spans="1:10" ht="30" customHeight="1" x14ac:dyDescent="0.25">
      <c r="A21" s="558" t="s">
        <v>10</v>
      </c>
      <c r="B21" s="907" t="s">
        <v>11</v>
      </c>
      <c r="C21" s="907"/>
      <c r="D21" s="907"/>
      <c r="E21" s="907"/>
      <c r="F21" s="907"/>
      <c r="G21" s="907"/>
      <c r="H21" s="907"/>
      <c r="I21" s="908"/>
      <c r="J21" s="808"/>
    </row>
    <row r="22" spans="1:10" ht="30" customHeight="1" x14ac:dyDescent="0.25">
      <c r="A22" s="2" t="s">
        <v>15</v>
      </c>
      <c r="B22" s="909" t="s">
        <v>12</v>
      </c>
      <c r="C22" s="909"/>
      <c r="D22" s="909"/>
      <c r="E22" s="909"/>
      <c r="F22" s="909"/>
      <c r="G22" s="909"/>
      <c r="H22" s="3">
        <v>91</v>
      </c>
      <c r="I22" s="803">
        <f>'Оптшти део - (6)'!D92</f>
        <v>0</v>
      </c>
      <c r="J22" s="807"/>
    </row>
    <row r="23" spans="1:10" ht="30" customHeight="1" x14ac:dyDescent="0.25">
      <c r="A23" s="2" t="s">
        <v>16</v>
      </c>
      <c r="B23" s="909" t="s">
        <v>5141</v>
      </c>
      <c r="C23" s="909"/>
      <c r="D23" s="909"/>
      <c r="E23" s="909"/>
      <c r="F23" s="909"/>
      <c r="G23" s="909"/>
      <c r="H23" s="3">
        <v>92</v>
      </c>
      <c r="I23" s="803">
        <f>'Оптшти део - (6)'!D95</f>
        <v>0</v>
      </c>
      <c r="J23" s="807"/>
    </row>
    <row r="24" spans="1:10" ht="30" customHeight="1" x14ac:dyDescent="0.25">
      <c r="A24" s="668" t="s">
        <v>17</v>
      </c>
      <c r="B24" s="900" t="s">
        <v>5138</v>
      </c>
      <c r="C24" s="901"/>
      <c r="D24" s="901"/>
      <c r="E24" s="901"/>
      <c r="F24" s="901"/>
      <c r="G24" s="902"/>
      <c r="H24" s="671">
        <v>3</v>
      </c>
      <c r="I24" s="803">
        <f>'Оптшти део - (6)'!D6</f>
        <v>0</v>
      </c>
      <c r="J24" s="807"/>
    </row>
    <row r="25" spans="1:10" ht="30" customHeight="1" x14ac:dyDescent="0.25">
      <c r="A25" s="2" t="s">
        <v>18</v>
      </c>
      <c r="B25" s="909" t="s">
        <v>5143</v>
      </c>
      <c r="C25" s="909"/>
      <c r="D25" s="909"/>
      <c r="E25" s="909"/>
      <c r="F25" s="909"/>
      <c r="G25" s="909"/>
      <c r="H25" s="3">
        <v>6211</v>
      </c>
      <c r="I25" s="803">
        <f>SUM('По основ. нам.'!C85)</f>
        <v>0</v>
      </c>
      <c r="J25" s="807"/>
    </row>
    <row r="26" spans="1:10" ht="30" customHeight="1" x14ac:dyDescent="0.25">
      <c r="A26" s="2" t="s">
        <v>19</v>
      </c>
      <c r="B26" s="909" t="s">
        <v>13</v>
      </c>
      <c r="C26" s="909"/>
      <c r="D26" s="909"/>
      <c r="E26" s="909"/>
      <c r="F26" s="909"/>
      <c r="G26" s="909"/>
      <c r="H26" s="3">
        <v>61</v>
      </c>
      <c r="I26" s="803">
        <f>'По основ. нам.'!C81</f>
        <v>0</v>
      </c>
      <c r="J26" s="807"/>
    </row>
    <row r="27" spans="1:10" ht="30" customHeight="1" x14ac:dyDescent="0.25">
      <c r="A27" s="558" t="s">
        <v>5140</v>
      </c>
      <c r="B27" s="899" t="s">
        <v>14</v>
      </c>
      <c r="C27" s="899"/>
      <c r="D27" s="899"/>
      <c r="E27" s="899"/>
      <c r="F27" s="899"/>
      <c r="G27" s="899"/>
      <c r="H27" s="672" t="s">
        <v>5139</v>
      </c>
      <c r="I27" s="806">
        <f>-(I22+I23+I24-I25-I26)</f>
        <v>0</v>
      </c>
      <c r="J27" s="812">
        <v>0</v>
      </c>
    </row>
    <row r="29" spans="1:10" ht="20.25" x14ac:dyDescent="0.25">
      <c r="A29" s="874"/>
      <c r="B29" s="874"/>
      <c r="C29" s="874"/>
      <c r="D29" s="874"/>
      <c r="E29" s="874"/>
      <c r="F29" s="895" t="s">
        <v>5354</v>
      </c>
      <c r="G29" s="896"/>
      <c r="H29" s="896"/>
      <c r="I29" s="874"/>
      <c r="J29" s="874"/>
    </row>
    <row r="30" spans="1:10" x14ac:dyDescent="0.25">
      <c r="A30" s="897" t="s">
        <v>5355</v>
      </c>
      <c r="B30" s="897"/>
      <c r="C30" s="897"/>
      <c r="D30" s="897"/>
      <c r="E30" s="897"/>
      <c r="F30" s="897"/>
      <c r="G30" s="897"/>
      <c r="H30" s="897"/>
      <c r="I30" s="897"/>
      <c r="J30" s="897"/>
    </row>
    <row r="31" spans="1:10" ht="18" customHeight="1" x14ac:dyDescent="0.25">
      <c r="A31" s="876"/>
      <c r="B31" s="898" t="s">
        <v>5356</v>
      </c>
      <c r="C31" s="898"/>
      <c r="D31" s="898"/>
      <c r="E31" s="898"/>
      <c r="F31" s="898"/>
      <c r="G31" s="898"/>
      <c r="H31" s="898"/>
      <c r="I31" s="898"/>
      <c r="J31" s="876"/>
    </row>
    <row r="32" spans="1:10" ht="15" customHeight="1" x14ac:dyDescent="0.25">
      <c r="A32" s="876"/>
      <c r="B32" s="898" t="s">
        <v>5357</v>
      </c>
      <c r="C32" s="898"/>
      <c r="D32" s="898"/>
      <c r="E32" s="898"/>
      <c r="F32" s="898"/>
      <c r="G32" s="898"/>
      <c r="H32" s="898"/>
      <c r="I32" s="898"/>
      <c r="J32" s="876"/>
    </row>
    <row r="33" spans="1:10" x14ac:dyDescent="0.25">
      <c r="A33" s="874"/>
      <c r="B33" s="874"/>
      <c r="C33" s="874"/>
      <c r="D33" s="874"/>
      <c r="E33" s="874"/>
      <c r="F33" s="874"/>
      <c r="G33" s="874"/>
      <c r="H33" s="874"/>
      <c r="I33" s="874"/>
      <c r="J33" s="874"/>
    </row>
    <row r="34" spans="1:10" ht="20.25" x14ac:dyDescent="0.25">
      <c r="A34" s="874"/>
      <c r="B34" s="874"/>
      <c r="C34" s="874"/>
      <c r="D34" s="874"/>
      <c r="E34" s="874"/>
      <c r="F34" s="895" t="s">
        <v>5358</v>
      </c>
      <c r="G34" s="896"/>
      <c r="H34" s="896"/>
      <c r="I34" s="874"/>
      <c r="J34" s="874"/>
    </row>
    <row r="35" spans="1:10" ht="18.75" customHeight="1" x14ac:dyDescent="0.25">
      <c r="A35" s="895" t="s">
        <v>5359</v>
      </c>
      <c r="B35" s="895"/>
      <c r="C35" s="895"/>
      <c r="D35" s="895"/>
      <c r="E35" s="895"/>
      <c r="F35" s="895"/>
      <c r="G35" s="895"/>
      <c r="H35" s="895"/>
      <c r="I35" s="895"/>
      <c r="J35" s="895"/>
    </row>
    <row r="36" spans="1:10" ht="27" customHeight="1" x14ac:dyDescent="0.25">
      <c r="A36" s="897" t="s">
        <v>5360</v>
      </c>
      <c r="B36" s="897"/>
      <c r="C36" s="897"/>
      <c r="D36" s="897"/>
      <c r="E36" s="897"/>
      <c r="F36" s="897"/>
      <c r="G36" s="897"/>
      <c r="H36" s="897"/>
      <c r="I36" s="897"/>
      <c r="J36" s="897"/>
    </row>
    <row r="37" spans="1:10" ht="315" hidden="1" customHeight="1" x14ac:dyDescent="0.25">
      <c r="A37" s="874"/>
      <c r="B37" s="874"/>
      <c r="C37" s="874"/>
      <c r="D37" s="874"/>
      <c r="E37" s="874"/>
      <c r="F37" s="874"/>
      <c r="G37" s="874"/>
      <c r="H37" s="874"/>
      <c r="I37" s="874"/>
      <c r="J37" s="874"/>
    </row>
    <row r="38" spans="1:10" ht="29.25" customHeight="1" x14ac:dyDescent="0.25">
      <c r="A38" s="895" t="s">
        <v>5362</v>
      </c>
      <c r="B38" s="895"/>
      <c r="C38" s="895"/>
      <c r="D38" s="895"/>
      <c r="E38" s="895"/>
      <c r="F38" s="895"/>
      <c r="G38" s="895"/>
      <c r="H38" s="895"/>
      <c r="I38" s="895"/>
      <c r="J38" s="895"/>
    </row>
    <row r="39" spans="1:10" x14ac:dyDescent="0.25">
      <c r="A39" s="874"/>
      <c r="B39" s="874"/>
      <c r="C39" s="874"/>
      <c r="D39" s="874"/>
      <c r="E39" s="874"/>
      <c r="F39" s="874"/>
      <c r="G39" s="874"/>
      <c r="H39" s="874"/>
      <c r="I39" s="874"/>
      <c r="J39" s="874"/>
    </row>
    <row r="40" spans="1:10" ht="20.25" x14ac:dyDescent="0.25">
      <c r="A40" s="874"/>
      <c r="B40" s="874"/>
      <c r="C40" s="874"/>
      <c r="D40" s="874"/>
      <c r="E40" s="874"/>
      <c r="F40" s="895" t="s">
        <v>5361</v>
      </c>
      <c r="G40" s="896"/>
      <c r="H40" s="896"/>
      <c r="I40" s="874"/>
      <c r="J40" s="874"/>
    </row>
    <row r="41" spans="1:10" ht="29.25" customHeight="1" x14ac:dyDescent="0.25">
      <c r="A41" s="895" t="s">
        <v>5364</v>
      </c>
      <c r="B41" s="895"/>
      <c r="C41" s="895"/>
      <c r="D41" s="895"/>
      <c r="E41" s="895"/>
      <c r="F41" s="895"/>
      <c r="G41" s="895"/>
      <c r="H41" s="895"/>
      <c r="I41" s="895"/>
      <c r="J41" s="895"/>
    </row>
    <row r="42" spans="1:10" ht="29.25" customHeight="1" x14ac:dyDescent="0.25">
      <c r="A42" s="895" t="s">
        <v>5365</v>
      </c>
      <c r="B42" s="895"/>
      <c r="C42" s="895"/>
      <c r="D42" s="895"/>
      <c r="E42" s="895"/>
      <c r="F42" s="895"/>
      <c r="G42" s="895"/>
      <c r="H42" s="895"/>
      <c r="I42" s="895"/>
      <c r="J42" s="895"/>
    </row>
    <row r="43" spans="1:10" x14ac:dyDescent="0.25">
      <c r="A43" s="874"/>
      <c r="B43" s="874"/>
      <c r="C43" s="874"/>
      <c r="D43" s="874"/>
      <c r="E43" s="874"/>
      <c r="F43" s="874"/>
      <c r="G43" s="874"/>
      <c r="H43" s="874"/>
      <c r="I43" s="874"/>
      <c r="J43" s="874"/>
    </row>
    <row r="44" spans="1:10" x14ac:dyDescent="0.25">
      <c r="A44" s="874"/>
      <c r="B44" s="874"/>
      <c r="C44" s="874"/>
      <c r="D44" s="874"/>
      <c r="E44" s="874"/>
      <c r="F44" s="874"/>
      <c r="G44" s="874"/>
      <c r="H44" s="874"/>
      <c r="I44" s="874"/>
      <c r="J44" s="874"/>
    </row>
    <row r="45" spans="1:10" ht="20.25" customHeight="1" x14ac:dyDescent="0.25">
      <c r="A45" s="874"/>
      <c r="B45" s="874"/>
      <c r="C45" s="874"/>
      <c r="D45" s="874"/>
      <c r="E45" s="874"/>
      <c r="F45" s="895"/>
      <c r="G45" s="896"/>
      <c r="H45" s="896"/>
      <c r="I45" s="874"/>
      <c r="J45" s="874"/>
    </row>
    <row r="46" spans="1:10" x14ac:dyDescent="0.25">
      <c r="A46" s="895" t="s">
        <v>5363</v>
      </c>
      <c r="B46" s="895"/>
      <c r="C46" s="895"/>
      <c r="D46" s="895"/>
      <c r="E46" s="895"/>
      <c r="F46" s="895"/>
      <c r="G46" s="895"/>
      <c r="H46" s="895"/>
      <c r="I46" s="895"/>
      <c r="J46" s="895"/>
    </row>
  </sheetData>
  <sheetProtection password="C613" sheet="1" objects="1" scenarios="1" selectLockedCells="1" selectUnlockedCells="1"/>
  <mergeCells count="35">
    <mergeCell ref="B16:G16"/>
    <mergeCell ref="B17:G17"/>
    <mergeCell ref="E8:H8"/>
    <mergeCell ref="F10:H10"/>
    <mergeCell ref="A11:J11"/>
    <mergeCell ref="B14:G14"/>
    <mergeCell ref="B15:G15"/>
    <mergeCell ref="A2:J2"/>
    <mergeCell ref="E3:H3"/>
    <mergeCell ref="C4:I4"/>
    <mergeCell ref="F6:H6"/>
    <mergeCell ref="A7:J7"/>
    <mergeCell ref="F29:H29"/>
    <mergeCell ref="A30:J30"/>
    <mergeCell ref="B27:G27"/>
    <mergeCell ref="B24:G24"/>
    <mergeCell ref="B18:G18"/>
    <mergeCell ref="B20:G20"/>
    <mergeCell ref="B19:G19"/>
    <mergeCell ref="B21:I21"/>
    <mergeCell ref="B22:G22"/>
    <mergeCell ref="B23:G23"/>
    <mergeCell ref="B25:G25"/>
    <mergeCell ref="B26:G26"/>
    <mergeCell ref="F34:H34"/>
    <mergeCell ref="A35:J35"/>
    <mergeCell ref="A36:J36"/>
    <mergeCell ref="B31:I31"/>
    <mergeCell ref="B32:I32"/>
    <mergeCell ref="A46:J46"/>
    <mergeCell ref="F40:H40"/>
    <mergeCell ref="A38:J38"/>
    <mergeCell ref="A41:J41"/>
    <mergeCell ref="A42:J42"/>
    <mergeCell ref="F45:H45"/>
  </mergeCells>
  <conditionalFormatting sqref="I20">
    <cfRule type="cellIs" dxfId="6" priority="4" operator="lessThan">
      <formula>0</formula>
    </cfRule>
  </conditionalFormatting>
  <conditionalFormatting sqref="I17">
    <cfRule type="cellIs" dxfId="5" priority="2" operator="lessThan">
      <formula>0</formula>
    </cfRule>
  </conditionalFormatting>
  <pageMargins left="0.51181102362204722" right="0.31496062992125984" top="0.74803149606299213" bottom="0.74803149606299213" header="0.31496062992125984" footer="0.31496062992125984"/>
  <pageSetup orientation="landscape" horizontalDpi="1200" verticalDpi="1200"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F47"/>
  <sheetViews>
    <sheetView workbookViewId="0">
      <selection activeCell="D3" sqref="D3"/>
    </sheetView>
  </sheetViews>
  <sheetFormatPr defaultRowHeight="15" x14ac:dyDescent="0.25"/>
  <cols>
    <col min="2" max="2" width="58.85546875" customWidth="1"/>
    <col min="3" max="3" width="16.5703125" customWidth="1"/>
    <col min="4" max="4" width="13.28515625" customWidth="1"/>
    <col min="5" max="5" width="15.140625" customWidth="1"/>
    <col min="6" max="6" width="11.5703125" customWidth="1"/>
  </cols>
  <sheetData>
    <row r="1" spans="1:6" ht="42.75" x14ac:dyDescent="0.25">
      <c r="A1" s="14" t="s">
        <v>21</v>
      </c>
      <c r="B1" s="15" t="s">
        <v>22</v>
      </c>
      <c r="C1" s="15" t="s">
        <v>23</v>
      </c>
      <c r="D1" s="16" t="s">
        <v>24</v>
      </c>
      <c r="E1" s="74" t="s">
        <v>3774</v>
      </c>
      <c r="F1" s="74" t="s">
        <v>4182</v>
      </c>
    </row>
    <row r="2" spans="1:6" x14ac:dyDescent="0.25">
      <c r="A2" s="7">
        <v>1</v>
      </c>
      <c r="B2" s="6">
        <v>2</v>
      </c>
      <c r="C2" s="6">
        <v>3</v>
      </c>
      <c r="D2" s="6">
        <v>4</v>
      </c>
      <c r="E2" s="6">
        <v>5</v>
      </c>
      <c r="F2" s="208">
        <v>6</v>
      </c>
    </row>
    <row r="3" spans="1:6" ht="28.5" x14ac:dyDescent="0.25">
      <c r="A3" s="41" t="s">
        <v>25</v>
      </c>
      <c r="B3" s="18" t="s">
        <v>26</v>
      </c>
      <c r="C3" s="12" t="s">
        <v>27</v>
      </c>
      <c r="D3" s="19"/>
      <c r="E3" s="75"/>
      <c r="F3" s="75"/>
    </row>
    <row r="4" spans="1:6" x14ac:dyDescent="0.25">
      <c r="A4" s="42" t="s">
        <v>15</v>
      </c>
      <c r="B4" s="20" t="s">
        <v>28</v>
      </c>
      <c r="C4" s="21">
        <v>71</v>
      </c>
      <c r="D4" s="22"/>
      <c r="E4" s="76"/>
      <c r="F4" s="76"/>
    </row>
    <row r="5" spans="1:6" ht="30" x14ac:dyDescent="0.25">
      <c r="A5" s="13" t="s">
        <v>29</v>
      </c>
      <c r="B5" s="23" t="s">
        <v>30</v>
      </c>
      <c r="C5" s="17">
        <v>711</v>
      </c>
      <c r="D5" s="24"/>
      <c r="E5" s="77"/>
      <c r="F5" s="77"/>
    </row>
    <row r="6" spans="1:6" x14ac:dyDescent="0.25">
      <c r="A6" s="13" t="s">
        <v>31</v>
      </c>
      <c r="B6" s="23" t="s">
        <v>32</v>
      </c>
      <c r="C6" s="17">
        <v>711180</v>
      </c>
      <c r="D6" s="24"/>
      <c r="E6" s="77"/>
      <c r="F6" s="77"/>
    </row>
    <row r="7" spans="1:6" x14ac:dyDescent="0.25">
      <c r="A7" s="13" t="s">
        <v>33</v>
      </c>
      <c r="B7" s="23" t="s">
        <v>34</v>
      </c>
      <c r="C7" s="17">
        <v>713</v>
      </c>
      <c r="D7" s="24"/>
      <c r="E7" s="77"/>
      <c r="F7" s="77"/>
    </row>
    <row r="8" spans="1:6" x14ac:dyDescent="0.25">
      <c r="A8" s="13" t="s">
        <v>35</v>
      </c>
      <c r="B8" s="23" t="s">
        <v>36</v>
      </c>
      <c r="C8" s="17"/>
      <c r="D8" s="24"/>
      <c r="E8" s="77"/>
      <c r="F8" s="77"/>
    </row>
    <row r="9" spans="1:6" x14ac:dyDescent="0.25">
      <c r="A9" s="43" t="s">
        <v>16</v>
      </c>
      <c r="B9" s="25" t="s">
        <v>37</v>
      </c>
      <c r="C9" s="26">
        <v>74</v>
      </c>
      <c r="D9" s="27"/>
      <c r="E9" s="78"/>
      <c r="F9" s="78"/>
    </row>
    <row r="10" spans="1:6" x14ac:dyDescent="0.25">
      <c r="A10" s="44" t="s">
        <v>38</v>
      </c>
      <c r="B10" s="28" t="s">
        <v>39</v>
      </c>
      <c r="C10" s="29">
        <v>741510</v>
      </c>
      <c r="D10" s="30"/>
      <c r="E10" s="79"/>
      <c r="F10" s="79"/>
    </row>
    <row r="11" spans="1:6" x14ac:dyDescent="0.25">
      <c r="A11" s="45" t="s">
        <v>40</v>
      </c>
      <c r="B11" s="28" t="s">
        <v>41</v>
      </c>
      <c r="C11" s="29">
        <v>741520</v>
      </c>
      <c r="D11" s="30"/>
      <c r="E11" s="79"/>
      <c r="F11" s="79"/>
    </row>
    <row r="12" spans="1:6" x14ac:dyDescent="0.25">
      <c r="A12" s="45" t="s">
        <v>40</v>
      </c>
      <c r="B12" s="28" t="s">
        <v>42</v>
      </c>
      <c r="C12" s="29">
        <v>741534</v>
      </c>
      <c r="D12" s="30"/>
      <c r="E12" s="79"/>
      <c r="F12" s="79"/>
    </row>
    <row r="13" spans="1:6" x14ac:dyDescent="0.25">
      <c r="A13" s="45" t="s">
        <v>44</v>
      </c>
      <c r="B13" s="31" t="s">
        <v>43</v>
      </c>
      <c r="C13" s="29">
        <v>741542</v>
      </c>
      <c r="D13" s="30"/>
      <c r="E13" s="79"/>
      <c r="F13" s="79"/>
    </row>
    <row r="14" spans="1:6" x14ac:dyDescent="0.25">
      <c r="A14" s="45" t="s">
        <v>46</v>
      </c>
      <c r="B14" s="47" t="s">
        <v>45</v>
      </c>
      <c r="C14" s="48">
        <v>741411</v>
      </c>
      <c r="D14" s="30"/>
      <c r="E14" s="79"/>
      <c r="F14" s="79"/>
    </row>
    <row r="15" spans="1:6" x14ac:dyDescent="0.25">
      <c r="A15" s="45" t="s">
        <v>48</v>
      </c>
      <c r="B15" s="47" t="s">
        <v>47</v>
      </c>
      <c r="C15" s="49">
        <v>742252</v>
      </c>
      <c r="D15" s="30"/>
      <c r="E15" s="79"/>
      <c r="F15" s="79"/>
    </row>
    <row r="16" spans="1:6" x14ac:dyDescent="0.25">
      <c r="A16" s="45" t="s">
        <v>50</v>
      </c>
      <c r="B16" s="47" t="s">
        <v>49</v>
      </c>
      <c r="C16" s="49">
        <v>742253</v>
      </c>
      <c r="D16" s="30"/>
      <c r="E16" s="79"/>
      <c r="F16" s="79"/>
    </row>
    <row r="17" spans="1:6" ht="45" x14ac:dyDescent="0.25">
      <c r="A17" s="45" t="s">
        <v>91</v>
      </c>
      <c r="B17" s="50" t="s">
        <v>51</v>
      </c>
      <c r="C17" s="49">
        <v>742340</v>
      </c>
      <c r="D17" s="30"/>
      <c r="E17" s="79"/>
      <c r="F17" s="79"/>
    </row>
    <row r="18" spans="1:6" x14ac:dyDescent="0.25">
      <c r="A18" s="8" t="s">
        <v>92</v>
      </c>
      <c r="B18" s="50" t="s">
        <v>52</v>
      </c>
      <c r="C18" s="51"/>
      <c r="D18" s="30"/>
      <c r="E18" s="79"/>
      <c r="F18" s="79"/>
    </row>
    <row r="19" spans="1:6" x14ac:dyDescent="0.25">
      <c r="A19" s="46" t="s">
        <v>17</v>
      </c>
      <c r="B19" s="32" t="s">
        <v>53</v>
      </c>
      <c r="C19" s="33" t="s">
        <v>54</v>
      </c>
      <c r="D19" s="34"/>
      <c r="E19" s="80"/>
      <c r="F19" s="80"/>
    </row>
    <row r="20" spans="1:6" x14ac:dyDescent="0.25">
      <c r="A20" s="42" t="s">
        <v>18</v>
      </c>
      <c r="B20" s="20" t="s">
        <v>55</v>
      </c>
      <c r="C20" s="21">
        <v>733</v>
      </c>
      <c r="D20" s="22"/>
      <c r="E20" s="76"/>
      <c r="F20" s="76"/>
    </row>
    <row r="21" spans="1:6" x14ac:dyDescent="0.25">
      <c r="A21" s="42" t="s">
        <v>19</v>
      </c>
      <c r="B21" s="20" t="s">
        <v>56</v>
      </c>
      <c r="C21" s="21">
        <v>771</v>
      </c>
      <c r="D21" s="22"/>
      <c r="E21" s="76"/>
      <c r="F21" s="76"/>
    </row>
    <row r="22" spans="1:6" x14ac:dyDescent="0.25">
      <c r="A22" s="42" t="s">
        <v>20</v>
      </c>
      <c r="B22" s="20" t="s">
        <v>57</v>
      </c>
      <c r="C22" s="21">
        <v>8</v>
      </c>
      <c r="D22" s="22"/>
      <c r="E22" s="76"/>
      <c r="F22" s="76"/>
    </row>
    <row r="23" spans="1:6" ht="28.5" x14ac:dyDescent="0.25">
      <c r="A23" s="11" t="s">
        <v>58</v>
      </c>
      <c r="B23" s="18" t="s">
        <v>59</v>
      </c>
      <c r="C23" s="12" t="s">
        <v>60</v>
      </c>
      <c r="D23" s="19"/>
      <c r="E23" s="75"/>
      <c r="F23" s="75"/>
    </row>
    <row r="24" spans="1:6" x14ac:dyDescent="0.25">
      <c r="A24" s="42" t="s">
        <v>15</v>
      </c>
      <c r="B24" s="20" t="s">
        <v>61</v>
      </c>
      <c r="C24" s="21" t="s">
        <v>62</v>
      </c>
      <c r="D24" s="22"/>
      <c r="E24" s="76"/>
      <c r="F24" s="76"/>
    </row>
    <row r="25" spans="1:6" x14ac:dyDescent="0.25">
      <c r="A25" s="13" t="s">
        <v>29</v>
      </c>
      <c r="B25" s="23" t="s">
        <v>63</v>
      </c>
      <c r="C25" s="17">
        <v>41</v>
      </c>
      <c r="D25" s="24"/>
      <c r="E25" s="77"/>
      <c r="F25" s="77"/>
    </row>
    <row r="26" spans="1:6" x14ac:dyDescent="0.25">
      <c r="A26" s="13" t="s">
        <v>31</v>
      </c>
      <c r="B26" s="23" t="s">
        <v>64</v>
      </c>
      <c r="C26" s="17">
        <v>42</v>
      </c>
      <c r="D26" s="24"/>
      <c r="E26" s="77"/>
      <c r="F26" s="77"/>
    </row>
    <row r="27" spans="1:6" x14ac:dyDescent="0.25">
      <c r="A27" s="13" t="s">
        <v>33</v>
      </c>
      <c r="B27" s="23" t="s">
        <v>65</v>
      </c>
      <c r="C27" s="17">
        <v>43</v>
      </c>
      <c r="D27" s="24"/>
      <c r="E27" s="77"/>
      <c r="F27" s="77"/>
    </row>
    <row r="28" spans="1:6" x14ac:dyDescent="0.25">
      <c r="A28" s="13" t="s">
        <v>66</v>
      </c>
      <c r="B28" s="23" t="s">
        <v>67</v>
      </c>
      <c r="C28" s="17">
        <v>44</v>
      </c>
      <c r="D28" s="24"/>
      <c r="E28" s="77"/>
      <c r="F28" s="77"/>
    </row>
    <row r="29" spans="1:6" x14ac:dyDescent="0.25">
      <c r="A29" s="13" t="s">
        <v>68</v>
      </c>
      <c r="B29" s="23" t="s">
        <v>69</v>
      </c>
      <c r="C29" s="17">
        <v>45</v>
      </c>
      <c r="D29" s="24"/>
      <c r="E29" s="77"/>
      <c r="F29" s="77"/>
    </row>
    <row r="30" spans="1:6" x14ac:dyDescent="0.25">
      <c r="A30" s="13" t="s">
        <v>35</v>
      </c>
      <c r="B30" s="23" t="s">
        <v>70</v>
      </c>
      <c r="C30" s="17">
        <v>47</v>
      </c>
      <c r="D30" s="24"/>
      <c r="E30" s="77"/>
      <c r="F30" s="77"/>
    </row>
    <row r="31" spans="1:6" x14ac:dyDescent="0.25">
      <c r="A31" s="13" t="s">
        <v>71</v>
      </c>
      <c r="B31" s="23" t="s">
        <v>72</v>
      </c>
      <c r="C31" s="17" t="s">
        <v>73</v>
      </c>
      <c r="D31" s="24"/>
      <c r="E31" s="77"/>
      <c r="F31" s="77"/>
    </row>
    <row r="32" spans="1:6" x14ac:dyDescent="0.25">
      <c r="A32" s="42" t="s">
        <v>16</v>
      </c>
      <c r="B32" s="20" t="s">
        <v>55</v>
      </c>
      <c r="C32" s="21">
        <v>463</v>
      </c>
      <c r="D32" s="22"/>
      <c r="E32" s="76"/>
      <c r="F32" s="76"/>
    </row>
    <row r="33" spans="1:6" x14ac:dyDescent="0.25">
      <c r="A33" s="42" t="s">
        <v>17</v>
      </c>
      <c r="B33" s="20" t="s">
        <v>74</v>
      </c>
      <c r="C33" s="21">
        <v>5</v>
      </c>
      <c r="D33" s="22"/>
      <c r="E33" s="76"/>
      <c r="F33" s="76"/>
    </row>
    <row r="34" spans="1:6" x14ac:dyDescent="0.25">
      <c r="A34" s="42" t="s">
        <v>18</v>
      </c>
      <c r="B34" s="20" t="s">
        <v>75</v>
      </c>
      <c r="C34" s="21">
        <v>62</v>
      </c>
      <c r="D34" s="22"/>
      <c r="E34" s="76"/>
      <c r="F34" s="76"/>
    </row>
    <row r="35" spans="1:6" ht="28.5" x14ac:dyDescent="0.25">
      <c r="A35" s="11" t="s">
        <v>76</v>
      </c>
      <c r="B35" s="18" t="s">
        <v>77</v>
      </c>
      <c r="C35" s="12">
        <v>9</v>
      </c>
      <c r="D35" s="19"/>
      <c r="E35" s="75"/>
      <c r="F35" s="75"/>
    </row>
    <row r="36" spans="1:6" x14ac:dyDescent="0.25">
      <c r="A36" s="42" t="s">
        <v>15</v>
      </c>
      <c r="B36" s="20" t="s">
        <v>78</v>
      </c>
      <c r="C36" s="21">
        <v>91</v>
      </c>
      <c r="D36" s="22"/>
      <c r="E36" s="76"/>
      <c r="F36" s="76"/>
    </row>
    <row r="37" spans="1:6" x14ac:dyDescent="0.25">
      <c r="A37" s="13" t="s">
        <v>29</v>
      </c>
      <c r="B37" s="23" t="s">
        <v>79</v>
      </c>
      <c r="C37" s="17">
        <v>911</v>
      </c>
      <c r="D37" s="24"/>
      <c r="E37" s="77"/>
      <c r="F37" s="77"/>
    </row>
    <row r="38" spans="1:6" x14ac:dyDescent="0.25">
      <c r="A38" s="13" t="s">
        <v>31</v>
      </c>
      <c r="B38" s="23" t="s">
        <v>80</v>
      </c>
      <c r="C38" s="17">
        <v>912</v>
      </c>
      <c r="D38" s="24"/>
      <c r="E38" s="77"/>
      <c r="F38" s="77"/>
    </row>
    <row r="39" spans="1:6" ht="28.5" x14ac:dyDescent="0.25">
      <c r="A39" s="42" t="s">
        <v>16</v>
      </c>
      <c r="B39" s="20" t="s">
        <v>81</v>
      </c>
      <c r="C39" s="21">
        <v>92</v>
      </c>
      <c r="D39" s="22"/>
      <c r="E39" s="76"/>
      <c r="F39" s="76"/>
    </row>
    <row r="40" spans="1:6" ht="28.5" x14ac:dyDescent="0.25">
      <c r="A40" s="11" t="s">
        <v>82</v>
      </c>
      <c r="B40" s="18" t="s">
        <v>83</v>
      </c>
      <c r="C40" s="12">
        <v>6</v>
      </c>
      <c r="D40" s="19"/>
      <c r="E40" s="75"/>
      <c r="F40" s="75"/>
    </row>
    <row r="41" spans="1:6" x14ac:dyDescent="0.25">
      <c r="A41" s="42" t="s">
        <v>15</v>
      </c>
      <c r="B41" s="20" t="s">
        <v>84</v>
      </c>
      <c r="C41" s="21">
        <v>61</v>
      </c>
      <c r="D41" s="22"/>
      <c r="E41" s="76"/>
      <c r="F41" s="76"/>
    </row>
    <row r="42" spans="1:6" x14ac:dyDescent="0.25">
      <c r="A42" s="13" t="s">
        <v>29</v>
      </c>
      <c r="B42" s="23" t="s">
        <v>85</v>
      </c>
      <c r="C42" s="35">
        <v>611</v>
      </c>
      <c r="D42" s="36"/>
      <c r="E42" s="81"/>
      <c r="F42" s="81"/>
    </row>
    <row r="43" spans="1:6" x14ac:dyDescent="0.25">
      <c r="A43" s="13" t="s">
        <v>31</v>
      </c>
      <c r="B43" s="23" t="s">
        <v>86</v>
      </c>
      <c r="C43" s="35">
        <v>612</v>
      </c>
      <c r="D43" s="36"/>
      <c r="E43" s="81"/>
      <c r="F43" s="81"/>
    </row>
    <row r="44" spans="1:6" x14ac:dyDescent="0.25">
      <c r="A44" s="13" t="s">
        <v>33</v>
      </c>
      <c r="B44" s="23" t="s">
        <v>87</v>
      </c>
      <c r="C44" s="35">
        <v>613</v>
      </c>
      <c r="D44" s="36"/>
      <c r="E44" s="81"/>
      <c r="F44" s="81"/>
    </row>
    <row r="45" spans="1:6" x14ac:dyDescent="0.25">
      <c r="A45" s="42" t="s">
        <v>16</v>
      </c>
      <c r="B45" s="20" t="s">
        <v>88</v>
      </c>
      <c r="C45" s="37">
        <v>6211</v>
      </c>
      <c r="D45" s="38"/>
      <c r="E45" s="82"/>
      <c r="F45" s="82"/>
    </row>
    <row r="46" spans="1:6" x14ac:dyDescent="0.25">
      <c r="A46" s="10"/>
      <c r="B46" s="9"/>
      <c r="C46" s="39"/>
      <c r="D46" s="40"/>
      <c r="E46" s="83"/>
      <c r="F46" s="83"/>
    </row>
    <row r="47" spans="1:6" ht="28.5" x14ac:dyDescent="0.25">
      <c r="A47" s="11" t="s">
        <v>89</v>
      </c>
      <c r="B47" s="18" t="s">
        <v>90</v>
      </c>
      <c r="C47" s="12">
        <v>3</v>
      </c>
      <c r="D47" s="19"/>
      <c r="E47" s="75"/>
      <c r="F47" s="75"/>
    </row>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theme="0"/>
  </sheetPr>
  <dimension ref="A1:M100"/>
  <sheetViews>
    <sheetView topLeftCell="A50" workbookViewId="0">
      <selection activeCell="C49" sqref="C49"/>
    </sheetView>
  </sheetViews>
  <sheetFormatPr defaultRowHeight="15" x14ac:dyDescent="0.25"/>
  <cols>
    <col min="1" max="1" width="11.7109375" style="84" customWidth="1"/>
    <col min="2" max="2" width="9.42578125" style="84" customWidth="1"/>
    <col min="3" max="3" width="51.7109375" style="84" customWidth="1"/>
    <col min="4" max="4" width="16.5703125" style="84" customWidth="1"/>
    <col min="5" max="5" width="6.7109375" style="84" customWidth="1"/>
    <col min="6" max="6" width="17.28515625" style="84" customWidth="1"/>
    <col min="7" max="7" width="16.28515625" style="84" customWidth="1"/>
    <col min="8" max="9" width="9.140625" style="84"/>
    <col min="10" max="10" width="8.140625" style="84" customWidth="1"/>
    <col min="11" max="11" width="28.28515625" style="84" customWidth="1"/>
    <col min="12" max="12" width="14.85546875" style="84" customWidth="1"/>
    <col min="13" max="13" width="14.42578125" style="84" customWidth="1"/>
    <col min="14" max="51" width="9.140625" style="84" customWidth="1"/>
    <col min="52" max="16384" width="9.140625" style="84"/>
  </cols>
  <sheetData>
    <row r="1" spans="1:13" x14ac:dyDescent="0.25">
      <c r="C1" s="875" t="s">
        <v>5366</v>
      </c>
    </row>
    <row r="2" spans="1:13" ht="30.75" customHeight="1" x14ac:dyDescent="0.25">
      <c r="A2" s="914" t="s">
        <v>5367</v>
      </c>
      <c r="B2" s="914"/>
      <c r="C2" s="914"/>
      <c r="D2" s="914"/>
      <c r="E2" s="914"/>
      <c r="F2" s="914"/>
      <c r="G2" s="914"/>
    </row>
    <row r="4" spans="1:13" ht="15" customHeight="1" x14ac:dyDescent="0.25">
      <c r="A4" s="920" t="s">
        <v>3689</v>
      </c>
      <c r="B4" s="920" t="s">
        <v>3690</v>
      </c>
      <c r="C4" s="920" t="s">
        <v>3691</v>
      </c>
      <c r="D4" s="915" t="s">
        <v>5300</v>
      </c>
      <c r="E4" s="916"/>
      <c r="F4" s="917"/>
      <c r="G4" s="918" t="s">
        <v>4185</v>
      </c>
    </row>
    <row r="5" spans="1:13" ht="35.25" customHeight="1" x14ac:dyDescent="0.25">
      <c r="A5" s="921"/>
      <c r="B5" s="921"/>
      <c r="C5" s="921"/>
      <c r="D5" s="134" t="s">
        <v>24</v>
      </c>
      <c r="E5" s="191" t="s">
        <v>3692</v>
      </c>
      <c r="F5" s="134" t="s">
        <v>4184</v>
      </c>
      <c r="G5" s="919"/>
      <c r="J5" s="553" t="s">
        <v>4504</v>
      </c>
      <c r="K5" s="210"/>
      <c r="L5" s="554" t="s">
        <v>24</v>
      </c>
      <c r="M5" s="554" t="s">
        <v>3774</v>
      </c>
    </row>
    <row r="6" spans="1:13" x14ac:dyDescent="0.25">
      <c r="A6" s="135"/>
      <c r="B6" s="135"/>
      <c r="C6" s="136" t="s">
        <v>3693</v>
      </c>
      <c r="D6" s="137"/>
      <c r="E6" s="199">
        <f>IFERROR(D6/$D$98,"-")</f>
        <v>0</v>
      </c>
      <c r="F6" s="137"/>
      <c r="G6" s="185"/>
      <c r="J6" s="550"/>
      <c r="K6" s="210" t="s">
        <v>4502</v>
      </c>
      <c r="L6" s="551">
        <f>D20+D23+D24+D25+D34+D35+D38+D39+D40+D42+D45+D52+D53+D56+D57+D58+D59+D60+D64+D65+D66+D68+D69+D70+D73+D75+D76+D78+D79+D80</f>
        <v>202908000</v>
      </c>
      <c r="M6" s="551">
        <f>F20+F23+F24+F25+F34+F35+F38+F39+F40+F42+F45+F52+F53+F56+F57+F58+F59+F60+F64+F65+F66+F68+F69+F70+F73+F75+F76+F78+F79+F80</f>
        <v>5980100</v>
      </c>
    </row>
    <row r="7" spans="1:13" x14ac:dyDescent="0.25">
      <c r="A7" s="138" t="s">
        <v>2207</v>
      </c>
      <c r="B7" s="139"/>
      <c r="C7" s="140" t="s">
        <v>3694</v>
      </c>
      <c r="D7" s="141">
        <f>SUM(D8,D43,D50,D81,D83)</f>
        <v>576900000</v>
      </c>
      <c r="E7" s="200">
        <f t="shared" ref="E7:E70" si="0">IFERROR(D7/$D$98,"-")</f>
        <v>1</v>
      </c>
      <c r="F7" s="141">
        <f>SUM(F8,F43,F50,F81,F83)</f>
        <v>15845100</v>
      </c>
      <c r="G7" s="186">
        <f>SUM(D7,F7)</f>
        <v>592745100</v>
      </c>
      <c r="J7" s="552"/>
      <c r="K7" s="210" t="s">
        <v>4503</v>
      </c>
      <c r="L7" s="551">
        <f>D10+D11+D12+D13+D15+D14+D16+D17+D18+D19+D21+D26+D27+D29+D28+D30+D31+D33+D36+D37+D54+D55+D61+D62+D67+D72+D82</f>
        <v>179100000</v>
      </c>
      <c r="M7" s="551">
        <f>F10+F11+F12+F13+F15+F14+F16+F17+F18+F19+F21+F26+F27+F29+F28+F30+F31+F33+F36+F37+F54+F55+F61+F62+F67+F72+F82</f>
        <v>0</v>
      </c>
    </row>
    <row r="8" spans="1:13" x14ac:dyDescent="0.25">
      <c r="A8" s="142">
        <v>710000</v>
      </c>
      <c r="B8" s="142"/>
      <c r="C8" s="143" t="s">
        <v>3695</v>
      </c>
      <c r="D8" s="144">
        <f>SUM(D9,D22,D32,D41)</f>
        <v>196500000</v>
      </c>
      <c r="E8" s="201">
        <f t="shared" si="0"/>
        <v>0.34061362454498179</v>
      </c>
      <c r="F8" s="144">
        <f>SUM(F9,F22,F32,F41)</f>
        <v>0</v>
      </c>
      <c r="G8" s="187">
        <f>SUM(D8,F8)</f>
        <v>196500000</v>
      </c>
      <c r="J8" s="211"/>
      <c r="K8" s="211" t="s">
        <v>55</v>
      </c>
      <c r="L8" s="551">
        <f>SUM(D47:D49)</f>
        <v>194892000</v>
      </c>
      <c r="M8" s="551">
        <f>SUM(F47:F49)</f>
        <v>3965000</v>
      </c>
    </row>
    <row r="9" spans="1:13" x14ac:dyDescent="0.25">
      <c r="A9" s="145">
        <v>711000</v>
      </c>
      <c r="B9" s="146"/>
      <c r="C9" s="147" t="s">
        <v>3696</v>
      </c>
      <c r="D9" s="148">
        <f>SUM(D10:D21)</f>
        <v>139500000</v>
      </c>
      <c r="E9" s="202">
        <f t="shared" si="0"/>
        <v>0.24180967238689546</v>
      </c>
      <c r="F9" s="148">
        <f>SUM(F10:F21)</f>
        <v>0</v>
      </c>
      <c r="G9" s="188">
        <f>SUM(D9,F9)</f>
        <v>139500000</v>
      </c>
      <c r="J9" s="210"/>
      <c r="K9" s="210" t="s">
        <v>57</v>
      </c>
      <c r="L9" s="551">
        <f>SUM(D85)</f>
        <v>0</v>
      </c>
      <c r="M9" s="551">
        <f>SUM(F85)</f>
        <v>0</v>
      </c>
    </row>
    <row r="10" spans="1:13" x14ac:dyDescent="0.25">
      <c r="A10" s="149"/>
      <c r="B10" s="547">
        <v>711111</v>
      </c>
      <c r="C10" s="150" t="s">
        <v>3697</v>
      </c>
      <c r="D10" s="151">
        <v>120000000</v>
      </c>
      <c r="E10" s="203">
        <f t="shared" si="0"/>
        <v>0.2080083203328133</v>
      </c>
      <c r="F10" s="151"/>
      <c r="G10" s="189">
        <f>SUM(D10,F10)</f>
        <v>120000000</v>
      </c>
      <c r="J10" s="210"/>
      <c r="K10" s="210" t="s">
        <v>12</v>
      </c>
      <c r="L10" s="555">
        <f>SUM(D91)</f>
        <v>0</v>
      </c>
      <c r="M10" s="555">
        <f>SUM(F91)</f>
        <v>0</v>
      </c>
    </row>
    <row r="11" spans="1:13" ht="24" x14ac:dyDescent="0.25">
      <c r="A11" s="149"/>
      <c r="B11" s="547">
        <v>711121</v>
      </c>
      <c r="C11" s="150" t="s">
        <v>3698</v>
      </c>
      <c r="D11" s="151">
        <v>2000000</v>
      </c>
      <c r="E11" s="203">
        <f t="shared" si="0"/>
        <v>3.4668053388802219E-3</v>
      </c>
      <c r="F11" s="151"/>
      <c r="G11" s="189">
        <f t="shared" ref="G11:G21" si="1">SUM(D11,F11)</f>
        <v>2000000</v>
      </c>
      <c r="J11" s="210"/>
      <c r="K11" s="560" t="s">
        <v>4182</v>
      </c>
      <c r="L11" s="561">
        <f>SUM(L6:L10)</f>
        <v>576900000</v>
      </c>
      <c r="M11" s="561">
        <f>SUM(M6:M10)</f>
        <v>9945100</v>
      </c>
    </row>
    <row r="12" spans="1:13" ht="24" x14ac:dyDescent="0.25">
      <c r="A12" s="149"/>
      <c r="B12" s="547">
        <v>711122</v>
      </c>
      <c r="C12" s="150" t="s">
        <v>3699</v>
      </c>
      <c r="D12" s="151">
        <v>4000000</v>
      </c>
      <c r="E12" s="203">
        <f t="shared" si="0"/>
        <v>6.9336106777604439E-3</v>
      </c>
      <c r="F12" s="151"/>
      <c r="G12" s="189">
        <f t="shared" si="1"/>
        <v>4000000</v>
      </c>
    </row>
    <row r="13" spans="1:13" ht="24" x14ac:dyDescent="0.25">
      <c r="A13" s="149"/>
      <c r="B13" s="547">
        <v>711123</v>
      </c>
      <c r="C13" s="150" t="s">
        <v>3767</v>
      </c>
      <c r="D13" s="151">
        <v>4000000</v>
      </c>
      <c r="E13" s="203">
        <f t="shared" si="0"/>
        <v>6.9336106777604439E-3</v>
      </c>
      <c r="F13" s="151"/>
      <c r="G13" s="189">
        <f t="shared" si="1"/>
        <v>4000000</v>
      </c>
    </row>
    <row r="14" spans="1:13" x14ac:dyDescent="0.25">
      <c r="A14" s="149"/>
      <c r="B14" s="547">
        <v>711143</v>
      </c>
      <c r="C14" s="150" t="s">
        <v>3700</v>
      </c>
      <c r="D14" s="151">
        <v>500000</v>
      </c>
      <c r="E14" s="203">
        <f t="shared" si="0"/>
        <v>8.6670133472005549E-4</v>
      </c>
      <c r="F14" s="151"/>
      <c r="G14" s="189">
        <f t="shared" si="1"/>
        <v>500000</v>
      </c>
    </row>
    <row r="15" spans="1:13" ht="29.25" customHeight="1" x14ac:dyDescent="0.25">
      <c r="A15" s="149"/>
      <c r="B15" s="547">
        <v>711145</v>
      </c>
      <c r="C15" s="150" t="s">
        <v>3768</v>
      </c>
      <c r="D15" s="151">
        <v>500000</v>
      </c>
      <c r="E15" s="203">
        <f t="shared" si="0"/>
        <v>8.6670133472005549E-4</v>
      </c>
      <c r="F15" s="151"/>
      <c r="G15" s="189">
        <f t="shared" si="1"/>
        <v>500000</v>
      </c>
    </row>
    <row r="16" spans="1:13" ht="24" x14ac:dyDescent="0.25">
      <c r="A16" s="149"/>
      <c r="B16" s="547">
        <v>711146</v>
      </c>
      <c r="C16" s="150" t="s">
        <v>3701</v>
      </c>
      <c r="D16" s="151">
        <v>300000</v>
      </c>
      <c r="E16" s="203">
        <f t="shared" si="0"/>
        <v>5.2002080083203334E-4</v>
      </c>
      <c r="F16" s="151"/>
      <c r="G16" s="189">
        <f t="shared" si="1"/>
        <v>300000</v>
      </c>
    </row>
    <row r="17" spans="1:7" x14ac:dyDescent="0.25">
      <c r="A17" s="149"/>
      <c r="B17" s="547">
        <v>711147</v>
      </c>
      <c r="C17" s="150" t="s">
        <v>3702</v>
      </c>
      <c r="D17" s="151">
        <v>500000</v>
      </c>
      <c r="E17" s="203">
        <f t="shared" si="0"/>
        <v>8.6670133472005549E-4</v>
      </c>
      <c r="F17" s="151"/>
      <c r="G17" s="189">
        <f t="shared" si="1"/>
        <v>500000</v>
      </c>
    </row>
    <row r="18" spans="1:7" x14ac:dyDescent="0.25">
      <c r="A18" s="149"/>
      <c r="B18" s="547">
        <v>711148</v>
      </c>
      <c r="C18" s="150" t="s">
        <v>3703</v>
      </c>
      <c r="D18" s="151">
        <v>200000</v>
      </c>
      <c r="E18" s="203">
        <f t="shared" si="0"/>
        <v>3.4668053388802221E-4</v>
      </c>
      <c r="F18" s="151"/>
      <c r="G18" s="189">
        <f t="shared" si="1"/>
        <v>200000</v>
      </c>
    </row>
    <row r="19" spans="1:7" hidden="1" x14ac:dyDescent="0.25">
      <c r="A19" s="149"/>
      <c r="B19" s="547">
        <v>711161</v>
      </c>
      <c r="C19" s="150" t="s">
        <v>3704</v>
      </c>
      <c r="D19" s="151"/>
      <c r="E19" s="203">
        <f t="shared" si="0"/>
        <v>0</v>
      </c>
      <c r="F19" s="151"/>
      <c r="G19" s="189">
        <f t="shared" si="1"/>
        <v>0</v>
      </c>
    </row>
    <row r="20" spans="1:7" hidden="1" x14ac:dyDescent="0.25">
      <c r="A20" s="149"/>
      <c r="B20" s="545">
        <v>711181</v>
      </c>
      <c r="C20" s="150" t="s">
        <v>3705</v>
      </c>
      <c r="D20" s="151"/>
      <c r="E20" s="203">
        <f t="shared" si="0"/>
        <v>0</v>
      </c>
      <c r="F20" s="151"/>
      <c r="G20" s="189">
        <f t="shared" si="1"/>
        <v>0</v>
      </c>
    </row>
    <row r="21" spans="1:7" x14ac:dyDescent="0.25">
      <c r="A21" s="152"/>
      <c r="B21" s="547">
        <v>711190</v>
      </c>
      <c r="C21" s="150" t="s">
        <v>3706</v>
      </c>
      <c r="D21" s="151">
        <v>7500000</v>
      </c>
      <c r="E21" s="203">
        <f t="shared" si="0"/>
        <v>1.3000520020800831E-2</v>
      </c>
      <c r="F21" s="151"/>
      <c r="G21" s="189">
        <f t="shared" si="1"/>
        <v>7500000</v>
      </c>
    </row>
    <row r="22" spans="1:7" x14ac:dyDescent="0.25">
      <c r="A22" s="145">
        <v>713000</v>
      </c>
      <c r="B22" s="153"/>
      <c r="C22" s="147" t="s">
        <v>3707</v>
      </c>
      <c r="D22" s="148">
        <f>SUM(D23:D31)</f>
        <v>41000000</v>
      </c>
      <c r="E22" s="202">
        <f t="shared" si="0"/>
        <v>7.1069509447044543E-2</v>
      </c>
      <c r="F22" s="148">
        <f>SUM(F23:F31)</f>
        <v>0</v>
      </c>
      <c r="G22" s="188">
        <f>SUM(D22,F22)</f>
        <v>41000000</v>
      </c>
    </row>
    <row r="23" spans="1:7" ht="24" x14ac:dyDescent="0.25">
      <c r="A23" s="149"/>
      <c r="B23" s="545">
        <v>713121</v>
      </c>
      <c r="C23" s="150" t="s">
        <v>3708</v>
      </c>
      <c r="D23" s="151">
        <v>13000000</v>
      </c>
      <c r="E23" s="203">
        <f t="shared" si="0"/>
        <v>2.2534234702721444E-2</v>
      </c>
      <c r="F23" s="151"/>
      <c r="G23" s="189">
        <f>SUM(D23,F23)</f>
        <v>13000000</v>
      </c>
    </row>
    <row r="24" spans="1:7" ht="24" x14ac:dyDescent="0.25">
      <c r="A24" s="149"/>
      <c r="B24" s="545">
        <v>713122</v>
      </c>
      <c r="C24" s="150" t="s">
        <v>3709</v>
      </c>
      <c r="D24" s="151">
        <v>10000000</v>
      </c>
      <c r="E24" s="203">
        <f t="shared" si="0"/>
        <v>1.7334026694401108E-2</v>
      </c>
      <c r="F24" s="151"/>
      <c r="G24" s="189">
        <f t="shared" ref="G24:G31" si="2">SUM(D24,F24)</f>
        <v>10000000</v>
      </c>
    </row>
    <row r="25" spans="1:7" ht="24" hidden="1" x14ac:dyDescent="0.25">
      <c r="A25" s="149"/>
      <c r="B25" s="545">
        <v>713126</v>
      </c>
      <c r="C25" s="150" t="s">
        <v>3769</v>
      </c>
      <c r="D25" s="151"/>
      <c r="E25" s="203">
        <f t="shared" si="0"/>
        <v>0</v>
      </c>
      <c r="F25" s="151"/>
      <c r="G25" s="189">
        <f t="shared" si="2"/>
        <v>0</v>
      </c>
    </row>
    <row r="26" spans="1:7" x14ac:dyDescent="0.25">
      <c r="A26" s="149"/>
      <c r="B26" s="547">
        <v>713311</v>
      </c>
      <c r="C26" s="150" t="s">
        <v>3710</v>
      </c>
      <c r="D26" s="151">
        <v>1000000</v>
      </c>
      <c r="E26" s="203">
        <f t="shared" si="0"/>
        <v>1.733402669440111E-3</v>
      </c>
      <c r="F26" s="151"/>
      <c r="G26" s="189">
        <f t="shared" si="2"/>
        <v>1000000</v>
      </c>
    </row>
    <row r="27" spans="1:7" ht="24" x14ac:dyDescent="0.25">
      <c r="A27" s="149"/>
      <c r="B27" s="547">
        <v>713421</v>
      </c>
      <c r="C27" s="150" t="s">
        <v>3711</v>
      </c>
      <c r="D27" s="151">
        <v>12000000</v>
      </c>
      <c r="E27" s="203">
        <f t="shared" si="0"/>
        <v>2.0800832033281331E-2</v>
      </c>
      <c r="F27" s="151"/>
      <c r="G27" s="189">
        <f t="shared" si="2"/>
        <v>12000000</v>
      </c>
    </row>
    <row r="28" spans="1:7" ht="36" hidden="1" x14ac:dyDescent="0.25">
      <c r="A28" s="149"/>
      <c r="B28" s="547">
        <v>713422</v>
      </c>
      <c r="C28" s="150" t="s">
        <v>3712</v>
      </c>
      <c r="D28" s="151"/>
      <c r="E28" s="203">
        <f t="shared" si="0"/>
        <v>0</v>
      </c>
      <c r="F28" s="151"/>
      <c r="G28" s="189">
        <f t="shared" si="2"/>
        <v>0</v>
      </c>
    </row>
    <row r="29" spans="1:7" ht="24" x14ac:dyDescent="0.25">
      <c r="A29" s="149"/>
      <c r="B29" s="547">
        <v>713423</v>
      </c>
      <c r="C29" s="150" t="s">
        <v>3770</v>
      </c>
      <c r="D29" s="151">
        <v>5000000</v>
      </c>
      <c r="E29" s="203">
        <f t="shared" si="0"/>
        <v>8.6670133472005542E-3</v>
      </c>
      <c r="F29" s="151"/>
      <c r="G29" s="189">
        <f t="shared" si="2"/>
        <v>5000000</v>
      </c>
    </row>
    <row r="30" spans="1:7" ht="24" hidden="1" x14ac:dyDescent="0.25">
      <c r="A30" s="149"/>
      <c r="B30" s="547">
        <v>713424</v>
      </c>
      <c r="C30" s="150" t="s">
        <v>3771</v>
      </c>
      <c r="D30" s="151"/>
      <c r="E30" s="203">
        <f t="shared" si="0"/>
        <v>0</v>
      </c>
      <c r="F30" s="151"/>
      <c r="G30" s="189">
        <f t="shared" si="2"/>
        <v>0</v>
      </c>
    </row>
    <row r="31" spans="1:7" hidden="1" x14ac:dyDescent="0.25">
      <c r="A31" s="149"/>
      <c r="B31" s="547">
        <v>713611</v>
      </c>
      <c r="C31" s="154" t="s">
        <v>3713</v>
      </c>
      <c r="D31" s="151"/>
      <c r="E31" s="203">
        <f t="shared" si="0"/>
        <v>0</v>
      </c>
      <c r="F31" s="151"/>
      <c r="G31" s="189">
        <f t="shared" si="2"/>
        <v>0</v>
      </c>
    </row>
    <row r="32" spans="1:7" x14ac:dyDescent="0.25">
      <c r="A32" s="145">
        <v>714000</v>
      </c>
      <c r="B32" s="146"/>
      <c r="C32" s="147" t="s">
        <v>3714</v>
      </c>
      <c r="D32" s="148">
        <f>SUM(D33:D40)</f>
        <v>10000000</v>
      </c>
      <c r="E32" s="202">
        <f t="shared" si="0"/>
        <v>1.7334026694401108E-2</v>
      </c>
      <c r="F32" s="148">
        <f>SUM(F33:F40)</f>
        <v>0</v>
      </c>
      <c r="G32" s="188">
        <f>SUM(D32,F32)</f>
        <v>10000000</v>
      </c>
    </row>
    <row r="33" spans="1:7" hidden="1" x14ac:dyDescent="0.25">
      <c r="A33" s="155"/>
      <c r="B33" s="547">
        <v>714441</v>
      </c>
      <c r="C33" s="150" t="s">
        <v>3715</v>
      </c>
      <c r="D33" s="151"/>
      <c r="E33" s="203">
        <f t="shared" si="0"/>
        <v>0</v>
      </c>
      <c r="F33" s="151"/>
      <c r="G33" s="189">
        <f>SUM(D33,F33)</f>
        <v>0</v>
      </c>
    </row>
    <row r="34" spans="1:7" ht="48" hidden="1" x14ac:dyDescent="0.25">
      <c r="A34" s="155"/>
      <c r="B34" s="545">
        <v>714431</v>
      </c>
      <c r="C34" s="154" t="s">
        <v>3716</v>
      </c>
      <c r="D34" s="151"/>
      <c r="E34" s="203">
        <f t="shared" si="0"/>
        <v>0</v>
      </c>
      <c r="F34" s="151"/>
      <c r="G34" s="189">
        <f t="shared" ref="G34:G40" si="3">SUM(D34,F34)</f>
        <v>0</v>
      </c>
    </row>
    <row r="35" spans="1:7" ht="24" x14ac:dyDescent="0.25">
      <c r="A35" s="155"/>
      <c r="B35" s="545">
        <v>714513</v>
      </c>
      <c r="C35" s="150" t="s">
        <v>3717</v>
      </c>
      <c r="D35" s="151">
        <v>6000000</v>
      </c>
      <c r="E35" s="203">
        <f t="shared" si="0"/>
        <v>1.0400416016640665E-2</v>
      </c>
      <c r="F35" s="151"/>
      <c r="G35" s="189">
        <f t="shared" si="3"/>
        <v>6000000</v>
      </c>
    </row>
    <row r="36" spans="1:7" x14ac:dyDescent="0.25">
      <c r="A36" s="155"/>
      <c r="B36" s="547">
        <v>714543</v>
      </c>
      <c r="C36" s="150" t="s">
        <v>3718</v>
      </c>
      <c r="D36" s="151">
        <v>500000</v>
      </c>
      <c r="E36" s="203">
        <f t="shared" si="0"/>
        <v>8.6670133472005549E-4</v>
      </c>
      <c r="F36" s="151"/>
      <c r="G36" s="189">
        <f t="shared" si="3"/>
        <v>500000</v>
      </c>
    </row>
    <row r="37" spans="1:7" ht="24" hidden="1" x14ac:dyDescent="0.25">
      <c r="A37" s="155"/>
      <c r="B37" s="547">
        <v>714549</v>
      </c>
      <c r="C37" s="150" t="s">
        <v>3719</v>
      </c>
      <c r="D37" s="151"/>
      <c r="E37" s="203">
        <f t="shared" si="0"/>
        <v>0</v>
      </c>
      <c r="F37" s="151"/>
      <c r="G37" s="189">
        <f t="shared" si="3"/>
        <v>0</v>
      </c>
    </row>
    <row r="38" spans="1:7" x14ac:dyDescent="0.25">
      <c r="A38" s="152"/>
      <c r="B38" s="545">
        <v>714552</v>
      </c>
      <c r="C38" s="154" t="s">
        <v>3720</v>
      </c>
      <c r="D38" s="151">
        <v>500000</v>
      </c>
      <c r="E38" s="203">
        <f t="shared" si="0"/>
        <v>8.6670133472005549E-4</v>
      </c>
      <c r="F38" s="151"/>
      <c r="G38" s="189">
        <f t="shared" si="3"/>
        <v>500000</v>
      </c>
    </row>
    <row r="39" spans="1:7" x14ac:dyDescent="0.25">
      <c r="A39" s="155"/>
      <c r="B39" s="545">
        <v>714562</v>
      </c>
      <c r="C39" s="150" t="s">
        <v>3721</v>
      </c>
      <c r="D39" s="151">
        <v>3000000</v>
      </c>
      <c r="E39" s="203">
        <f t="shared" si="0"/>
        <v>5.2002080083203327E-3</v>
      </c>
      <c r="F39" s="151"/>
      <c r="G39" s="189">
        <f t="shared" si="3"/>
        <v>3000000</v>
      </c>
    </row>
    <row r="40" spans="1:7" hidden="1" x14ac:dyDescent="0.25">
      <c r="A40" s="155"/>
      <c r="B40" s="545">
        <v>714572</v>
      </c>
      <c r="C40" s="150" t="s">
        <v>3722</v>
      </c>
      <c r="D40" s="151"/>
      <c r="E40" s="203">
        <f t="shared" si="0"/>
        <v>0</v>
      </c>
      <c r="F40" s="151"/>
      <c r="G40" s="189">
        <f t="shared" si="3"/>
        <v>0</v>
      </c>
    </row>
    <row r="41" spans="1:7" x14ac:dyDescent="0.25">
      <c r="A41" s="156" t="s">
        <v>2391</v>
      </c>
      <c r="B41" s="157"/>
      <c r="C41" s="158" t="s">
        <v>3723</v>
      </c>
      <c r="D41" s="148">
        <f>SUM(D42:D42)</f>
        <v>6000000</v>
      </c>
      <c r="E41" s="202">
        <f t="shared" si="0"/>
        <v>1.0400416016640665E-2</v>
      </c>
      <c r="F41" s="148">
        <f>SUM(F42:F42)</f>
        <v>0</v>
      </c>
      <c r="G41" s="188">
        <f>SUM(D41,F41)</f>
        <v>6000000</v>
      </c>
    </row>
    <row r="42" spans="1:7" x14ac:dyDescent="0.25">
      <c r="A42" s="155"/>
      <c r="B42" s="546" t="s">
        <v>2395</v>
      </c>
      <c r="C42" s="150" t="s">
        <v>3724</v>
      </c>
      <c r="D42" s="151">
        <v>6000000</v>
      </c>
      <c r="E42" s="203">
        <f t="shared" si="0"/>
        <v>1.0400416016640665E-2</v>
      </c>
      <c r="F42" s="151"/>
      <c r="G42" s="189">
        <f>SUM(D42,F42)</f>
        <v>6000000</v>
      </c>
    </row>
    <row r="43" spans="1:7" x14ac:dyDescent="0.25">
      <c r="A43" s="159" t="s">
        <v>2598</v>
      </c>
      <c r="B43" s="160"/>
      <c r="C43" s="161" t="s">
        <v>3725</v>
      </c>
      <c r="D43" s="144">
        <f>SUM(D44,D46)</f>
        <v>194892000</v>
      </c>
      <c r="E43" s="201">
        <f t="shared" si="0"/>
        <v>0.33782631305252209</v>
      </c>
      <c r="F43" s="144">
        <f>SUM(F44,F46)</f>
        <v>3965000</v>
      </c>
      <c r="G43" s="187">
        <f>SUM(D43,F43)</f>
        <v>198857000</v>
      </c>
    </row>
    <row r="44" spans="1:7" hidden="1" x14ac:dyDescent="0.25">
      <c r="A44" s="156" t="s">
        <v>2623</v>
      </c>
      <c r="B44" s="157"/>
      <c r="C44" s="158" t="s">
        <v>3726</v>
      </c>
      <c r="D44" s="148">
        <f>SUM(D45)</f>
        <v>0</v>
      </c>
      <c r="E44" s="202">
        <f t="shared" si="0"/>
        <v>0</v>
      </c>
      <c r="F44" s="148">
        <f>SUM(F45)</f>
        <v>0</v>
      </c>
      <c r="G44" s="188">
        <f>SUM(G45)</f>
        <v>0</v>
      </c>
    </row>
    <row r="45" spans="1:7" ht="24" hidden="1" x14ac:dyDescent="0.25">
      <c r="A45" s="155"/>
      <c r="B45" s="546" t="s">
        <v>2630</v>
      </c>
      <c r="C45" s="162" t="s">
        <v>3727</v>
      </c>
      <c r="D45" s="151"/>
      <c r="E45" s="203">
        <f t="shared" si="0"/>
        <v>0</v>
      </c>
      <c r="F45" s="151"/>
      <c r="G45" s="189"/>
    </row>
    <row r="46" spans="1:7" x14ac:dyDescent="0.25">
      <c r="A46" s="156" t="s">
        <v>2648</v>
      </c>
      <c r="B46" s="157"/>
      <c r="C46" s="158" t="s">
        <v>3728</v>
      </c>
      <c r="D46" s="148">
        <f>SUM(D47:D49)</f>
        <v>194892000</v>
      </c>
      <c r="E46" s="202">
        <f t="shared" si="0"/>
        <v>0.33782631305252209</v>
      </c>
      <c r="F46" s="148">
        <f>SUM(F47:F49)</f>
        <v>3965000</v>
      </c>
      <c r="G46" s="188">
        <f>SUM(D46,F46)</f>
        <v>198857000</v>
      </c>
    </row>
    <row r="47" spans="1:7" x14ac:dyDescent="0.25">
      <c r="A47" s="163"/>
      <c r="B47" s="164">
        <v>733151</v>
      </c>
      <c r="C47" s="165" t="s">
        <v>5298</v>
      </c>
      <c r="D47" s="151">
        <v>194892000</v>
      </c>
      <c r="E47" s="203">
        <f t="shared" si="0"/>
        <v>0.33782631305252209</v>
      </c>
      <c r="F47" s="151"/>
      <c r="G47" s="189">
        <f>SUM(D47,F47)</f>
        <v>194892000</v>
      </c>
    </row>
    <row r="48" spans="1:7" ht="23.25" customHeight="1" x14ac:dyDescent="0.25">
      <c r="A48" s="163"/>
      <c r="B48" s="155" t="s">
        <v>5299</v>
      </c>
      <c r="C48" s="162" t="s">
        <v>5293</v>
      </c>
      <c r="D48" s="151"/>
      <c r="E48" s="203">
        <f t="shared" si="0"/>
        <v>0</v>
      </c>
      <c r="F48" s="151">
        <v>3965000</v>
      </c>
      <c r="G48" s="189">
        <f t="shared" ref="G48:G49" si="4">SUM(D48,F48)</f>
        <v>3965000</v>
      </c>
    </row>
    <row r="49" spans="1:7" ht="24" hidden="1" x14ac:dyDescent="0.25">
      <c r="A49" s="163"/>
      <c r="B49" s="155" t="s">
        <v>2697</v>
      </c>
      <c r="C49" s="162" t="s">
        <v>3729</v>
      </c>
      <c r="D49" s="151"/>
      <c r="E49" s="203">
        <f t="shared" si="0"/>
        <v>0</v>
      </c>
      <c r="F49" s="151"/>
      <c r="G49" s="189">
        <f t="shared" si="4"/>
        <v>0</v>
      </c>
    </row>
    <row r="50" spans="1:7" x14ac:dyDescent="0.25">
      <c r="A50" s="159" t="s">
        <v>2707</v>
      </c>
      <c r="B50" s="160"/>
      <c r="C50" s="161" t="s">
        <v>3730</v>
      </c>
      <c r="D50" s="144">
        <f>SUM(D51,D63,D71,D74,D77)</f>
        <v>185208000</v>
      </c>
      <c r="E50" s="201">
        <f t="shared" si="0"/>
        <v>0.32104004160166405</v>
      </c>
      <c r="F50" s="144">
        <f>SUM(F51,F63,F71,F74,F77)</f>
        <v>5980100</v>
      </c>
      <c r="G50" s="187">
        <f>SUM(F50,D50)</f>
        <v>191188100</v>
      </c>
    </row>
    <row r="51" spans="1:7" x14ac:dyDescent="0.25">
      <c r="A51" s="156" t="s">
        <v>2709</v>
      </c>
      <c r="B51" s="157"/>
      <c r="C51" s="158" t="s">
        <v>3731</v>
      </c>
      <c r="D51" s="148">
        <f>SUM(D52:D62)</f>
        <v>30500000</v>
      </c>
      <c r="E51" s="202">
        <f t="shared" si="0"/>
        <v>5.2868781417923387E-2</v>
      </c>
      <c r="F51" s="148">
        <f>SUM(F52:F62)</f>
        <v>0</v>
      </c>
      <c r="G51" s="188">
        <f>SUM(F51,D51)</f>
        <v>30500000</v>
      </c>
    </row>
    <row r="52" spans="1:7" ht="24" x14ac:dyDescent="0.25">
      <c r="A52" s="163"/>
      <c r="B52" s="546" t="s">
        <v>2719</v>
      </c>
      <c r="C52" s="150" t="s">
        <v>3732</v>
      </c>
      <c r="D52" s="151">
        <v>6000000</v>
      </c>
      <c r="E52" s="203">
        <f t="shared" si="0"/>
        <v>1.0400416016640665E-2</v>
      </c>
      <c r="F52" s="151"/>
      <c r="G52" s="189">
        <f>SUM(F52,D52)</f>
        <v>6000000</v>
      </c>
    </row>
    <row r="53" spans="1:7" hidden="1" x14ac:dyDescent="0.25">
      <c r="A53" s="163"/>
      <c r="B53" s="546" t="s">
        <v>2748</v>
      </c>
      <c r="C53" s="162" t="s">
        <v>45</v>
      </c>
      <c r="D53" s="151"/>
      <c r="E53" s="203">
        <f t="shared" si="0"/>
        <v>0</v>
      </c>
      <c r="F53" s="151"/>
      <c r="G53" s="189">
        <f t="shared" ref="G53:G62" si="5">SUM(F53,D53)</f>
        <v>0</v>
      </c>
    </row>
    <row r="54" spans="1:7" x14ac:dyDescent="0.25">
      <c r="A54" s="163"/>
      <c r="B54" s="548" t="s">
        <v>2754</v>
      </c>
      <c r="C54" s="162" t="s">
        <v>39</v>
      </c>
      <c r="D54" s="151">
        <v>17000000</v>
      </c>
      <c r="E54" s="203">
        <f t="shared" si="0"/>
        <v>2.9467845380481885E-2</v>
      </c>
      <c r="F54" s="151"/>
      <c r="G54" s="189">
        <f t="shared" si="5"/>
        <v>17000000</v>
      </c>
    </row>
    <row r="55" spans="1:7" x14ac:dyDescent="0.25">
      <c r="A55" s="163"/>
      <c r="B55" s="548" t="s">
        <v>2763</v>
      </c>
      <c r="C55" s="162" t="s">
        <v>41</v>
      </c>
      <c r="D55" s="151">
        <v>1500000</v>
      </c>
      <c r="E55" s="203">
        <f t="shared" si="0"/>
        <v>2.6001040041601664E-3</v>
      </c>
      <c r="F55" s="151"/>
      <c r="G55" s="189">
        <f t="shared" si="5"/>
        <v>1500000</v>
      </c>
    </row>
    <row r="56" spans="1:7" ht="48" x14ac:dyDescent="0.25">
      <c r="A56" s="163"/>
      <c r="B56" s="546" t="s">
        <v>2775</v>
      </c>
      <c r="C56" s="162" t="s">
        <v>3733</v>
      </c>
      <c r="D56" s="151">
        <v>800000</v>
      </c>
      <c r="E56" s="203">
        <f t="shared" si="0"/>
        <v>1.3867221355520888E-3</v>
      </c>
      <c r="F56" s="151"/>
      <c r="G56" s="189">
        <f t="shared" si="5"/>
        <v>800000</v>
      </c>
    </row>
    <row r="57" spans="1:7" ht="36" hidden="1" x14ac:dyDescent="0.25">
      <c r="A57" s="163"/>
      <c r="B57" s="546" t="s">
        <v>2777</v>
      </c>
      <c r="C57" s="162" t="s">
        <v>3734</v>
      </c>
      <c r="D57" s="151"/>
      <c r="E57" s="203">
        <f t="shared" si="0"/>
        <v>0</v>
      </c>
      <c r="F57" s="151"/>
      <c r="G57" s="189">
        <f t="shared" si="5"/>
        <v>0</v>
      </c>
    </row>
    <row r="58" spans="1:7" ht="24" hidden="1" x14ac:dyDescent="0.25">
      <c r="A58" s="163"/>
      <c r="B58" s="546" t="s">
        <v>2779</v>
      </c>
      <c r="C58" s="162" t="s">
        <v>3735</v>
      </c>
      <c r="D58" s="151"/>
      <c r="E58" s="203">
        <f t="shared" si="0"/>
        <v>0</v>
      </c>
      <c r="F58" s="151"/>
      <c r="G58" s="189">
        <f t="shared" si="5"/>
        <v>0</v>
      </c>
    </row>
    <row r="59" spans="1:7" x14ac:dyDescent="0.25">
      <c r="A59" s="163"/>
      <c r="B59" s="546" t="s">
        <v>2781</v>
      </c>
      <c r="C59" s="162" t="s">
        <v>42</v>
      </c>
      <c r="D59" s="151">
        <v>5200000</v>
      </c>
      <c r="E59" s="203">
        <f t="shared" si="0"/>
        <v>9.0136938810885768E-3</v>
      </c>
      <c r="F59" s="151"/>
      <c r="G59" s="189">
        <f t="shared" si="5"/>
        <v>5200000</v>
      </c>
    </row>
    <row r="60" spans="1:7" ht="24" hidden="1" x14ac:dyDescent="0.25">
      <c r="A60" s="163"/>
      <c r="B60" s="546" t="s">
        <v>2783</v>
      </c>
      <c r="C60" s="150" t="s">
        <v>3736</v>
      </c>
      <c r="D60" s="151"/>
      <c r="E60" s="203">
        <f t="shared" si="0"/>
        <v>0</v>
      </c>
      <c r="F60" s="151"/>
      <c r="G60" s="189">
        <f t="shared" si="5"/>
        <v>0</v>
      </c>
    </row>
    <row r="61" spans="1:7" hidden="1" x14ac:dyDescent="0.25">
      <c r="A61" s="163"/>
      <c r="B61" s="548" t="s">
        <v>2789</v>
      </c>
      <c r="C61" s="150" t="s">
        <v>43</v>
      </c>
      <c r="D61" s="151"/>
      <c r="E61" s="203">
        <f t="shared" si="0"/>
        <v>0</v>
      </c>
      <c r="F61" s="151"/>
      <c r="G61" s="189">
        <f t="shared" si="5"/>
        <v>0</v>
      </c>
    </row>
    <row r="62" spans="1:7" hidden="1" x14ac:dyDescent="0.25">
      <c r="A62" s="163"/>
      <c r="B62" s="548" t="s">
        <v>2793</v>
      </c>
      <c r="C62" s="150" t="s">
        <v>3737</v>
      </c>
      <c r="D62" s="151"/>
      <c r="E62" s="203">
        <f t="shared" si="0"/>
        <v>0</v>
      </c>
      <c r="F62" s="151"/>
      <c r="G62" s="189">
        <f t="shared" si="5"/>
        <v>0</v>
      </c>
    </row>
    <row r="63" spans="1:7" x14ac:dyDescent="0.25">
      <c r="A63" s="156" t="s">
        <v>2816</v>
      </c>
      <c r="B63" s="157"/>
      <c r="C63" s="158" t="s">
        <v>3738</v>
      </c>
      <c r="D63" s="148">
        <f>SUM(D64:D70)</f>
        <v>9500000</v>
      </c>
      <c r="E63" s="202">
        <f t="shared" si="0"/>
        <v>1.6467325359681054E-2</v>
      </c>
      <c r="F63" s="148">
        <f>SUM(F64:F70)</f>
        <v>5980100</v>
      </c>
      <c r="G63" s="188">
        <f>SUM(F63,D63)</f>
        <v>15480100</v>
      </c>
    </row>
    <row r="64" spans="1:7" ht="36" hidden="1" x14ac:dyDescent="0.25">
      <c r="A64" s="163"/>
      <c r="B64" s="546" t="s">
        <v>2837</v>
      </c>
      <c r="C64" s="150" t="s">
        <v>3739</v>
      </c>
      <c r="D64" s="151"/>
      <c r="E64" s="203">
        <f t="shared" si="0"/>
        <v>0</v>
      </c>
      <c r="F64" s="151"/>
      <c r="G64" s="189">
        <f>SUM(F64,D64)</f>
        <v>0</v>
      </c>
    </row>
    <row r="65" spans="1:7" ht="24" hidden="1" x14ac:dyDescent="0.25">
      <c r="A65" s="163"/>
      <c r="B65" s="546" t="s">
        <v>2839</v>
      </c>
      <c r="C65" s="150" t="s">
        <v>3740</v>
      </c>
      <c r="D65" s="151"/>
      <c r="E65" s="203">
        <f t="shared" si="0"/>
        <v>0</v>
      </c>
      <c r="F65" s="151"/>
      <c r="G65" s="189">
        <f t="shared" ref="G65:G70" si="6">SUM(F65,D65)</f>
        <v>0</v>
      </c>
    </row>
    <row r="66" spans="1:7" x14ac:dyDescent="0.25">
      <c r="A66" s="163"/>
      <c r="B66" s="545">
        <v>742251</v>
      </c>
      <c r="C66" s="162" t="s">
        <v>5294</v>
      </c>
      <c r="D66" s="151">
        <v>2500000</v>
      </c>
      <c r="E66" s="203">
        <f t="shared" si="0"/>
        <v>4.3335066736002771E-3</v>
      </c>
      <c r="F66" s="151"/>
      <c r="G66" s="189">
        <f t="shared" si="6"/>
        <v>2500000</v>
      </c>
    </row>
    <row r="67" spans="1:7" x14ac:dyDescent="0.25">
      <c r="A67" s="163"/>
      <c r="B67" s="547">
        <v>742252</v>
      </c>
      <c r="C67" s="150" t="s">
        <v>47</v>
      </c>
      <c r="D67" s="151"/>
      <c r="E67" s="203">
        <f t="shared" si="0"/>
        <v>0</v>
      </c>
      <c r="F67" s="151"/>
      <c r="G67" s="189">
        <f t="shared" si="6"/>
        <v>0</v>
      </c>
    </row>
    <row r="68" spans="1:7" x14ac:dyDescent="0.25">
      <c r="A68" s="163"/>
      <c r="B68" s="545">
        <v>742253</v>
      </c>
      <c r="C68" s="162" t="s">
        <v>49</v>
      </c>
      <c r="D68" s="151">
        <v>2000000</v>
      </c>
      <c r="E68" s="203">
        <f t="shared" si="0"/>
        <v>3.4668053388802219E-3</v>
      </c>
      <c r="F68" s="151"/>
      <c r="G68" s="189">
        <f t="shared" si="6"/>
        <v>2000000</v>
      </c>
    </row>
    <row r="69" spans="1:7" ht="24" hidden="1" x14ac:dyDescent="0.25">
      <c r="A69" s="163"/>
      <c r="B69" s="545">
        <v>742254</v>
      </c>
      <c r="C69" s="162" t="s">
        <v>3741</v>
      </c>
      <c r="D69" s="151"/>
      <c r="E69" s="203">
        <f t="shared" si="0"/>
        <v>0</v>
      </c>
      <c r="F69" s="151"/>
      <c r="G69" s="189">
        <f t="shared" si="6"/>
        <v>0</v>
      </c>
    </row>
    <row r="70" spans="1:7" x14ac:dyDescent="0.25">
      <c r="A70" s="163"/>
      <c r="B70" s="545">
        <v>742351</v>
      </c>
      <c r="C70" s="162" t="s">
        <v>5295</v>
      </c>
      <c r="D70" s="151">
        <v>5000000</v>
      </c>
      <c r="E70" s="203">
        <f t="shared" si="0"/>
        <v>8.6670133472005542E-3</v>
      </c>
      <c r="F70" s="151">
        <v>5980100</v>
      </c>
      <c r="G70" s="189">
        <f t="shared" si="6"/>
        <v>10980100</v>
      </c>
    </row>
    <row r="71" spans="1:7" x14ac:dyDescent="0.25">
      <c r="A71" s="156" t="s">
        <v>2922</v>
      </c>
      <c r="B71" s="157"/>
      <c r="C71" s="158" t="s">
        <v>3742</v>
      </c>
      <c r="D71" s="148">
        <f>SUM(D72:D73)</f>
        <v>2300000</v>
      </c>
      <c r="E71" s="202">
        <f t="shared" ref="E71:E98" si="7">IFERROR(D71/$D$98,"-")</f>
        <v>3.9868261397122554E-3</v>
      </c>
      <c r="F71" s="148">
        <f>SUM(F72:F73)</f>
        <v>0</v>
      </c>
      <c r="G71" s="188">
        <f>SUM(D71,F71)</f>
        <v>2300000</v>
      </c>
    </row>
    <row r="72" spans="1:7" ht="24" x14ac:dyDescent="0.25">
      <c r="A72" s="163"/>
      <c r="B72" s="548" t="s">
        <v>2946</v>
      </c>
      <c r="C72" s="150" t="s">
        <v>3743</v>
      </c>
      <c r="D72" s="151">
        <v>2300000</v>
      </c>
      <c r="E72" s="203">
        <f t="shared" si="7"/>
        <v>3.9868261397122554E-3</v>
      </c>
      <c r="F72" s="151"/>
      <c r="G72" s="800">
        <f t="shared" ref="G72:G73" si="8">SUM(D72,F72)</f>
        <v>2300000</v>
      </c>
    </row>
    <row r="73" spans="1:7" hidden="1" x14ac:dyDescent="0.25">
      <c r="A73" s="163"/>
      <c r="B73" s="546" t="s">
        <v>2956</v>
      </c>
      <c r="C73" s="150" t="s">
        <v>3744</v>
      </c>
      <c r="D73" s="151"/>
      <c r="E73" s="203">
        <f t="shared" si="7"/>
        <v>0</v>
      </c>
      <c r="F73" s="151"/>
      <c r="G73" s="800">
        <f t="shared" si="8"/>
        <v>0</v>
      </c>
    </row>
    <row r="74" spans="1:7" ht="24" x14ac:dyDescent="0.25">
      <c r="A74" s="156" t="s">
        <v>2996</v>
      </c>
      <c r="B74" s="157"/>
      <c r="C74" s="158" t="s">
        <v>3745</v>
      </c>
      <c r="D74" s="148">
        <f>SUM(D75:D76)</f>
        <v>0</v>
      </c>
      <c r="E74" s="202">
        <f t="shared" si="7"/>
        <v>0</v>
      </c>
      <c r="F74" s="148">
        <f>SUM(F75:F76)</f>
        <v>0</v>
      </c>
      <c r="G74" s="188">
        <f>SUM(G75:G76)</f>
        <v>0</v>
      </c>
    </row>
    <row r="75" spans="1:7" ht="24" x14ac:dyDescent="0.25">
      <c r="A75" s="163"/>
      <c r="B75" s="546" t="s">
        <v>3005</v>
      </c>
      <c r="C75" s="150" t="s">
        <v>3746</v>
      </c>
      <c r="D75" s="151"/>
      <c r="E75" s="203">
        <f t="shared" si="7"/>
        <v>0</v>
      </c>
      <c r="F75" s="151"/>
      <c r="G75" s="189"/>
    </row>
    <row r="76" spans="1:7" ht="24" x14ac:dyDescent="0.25">
      <c r="A76" s="163"/>
      <c r="B76" s="546" t="s">
        <v>3018</v>
      </c>
      <c r="C76" s="150" t="s">
        <v>3747</v>
      </c>
      <c r="D76" s="151"/>
      <c r="E76" s="203">
        <f t="shared" si="7"/>
        <v>0</v>
      </c>
      <c r="F76" s="151"/>
      <c r="G76" s="189"/>
    </row>
    <row r="77" spans="1:7" x14ac:dyDescent="0.25">
      <c r="A77" s="156" t="s">
        <v>3024</v>
      </c>
      <c r="B77" s="157"/>
      <c r="C77" s="158" t="s">
        <v>3748</v>
      </c>
      <c r="D77" s="148">
        <f>SUM(D78:D80)</f>
        <v>142908000</v>
      </c>
      <c r="E77" s="202">
        <f t="shared" si="7"/>
        <v>0.24771710868434738</v>
      </c>
      <c r="F77" s="148">
        <f>SUM(F78:F80)</f>
        <v>0</v>
      </c>
      <c r="G77" s="188">
        <f>SUM(F77,D77)</f>
        <v>142908000</v>
      </c>
    </row>
    <row r="78" spans="1:7" hidden="1" x14ac:dyDescent="0.25">
      <c r="A78" s="163"/>
      <c r="B78" s="546" t="s">
        <v>3046</v>
      </c>
      <c r="C78" s="162" t="s">
        <v>3772</v>
      </c>
      <c r="D78" s="151"/>
      <c r="E78" s="203">
        <f t="shared" si="7"/>
        <v>0</v>
      </c>
      <c r="F78" s="151"/>
      <c r="G78" s="800">
        <f t="shared" ref="G78:G80" si="9">SUM(F78,D78)</f>
        <v>0</v>
      </c>
    </row>
    <row r="79" spans="1:7" hidden="1" x14ac:dyDescent="0.25">
      <c r="A79" s="163"/>
      <c r="B79" s="546" t="s">
        <v>3048</v>
      </c>
      <c r="C79" s="162" t="s">
        <v>3773</v>
      </c>
      <c r="D79" s="151"/>
      <c r="E79" s="203">
        <f t="shared" si="7"/>
        <v>0</v>
      </c>
      <c r="F79" s="151"/>
      <c r="G79" s="800">
        <f t="shared" si="9"/>
        <v>0</v>
      </c>
    </row>
    <row r="80" spans="1:7" x14ac:dyDescent="0.25">
      <c r="A80" s="163"/>
      <c r="B80" s="546" t="s">
        <v>5296</v>
      </c>
      <c r="C80" s="162" t="s">
        <v>5297</v>
      </c>
      <c r="D80" s="151">
        <v>142908000</v>
      </c>
      <c r="E80" s="203">
        <f t="shared" si="7"/>
        <v>0.24771710868434738</v>
      </c>
      <c r="F80" s="151"/>
      <c r="G80" s="800">
        <f t="shared" si="9"/>
        <v>142908000</v>
      </c>
    </row>
    <row r="81" spans="1:7" x14ac:dyDescent="0.25">
      <c r="A81" s="166" t="s">
        <v>3063</v>
      </c>
      <c r="B81" s="167"/>
      <c r="C81" s="168" t="s">
        <v>3749</v>
      </c>
      <c r="D81" s="169">
        <f>SUM(D82)</f>
        <v>300000</v>
      </c>
      <c r="E81" s="204">
        <f t="shared" si="7"/>
        <v>5.2002080083203334E-4</v>
      </c>
      <c r="F81" s="169">
        <f>SUM(F82)</f>
        <v>0</v>
      </c>
      <c r="G81" s="190">
        <f>SUM(D81,F81)</f>
        <v>300000</v>
      </c>
    </row>
    <row r="82" spans="1:7" x14ac:dyDescent="0.25">
      <c r="A82" s="163"/>
      <c r="B82" s="548" t="s">
        <v>3065</v>
      </c>
      <c r="C82" s="162" t="s">
        <v>56</v>
      </c>
      <c r="D82" s="151">
        <v>300000</v>
      </c>
      <c r="E82" s="203">
        <f t="shared" si="7"/>
        <v>5.2002080083203334E-4</v>
      </c>
      <c r="F82" s="151"/>
      <c r="G82" s="800">
        <f t="shared" ref="G82:G96" si="10">SUM(D82,F82)</f>
        <v>300000</v>
      </c>
    </row>
    <row r="83" spans="1:7" x14ac:dyDescent="0.25">
      <c r="A83" s="166" t="s">
        <v>3095</v>
      </c>
      <c r="B83" s="167"/>
      <c r="C83" s="168" t="s">
        <v>3750</v>
      </c>
      <c r="D83" s="169">
        <f>SUM(D84)</f>
        <v>0</v>
      </c>
      <c r="E83" s="204">
        <f t="shared" si="7"/>
        <v>0</v>
      </c>
      <c r="F83" s="169">
        <f>SUM(F84)</f>
        <v>5900000</v>
      </c>
      <c r="G83" s="190">
        <f t="shared" si="10"/>
        <v>5900000</v>
      </c>
    </row>
    <row r="84" spans="1:7" x14ac:dyDescent="0.25">
      <c r="A84" s="163"/>
      <c r="B84" s="155" t="s">
        <v>3097</v>
      </c>
      <c r="C84" s="162" t="s">
        <v>235</v>
      </c>
      <c r="D84" s="151"/>
      <c r="E84" s="203">
        <f t="shared" si="7"/>
        <v>0</v>
      </c>
      <c r="F84" s="151">
        <v>5900000</v>
      </c>
      <c r="G84" s="800">
        <f t="shared" si="10"/>
        <v>5900000</v>
      </c>
    </row>
    <row r="85" spans="1:7" x14ac:dyDescent="0.25">
      <c r="A85" s="170" t="s">
        <v>3098</v>
      </c>
      <c r="B85" s="171"/>
      <c r="C85" s="172" t="s">
        <v>3751</v>
      </c>
      <c r="D85" s="173">
        <f>D86+D89</f>
        <v>0</v>
      </c>
      <c r="E85" s="205">
        <f t="shared" si="7"/>
        <v>0</v>
      </c>
      <c r="F85" s="173">
        <f>F86+F89</f>
        <v>0</v>
      </c>
      <c r="G85" s="801">
        <f t="shared" si="10"/>
        <v>0</v>
      </c>
    </row>
    <row r="86" spans="1:7" x14ac:dyDescent="0.25">
      <c r="A86" s="174">
        <v>810000</v>
      </c>
      <c r="B86" s="167"/>
      <c r="C86" s="175" t="s">
        <v>3752</v>
      </c>
      <c r="D86" s="169">
        <f>SUM(D87:D88)</f>
        <v>0</v>
      </c>
      <c r="E86" s="204">
        <f t="shared" si="7"/>
        <v>0</v>
      </c>
      <c r="F86" s="169">
        <f>SUM(F87:F88)</f>
        <v>0</v>
      </c>
      <c r="G86" s="190">
        <f t="shared" si="10"/>
        <v>0</v>
      </c>
    </row>
    <row r="87" spans="1:7" x14ac:dyDescent="0.25">
      <c r="A87" s="163"/>
      <c r="B87" s="165">
        <v>811000</v>
      </c>
      <c r="C87" s="165" t="s">
        <v>3753</v>
      </c>
      <c r="D87" s="151"/>
      <c r="E87" s="203">
        <f t="shared" si="7"/>
        <v>0</v>
      </c>
      <c r="F87" s="151"/>
      <c r="G87" s="800">
        <f t="shared" si="10"/>
        <v>0</v>
      </c>
    </row>
    <row r="88" spans="1:7" x14ac:dyDescent="0.25">
      <c r="A88" s="163"/>
      <c r="B88" s="165">
        <v>812000</v>
      </c>
      <c r="C88" s="165" t="s">
        <v>3754</v>
      </c>
      <c r="D88" s="151"/>
      <c r="E88" s="203">
        <f t="shared" si="7"/>
        <v>0</v>
      </c>
      <c r="F88" s="151"/>
      <c r="G88" s="800">
        <f t="shared" si="10"/>
        <v>0</v>
      </c>
    </row>
    <row r="89" spans="1:7" x14ac:dyDescent="0.25">
      <c r="A89" s="174">
        <v>840000</v>
      </c>
      <c r="B89" s="176"/>
      <c r="C89" s="177" t="s">
        <v>3755</v>
      </c>
      <c r="D89" s="178">
        <f>SUM(D90)</f>
        <v>0</v>
      </c>
      <c r="E89" s="206">
        <f t="shared" si="7"/>
        <v>0</v>
      </c>
      <c r="F89" s="178">
        <f>SUM(F90)</f>
        <v>0</v>
      </c>
      <c r="G89" s="190">
        <f t="shared" si="10"/>
        <v>0</v>
      </c>
    </row>
    <row r="90" spans="1:7" x14ac:dyDescent="0.25">
      <c r="A90" s="163"/>
      <c r="B90" s="165">
        <v>841000</v>
      </c>
      <c r="C90" s="165" t="s">
        <v>3756</v>
      </c>
      <c r="D90" s="151"/>
      <c r="E90" s="203">
        <f t="shared" si="7"/>
        <v>0</v>
      </c>
      <c r="F90" s="151"/>
      <c r="G90" s="800">
        <f t="shared" si="10"/>
        <v>0</v>
      </c>
    </row>
    <row r="91" spans="1:7" x14ac:dyDescent="0.25">
      <c r="A91" s="170" t="s">
        <v>3224</v>
      </c>
      <c r="B91" s="179"/>
      <c r="C91" s="180" t="s">
        <v>3757</v>
      </c>
      <c r="D91" s="173">
        <f>SUM(D92,D95)</f>
        <v>0</v>
      </c>
      <c r="E91" s="544">
        <f t="shared" si="7"/>
        <v>0</v>
      </c>
      <c r="F91" s="173">
        <f>SUM(F92,F95)</f>
        <v>0</v>
      </c>
      <c r="G91" s="801">
        <f t="shared" si="10"/>
        <v>0</v>
      </c>
    </row>
    <row r="92" spans="1:7" x14ac:dyDescent="0.25">
      <c r="A92" s="166" t="s">
        <v>3226</v>
      </c>
      <c r="B92" s="167"/>
      <c r="C92" s="168" t="s">
        <v>3758</v>
      </c>
      <c r="D92" s="169">
        <f>SUM(D93:D94)</f>
        <v>0</v>
      </c>
      <c r="E92" s="204">
        <f t="shared" si="7"/>
        <v>0</v>
      </c>
      <c r="F92" s="169">
        <f>SUM(F93:F94)</f>
        <v>0</v>
      </c>
      <c r="G92" s="190">
        <f t="shared" si="10"/>
        <v>0</v>
      </c>
    </row>
    <row r="93" spans="1:7" ht="24" x14ac:dyDescent="0.25">
      <c r="A93" s="155"/>
      <c r="B93" s="155" t="s">
        <v>3266</v>
      </c>
      <c r="C93" s="150" t="s">
        <v>3759</v>
      </c>
      <c r="D93" s="151"/>
      <c r="E93" s="203">
        <f t="shared" si="7"/>
        <v>0</v>
      </c>
      <c r="F93" s="151"/>
      <c r="G93" s="800">
        <f t="shared" si="10"/>
        <v>0</v>
      </c>
    </row>
    <row r="94" spans="1:7" x14ac:dyDescent="0.25">
      <c r="A94" s="163"/>
      <c r="B94" s="155" t="s">
        <v>3760</v>
      </c>
      <c r="C94" s="162" t="s">
        <v>3761</v>
      </c>
      <c r="D94" s="151"/>
      <c r="E94" s="203">
        <f t="shared" si="7"/>
        <v>0</v>
      </c>
      <c r="F94" s="151"/>
      <c r="G94" s="800">
        <f t="shared" si="10"/>
        <v>0</v>
      </c>
    </row>
    <row r="95" spans="1:7" x14ac:dyDescent="0.25">
      <c r="A95" s="166" t="s">
        <v>3396</v>
      </c>
      <c r="B95" s="167"/>
      <c r="C95" s="168" t="s">
        <v>3762</v>
      </c>
      <c r="D95" s="169">
        <f>SUM(D96)</f>
        <v>0</v>
      </c>
      <c r="E95" s="204">
        <f t="shared" si="7"/>
        <v>0</v>
      </c>
      <c r="F95" s="169">
        <f>SUM(F96)</f>
        <v>0</v>
      </c>
      <c r="G95" s="190">
        <f t="shared" si="10"/>
        <v>0</v>
      </c>
    </row>
    <row r="96" spans="1:7" ht="24" x14ac:dyDescent="0.25">
      <c r="A96" s="163"/>
      <c r="B96" s="155" t="s">
        <v>3488</v>
      </c>
      <c r="C96" s="154" t="s">
        <v>3763</v>
      </c>
      <c r="D96" s="151"/>
      <c r="E96" s="203">
        <f t="shared" si="7"/>
        <v>0</v>
      </c>
      <c r="F96" s="151"/>
      <c r="G96" s="800">
        <f t="shared" si="10"/>
        <v>0</v>
      </c>
    </row>
    <row r="97" spans="1:7" ht="33.75" customHeight="1" x14ac:dyDescent="0.25">
      <c r="A97" s="181"/>
      <c r="B97" s="181" t="s">
        <v>3764</v>
      </c>
      <c r="C97" s="182" t="s">
        <v>3765</v>
      </c>
      <c r="D97" s="137">
        <f>SUM(D7,D85,D91)</f>
        <v>576900000</v>
      </c>
      <c r="E97" s="199">
        <f t="shared" si="7"/>
        <v>1</v>
      </c>
      <c r="F97" s="137">
        <f>SUM(F7,F85,F91)</f>
        <v>15845100</v>
      </c>
      <c r="G97" s="185">
        <f>SUM(G7,G85,G91)</f>
        <v>592745100</v>
      </c>
    </row>
    <row r="98" spans="1:7" ht="40.5" customHeight="1" x14ac:dyDescent="0.25">
      <c r="A98" s="194"/>
      <c r="B98" s="195" t="s">
        <v>3766</v>
      </c>
      <c r="C98" s="196" t="s">
        <v>4183</v>
      </c>
      <c r="D98" s="197">
        <f>SUM(D6,D7,D85,D91)</f>
        <v>576900000</v>
      </c>
      <c r="E98" s="207">
        <f t="shared" si="7"/>
        <v>1</v>
      </c>
      <c r="F98" s="197">
        <f>SUM(F6,F7,F85,F91)</f>
        <v>15845100</v>
      </c>
      <c r="G98" s="198">
        <f>SUM(G6,G7,G85,G91)</f>
        <v>592745100</v>
      </c>
    </row>
    <row r="99" spans="1:7" x14ac:dyDescent="0.25">
      <c r="A99" s="183"/>
      <c r="B99" s="183"/>
      <c r="C99" s="184"/>
      <c r="D99" s="192"/>
      <c r="E99" s="193"/>
      <c r="F99" s="192"/>
      <c r="G99" s="192"/>
    </row>
    <row r="100" spans="1:7" x14ac:dyDescent="0.25">
      <c r="D100" s="549">
        <f>D98-'По основ. нам.'!C87</f>
        <v>0</v>
      </c>
      <c r="F100" s="549">
        <f>F98-'По основ. нам.'!E87</f>
        <v>0</v>
      </c>
      <c r="G100" s="549">
        <f>G98-Ukupno_izdaci</f>
        <v>0</v>
      </c>
    </row>
  </sheetData>
  <sheetProtection password="C85D" sheet="1" objects="1" scenarios="1"/>
  <mergeCells count="6">
    <mergeCell ref="A2:G2"/>
    <mergeCell ref="D4:F4"/>
    <mergeCell ref="G4:G5"/>
    <mergeCell ref="A4:A5"/>
    <mergeCell ref="B4:B5"/>
    <mergeCell ref="C4:C5"/>
  </mergeCells>
  <conditionalFormatting sqref="D100:G100">
    <cfRule type="cellIs" dxfId="4" priority="1" operator="lessThan">
      <formula>0</formula>
    </cfRule>
  </conditionalFormatting>
  <pageMargins left="0.70866141732283472" right="0.70866141732283472" top="0.74803149606299213" bottom="0.74803149606299213" header="0.31496062992125984" footer="0.31496062992125984"/>
  <pageSetup paperSize="9" orientation="landscape"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1"/>
  </sheetPr>
  <dimension ref="A1:G261"/>
  <sheetViews>
    <sheetView topLeftCell="A134" workbookViewId="0">
      <selection activeCell="C69" sqref="C69"/>
    </sheetView>
  </sheetViews>
  <sheetFormatPr defaultRowHeight="15" x14ac:dyDescent="0.25"/>
  <cols>
    <col min="1" max="1" width="10" style="84" customWidth="1"/>
    <col min="2" max="2" width="9.85546875" style="84" customWidth="1"/>
    <col min="3" max="3" width="47.5703125" style="585" customWidth="1"/>
    <col min="4" max="5" width="18" style="133" customWidth="1"/>
    <col min="6" max="6" width="16.7109375" style="133" customWidth="1"/>
    <col min="7" max="16384" width="9.140625" style="84"/>
  </cols>
  <sheetData>
    <row r="1" spans="1:7" ht="15" hidden="1" customHeight="1" x14ac:dyDescent="0.25">
      <c r="A1" s="877"/>
      <c r="B1" s="877"/>
      <c r="C1" s="878"/>
      <c r="D1" s="878" t="s">
        <v>5366</v>
      </c>
      <c r="E1" s="877"/>
      <c r="F1" s="877"/>
      <c r="G1" s="567"/>
    </row>
    <row r="2" spans="1:7" ht="15" customHeight="1" x14ac:dyDescent="0.25">
      <c r="A2" s="877"/>
      <c r="B2" s="877"/>
      <c r="C2" s="925" t="s">
        <v>5368</v>
      </c>
      <c r="D2" s="925"/>
      <c r="E2" s="877"/>
      <c r="F2" s="877"/>
      <c r="G2" s="567"/>
    </row>
    <row r="3" spans="1:7" ht="15" customHeight="1" x14ac:dyDescent="0.25">
      <c r="A3" s="926" t="s">
        <v>5369</v>
      </c>
      <c r="B3" s="926"/>
      <c r="C3" s="926"/>
      <c r="D3" s="926"/>
      <c r="E3" s="926"/>
      <c r="F3" s="926"/>
      <c r="G3" s="567"/>
    </row>
    <row r="5" spans="1:7" ht="15.75" x14ac:dyDescent="0.25">
      <c r="A5" s="126" t="s">
        <v>3879</v>
      </c>
      <c r="B5" s="922" t="s">
        <v>3880</v>
      </c>
      <c r="C5" s="923" t="s">
        <v>265</v>
      </c>
      <c r="D5" s="924" t="s">
        <v>3881</v>
      </c>
      <c r="E5" s="924"/>
      <c r="F5" s="924"/>
    </row>
    <row r="6" spans="1:7" ht="15.75" x14ac:dyDescent="0.25">
      <c r="A6" s="126" t="s">
        <v>3882</v>
      </c>
      <c r="B6" s="922"/>
      <c r="C6" s="923"/>
      <c r="D6" s="127">
        <v>2015</v>
      </c>
      <c r="E6" s="127">
        <v>2016</v>
      </c>
      <c r="F6" s="127">
        <v>2017</v>
      </c>
    </row>
    <row r="7" spans="1:7" ht="15.75" x14ac:dyDescent="0.25">
      <c r="A7" s="128">
        <v>1</v>
      </c>
      <c r="B7" s="128">
        <v>2</v>
      </c>
      <c r="C7" s="582">
        <v>3</v>
      </c>
      <c r="D7" s="129">
        <v>4</v>
      </c>
      <c r="E7" s="129">
        <v>5</v>
      </c>
      <c r="F7" s="129">
        <v>6</v>
      </c>
    </row>
    <row r="8" spans="1:7" ht="15.75" x14ac:dyDescent="0.25">
      <c r="A8" s="130"/>
      <c r="B8" s="130"/>
      <c r="C8" s="583" t="s">
        <v>3883</v>
      </c>
      <c r="D8" s="131">
        <f>SUM(D9,D18,D27,D36,D45,D54,D63,D72,D81,D90,D99,D108,D117,D126,D136,D217,D226,D235,D244,D253)</f>
        <v>168620000</v>
      </c>
      <c r="E8" s="131">
        <f>SUM(E18,E36,E54,E72,E90,E136,E145,E154,E163,E172,E181,E190,E199,E208)</f>
        <v>345400000</v>
      </c>
      <c r="F8" s="131">
        <f>SUM(F18,F36,F54,F72,F90,F136,F145,F154,F163,F172,F181,F190,F199,F208)</f>
        <v>149000000</v>
      </c>
    </row>
    <row r="9" spans="1:7" ht="42.75" x14ac:dyDescent="0.25">
      <c r="A9" s="130">
        <v>511</v>
      </c>
      <c r="B9" s="126">
        <v>1</v>
      </c>
      <c r="C9" s="286" t="s">
        <v>5243</v>
      </c>
      <c r="D9" s="131">
        <f>SUM(D14:D17)</f>
        <v>5700000</v>
      </c>
      <c r="E9" s="131">
        <f t="shared" ref="E9:F9" si="0">SUM(E14:E17)</f>
        <v>0</v>
      </c>
      <c r="F9" s="131">
        <f t="shared" si="0"/>
        <v>0</v>
      </c>
    </row>
    <row r="10" spans="1:7" ht="15.75" x14ac:dyDescent="0.25">
      <c r="A10" s="130"/>
      <c r="B10" s="126"/>
      <c r="C10" s="584" t="s">
        <v>5303</v>
      </c>
      <c r="D10" s="131"/>
      <c r="E10" s="131"/>
      <c r="F10" s="131"/>
    </row>
    <row r="11" spans="1:7" ht="15.75" x14ac:dyDescent="0.25">
      <c r="A11" s="130"/>
      <c r="B11" s="126"/>
      <c r="C11" s="584" t="s">
        <v>5304</v>
      </c>
      <c r="D11" s="131"/>
      <c r="E11" s="131"/>
      <c r="F11" s="131"/>
    </row>
    <row r="12" spans="1:7" ht="15.75" x14ac:dyDescent="0.25">
      <c r="A12" s="130"/>
      <c r="B12" s="126"/>
      <c r="C12" s="584" t="s">
        <v>5305</v>
      </c>
      <c r="D12" s="132"/>
      <c r="E12" s="131"/>
      <c r="F12" s="131"/>
    </row>
    <row r="13" spans="1:7" ht="15.75" x14ac:dyDescent="0.25">
      <c r="A13" s="130"/>
      <c r="B13" s="126"/>
      <c r="C13" s="584" t="s">
        <v>3884</v>
      </c>
      <c r="D13" s="132"/>
      <c r="E13" s="131"/>
      <c r="F13" s="131"/>
    </row>
    <row r="14" spans="1:7" ht="15.75" x14ac:dyDescent="0.25">
      <c r="A14" s="130"/>
      <c r="B14" s="126"/>
      <c r="C14" s="584" t="s">
        <v>3885</v>
      </c>
      <c r="D14" s="132">
        <v>5700000</v>
      </c>
      <c r="E14" s="131"/>
      <c r="F14" s="131"/>
    </row>
    <row r="15" spans="1:7" ht="15.75" x14ac:dyDescent="0.25">
      <c r="A15" s="130"/>
      <c r="B15" s="126"/>
      <c r="C15" s="584" t="s">
        <v>3886</v>
      </c>
      <c r="D15" s="132"/>
      <c r="E15" s="131"/>
      <c r="F15" s="131"/>
    </row>
    <row r="16" spans="1:7" ht="15.75" x14ac:dyDescent="0.25">
      <c r="A16" s="130"/>
      <c r="B16" s="578"/>
      <c r="C16" s="584" t="s">
        <v>3887</v>
      </c>
      <c r="D16" s="132"/>
      <c r="E16" s="131"/>
      <c r="F16" s="131"/>
    </row>
    <row r="17" spans="1:6" ht="22.5" customHeight="1" x14ac:dyDescent="0.25">
      <c r="A17" s="130"/>
      <c r="B17" s="126"/>
      <c r="C17" s="585" t="s">
        <v>5120</v>
      </c>
      <c r="D17" s="132"/>
      <c r="E17" s="131"/>
      <c r="F17" s="131"/>
    </row>
    <row r="18" spans="1:6" ht="28.5" x14ac:dyDescent="0.25">
      <c r="A18" s="130"/>
      <c r="B18" s="126">
        <v>2</v>
      </c>
      <c r="C18" s="813" t="s">
        <v>5244</v>
      </c>
      <c r="D18" s="131">
        <f>SUM(D23:D26)</f>
        <v>27700000</v>
      </c>
      <c r="E18" s="131">
        <f t="shared" ref="E18:F18" si="1">SUM(E23:E26)</f>
        <v>40000000</v>
      </c>
      <c r="F18" s="131">
        <f t="shared" si="1"/>
        <v>29000000</v>
      </c>
    </row>
    <row r="19" spans="1:6" ht="15.75" x14ac:dyDescent="0.25">
      <c r="A19" s="130"/>
      <c r="B19" s="128"/>
      <c r="C19" s="586" t="s">
        <v>5306</v>
      </c>
      <c r="D19" s="132"/>
      <c r="E19" s="132"/>
      <c r="F19" s="132"/>
    </row>
    <row r="20" spans="1:6" ht="15.75" x14ac:dyDescent="0.25">
      <c r="A20" s="130"/>
      <c r="B20" s="128"/>
      <c r="C20" s="586" t="s">
        <v>5332</v>
      </c>
      <c r="D20" s="132"/>
      <c r="E20" s="132"/>
      <c r="F20" s="132"/>
    </row>
    <row r="21" spans="1:6" ht="15.75" x14ac:dyDescent="0.25">
      <c r="A21" s="130"/>
      <c r="B21" s="128"/>
      <c r="C21" s="586" t="s">
        <v>5307</v>
      </c>
      <c r="D21" s="132"/>
      <c r="E21" s="132"/>
      <c r="F21" s="132"/>
    </row>
    <row r="22" spans="1:6" ht="15.75" x14ac:dyDescent="0.25">
      <c r="A22" s="130"/>
      <c r="B22" s="128"/>
      <c r="C22" s="586" t="s">
        <v>3884</v>
      </c>
      <c r="D22" s="132"/>
      <c r="E22" s="132"/>
      <c r="F22" s="132"/>
    </row>
    <row r="23" spans="1:6" ht="15.75" x14ac:dyDescent="0.25">
      <c r="A23" s="130"/>
      <c r="B23" s="128"/>
      <c r="C23" s="586" t="s">
        <v>3885</v>
      </c>
      <c r="D23" s="132">
        <v>27700000</v>
      </c>
      <c r="E23" s="132">
        <v>40000000</v>
      </c>
      <c r="F23" s="132">
        <v>29000000</v>
      </c>
    </row>
    <row r="24" spans="1:6" ht="15.75" x14ac:dyDescent="0.25">
      <c r="A24" s="130"/>
      <c r="B24" s="128"/>
      <c r="C24" s="586" t="s">
        <v>3886</v>
      </c>
      <c r="D24" s="132"/>
      <c r="E24" s="132"/>
      <c r="F24" s="132"/>
    </row>
    <row r="25" spans="1:6" ht="15.75" x14ac:dyDescent="0.25">
      <c r="A25" s="130"/>
      <c r="B25" s="128"/>
      <c r="C25" s="586" t="s">
        <v>3887</v>
      </c>
      <c r="D25" s="132"/>
      <c r="E25" s="132"/>
      <c r="F25" s="132"/>
    </row>
    <row r="26" spans="1:6" ht="15.75" x14ac:dyDescent="0.25">
      <c r="A26" s="130"/>
      <c r="B26" s="578"/>
      <c r="C26" s="585" t="s">
        <v>5120</v>
      </c>
      <c r="D26" s="132"/>
      <c r="E26" s="131"/>
      <c r="F26" s="131"/>
    </row>
    <row r="27" spans="1:6" ht="28.5" x14ac:dyDescent="0.25">
      <c r="A27" s="130"/>
      <c r="B27" s="126">
        <v>3</v>
      </c>
      <c r="C27" s="813" t="s">
        <v>5249</v>
      </c>
      <c r="D27" s="131">
        <f>SUM(D32:D35)</f>
        <v>11000000</v>
      </c>
      <c r="E27" s="131">
        <f t="shared" ref="E27:F27" si="2">SUM(E32:E35)</f>
        <v>0</v>
      </c>
      <c r="F27" s="131">
        <f t="shared" si="2"/>
        <v>0</v>
      </c>
    </row>
    <row r="28" spans="1:6" ht="15.75" x14ac:dyDescent="0.25">
      <c r="A28" s="130"/>
      <c r="B28" s="128"/>
      <c r="C28" s="586" t="s">
        <v>5308</v>
      </c>
      <c r="D28" s="132"/>
      <c r="E28" s="132"/>
      <c r="F28" s="132"/>
    </row>
    <row r="29" spans="1:6" ht="15.75" x14ac:dyDescent="0.25">
      <c r="A29" s="130"/>
      <c r="B29" s="128"/>
      <c r="C29" s="586" t="s">
        <v>5304</v>
      </c>
      <c r="D29" s="132"/>
      <c r="E29" s="132"/>
      <c r="F29" s="132"/>
    </row>
    <row r="30" spans="1:6" ht="15.75" x14ac:dyDescent="0.25">
      <c r="A30" s="130"/>
      <c r="B30" s="128"/>
      <c r="C30" s="586" t="s">
        <v>5309</v>
      </c>
      <c r="D30" s="132"/>
      <c r="E30" s="132"/>
      <c r="F30" s="132"/>
    </row>
    <row r="31" spans="1:6" ht="15.75" x14ac:dyDescent="0.25">
      <c r="A31" s="130"/>
      <c r="B31" s="128"/>
      <c r="C31" s="586" t="s">
        <v>3884</v>
      </c>
      <c r="D31" s="132"/>
      <c r="E31" s="132"/>
      <c r="F31" s="132"/>
    </row>
    <row r="32" spans="1:6" ht="15.75" x14ac:dyDescent="0.25">
      <c r="A32" s="130"/>
      <c r="B32" s="128"/>
      <c r="C32" s="586" t="s">
        <v>3885</v>
      </c>
      <c r="D32" s="132">
        <v>11000000</v>
      </c>
      <c r="E32" s="132"/>
      <c r="F32" s="132"/>
    </row>
    <row r="33" spans="1:6" ht="15.75" x14ac:dyDescent="0.25">
      <c r="A33" s="130"/>
      <c r="B33" s="128"/>
      <c r="C33" s="586" t="s">
        <v>3886</v>
      </c>
      <c r="D33" s="132"/>
      <c r="E33" s="132"/>
      <c r="F33" s="132"/>
    </row>
    <row r="34" spans="1:6" ht="15.75" x14ac:dyDescent="0.25">
      <c r="A34" s="130"/>
      <c r="B34" s="128"/>
      <c r="C34" s="586" t="s">
        <v>3887</v>
      </c>
      <c r="D34" s="132"/>
      <c r="E34" s="132"/>
      <c r="F34" s="132"/>
    </row>
    <row r="35" spans="1:6" ht="15.75" x14ac:dyDescent="0.25">
      <c r="A35" s="130"/>
      <c r="B35" s="578"/>
      <c r="C35" s="585" t="s">
        <v>5120</v>
      </c>
      <c r="D35" s="132"/>
      <c r="E35" s="131"/>
      <c r="F35" s="131"/>
    </row>
    <row r="36" spans="1:6" ht="15.75" x14ac:dyDescent="0.25">
      <c r="A36" s="130"/>
      <c r="B36" s="126">
        <v>4</v>
      </c>
      <c r="C36" s="813" t="s">
        <v>5312</v>
      </c>
      <c r="D36" s="131">
        <f>SUM(D41:D44)</f>
        <v>6000000</v>
      </c>
      <c r="E36" s="131">
        <f t="shared" ref="E36:F36" si="3">SUM(E41:E44)</f>
        <v>7000000</v>
      </c>
      <c r="F36" s="131">
        <f t="shared" si="3"/>
        <v>0</v>
      </c>
    </row>
    <row r="37" spans="1:6" ht="15.75" x14ac:dyDescent="0.25">
      <c r="A37" s="130"/>
      <c r="B37" s="128"/>
      <c r="C37" s="586" t="s">
        <v>5310</v>
      </c>
      <c r="D37" s="132"/>
      <c r="E37" s="132"/>
      <c r="F37" s="132"/>
    </row>
    <row r="38" spans="1:6" ht="15.75" x14ac:dyDescent="0.25">
      <c r="A38" s="130"/>
      <c r="B38" s="128"/>
      <c r="C38" s="586" t="s">
        <v>5325</v>
      </c>
      <c r="D38" s="132"/>
      <c r="E38" s="132"/>
      <c r="F38" s="132"/>
    </row>
    <row r="39" spans="1:6" ht="15.75" x14ac:dyDescent="0.25">
      <c r="A39" s="130"/>
      <c r="B39" s="128"/>
      <c r="C39" s="586" t="s">
        <v>5311</v>
      </c>
      <c r="D39" s="132"/>
      <c r="E39" s="132"/>
      <c r="F39" s="132"/>
    </row>
    <row r="40" spans="1:6" ht="15.75" x14ac:dyDescent="0.25">
      <c r="A40" s="130"/>
      <c r="B40" s="128"/>
      <c r="C40" s="586" t="s">
        <v>3884</v>
      </c>
      <c r="D40" s="132"/>
      <c r="E40" s="132"/>
      <c r="F40" s="132"/>
    </row>
    <row r="41" spans="1:6" ht="15.75" x14ac:dyDescent="0.25">
      <c r="A41" s="130"/>
      <c r="B41" s="128"/>
      <c r="C41" s="586" t="s">
        <v>3885</v>
      </c>
      <c r="D41" s="132">
        <v>6000000</v>
      </c>
      <c r="E41" s="132">
        <v>7000000</v>
      </c>
      <c r="F41" s="132"/>
    </row>
    <row r="42" spans="1:6" ht="15.75" x14ac:dyDescent="0.25">
      <c r="A42" s="130"/>
      <c r="B42" s="128"/>
      <c r="C42" s="586" t="s">
        <v>3886</v>
      </c>
      <c r="D42" s="132"/>
      <c r="E42" s="132"/>
      <c r="F42" s="132"/>
    </row>
    <row r="43" spans="1:6" ht="15.75" x14ac:dyDescent="0.25">
      <c r="A43" s="130"/>
      <c r="B43" s="128"/>
      <c r="C43" s="586" t="s">
        <v>3887</v>
      </c>
      <c r="D43" s="132"/>
      <c r="E43" s="132"/>
      <c r="F43" s="132"/>
    </row>
    <row r="44" spans="1:6" ht="15.75" x14ac:dyDescent="0.25">
      <c r="A44" s="130"/>
      <c r="B44" s="128"/>
      <c r="C44" s="585" t="s">
        <v>5120</v>
      </c>
      <c r="D44" s="132"/>
      <c r="E44" s="132"/>
      <c r="F44" s="132"/>
    </row>
    <row r="45" spans="1:6" ht="15.75" x14ac:dyDescent="0.25">
      <c r="A45" s="130"/>
      <c r="B45" s="126">
        <v>5</v>
      </c>
      <c r="C45" s="813" t="s">
        <v>5313</v>
      </c>
      <c r="D45" s="131">
        <f>SUM(D50:D53)</f>
        <v>3400000</v>
      </c>
      <c r="E45" s="131">
        <f t="shared" ref="E45:F45" si="4">SUM(E50:E53)</f>
        <v>0</v>
      </c>
      <c r="F45" s="131">
        <f t="shared" si="4"/>
        <v>0</v>
      </c>
    </row>
    <row r="46" spans="1:6" ht="15.75" x14ac:dyDescent="0.25">
      <c r="A46" s="130"/>
      <c r="B46" s="128"/>
      <c r="C46" s="586" t="s">
        <v>5310</v>
      </c>
      <c r="D46" s="132"/>
      <c r="E46" s="132"/>
      <c r="F46" s="132"/>
    </row>
    <row r="47" spans="1:6" ht="15.75" x14ac:dyDescent="0.25">
      <c r="A47" s="130"/>
      <c r="B47" s="128"/>
      <c r="C47" s="586" t="s">
        <v>5304</v>
      </c>
      <c r="D47" s="132"/>
      <c r="E47" s="132"/>
      <c r="F47" s="132"/>
    </row>
    <row r="48" spans="1:6" ht="15.75" x14ac:dyDescent="0.25">
      <c r="A48" s="130"/>
      <c r="B48" s="128"/>
      <c r="C48" s="586" t="s">
        <v>5314</v>
      </c>
      <c r="D48" s="132"/>
      <c r="E48" s="132"/>
      <c r="F48" s="132"/>
    </row>
    <row r="49" spans="1:6" ht="15.75" x14ac:dyDescent="0.25">
      <c r="A49" s="130"/>
      <c r="B49" s="128"/>
      <c r="C49" s="586" t="s">
        <v>3884</v>
      </c>
      <c r="D49" s="132"/>
      <c r="E49" s="132"/>
      <c r="F49" s="132"/>
    </row>
    <row r="50" spans="1:6" ht="15.75" x14ac:dyDescent="0.25">
      <c r="A50" s="130"/>
      <c r="B50" s="128"/>
      <c r="C50" s="586" t="s">
        <v>3885</v>
      </c>
      <c r="D50" s="132">
        <v>3400000</v>
      </c>
      <c r="E50" s="132"/>
      <c r="F50" s="132"/>
    </row>
    <row r="51" spans="1:6" ht="15.75" x14ac:dyDescent="0.25">
      <c r="A51" s="130"/>
      <c r="B51" s="128"/>
      <c r="C51" s="586" t="s">
        <v>3886</v>
      </c>
      <c r="D51" s="132"/>
      <c r="E51" s="132"/>
      <c r="F51" s="132"/>
    </row>
    <row r="52" spans="1:6" ht="15.75" x14ac:dyDescent="0.25">
      <c r="A52" s="130"/>
      <c r="B52" s="128"/>
      <c r="C52" s="586" t="s">
        <v>3887</v>
      </c>
      <c r="D52" s="132"/>
      <c r="E52" s="132"/>
      <c r="F52" s="132"/>
    </row>
    <row r="53" spans="1:6" ht="15.75" x14ac:dyDescent="0.25">
      <c r="A53" s="130"/>
      <c r="B53" s="128"/>
      <c r="C53" s="585" t="s">
        <v>5120</v>
      </c>
      <c r="D53" s="132"/>
      <c r="E53" s="132"/>
      <c r="F53" s="132"/>
    </row>
    <row r="54" spans="1:6" ht="15.75" x14ac:dyDescent="0.25">
      <c r="A54" s="130"/>
      <c r="B54" s="126">
        <v>6</v>
      </c>
      <c r="C54" s="813" t="s">
        <v>5315</v>
      </c>
      <c r="D54" s="131">
        <f>SUM(D59:D62)</f>
        <v>5000000</v>
      </c>
      <c r="E54" s="131">
        <f t="shared" ref="E54:F54" si="5">SUM(E59:E62)</f>
        <v>3400000</v>
      </c>
      <c r="F54" s="131">
        <f t="shared" si="5"/>
        <v>0</v>
      </c>
    </row>
    <row r="55" spans="1:6" ht="15.75" x14ac:dyDescent="0.25">
      <c r="A55" s="130"/>
      <c r="B55" s="128"/>
      <c r="C55" s="586" t="s">
        <v>5310</v>
      </c>
      <c r="D55" s="132"/>
      <c r="E55" s="132"/>
      <c r="F55" s="132"/>
    </row>
    <row r="56" spans="1:6" ht="15.75" x14ac:dyDescent="0.25">
      <c r="A56" s="130"/>
      <c r="B56" s="128"/>
      <c r="C56" s="586" t="s">
        <v>5325</v>
      </c>
      <c r="D56" s="132"/>
      <c r="E56" s="132"/>
      <c r="F56" s="132"/>
    </row>
    <row r="57" spans="1:6" ht="15.75" x14ac:dyDescent="0.25">
      <c r="A57" s="130"/>
      <c r="B57" s="128"/>
      <c r="C57" s="586" t="s">
        <v>5316</v>
      </c>
      <c r="D57" s="132"/>
      <c r="E57" s="132"/>
      <c r="F57" s="132"/>
    </row>
    <row r="58" spans="1:6" ht="15.75" x14ac:dyDescent="0.25">
      <c r="A58" s="130"/>
      <c r="B58" s="128"/>
      <c r="C58" s="586" t="s">
        <v>3884</v>
      </c>
      <c r="D58" s="132"/>
      <c r="E58" s="132"/>
      <c r="F58" s="132"/>
    </row>
    <row r="59" spans="1:6" ht="15.75" x14ac:dyDescent="0.25">
      <c r="A59" s="130"/>
      <c r="B59" s="128"/>
      <c r="C59" s="586" t="s">
        <v>3885</v>
      </c>
      <c r="D59" s="132">
        <v>5000000</v>
      </c>
      <c r="E59" s="132">
        <v>3400000</v>
      </c>
      <c r="F59" s="132"/>
    </row>
    <row r="60" spans="1:6" ht="15.75" x14ac:dyDescent="0.25">
      <c r="A60" s="130"/>
      <c r="B60" s="128"/>
      <c r="C60" s="586" t="s">
        <v>3886</v>
      </c>
      <c r="D60" s="132"/>
      <c r="E60" s="132"/>
      <c r="F60" s="132"/>
    </row>
    <row r="61" spans="1:6" ht="15.75" x14ac:dyDescent="0.25">
      <c r="A61" s="130"/>
      <c r="B61" s="128"/>
      <c r="C61" s="586" t="s">
        <v>3887</v>
      </c>
      <c r="D61" s="132"/>
      <c r="E61" s="132"/>
      <c r="F61" s="132"/>
    </row>
    <row r="62" spans="1:6" ht="15.75" x14ac:dyDescent="0.25">
      <c r="A62" s="130"/>
      <c r="B62" s="128"/>
      <c r="C62" s="585" t="s">
        <v>5120</v>
      </c>
      <c r="D62" s="132"/>
      <c r="E62" s="132"/>
      <c r="F62" s="132"/>
    </row>
    <row r="63" spans="1:6" ht="28.5" x14ac:dyDescent="0.25">
      <c r="A63" s="130"/>
      <c r="B63" s="126">
        <v>7</v>
      </c>
      <c r="C63" s="813" t="s">
        <v>5261</v>
      </c>
      <c r="D63" s="131">
        <f>SUM(D68:D71)</f>
        <v>22500000</v>
      </c>
      <c r="E63" s="131">
        <f t="shared" ref="E63:F63" si="6">SUM(E68:E71)</f>
        <v>0</v>
      </c>
      <c r="F63" s="131">
        <f t="shared" si="6"/>
        <v>0</v>
      </c>
    </row>
    <row r="64" spans="1:6" ht="15.75" x14ac:dyDescent="0.25">
      <c r="A64" s="130"/>
      <c r="B64" s="128"/>
      <c r="C64" s="586" t="s">
        <v>5308</v>
      </c>
      <c r="D64" s="132"/>
      <c r="E64" s="132"/>
      <c r="F64" s="132"/>
    </row>
    <row r="65" spans="1:6" ht="15.75" x14ac:dyDescent="0.25">
      <c r="A65" s="130"/>
      <c r="B65" s="128"/>
      <c r="C65" s="586" t="s">
        <v>5304</v>
      </c>
      <c r="D65" s="132"/>
      <c r="E65" s="132"/>
      <c r="F65" s="132"/>
    </row>
    <row r="66" spans="1:6" ht="15.75" x14ac:dyDescent="0.25">
      <c r="A66" s="130"/>
      <c r="B66" s="128"/>
      <c r="C66" s="586" t="s">
        <v>5484</v>
      </c>
      <c r="D66" s="132"/>
      <c r="E66" s="132"/>
      <c r="F66" s="132"/>
    </row>
    <row r="67" spans="1:6" ht="15.75" x14ac:dyDescent="0.25">
      <c r="A67" s="130"/>
      <c r="B67" s="128"/>
      <c r="C67" s="586" t="s">
        <v>3884</v>
      </c>
      <c r="D67" s="132"/>
      <c r="E67" s="132"/>
      <c r="F67" s="132"/>
    </row>
    <row r="68" spans="1:6" ht="15.75" x14ac:dyDescent="0.25">
      <c r="A68" s="130"/>
      <c r="B68" s="128"/>
      <c r="C68" s="586" t="s">
        <v>3885</v>
      </c>
      <c r="D68" s="132">
        <v>2500000</v>
      </c>
      <c r="E68" s="132"/>
      <c r="F68" s="132"/>
    </row>
    <row r="69" spans="1:6" ht="15.75" x14ac:dyDescent="0.25">
      <c r="A69" s="130"/>
      <c r="B69" s="128"/>
      <c r="C69" s="586" t="s">
        <v>3886</v>
      </c>
      <c r="D69" s="132"/>
      <c r="E69" s="132"/>
      <c r="F69" s="132"/>
    </row>
    <row r="70" spans="1:6" ht="15.75" x14ac:dyDescent="0.25">
      <c r="A70" s="130"/>
      <c r="B70" s="128"/>
      <c r="C70" s="586" t="s">
        <v>3887</v>
      </c>
      <c r="D70" s="132">
        <v>20000000</v>
      </c>
      <c r="E70" s="132"/>
      <c r="F70" s="132"/>
    </row>
    <row r="71" spans="1:6" ht="15.75" x14ac:dyDescent="0.25">
      <c r="A71" s="130"/>
      <c r="B71" s="128"/>
      <c r="C71" s="585" t="s">
        <v>5120</v>
      </c>
      <c r="D71" s="132"/>
      <c r="E71" s="132"/>
      <c r="F71" s="132"/>
    </row>
    <row r="72" spans="1:6" ht="28.5" x14ac:dyDescent="0.25">
      <c r="A72" s="130"/>
      <c r="B72" s="126">
        <v>8</v>
      </c>
      <c r="C72" s="813" t="s">
        <v>5281</v>
      </c>
      <c r="D72" s="131">
        <f>SUM(D77:D80)</f>
        <v>11300000</v>
      </c>
      <c r="E72" s="131">
        <f t="shared" ref="E72:F72" si="7">SUM(E77:E80)</f>
        <v>10000000</v>
      </c>
      <c r="F72" s="131">
        <f t="shared" si="7"/>
        <v>0</v>
      </c>
    </row>
    <row r="73" spans="1:6" ht="15.75" x14ac:dyDescent="0.25">
      <c r="A73" s="130"/>
      <c r="B73" s="126"/>
      <c r="C73" s="586" t="s">
        <v>5310</v>
      </c>
      <c r="D73" s="131"/>
      <c r="E73" s="131"/>
      <c r="F73" s="131"/>
    </row>
    <row r="74" spans="1:6" ht="15.75" x14ac:dyDescent="0.25">
      <c r="A74" s="130"/>
      <c r="B74" s="126"/>
      <c r="C74" s="586" t="s">
        <v>5325</v>
      </c>
      <c r="D74" s="131"/>
      <c r="E74" s="131"/>
      <c r="F74" s="131"/>
    </row>
    <row r="75" spans="1:6" ht="15.75" x14ac:dyDescent="0.25">
      <c r="A75" s="130"/>
      <c r="B75" s="126"/>
      <c r="C75" s="586" t="s">
        <v>5477</v>
      </c>
      <c r="D75" s="132"/>
      <c r="E75" s="131"/>
      <c r="F75" s="131"/>
    </row>
    <row r="76" spans="1:6" ht="15.75" x14ac:dyDescent="0.25">
      <c r="A76" s="130"/>
      <c r="B76" s="126"/>
      <c r="C76" s="586" t="s">
        <v>3884</v>
      </c>
      <c r="D76" s="132"/>
      <c r="E76" s="131"/>
      <c r="F76" s="131"/>
    </row>
    <row r="77" spans="1:6" ht="15.75" x14ac:dyDescent="0.25">
      <c r="A77" s="130"/>
      <c r="B77" s="126"/>
      <c r="C77" s="586" t="s">
        <v>3885</v>
      </c>
      <c r="D77" s="132">
        <v>11300000</v>
      </c>
      <c r="E77" s="869">
        <v>10000000</v>
      </c>
      <c r="F77" s="131"/>
    </row>
    <row r="78" spans="1:6" ht="15.75" x14ac:dyDescent="0.25">
      <c r="A78" s="130"/>
      <c r="B78" s="126"/>
      <c r="C78" s="586" t="s">
        <v>3886</v>
      </c>
      <c r="D78" s="132"/>
      <c r="E78" s="131"/>
      <c r="F78" s="131"/>
    </row>
    <row r="79" spans="1:6" ht="15.75" x14ac:dyDescent="0.25">
      <c r="A79" s="130"/>
      <c r="B79" s="126"/>
      <c r="C79" s="586" t="s">
        <v>3887</v>
      </c>
      <c r="D79" s="132"/>
      <c r="E79" s="131"/>
      <c r="F79" s="131"/>
    </row>
    <row r="80" spans="1:6" ht="15.75" x14ac:dyDescent="0.25">
      <c r="A80" s="130"/>
      <c r="B80" s="578"/>
      <c r="C80" s="585" t="s">
        <v>5120</v>
      </c>
      <c r="D80" s="131"/>
      <c r="E80" s="131"/>
      <c r="F80" s="131"/>
    </row>
    <row r="81" spans="1:6" ht="16.5" customHeight="1" x14ac:dyDescent="0.25">
      <c r="A81" s="130"/>
      <c r="B81" s="126">
        <v>9</v>
      </c>
      <c r="C81" s="583" t="s">
        <v>5342</v>
      </c>
      <c r="D81" s="131">
        <f>SUM(D86:D89)</f>
        <v>3000000</v>
      </c>
      <c r="E81" s="131">
        <f t="shared" ref="E81:F81" si="8">SUM(E86:E89)</f>
        <v>0</v>
      </c>
      <c r="F81" s="131">
        <f t="shared" si="8"/>
        <v>0</v>
      </c>
    </row>
    <row r="82" spans="1:6" ht="15.75" x14ac:dyDescent="0.25">
      <c r="A82" s="130"/>
      <c r="B82" s="128"/>
      <c r="C82" s="586" t="s">
        <v>5310</v>
      </c>
      <c r="D82" s="132"/>
      <c r="E82" s="132"/>
      <c r="F82" s="132"/>
    </row>
    <row r="83" spans="1:6" ht="15.75" x14ac:dyDescent="0.25">
      <c r="A83" s="130"/>
      <c r="B83" s="128"/>
      <c r="C83" s="586" t="s">
        <v>5304</v>
      </c>
      <c r="D83" s="132"/>
      <c r="E83" s="132"/>
      <c r="F83" s="132"/>
    </row>
    <row r="84" spans="1:6" ht="15.75" x14ac:dyDescent="0.25">
      <c r="A84" s="130"/>
      <c r="B84" s="128"/>
      <c r="C84" s="586" t="s">
        <v>5317</v>
      </c>
      <c r="D84" s="132"/>
      <c r="E84" s="132"/>
      <c r="F84" s="132"/>
    </row>
    <row r="85" spans="1:6" ht="15.75" x14ac:dyDescent="0.25">
      <c r="A85" s="130"/>
      <c r="B85" s="128"/>
      <c r="C85" s="586" t="s">
        <v>3884</v>
      </c>
      <c r="D85" s="132"/>
      <c r="E85" s="132"/>
      <c r="F85" s="132"/>
    </row>
    <row r="86" spans="1:6" ht="15.75" x14ac:dyDescent="0.25">
      <c r="A86" s="130"/>
      <c r="B86" s="128"/>
      <c r="C86" s="586" t="s">
        <v>3885</v>
      </c>
      <c r="D86" s="132">
        <v>3000000</v>
      </c>
      <c r="E86" s="132"/>
      <c r="F86" s="132"/>
    </row>
    <row r="87" spans="1:6" ht="15.75" x14ac:dyDescent="0.25">
      <c r="A87" s="130"/>
      <c r="B87" s="128"/>
      <c r="C87" s="586" t="s">
        <v>3886</v>
      </c>
      <c r="D87" s="132"/>
      <c r="E87" s="132"/>
      <c r="F87" s="132"/>
    </row>
    <row r="88" spans="1:6" ht="15.75" x14ac:dyDescent="0.25">
      <c r="A88" s="130"/>
      <c r="B88" s="128"/>
      <c r="C88" s="586" t="s">
        <v>3887</v>
      </c>
      <c r="D88" s="132"/>
      <c r="E88" s="132"/>
      <c r="F88" s="132"/>
    </row>
    <row r="89" spans="1:6" ht="15.75" x14ac:dyDescent="0.25">
      <c r="A89" s="130"/>
      <c r="B89" s="128"/>
      <c r="C89" s="585" t="s">
        <v>5120</v>
      </c>
      <c r="D89" s="132"/>
      <c r="E89" s="132"/>
      <c r="F89" s="132"/>
    </row>
    <row r="90" spans="1:6" ht="15.75" x14ac:dyDescent="0.25">
      <c r="A90" s="130"/>
      <c r="B90" s="126">
        <v>10</v>
      </c>
      <c r="C90" s="583" t="s">
        <v>5318</v>
      </c>
      <c r="D90" s="131">
        <f>SUM(D95:D98)</f>
        <v>19200000</v>
      </c>
      <c r="E90" s="131">
        <f t="shared" ref="E90:F90" si="9">SUM(E95:E98)</f>
        <v>26000000</v>
      </c>
      <c r="F90" s="131">
        <f t="shared" si="9"/>
        <v>0</v>
      </c>
    </row>
    <row r="91" spans="1:6" ht="15.75" x14ac:dyDescent="0.25">
      <c r="A91" s="130"/>
      <c r="B91" s="128"/>
      <c r="C91" s="586" t="s">
        <v>5310</v>
      </c>
      <c r="D91" s="132"/>
      <c r="E91" s="132"/>
      <c r="F91" s="132"/>
    </row>
    <row r="92" spans="1:6" ht="15.75" x14ac:dyDescent="0.25">
      <c r="A92" s="130"/>
      <c r="B92" s="128"/>
      <c r="C92" s="586" t="s">
        <v>5325</v>
      </c>
      <c r="D92" s="132"/>
      <c r="E92" s="132"/>
      <c r="F92" s="132"/>
    </row>
    <row r="93" spans="1:6" ht="15.75" x14ac:dyDescent="0.25">
      <c r="A93" s="130"/>
      <c r="B93" s="128"/>
      <c r="C93" s="586" t="s">
        <v>5319</v>
      </c>
      <c r="D93" s="132"/>
      <c r="E93" s="132"/>
      <c r="F93" s="132"/>
    </row>
    <row r="94" spans="1:6" ht="15.75" x14ac:dyDescent="0.25">
      <c r="A94" s="130"/>
      <c r="B94" s="128"/>
      <c r="C94" s="586" t="s">
        <v>3884</v>
      </c>
      <c r="D94" s="132"/>
      <c r="E94" s="132"/>
      <c r="F94" s="132"/>
    </row>
    <row r="95" spans="1:6" ht="15.75" x14ac:dyDescent="0.25">
      <c r="A95" s="130"/>
      <c r="B95" s="128"/>
      <c r="C95" s="586" t="s">
        <v>3885</v>
      </c>
      <c r="D95" s="132">
        <v>19200000</v>
      </c>
      <c r="E95" s="132">
        <v>26000000</v>
      </c>
      <c r="F95" s="132"/>
    </row>
    <row r="96" spans="1:6" ht="15.75" x14ac:dyDescent="0.25">
      <c r="A96" s="130"/>
      <c r="B96" s="128"/>
      <c r="C96" s="586" t="s">
        <v>3886</v>
      </c>
      <c r="D96" s="132"/>
      <c r="E96" s="132"/>
      <c r="F96" s="132"/>
    </row>
    <row r="97" spans="1:6" ht="15.75" x14ac:dyDescent="0.25">
      <c r="A97" s="130"/>
      <c r="B97" s="128"/>
      <c r="C97" s="586" t="s">
        <v>3887</v>
      </c>
      <c r="D97" s="132"/>
      <c r="E97" s="132"/>
      <c r="F97" s="132"/>
    </row>
    <row r="98" spans="1:6" ht="15.75" x14ac:dyDescent="0.25">
      <c r="A98" s="130"/>
      <c r="B98" s="128"/>
      <c r="C98" s="585" t="s">
        <v>5120</v>
      </c>
      <c r="D98" s="132"/>
      <c r="E98" s="132"/>
      <c r="F98" s="132"/>
    </row>
    <row r="99" spans="1:6" ht="28.5" x14ac:dyDescent="0.25">
      <c r="A99" s="130"/>
      <c r="B99" s="126">
        <v>11</v>
      </c>
      <c r="C99" s="814" t="s">
        <v>5320</v>
      </c>
      <c r="D99" s="131">
        <f>SUM(D104:D107)</f>
        <v>7600000</v>
      </c>
      <c r="E99" s="131">
        <f t="shared" ref="E99:F99" si="10">SUM(E104:E107)</f>
        <v>0</v>
      </c>
      <c r="F99" s="131">
        <f t="shared" si="10"/>
        <v>0</v>
      </c>
    </row>
    <row r="100" spans="1:6" ht="15.75" x14ac:dyDescent="0.25">
      <c r="A100" s="130"/>
      <c r="B100" s="128"/>
      <c r="C100" s="586" t="s">
        <v>5308</v>
      </c>
      <c r="D100" s="132"/>
      <c r="E100" s="132"/>
      <c r="F100" s="132"/>
    </row>
    <row r="101" spans="1:6" ht="15.75" x14ac:dyDescent="0.25">
      <c r="A101" s="130"/>
      <c r="B101" s="128"/>
      <c r="C101" s="586" t="s">
        <v>5304</v>
      </c>
      <c r="D101" s="132"/>
      <c r="E101" s="132"/>
      <c r="F101" s="132"/>
    </row>
    <row r="102" spans="1:6" ht="15.75" x14ac:dyDescent="0.25">
      <c r="A102" s="130"/>
      <c r="B102" s="128"/>
      <c r="C102" s="586" t="s">
        <v>5321</v>
      </c>
      <c r="D102" s="132"/>
      <c r="E102" s="132"/>
      <c r="F102" s="132"/>
    </row>
    <row r="103" spans="1:6" ht="15.75" x14ac:dyDescent="0.25">
      <c r="A103" s="130"/>
      <c r="B103" s="128"/>
      <c r="C103" s="586" t="s">
        <v>3884</v>
      </c>
      <c r="D103" s="132"/>
      <c r="E103" s="132"/>
      <c r="F103" s="132"/>
    </row>
    <row r="104" spans="1:6" ht="15.75" x14ac:dyDescent="0.25">
      <c r="A104" s="130"/>
      <c r="B104" s="128"/>
      <c r="C104" s="586" t="s">
        <v>3885</v>
      </c>
      <c r="D104" s="132">
        <v>3635000</v>
      </c>
      <c r="E104" s="132"/>
      <c r="F104" s="132"/>
    </row>
    <row r="105" spans="1:6" ht="15.75" x14ac:dyDescent="0.25">
      <c r="A105" s="130"/>
      <c r="B105" s="128"/>
      <c r="C105" s="586" t="s">
        <v>3886</v>
      </c>
      <c r="D105" s="132"/>
      <c r="E105" s="132"/>
      <c r="F105" s="132"/>
    </row>
    <row r="106" spans="1:6" ht="15.75" x14ac:dyDescent="0.25">
      <c r="A106" s="130"/>
      <c r="B106" s="128"/>
      <c r="C106" s="586" t="s">
        <v>3887</v>
      </c>
      <c r="D106" s="132">
        <v>3965000</v>
      </c>
      <c r="E106" s="132"/>
      <c r="F106" s="132"/>
    </row>
    <row r="107" spans="1:6" ht="15.75" x14ac:dyDescent="0.25">
      <c r="A107" s="130"/>
      <c r="B107" s="128"/>
      <c r="C107" s="585" t="s">
        <v>5120</v>
      </c>
      <c r="D107" s="132"/>
      <c r="E107" s="132"/>
      <c r="F107" s="132"/>
    </row>
    <row r="108" spans="1:6" ht="28.5" x14ac:dyDescent="0.25">
      <c r="A108" s="130"/>
      <c r="B108" s="126">
        <v>12</v>
      </c>
      <c r="C108" s="814" t="s">
        <v>5221</v>
      </c>
      <c r="D108" s="131">
        <f>SUM(D113:D116)</f>
        <v>10000000</v>
      </c>
      <c r="E108" s="131">
        <f t="shared" ref="E108:F108" si="11">SUM(E113:E116)</f>
        <v>0</v>
      </c>
      <c r="F108" s="131">
        <f t="shared" si="11"/>
        <v>0</v>
      </c>
    </row>
    <row r="109" spans="1:6" ht="15.75" x14ac:dyDescent="0.25">
      <c r="A109" s="130"/>
      <c r="B109" s="128"/>
      <c r="C109" s="586" t="s">
        <v>5308</v>
      </c>
      <c r="D109" s="132"/>
      <c r="E109" s="132"/>
      <c r="F109" s="132"/>
    </row>
    <row r="110" spans="1:6" ht="15.75" x14ac:dyDescent="0.25">
      <c r="A110" s="130"/>
      <c r="B110" s="128"/>
      <c r="C110" s="586" t="s">
        <v>5304</v>
      </c>
      <c r="D110" s="132"/>
      <c r="E110" s="132"/>
      <c r="F110" s="132"/>
    </row>
    <row r="111" spans="1:6" ht="15.75" x14ac:dyDescent="0.25">
      <c r="A111" s="130"/>
      <c r="B111" s="128"/>
      <c r="C111" s="586" t="s">
        <v>5322</v>
      </c>
      <c r="D111" s="132"/>
      <c r="E111" s="132"/>
      <c r="F111" s="132"/>
    </row>
    <row r="112" spans="1:6" ht="15.75" x14ac:dyDescent="0.25">
      <c r="A112" s="130"/>
      <c r="B112" s="128"/>
      <c r="C112" s="586" t="s">
        <v>3884</v>
      </c>
      <c r="D112" s="132"/>
      <c r="E112" s="132"/>
      <c r="F112" s="132"/>
    </row>
    <row r="113" spans="1:6" ht="15.75" x14ac:dyDescent="0.25">
      <c r="A113" s="130"/>
      <c r="B113" s="128"/>
      <c r="C113" s="586" t="s">
        <v>3885</v>
      </c>
      <c r="D113" s="132">
        <v>10000000</v>
      </c>
      <c r="E113" s="132"/>
      <c r="F113" s="132"/>
    </row>
    <row r="114" spans="1:6" ht="15.75" x14ac:dyDescent="0.25">
      <c r="A114" s="130"/>
      <c r="B114" s="128"/>
      <c r="C114" s="586" t="s">
        <v>3886</v>
      </c>
      <c r="D114" s="132"/>
      <c r="E114" s="132"/>
      <c r="F114" s="132"/>
    </row>
    <row r="115" spans="1:6" ht="15.75" x14ac:dyDescent="0.25">
      <c r="A115" s="130"/>
      <c r="B115" s="128"/>
      <c r="C115" s="586" t="s">
        <v>3887</v>
      </c>
      <c r="D115" s="132"/>
      <c r="E115" s="132"/>
      <c r="F115" s="132"/>
    </row>
    <row r="116" spans="1:6" ht="15.75" x14ac:dyDescent="0.25">
      <c r="A116" s="130"/>
      <c r="B116" s="128"/>
      <c r="C116" s="585" t="s">
        <v>5120</v>
      </c>
      <c r="D116" s="132"/>
      <c r="E116" s="132"/>
      <c r="F116" s="132"/>
    </row>
    <row r="117" spans="1:6" ht="15.75" x14ac:dyDescent="0.25">
      <c r="A117" s="130"/>
      <c r="B117" s="126">
        <v>13</v>
      </c>
      <c r="C117" s="814" t="s">
        <v>5226</v>
      </c>
      <c r="D117" s="131">
        <f>SUM(D122:D125)</f>
        <v>10600000</v>
      </c>
      <c r="E117" s="131">
        <f t="shared" ref="E117:F117" si="12">SUM(E122:E125)</f>
        <v>0</v>
      </c>
      <c r="F117" s="131">
        <f t="shared" si="12"/>
        <v>0</v>
      </c>
    </row>
    <row r="118" spans="1:6" ht="15.75" x14ac:dyDescent="0.25">
      <c r="A118" s="130"/>
      <c r="B118" s="126"/>
      <c r="C118" s="586" t="s">
        <v>5310</v>
      </c>
      <c r="D118" s="131"/>
      <c r="E118" s="131"/>
      <c r="F118" s="131"/>
    </row>
    <row r="119" spans="1:6" ht="15.75" x14ac:dyDescent="0.25">
      <c r="A119" s="130"/>
      <c r="B119" s="126"/>
      <c r="C119" s="586" t="s">
        <v>5304</v>
      </c>
      <c r="D119" s="132"/>
      <c r="E119" s="131"/>
      <c r="F119" s="131"/>
    </row>
    <row r="120" spans="1:6" ht="15.75" x14ac:dyDescent="0.25">
      <c r="A120" s="130"/>
      <c r="B120" s="126"/>
      <c r="C120" s="586" t="s">
        <v>5323</v>
      </c>
      <c r="D120" s="132"/>
      <c r="E120" s="131"/>
      <c r="F120" s="131"/>
    </row>
    <row r="121" spans="1:6" ht="15.75" x14ac:dyDescent="0.25">
      <c r="A121" s="130"/>
      <c r="B121" s="126"/>
      <c r="C121" s="586" t="s">
        <v>3884</v>
      </c>
      <c r="D121" s="132"/>
      <c r="E121" s="131"/>
      <c r="F121" s="131"/>
    </row>
    <row r="122" spans="1:6" ht="15.75" x14ac:dyDescent="0.25">
      <c r="A122" s="130"/>
      <c r="B122" s="126"/>
      <c r="C122" s="586" t="s">
        <v>3885</v>
      </c>
      <c r="D122" s="132">
        <v>10600000</v>
      </c>
      <c r="E122" s="131"/>
      <c r="F122" s="131"/>
    </row>
    <row r="123" spans="1:6" ht="15.75" x14ac:dyDescent="0.25">
      <c r="A123" s="130"/>
      <c r="B123" s="126"/>
      <c r="C123" s="586" t="s">
        <v>3886</v>
      </c>
      <c r="D123" s="132"/>
      <c r="E123" s="131"/>
      <c r="F123" s="131"/>
    </row>
    <row r="124" spans="1:6" ht="15.75" x14ac:dyDescent="0.25">
      <c r="A124" s="130"/>
      <c r="B124" s="126"/>
      <c r="C124" s="586" t="s">
        <v>3887</v>
      </c>
      <c r="D124" s="132"/>
      <c r="E124" s="131"/>
      <c r="F124" s="131"/>
    </row>
    <row r="125" spans="1:6" ht="15.75" x14ac:dyDescent="0.25">
      <c r="A125" s="130"/>
      <c r="B125" s="578"/>
      <c r="C125" s="585" t="s">
        <v>5120</v>
      </c>
      <c r="D125" s="131"/>
      <c r="E125" s="131"/>
      <c r="F125" s="131"/>
    </row>
    <row r="126" spans="1:6" ht="28.5" x14ac:dyDescent="0.25">
      <c r="A126" s="130"/>
      <c r="B126" s="126">
        <v>14</v>
      </c>
      <c r="C126" s="814" t="s">
        <v>5227</v>
      </c>
      <c r="D126" s="131">
        <f>SUM(D131:D134)</f>
        <v>7500000</v>
      </c>
      <c r="E126" s="131">
        <f t="shared" ref="E126:F126" si="13">SUM(E131:E134)</f>
        <v>0</v>
      </c>
      <c r="F126" s="131">
        <f t="shared" si="13"/>
        <v>0</v>
      </c>
    </row>
    <row r="127" spans="1:6" ht="15.75" x14ac:dyDescent="0.25">
      <c r="A127" s="130"/>
      <c r="B127" s="128"/>
      <c r="C127" s="586" t="s">
        <v>5310</v>
      </c>
      <c r="D127" s="132"/>
      <c r="E127" s="132"/>
      <c r="F127" s="132"/>
    </row>
    <row r="128" spans="1:6" ht="15.75" x14ac:dyDescent="0.25">
      <c r="A128" s="130"/>
      <c r="B128" s="128"/>
      <c r="C128" s="586" t="s">
        <v>5304</v>
      </c>
      <c r="D128" s="132"/>
      <c r="E128" s="132"/>
      <c r="F128" s="132"/>
    </row>
    <row r="129" spans="1:6" ht="15.75" x14ac:dyDescent="0.25">
      <c r="A129" s="130"/>
      <c r="B129" s="128"/>
      <c r="C129" s="586" t="s">
        <v>5324</v>
      </c>
      <c r="D129" s="132"/>
      <c r="E129" s="132"/>
      <c r="F129" s="132"/>
    </row>
    <row r="130" spans="1:6" ht="15.75" x14ac:dyDescent="0.25">
      <c r="A130" s="130"/>
      <c r="B130" s="128"/>
      <c r="C130" s="586" t="s">
        <v>3884</v>
      </c>
      <c r="D130" s="132"/>
      <c r="E130" s="132"/>
      <c r="F130" s="132"/>
    </row>
    <row r="131" spans="1:6" ht="15.75" x14ac:dyDescent="0.25">
      <c r="A131" s="130"/>
      <c r="B131" s="128"/>
      <c r="C131" s="586" t="s">
        <v>3885</v>
      </c>
      <c r="D131" s="132">
        <v>7500000</v>
      </c>
      <c r="E131" s="132"/>
      <c r="F131" s="132"/>
    </row>
    <row r="132" spans="1:6" ht="15.75" x14ac:dyDescent="0.25">
      <c r="A132" s="130"/>
      <c r="B132" s="128"/>
      <c r="C132" s="586" t="s">
        <v>3886</v>
      </c>
      <c r="D132" s="132"/>
      <c r="E132" s="132"/>
      <c r="F132" s="132"/>
    </row>
    <row r="133" spans="1:6" ht="15.75" x14ac:dyDescent="0.25">
      <c r="A133" s="130"/>
      <c r="B133" s="128"/>
      <c r="C133" s="586" t="s">
        <v>3887</v>
      </c>
      <c r="D133" s="132"/>
      <c r="E133" s="132"/>
      <c r="F133" s="132"/>
    </row>
    <row r="134" spans="1:6" ht="15.75" x14ac:dyDescent="0.25">
      <c r="A134" s="130"/>
      <c r="B134" s="128"/>
      <c r="C134" s="586" t="s">
        <v>3888</v>
      </c>
      <c r="D134" s="132"/>
      <c r="E134" s="132"/>
      <c r="F134" s="132"/>
    </row>
    <row r="135" spans="1:6" ht="15.75" x14ac:dyDescent="0.25">
      <c r="A135" s="130"/>
      <c r="B135" s="128"/>
      <c r="C135" s="585" t="s">
        <v>5120</v>
      </c>
      <c r="D135" s="132"/>
      <c r="E135" s="132"/>
      <c r="F135" s="132"/>
    </row>
    <row r="136" spans="1:6" ht="28.5" x14ac:dyDescent="0.25">
      <c r="A136" s="130"/>
      <c r="B136" s="126">
        <v>15</v>
      </c>
      <c r="C136" s="814" t="s">
        <v>5326</v>
      </c>
      <c r="D136" s="131">
        <f>SUM(D141:D144)</f>
        <v>9200000</v>
      </c>
      <c r="E136" s="131">
        <f t="shared" ref="E136:F136" si="14">SUM(E141:E144)</f>
        <v>8800000</v>
      </c>
      <c r="F136" s="131">
        <f t="shared" si="14"/>
        <v>0</v>
      </c>
    </row>
    <row r="137" spans="1:6" ht="15.75" x14ac:dyDescent="0.25">
      <c r="A137" s="130"/>
      <c r="B137" s="128"/>
      <c r="C137" s="586" t="s">
        <v>5310</v>
      </c>
      <c r="D137" s="132"/>
      <c r="E137" s="132"/>
      <c r="F137" s="132"/>
    </row>
    <row r="138" spans="1:6" ht="15.75" x14ac:dyDescent="0.25">
      <c r="A138" s="130"/>
      <c r="B138" s="128"/>
      <c r="C138" s="586" t="s">
        <v>5325</v>
      </c>
      <c r="D138" s="132"/>
      <c r="E138" s="132"/>
      <c r="F138" s="132"/>
    </row>
    <row r="139" spans="1:6" ht="15.75" x14ac:dyDescent="0.25">
      <c r="A139" s="130"/>
      <c r="B139" s="128"/>
      <c r="C139" s="586" t="s">
        <v>5327</v>
      </c>
      <c r="D139" s="132"/>
      <c r="E139" s="132"/>
      <c r="F139" s="132"/>
    </row>
    <row r="140" spans="1:6" ht="15.75" x14ac:dyDescent="0.25">
      <c r="A140" s="130"/>
      <c r="B140" s="128"/>
      <c r="C140" s="586" t="s">
        <v>3884</v>
      </c>
      <c r="D140" s="132"/>
      <c r="E140" s="132"/>
      <c r="F140" s="132"/>
    </row>
    <row r="141" spans="1:6" ht="15.75" x14ac:dyDescent="0.25">
      <c r="A141" s="130"/>
      <c r="B141" s="128"/>
      <c r="C141" s="586" t="s">
        <v>3885</v>
      </c>
      <c r="D141" s="132">
        <v>9200000</v>
      </c>
      <c r="E141" s="132">
        <v>8800000</v>
      </c>
      <c r="F141" s="132"/>
    </row>
    <row r="142" spans="1:6" ht="15.75" x14ac:dyDescent="0.25">
      <c r="A142" s="130"/>
      <c r="B142" s="128"/>
      <c r="C142" s="586" t="s">
        <v>3886</v>
      </c>
      <c r="D142" s="132"/>
      <c r="E142" s="132"/>
      <c r="F142" s="132"/>
    </row>
    <row r="143" spans="1:6" ht="15.75" x14ac:dyDescent="0.25">
      <c r="A143" s="130"/>
      <c r="B143" s="128"/>
      <c r="C143" s="586" t="s">
        <v>3887</v>
      </c>
      <c r="D143" s="132"/>
      <c r="E143" s="132"/>
      <c r="F143" s="132"/>
    </row>
    <row r="144" spans="1:6" ht="15.75" x14ac:dyDescent="0.25">
      <c r="A144" s="130"/>
      <c r="B144" s="128"/>
      <c r="C144" s="587" t="s">
        <v>5120</v>
      </c>
      <c r="D144" s="132"/>
      <c r="E144" s="132"/>
      <c r="F144" s="132"/>
    </row>
    <row r="145" spans="1:6" ht="15.75" x14ac:dyDescent="0.25">
      <c r="A145" s="130"/>
      <c r="B145" s="797">
        <v>16</v>
      </c>
      <c r="C145" s="583" t="s">
        <v>5328</v>
      </c>
      <c r="D145" s="131">
        <f>SUM(D150:D153)</f>
        <v>0</v>
      </c>
      <c r="E145" s="131">
        <f t="shared" ref="E145:F145" si="15">SUM(E150:E153)</f>
        <v>14700000</v>
      </c>
      <c r="F145" s="131">
        <f t="shared" si="15"/>
        <v>0</v>
      </c>
    </row>
    <row r="146" spans="1:6" ht="15.75" x14ac:dyDescent="0.25">
      <c r="A146" s="130"/>
      <c r="B146" s="128"/>
      <c r="C146" s="586" t="s">
        <v>5331</v>
      </c>
      <c r="D146" s="132"/>
      <c r="E146" s="132"/>
      <c r="F146" s="132"/>
    </row>
    <row r="147" spans="1:6" ht="15.75" x14ac:dyDescent="0.25">
      <c r="A147" s="130"/>
      <c r="B147" s="128"/>
      <c r="C147" s="586" t="s">
        <v>5325</v>
      </c>
      <c r="D147" s="132"/>
      <c r="E147" s="132"/>
      <c r="F147" s="132"/>
    </row>
    <row r="148" spans="1:6" ht="15.75" x14ac:dyDescent="0.25">
      <c r="A148" s="130"/>
      <c r="B148" s="128"/>
      <c r="C148" s="586" t="s">
        <v>5329</v>
      </c>
      <c r="D148" s="132"/>
      <c r="E148" s="132"/>
      <c r="F148" s="132"/>
    </row>
    <row r="149" spans="1:6" ht="15.75" x14ac:dyDescent="0.25">
      <c r="A149" s="130"/>
      <c r="B149" s="128"/>
      <c r="C149" s="586" t="s">
        <v>3884</v>
      </c>
      <c r="D149" s="132"/>
      <c r="E149" s="132"/>
      <c r="F149" s="132"/>
    </row>
    <row r="150" spans="1:6" ht="15.75" x14ac:dyDescent="0.25">
      <c r="A150" s="130"/>
      <c r="B150" s="128"/>
      <c r="C150" s="586" t="s">
        <v>3885</v>
      </c>
      <c r="D150" s="132"/>
      <c r="E150" s="132">
        <v>14700000</v>
      </c>
      <c r="F150" s="132"/>
    </row>
    <row r="151" spans="1:6" ht="15.75" x14ac:dyDescent="0.25">
      <c r="A151" s="130"/>
      <c r="B151" s="128"/>
      <c r="C151" s="586" t="s">
        <v>3886</v>
      </c>
      <c r="D151" s="132"/>
      <c r="E151" s="132"/>
      <c r="F151" s="132"/>
    </row>
    <row r="152" spans="1:6" ht="15.75" x14ac:dyDescent="0.25">
      <c r="A152" s="130"/>
      <c r="B152" s="128"/>
      <c r="C152" s="586" t="s">
        <v>3887</v>
      </c>
      <c r="D152" s="132"/>
      <c r="E152" s="132"/>
      <c r="F152" s="132"/>
    </row>
    <row r="153" spans="1:6" ht="15.75" x14ac:dyDescent="0.25">
      <c r="A153" s="130"/>
      <c r="B153" s="128"/>
      <c r="C153" s="587" t="s">
        <v>5120</v>
      </c>
      <c r="D153" s="132"/>
      <c r="E153" s="132"/>
      <c r="F153" s="132"/>
    </row>
    <row r="154" spans="1:6" ht="30" customHeight="1" x14ac:dyDescent="0.25">
      <c r="A154" s="130"/>
      <c r="B154" s="797">
        <v>17</v>
      </c>
      <c r="C154" s="816" t="s">
        <v>5330</v>
      </c>
      <c r="D154" s="131">
        <f>SUM(D159:D162)</f>
        <v>0</v>
      </c>
      <c r="E154" s="131">
        <f t="shared" ref="E154:F154" si="16">SUM(E159:E162)</f>
        <v>22000000</v>
      </c>
      <c r="F154" s="131">
        <f t="shared" si="16"/>
        <v>10000000</v>
      </c>
    </row>
    <row r="155" spans="1:6" ht="15.75" x14ac:dyDescent="0.25">
      <c r="A155" s="130"/>
      <c r="B155" s="128"/>
      <c r="C155" s="586" t="s">
        <v>5331</v>
      </c>
      <c r="D155" s="132"/>
      <c r="E155" s="132"/>
      <c r="F155" s="132"/>
    </row>
    <row r="156" spans="1:6" ht="15.75" x14ac:dyDescent="0.25">
      <c r="A156" s="130"/>
      <c r="B156" s="128"/>
      <c r="C156" s="586" t="s">
        <v>5332</v>
      </c>
      <c r="D156" s="132"/>
      <c r="E156" s="132"/>
      <c r="F156" s="132"/>
    </row>
    <row r="157" spans="1:6" ht="15.75" x14ac:dyDescent="0.25">
      <c r="A157" s="130"/>
      <c r="B157" s="128"/>
      <c r="C157" s="586" t="s">
        <v>5333</v>
      </c>
      <c r="D157" s="132"/>
      <c r="E157" s="132"/>
      <c r="F157" s="132"/>
    </row>
    <row r="158" spans="1:6" ht="15.75" x14ac:dyDescent="0.25">
      <c r="A158" s="130"/>
      <c r="B158" s="128"/>
      <c r="C158" s="586" t="s">
        <v>3884</v>
      </c>
      <c r="D158" s="132"/>
      <c r="E158" s="132"/>
      <c r="F158" s="132"/>
    </row>
    <row r="159" spans="1:6" ht="15.75" x14ac:dyDescent="0.25">
      <c r="A159" s="130"/>
      <c r="B159" s="128"/>
      <c r="C159" s="586" t="s">
        <v>3885</v>
      </c>
      <c r="D159" s="132"/>
      <c r="E159" s="132">
        <v>22000000</v>
      </c>
      <c r="F159" s="132">
        <v>10000000</v>
      </c>
    </row>
    <row r="160" spans="1:6" ht="15.75" x14ac:dyDescent="0.25">
      <c r="A160" s="130"/>
      <c r="B160" s="128"/>
      <c r="C160" s="586" t="s">
        <v>3886</v>
      </c>
      <c r="D160" s="132"/>
      <c r="E160" s="132"/>
      <c r="F160" s="132"/>
    </row>
    <row r="161" spans="1:6" ht="15.75" x14ac:dyDescent="0.25">
      <c r="A161" s="130"/>
      <c r="B161" s="128"/>
      <c r="C161" s="586" t="s">
        <v>3887</v>
      </c>
      <c r="D161" s="132"/>
      <c r="E161" s="132"/>
      <c r="F161" s="132"/>
    </row>
    <row r="162" spans="1:6" ht="15.75" x14ac:dyDescent="0.25">
      <c r="A162" s="130"/>
      <c r="B162" s="128"/>
      <c r="C162" s="587" t="s">
        <v>5120</v>
      </c>
      <c r="D162" s="132"/>
      <c r="E162" s="132"/>
      <c r="F162" s="132"/>
    </row>
    <row r="163" spans="1:6" ht="28.5" customHeight="1" x14ac:dyDescent="0.25">
      <c r="A163" s="130"/>
      <c r="B163" s="797">
        <v>18</v>
      </c>
      <c r="C163" s="815" t="s">
        <v>5334</v>
      </c>
      <c r="D163" s="131">
        <f>SUM(D168:D171)</f>
        <v>0</v>
      </c>
      <c r="E163" s="131">
        <f t="shared" ref="E163:F163" si="17">SUM(E168:E171)</f>
        <v>100000000</v>
      </c>
      <c r="F163" s="131">
        <f t="shared" si="17"/>
        <v>100000000</v>
      </c>
    </row>
    <row r="164" spans="1:6" ht="15.75" x14ac:dyDescent="0.25">
      <c r="A164" s="130"/>
      <c r="B164" s="128"/>
      <c r="C164" s="586" t="s">
        <v>5331</v>
      </c>
      <c r="D164" s="132"/>
      <c r="E164" s="132"/>
      <c r="F164" s="132"/>
    </row>
    <row r="165" spans="1:6" ht="15.75" x14ac:dyDescent="0.25">
      <c r="A165" s="130"/>
      <c r="B165" s="128"/>
      <c r="C165" s="586" t="s">
        <v>5332</v>
      </c>
      <c r="D165" s="132"/>
      <c r="E165" s="132"/>
      <c r="F165" s="132"/>
    </row>
    <row r="166" spans="1:6" ht="15.75" x14ac:dyDescent="0.25">
      <c r="A166" s="130"/>
      <c r="B166" s="128"/>
      <c r="C166" s="586" t="s">
        <v>5335</v>
      </c>
      <c r="D166" s="132"/>
      <c r="E166" s="132"/>
      <c r="F166" s="132"/>
    </row>
    <row r="167" spans="1:6" ht="15.75" x14ac:dyDescent="0.25">
      <c r="A167" s="130"/>
      <c r="B167" s="128"/>
      <c r="C167" s="586" t="s">
        <v>3884</v>
      </c>
      <c r="D167" s="132"/>
      <c r="E167" s="132"/>
      <c r="F167" s="132"/>
    </row>
    <row r="168" spans="1:6" ht="15.75" x14ac:dyDescent="0.25">
      <c r="A168" s="130"/>
      <c r="B168" s="128"/>
      <c r="C168" s="586" t="s">
        <v>3885</v>
      </c>
      <c r="D168" s="132"/>
      <c r="E168" s="132">
        <v>100000000</v>
      </c>
      <c r="F168" s="132">
        <v>100000000</v>
      </c>
    </row>
    <row r="169" spans="1:6" ht="15.75" x14ac:dyDescent="0.25">
      <c r="A169" s="130"/>
      <c r="B169" s="128"/>
      <c r="C169" s="586" t="s">
        <v>3886</v>
      </c>
      <c r="D169" s="132"/>
      <c r="E169" s="132"/>
      <c r="F169" s="132"/>
    </row>
    <row r="170" spans="1:6" ht="15.75" x14ac:dyDescent="0.25">
      <c r="A170" s="130"/>
      <c r="B170" s="128"/>
      <c r="C170" s="586" t="s">
        <v>3887</v>
      </c>
      <c r="D170" s="132"/>
      <c r="E170" s="132"/>
      <c r="F170" s="132"/>
    </row>
    <row r="171" spans="1:6" ht="15.75" x14ac:dyDescent="0.25">
      <c r="A171" s="130"/>
      <c r="B171" s="128"/>
      <c r="C171" s="587" t="s">
        <v>5120</v>
      </c>
      <c r="D171" s="132"/>
      <c r="E171" s="132"/>
      <c r="F171" s="132"/>
    </row>
    <row r="172" spans="1:6" ht="31.5" x14ac:dyDescent="0.25">
      <c r="A172" s="130"/>
      <c r="B172" s="797">
        <v>19</v>
      </c>
      <c r="C172" s="815" t="s">
        <v>5336</v>
      </c>
      <c r="D172" s="131">
        <f>SUM(D177:D180)</f>
        <v>0</v>
      </c>
      <c r="E172" s="131">
        <f t="shared" ref="E172:F172" si="18">SUM(E177:E180)</f>
        <v>21000000</v>
      </c>
      <c r="F172" s="131">
        <f t="shared" si="18"/>
        <v>10000000</v>
      </c>
    </row>
    <row r="173" spans="1:6" ht="15.75" x14ac:dyDescent="0.25">
      <c r="A173" s="130"/>
      <c r="B173" s="128"/>
      <c r="C173" s="586" t="s">
        <v>5331</v>
      </c>
      <c r="D173" s="132"/>
      <c r="E173" s="132"/>
      <c r="F173" s="132"/>
    </row>
    <row r="174" spans="1:6" ht="15.75" x14ac:dyDescent="0.25">
      <c r="A174" s="130"/>
      <c r="B174" s="128"/>
      <c r="C174" s="586" t="s">
        <v>5332</v>
      </c>
      <c r="D174" s="132"/>
      <c r="E174" s="132"/>
      <c r="F174" s="132"/>
    </row>
    <row r="175" spans="1:6" ht="15.75" x14ac:dyDescent="0.25">
      <c r="A175" s="130"/>
      <c r="B175" s="128"/>
      <c r="C175" s="586" t="s">
        <v>5337</v>
      </c>
      <c r="D175" s="132"/>
      <c r="E175" s="132"/>
      <c r="F175" s="132"/>
    </row>
    <row r="176" spans="1:6" ht="15.75" x14ac:dyDescent="0.25">
      <c r="A176" s="130"/>
      <c r="B176" s="128"/>
      <c r="C176" s="586" t="s">
        <v>3884</v>
      </c>
      <c r="D176" s="132"/>
      <c r="E176" s="132"/>
      <c r="F176" s="132"/>
    </row>
    <row r="177" spans="1:6" ht="15.75" x14ac:dyDescent="0.25">
      <c r="A177" s="130"/>
      <c r="B177" s="128"/>
      <c r="C177" s="586" t="s">
        <v>3885</v>
      </c>
      <c r="D177" s="132"/>
      <c r="E177" s="132">
        <v>21000000</v>
      </c>
      <c r="F177" s="132">
        <v>10000000</v>
      </c>
    </row>
    <row r="178" spans="1:6" ht="15.75" x14ac:dyDescent="0.25">
      <c r="A178" s="130"/>
      <c r="B178" s="128"/>
      <c r="C178" s="586" t="s">
        <v>3886</v>
      </c>
      <c r="D178" s="132"/>
      <c r="E178" s="132"/>
      <c r="F178" s="132"/>
    </row>
    <row r="179" spans="1:6" ht="15.75" x14ac:dyDescent="0.25">
      <c r="A179" s="130"/>
      <c r="B179" s="128"/>
      <c r="C179" s="586" t="s">
        <v>3887</v>
      </c>
      <c r="D179" s="132"/>
      <c r="E179" s="132"/>
      <c r="F179" s="132"/>
    </row>
    <row r="180" spans="1:6" ht="15.75" x14ac:dyDescent="0.25">
      <c r="A180" s="130"/>
      <c r="B180" s="128"/>
      <c r="C180" s="587" t="s">
        <v>5120</v>
      </c>
      <c r="D180" s="132"/>
      <c r="E180" s="132"/>
      <c r="F180" s="132"/>
    </row>
    <row r="181" spans="1:6" ht="31.5" x14ac:dyDescent="0.25">
      <c r="A181" s="130"/>
      <c r="B181" s="797">
        <v>20</v>
      </c>
      <c r="C181" s="815" t="s">
        <v>5338</v>
      </c>
      <c r="D181" s="131">
        <f>SUM(D186:D189)</f>
        <v>0</v>
      </c>
      <c r="E181" s="131">
        <f t="shared" ref="E181:F181" si="19">SUM(E186:E189)</f>
        <v>41000000</v>
      </c>
      <c r="F181" s="131">
        <f t="shared" si="19"/>
        <v>0</v>
      </c>
    </row>
    <row r="182" spans="1:6" ht="15.75" x14ac:dyDescent="0.25">
      <c r="A182" s="130"/>
      <c r="B182" s="128"/>
      <c r="C182" s="586" t="s">
        <v>5331</v>
      </c>
      <c r="D182" s="132"/>
      <c r="E182" s="132"/>
      <c r="F182" s="132"/>
    </row>
    <row r="183" spans="1:6" ht="15.75" x14ac:dyDescent="0.25">
      <c r="A183" s="130"/>
      <c r="B183" s="128"/>
      <c r="C183" s="586" t="s">
        <v>5325</v>
      </c>
      <c r="D183" s="132"/>
      <c r="E183" s="132"/>
      <c r="F183" s="132"/>
    </row>
    <row r="184" spans="1:6" ht="15.75" x14ac:dyDescent="0.25">
      <c r="A184" s="130"/>
      <c r="B184" s="128"/>
      <c r="C184" s="586" t="s">
        <v>5339</v>
      </c>
      <c r="D184" s="132"/>
      <c r="E184" s="132"/>
      <c r="F184" s="132"/>
    </row>
    <row r="185" spans="1:6" ht="15.75" x14ac:dyDescent="0.25">
      <c r="A185" s="130"/>
      <c r="B185" s="128"/>
      <c r="C185" s="586" t="s">
        <v>3884</v>
      </c>
      <c r="D185" s="132"/>
      <c r="E185" s="132"/>
      <c r="F185" s="132"/>
    </row>
    <row r="186" spans="1:6" ht="15.75" x14ac:dyDescent="0.25">
      <c r="A186" s="130"/>
      <c r="B186" s="128"/>
      <c r="C186" s="586" t="s">
        <v>3885</v>
      </c>
      <c r="D186" s="132"/>
      <c r="E186" s="132">
        <v>41000000</v>
      </c>
      <c r="F186" s="132"/>
    </row>
    <row r="187" spans="1:6" ht="15.75" x14ac:dyDescent="0.25">
      <c r="A187" s="130"/>
      <c r="B187" s="128"/>
      <c r="C187" s="586" t="s">
        <v>3886</v>
      </c>
      <c r="D187" s="132"/>
      <c r="E187" s="132"/>
      <c r="F187" s="132"/>
    </row>
    <row r="188" spans="1:6" ht="15.75" x14ac:dyDescent="0.25">
      <c r="A188" s="130"/>
      <c r="B188" s="128"/>
      <c r="C188" s="586" t="s">
        <v>3887</v>
      </c>
      <c r="D188" s="132"/>
      <c r="E188" s="132"/>
      <c r="F188" s="132"/>
    </row>
    <row r="189" spans="1:6" ht="15.75" x14ac:dyDescent="0.25">
      <c r="A189" s="130"/>
      <c r="B189" s="128"/>
      <c r="C189" s="587" t="s">
        <v>5120</v>
      </c>
      <c r="D189" s="132"/>
      <c r="E189" s="132"/>
      <c r="F189" s="132"/>
    </row>
    <row r="190" spans="1:6" ht="31.5" x14ac:dyDescent="0.25">
      <c r="A190" s="130"/>
      <c r="B190" s="797">
        <v>21</v>
      </c>
      <c r="C190" s="815" t="s">
        <v>5478</v>
      </c>
      <c r="D190" s="131">
        <f>SUM(D195:D198)</f>
        <v>0</v>
      </c>
      <c r="E190" s="131">
        <f t="shared" ref="E190:F190" si="20">SUM(E195:E198)</f>
        <v>20000000</v>
      </c>
      <c r="F190" s="131">
        <f t="shared" si="20"/>
        <v>0</v>
      </c>
    </row>
    <row r="191" spans="1:6" ht="15.75" x14ac:dyDescent="0.25">
      <c r="A191" s="130"/>
      <c r="B191" s="128"/>
      <c r="C191" s="586" t="s">
        <v>5331</v>
      </c>
      <c r="D191" s="132"/>
      <c r="E191" s="132"/>
      <c r="F191" s="132"/>
    </row>
    <row r="192" spans="1:6" ht="15.75" x14ac:dyDescent="0.25">
      <c r="A192" s="130"/>
      <c r="B192" s="128"/>
      <c r="C192" s="586" t="s">
        <v>5325</v>
      </c>
      <c r="D192" s="132"/>
      <c r="E192" s="132"/>
      <c r="F192" s="132"/>
    </row>
    <row r="193" spans="1:6" ht="15.75" x14ac:dyDescent="0.25">
      <c r="A193" s="130"/>
      <c r="B193" s="128"/>
      <c r="C193" s="586" t="s">
        <v>5335</v>
      </c>
      <c r="D193" s="132"/>
      <c r="E193" s="132"/>
      <c r="F193" s="132"/>
    </row>
    <row r="194" spans="1:6" ht="15.75" x14ac:dyDescent="0.25">
      <c r="A194" s="130"/>
      <c r="B194" s="128"/>
      <c r="C194" s="586" t="s">
        <v>3884</v>
      </c>
      <c r="D194" s="132"/>
      <c r="E194" s="132"/>
      <c r="F194" s="132"/>
    </row>
    <row r="195" spans="1:6" ht="15.75" x14ac:dyDescent="0.25">
      <c r="A195" s="130"/>
      <c r="B195" s="128"/>
      <c r="C195" s="586" t="s">
        <v>3885</v>
      </c>
      <c r="D195" s="132"/>
      <c r="E195" s="132">
        <v>20000000</v>
      </c>
      <c r="F195" s="132"/>
    </row>
    <row r="196" spans="1:6" ht="15.75" x14ac:dyDescent="0.25">
      <c r="A196" s="130"/>
      <c r="B196" s="128"/>
      <c r="C196" s="586" t="s">
        <v>3886</v>
      </c>
      <c r="D196" s="132"/>
      <c r="E196" s="132"/>
      <c r="F196" s="132"/>
    </row>
    <row r="197" spans="1:6" ht="15.75" x14ac:dyDescent="0.25">
      <c r="A197" s="130"/>
      <c r="B197" s="128"/>
      <c r="C197" s="586" t="s">
        <v>3887</v>
      </c>
      <c r="D197" s="132"/>
      <c r="E197" s="132"/>
      <c r="F197" s="132"/>
    </row>
    <row r="198" spans="1:6" ht="15.75" x14ac:dyDescent="0.25">
      <c r="A198" s="130"/>
      <c r="B198" s="128"/>
      <c r="C198" s="587" t="s">
        <v>5120</v>
      </c>
      <c r="D198" s="132"/>
      <c r="E198" s="132"/>
      <c r="F198" s="132"/>
    </row>
    <row r="199" spans="1:6" ht="31.5" x14ac:dyDescent="0.25">
      <c r="A199" s="130"/>
      <c r="B199" s="894">
        <v>22</v>
      </c>
      <c r="C199" s="815" t="s">
        <v>5479</v>
      </c>
      <c r="D199" s="131">
        <f>SUM(D204:D207)</f>
        <v>0</v>
      </c>
      <c r="E199" s="131">
        <f t="shared" ref="E199:F199" si="21">SUM(E204:E207)</f>
        <v>1500000</v>
      </c>
      <c r="F199" s="131">
        <f t="shared" si="21"/>
        <v>0</v>
      </c>
    </row>
    <row r="200" spans="1:6" ht="15.75" x14ac:dyDescent="0.25">
      <c r="A200" s="130"/>
      <c r="B200" s="128"/>
      <c r="C200" s="586" t="s">
        <v>5331</v>
      </c>
      <c r="D200" s="132"/>
      <c r="E200" s="132"/>
      <c r="F200" s="132"/>
    </row>
    <row r="201" spans="1:6" ht="15.75" x14ac:dyDescent="0.25">
      <c r="A201" s="130"/>
      <c r="B201" s="128"/>
      <c r="C201" s="586" t="s">
        <v>5325</v>
      </c>
      <c r="D201" s="132"/>
      <c r="E201" s="132"/>
      <c r="F201" s="132"/>
    </row>
    <row r="202" spans="1:6" ht="15.75" x14ac:dyDescent="0.25">
      <c r="A202" s="130"/>
      <c r="B202" s="128"/>
      <c r="C202" s="586" t="s">
        <v>5480</v>
      </c>
      <c r="D202" s="132"/>
      <c r="E202" s="132"/>
      <c r="F202" s="132"/>
    </row>
    <row r="203" spans="1:6" ht="15.75" x14ac:dyDescent="0.25">
      <c r="A203" s="130"/>
      <c r="B203" s="128"/>
      <c r="C203" s="586" t="s">
        <v>3884</v>
      </c>
      <c r="D203" s="132"/>
      <c r="E203" s="132"/>
      <c r="F203" s="132"/>
    </row>
    <row r="204" spans="1:6" ht="15.75" x14ac:dyDescent="0.25">
      <c r="A204" s="130"/>
      <c r="B204" s="128"/>
      <c r="C204" s="586" t="s">
        <v>3885</v>
      </c>
      <c r="D204" s="132"/>
      <c r="E204" s="132">
        <v>1500000</v>
      </c>
      <c r="F204" s="132"/>
    </row>
    <row r="205" spans="1:6" ht="15.75" x14ac:dyDescent="0.25">
      <c r="A205" s="130"/>
      <c r="B205" s="128"/>
      <c r="C205" s="586" t="s">
        <v>3886</v>
      </c>
      <c r="D205" s="132"/>
      <c r="E205" s="132"/>
      <c r="F205" s="132"/>
    </row>
    <row r="206" spans="1:6" ht="15.75" x14ac:dyDescent="0.25">
      <c r="A206" s="130"/>
      <c r="B206" s="128"/>
      <c r="C206" s="586" t="s">
        <v>3887</v>
      </c>
      <c r="D206" s="132"/>
      <c r="E206" s="132"/>
      <c r="F206" s="132"/>
    </row>
    <row r="207" spans="1:6" ht="15.75" x14ac:dyDescent="0.25">
      <c r="A207" s="130"/>
      <c r="B207" s="128"/>
      <c r="C207" s="587" t="s">
        <v>5120</v>
      </c>
      <c r="D207" s="132"/>
      <c r="E207" s="132"/>
      <c r="F207" s="132"/>
    </row>
    <row r="208" spans="1:6" ht="15.75" x14ac:dyDescent="0.25">
      <c r="A208" s="130"/>
      <c r="B208" s="894">
        <v>23</v>
      </c>
      <c r="C208" s="815" t="s">
        <v>5481</v>
      </c>
      <c r="D208" s="131">
        <f>SUM(D213:D216)</f>
        <v>0</v>
      </c>
      <c r="E208" s="131">
        <f t="shared" ref="E208:F208" si="22">SUM(E213:E216)</f>
        <v>30000000</v>
      </c>
      <c r="F208" s="131">
        <f t="shared" si="22"/>
        <v>0</v>
      </c>
    </row>
    <row r="209" spans="1:6" ht="15.75" x14ac:dyDescent="0.25">
      <c r="A209" s="130"/>
      <c r="B209" s="128"/>
      <c r="C209" s="586" t="s">
        <v>5331</v>
      </c>
      <c r="D209" s="132"/>
      <c r="E209" s="132"/>
      <c r="F209" s="132"/>
    </row>
    <row r="210" spans="1:6" ht="15.75" x14ac:dyDescent="0.25">
      <c r="A210" s="130"/>
      <c r="B210" s="128"/>
      <c r="C210" s="586" t="s">
        <v>5325</v>
      </c>
      <c r="D210" s="132"/>
      <c r="E210" s="132"/>
      <c r="F210" s="132"/>
    </row>
    <row r="211" spans="1:6" ht="15.75" x14ac:dyDescent="0.25">
      <c r="A211" s="130"/>
      <c r="B211" s="128"/>
      <c r="C211" s="586" t="s">
        <v>5482</v>
      </c>
      <c r="D211" s="132"/>
      <c r="E211" s="132"/>
      <c r="F211" s="132"/>
    </row>
    <row r="212" spans="1:6" ht="15.75" x14ac:dyDescent="0.25">
      <c r="A212" s="130"/>
      <c r="B212" s="128"/>
      <c r="C212" s="586" t="s">
        <v>3884</v>
      </c>
      <c r="D212" s="132"/>
      <c r="E212" s="132"/>
      <c r="F212" s="132"/>
    </row>
    <row r="213" spans="1:6" ht="15.75" x14ac:dyDescent="0.25">
      <c r="A213" s="130"/>
      <c r="B213" s="128"/>
      <c r="C213" s="586" t="s">
        <v>3885</v>
      </c>
      <c r="D213" s="132"/>
      <c r="E213" s="132">
        <v>30000000</v>
      </c>
      <c r="F213" s="132"/>
    </row>
    <row r="214" spans="1:6" ht="15.75" x14ac:dyDescent="0.25">
      <c r="A214" s="130"/>
      <c r="B214" s="128"/>
      <c r="C214" s="586" t="s">
        <v>3886</v>
      </c>
      <c r="D214" s="132"/>
      <c r="E214" s="132"/>
      <c r="F214" s="132"/>
    </row>
    <row r="215" spans="1:6" ht="15.75" x14ac:dyDescent="0.25">
      <c r="A215" s="130"/>
      <c r="B215" s="128"/>
      <c r="C215" s="586" t="s">
        <v>3887</v>
      </c>
      <c r="D215" s="132"/>
      <c r="E215" s="132"/>
      <c r="F215" s="132"/>
    </row>
    <row r="216" spans="1:6" ht="15.75" x14ac:dyDescent="0.25">
      <c r="A216" s="130"/>
      <c r="B216" s="128"/>
      <c r="C216" s="587" t="s">
        <v>5120</v>
      </c>
      <c r="D216" s="132"/>
      <c r="E216" s="132"/>
      <c r="F216" s="132"/>
    </row>
    <row r="217" spans="1:6" ht="15.75" x14ac:dyDescent="0.25">
      <c r="A217" s="130">
        <v>512</v>
      </c>
      <c r="B217" s="868">
        <v>1</v>
      </c>
      <c r="C217" s="815" t="s">
        <v>5343</v>
      </c>
      <c r="D217" s="131">
        <f>SUM(D222:D225)</f>
        <v>1500000</v>
      </c>
      <c r="E217" s="131">
        <f t="shared" ref="E217:F217" si="23">SUM(E222:E225)</f>
        <v>0</v>
      </c>
      <c r="F217" s="131">
        <f t="shared" si="23"/>
        <v>0</v>
      </c>
    </row>
    <row r="218" spans="1:6" ht="15.75" x14ac:dyDescent="0.25">
      <c r="A218" s="130"/>
      <c r="B218" s="128"/>
      <c r="C218" s="586" t="s">
        <v>5310</v>
      </c>
      <c r="D218" s="132"/>
      <c r="E218" s="132"/>
      <c r="F218" s="132"/>
    </row>
    <row r="219" spans="1:6" ht="15.75" x14ac:dyDescent="0.25">
      <c r="A219" s="130"/>
      <c r="B219" s="128"/>
      <c r="C219" s="586" t="s">
        <v>5304</v>
      </c>
      <c r="D219" s="132"/>
      <c r="E219" s="132"/>
      <c r="F219" s="132"/>
    </row>
    <row r="220" spans="1:6" ht="15.75" x14ac:dyDescent="0.25">
      <c r="A220" s="130"/>
      <c r="B220" s="128"/>
      <c r="C220" s="586" t="s">
        <v>5335</v>
      </c>
      <c r="D220" s="132"/>
      <c r="E220" s="132"/>
      <c r="F220" s="132"/>
    </row>
    <row r="221" spans="1:6" ht="15.75" x14ac:dyDescent="0.25">
      <c r="A221" s="130"/>
      <c r="B221" s="128"/>
      <c r="C221" s="586" t="s">
        <v>3884</v>
      </c>
      <c r="D221" s="132"/>
      <c r="E221" s="132"/>
      <c r="F221" s="132"/>
    </row>
    <row r="222" spans="1:6" ht="15.75" x14ac:dyDescent="0.25">
      <c r="A222" s="130"/>
      <c r="B222" s="128"/>
      <c r="C222" s="586" t="s">
        <v>3885</v>
      </c>
      <c r="D222" s="132">
        <v>1500000</v>
      </c>
      <c r="E222" s="132"/>
      <c r="F222" s="132"/>
    </row>
    <row r="223" spans="1:6" ht="15.75" x14ac:dyDescent="0.25">
      <c r="A223" s="130"/>
      <c r="B223" s="128"/>
      <c r="C223" s="586" t="s">
        <v>3886</v>
      </c>
      <c r="D223" s="132"/>
      <c r="E223" s="132"/>
      <c r="F223" s="132"/>
    </row>
    <row r="224" spans="1:6" ht="15.75" x14ac:dyDescent="0.25">
      <c r="A224" s="130"/>
      <c r="B224" s="128"/>
      <c r="C224" s="586" t="s">
        <v>3887</v>
      </c>
      <c r="D224" s="132"/>
      <c r="E224" s="132"/>
      <c r="F224" s="132"/>
    </row>
    <row r="225" spans="1:6" ht="15.75" x14ac:dyDescent="0.25">
      <c r="A225" s="130"/>
      <c r="B225" s="128"/>
      <c r="C225" s="587" t="s">
        <v>5120</v>
      </c>
      <c r="D225" s="132"/>
      <c r="E225" s="132"/>
      <c r="F225" s="132"/>
    </row>
    <row r="226" spans="1:6" ht="15.75" x14ac:dyDescent="0.25">
      <c r="A226" s="130"/>
      <c r="B226" s="868">
        <v>2</v>
      </c>
      <c r="C226" s="815" t="s">
        <v>5344</v>
      </c>
      <c r="D226" s="131">
        <f>SUM(D231:D234)</f>
        <v>1920000</v>
      </c>
      <c r="E226" s="131">
        <f t="shared" ref="E226:F226" si="24">SUM(E231:E234)</f>
        <v>0</v>
      </c>
      <c r="F226" s="131">
        <f t="shared" si="24"/>
        <v>0</v>
      </c>
    </row>
    <row r="227" spans="1:6" ht="15.75" x14ac:dyDescent="0.25">
      <c r="A227" s="130"/>
      <c r="B227" s="128"/>
      <c r="C227" s="586" t="s">
        <v>5310</v>
      </c>
      <c r="D227" s="132"/>
      <c r="E227" s="132"/>
      <c r="F227" s="132"/>
    </row>
    <row r="228" spans="1:6" ht="15.75" x14ac:dyDescent="0.25">
      <c r="A228" s="130"/>
      <c r="B228" s="128"/>
      <c r="C228" s="586" t="s">
        <v>5304</v>
      </c>
      <c r="D228" s="132"/>
      <c r="E228" s="132"/>
      <c r="F228" s="132"/>
    </row>
    <row r="229" spans="1:6" ht="15.75" x14ac:dyDescent="0.25">
      <c r="A229" s="130"/>
      <c r="B229" s="128"/>
      <c r="C229" s="586" t="s">
        <v>5335</v>
      </c>
      <c r="D229" s="132"/>
      <c r="E229" s="132"/>
      <c r="F229" s="132"/>
    </row>
    <row r="230" spans="1:6" ht="15.75" x14ac:dyDescent="0.25">
      <c r="A230" s="130"/>
      <c r="B230" s="128"/>
      <c r="C230" s="586" t="s">
        <v>3884</v>
      </c>
      <c r="D230" s="132"/>
      <c r="E230" s="132"/>
      <c r="F230" s="132"/>
    </row>
    <row r="231" spans="1:6" ht="15.75" x14ac:dyDescent="0.25">
      <c r="A231" s="130"/>
      <c r="B231" s="128"/>
      <c r="C231" s="586" t="s">
        <v>3885</v>
      </c>
      <c r="D231" s="132">
        <v>1920000</v>
      </c>
      <c r="E231" s="132"/>
      <c r="F231" s="132"/>
    </row>
    <row r="232" spans="1:6" ht="15.75" x14ac:dyDescent="0.25">
      <c r="A232" s="130"/>
      <c r="B232" s="128"/>
      <c r="C232" s="586" t="s">
        <v>3886</v>
      </c>
      <c r="D232" s="132"/>
      <c r="E232" s="132"/>
      <c r="F232" s="132"/>
    </row>
    <row r="233" spans="1:6" ht="15.75" x14ac:dyDescent="0.25">
      <c r="A233" s="130"/>
      <c r="B233" s="128"/>
      <c r="C233" s="586" t="s">
        <v>3887</v>
      </c>
      <c r="D233" s="132"/>
      <c r="E233" s="132"/>
      <c r="F233" s="132"/>
    </row>
    <row r="234" spans="1:6" ht="15.75" x14ac:dyDescent="0.25">
      <c r="A234" s="130"/>
      <c r="B234" s="128"/>
      <c r="C234" s="587" t="s">
        <v>5120</v>
      </c>
      <c r="D234" s="132"/>
      <c r="E234" s="132"/>
      <c r="F234" s="132"/>
    </row>
    <row r="235" spans="1:6" ht="31.5" x14ac:dyDescent="0.25">
      <c r="A235" s="130"/>
      <c r="B235" s="868">
        <v>3</v>
      </c>
      <c r="C235" s="815" t="s">
        <v>5345</v>
      </c>
      <c r="D235" s="131">
        <f>SUM(D240:D243)</f>
        <v>1000000</v>
      </c>
      <c r="E235" s="131">
        <f t="shared" ref="E235:F235" si="25">SUM(E240:E243)</f>
        <v>0</v>
      </c>
      <c r="F235" s="131">
        <f t="shared" si="25"/>
        <v>0</v>
      </c>
    </row>
    <row r="236" spans="1:6" ht="15.75" x14ac:dyDescent="0.25">
      <c r="A236" s="130"/>
      <c r="B236" s="128"/>
      <c r="C236" s="586" t="s">
        <v>5310</v>
      </c>
      <c r="D236" s="132"/>
      <c r="E236" s="132"/>
      <c r="F236" s="132"/>
    </row>
    <row r="237" spans="1:6" ht="15.75" x14ac:dyDescent="0.25">
      <c r="A237" s="130"/>
      <c r="B237" s="128"/>
      <c r="C237" s="586" t="s">
        <v>5304</v>
      </c>
      <c r="D237" s="132"/>
      <c r="E237" s="132"/>
      <c r="F237" s="132"/>
    </row>
    <row r="238" spans="1:6" ht="15.75" x14ac:dyDescent="0.25">
      <c r="A238" s="130"/>
      <c r="B238" s="128"/>
      <c r="C238" s="586" t="s">
        <v>5335</v>
      </c>
      <c r="D238" s="132"/>
      <c r="E238" s="132"/>
      <c r="F238" s="132"/>
    </row>
    <row r="239" spans="1:6" ht="15.75" x14ac:dyDescent="0.25">
      <c r="A239" s="130"/>
      <c r="B239" s="128"/>
      <c r="C239" s="586" t="s">
        <v>3884</v>
      </c>
      <c r="D239" s="132"/>
      <c r="E239" s="132"/>
      <c r="F239" s="132"/>
    </row>
    <row r="240" spans="1:6" ht="15.75" x14ac:dyDescent="0.25">
      <c r="A240" s="130"/>
      <c r="B240" s="128"/>
      <c r="C240" s="586" t="s">
        <v>3885</v>
      </c>
      <c r="D240" s="132">
        <v>1000000</v>
      </c>
      <c r="E240" s="132"/>
      <c r="F240" s="132"/>
    </row>
    <row r="241" spans="1:6" ht="15.75" x14ac:dyDescent="0.25">
      <c r="A241" s="130"/>
      <c r="B241" s="128"/>
      <c r="C241" s="586" t="s">
        <v>3886</v>
      </c>
      <c r="D241" s="132"/>
      <c r="E241" s="132"/>
      <c r="F241" s="132"/>
    </row>
    <row r="242" spans="1:6" ht="15.75" x14ac:dyDescent="0.25">
      <c r="A242" s="130"/>
      <c r="B242" s="128"/>
      <c r="C242" s="586" t="s">
        <v>3887</v>
      </c>
      <c r="D242" s="132"/>
      <c r="E242" s="132"/>
      <c r="F242" s="132"/>
    </row>
    <row r="243" spans="1:6" ht="15.75" x14ac:dyDescent="0.25">
      <c r="A243" s="130"/>
      <c r="B243" s="128"/>
      <c r="C243" s="587" t="s">
        <v>5120</v>
      </c>
      <c r="D243" s="132"/>
      <c r="E243" s="132"/>
      <c r="F243" s="132"/>
    </row>
    <row r="244" spans="1:6" ht="15.75" x14ac:dyDescent="0.25">
      <c r="A244" s="130"/>
      <c r="B244" s="868">
        <v>4</v>
      </c>
      <c r="C244" s="815" t="s">
        <v>5121</v>
      </c>
      <c r="D244" s="131">
        <f>SUM(D249:D252)</f>
        <v>3000000</v>
      </c>
      <c r="E244" s="131">
        <f t="shared" ref="E244:F244" si="26">SUM(E249:E252)</f>
        <v>0</v>
      </c>
      <c r="F244" s="131">
        <f t="shared" si="26"/>
        <v>0</v>
      </c>
    </row>
    <row r="245" spans="1:6" ht="15.75" x14ac:dyDescent="0.25">
      <c r="A245" s="130"/>
      <c r="B245" s="128"/>
      <c r="C245" s="586" t="s">
        <v>5310</v>
      </c>
      <c r="D245" s="132"/>
      <c r="E245" s="132"/>
      <c r="F245" s="132"/>
    </row>
    <row r="246" spans="1:6" ht="15.75" x14ac:dyDescent="0.25">
      <c r="A246" s="130"/>
      <c r="B246" s="128"/>
      <c r="C246" s="586" t="s">
        <v>5304</v>
      </c>
      <c r="D246" s="132"/>
      <c r="E246" s="132"/>
      <c r="F246" s="132"/>
    </row>
    <row r="247" spans="1:6" ht="15.75" x14ac:dyDescent="0.25">
      <c r="A247" s="130"/>
      <c r="B247" s="128"/>
      <c r="C247" s="586" t="s">
        <v>5335</v>
      </c>
      <c r="D247" s="132"/>
      <c r="E247" s="132"/>
      <c r="F247" s="132"/>
    </row>
    <row r="248" spans="1:6" ht="15.75" x14ac:dyDescent="0.25">
      <c r="A248" s="130"/>
      <c r="B248" s="128"/>
      <c r="C248" s="586" t="s">
        <v>3884</v>
      </c>
      <c r="D248" s="132"/>
      <c r="E248" s="132"/>
      <c r="F248" s="132"/>
    </row>
    <row r="249" spans="1:6" ht="15.75" x14ac:dyDescent="0.25">
      <c r="A249" s="130"/>
      <c r="B249" s="128"/>
      <c r="C249" s="586" t="s">
        <v>3885</v>
      </c>
      <c r="D249" s="132">
        <v>3000000</v>
      </c>
      <c r="E249" s="132"/>
      <c r="F249" s="132"/>
    </row>
    <row r="250" spans="1:6" ht="15.75" x14ac:dyDescent="0.25">
      <c r="A250" s="130"/>
      <c r="B250" s="128"/>
      <c r="C250" s="586" t="s">
        <v>3886</v>
      </c>
      <c r="D250" s="132"/>
      <c r="E250" s="132"/>
      <c r="F250" s="132"/>
    </row>
    <row r="251" spans="1:6" ht="15.75" x14ac:dyDescent="0.25">
      <c r="A251" s="130"/>
      <c r="B251" s="128"/>
      <c r="C251" s="586" t="s">
        <v>3887</v>
      </c>
      <c r="D251" s="132"/>
      <c r="E251" s="132"/>
      <c r="F251" s="132"/>
    </row>
    <row r="252" spans="1:6" ht="15.75" x14ac:dyDescent="0.25">
      <c r="A252" s="130"/>
      <c r="B252" s="128"/>
      <c r="C252" s="587" t="s">
        <v>5120</v>
      </c>
      <c r="D252" s="132"/>
      <c r="E252" s="132"/>
      <c r="F252" s="132"/>
    </row>
    <row r="253" spans="1:6" ht="31.5" x14ac:dyDescent="0.25">
      <c r="A253" s="130"/>
      <c r="B253" s="868">
        <v>5</v>
      </c>
      <c r="C253" s="815" t="s">
        <v>5346</v>
      </c>
      <c r="D253" s="131">
        <f>SUM(D258:D261)</f>
        <v>1500000</v>
      </c>
      <c r="E253" s="131">
        <f t="shared" ref="E253:F253" si="27">SUM(E258:E261)</f>
        <v>0</v>
      </c>
      <c r="F253" s="131">
        <f t="shared" si="27"/>
        <v>0</v>
      </c>
    </row>
    <row r="254" spans="1:6" ht="15.75" x14ac:dyDescent="0.25">
      <c r="A254" s="130"/>
      <c r="B254" s="128"/>
      <c r="C254" s="586" t="s">
        <v>5310</v>
      </c>
      <c r="D254" s="132"/>
      <c r="E254" s="132"/>
      <c r="F254" s="132"/>
    </row>
    <row r="255" spans="1:6" ht="15.75" x14ac:dyDescent="0.25">
      <c r="A255" s="130"/>
      <c r="B255" s="128"/>
      <c r="C255" s="586" t="s">
        <v>5304</v>
      </c>
      <c r="D255" s="132"/>
      <c r="E255" s="132"/>
      <c r="F255" s="132"/>
    </row>
    <row r="256" spans="1:6" ht="15.75" x14ac:dyDescent="0.25">
      <c r="A256" s="130"/>
      <c r="B256" s="128"/>
      <c r="C256" s="586" t="s">
        <v>5335</v>
      </c>
      <c r="D256" s="132"/>
      <c r="E256" s="132"/>
      <c r="F256" s="132"/>
    </row>
    <row r="257" spans="1:6" ht="15.75" x14ac:dyDescent="0.25">
      <c r="A257" s="130"/>
      <c r="B257" s="128"/>
      <c r="C257" s="586" t="s">
        <v>3884</v>
      </c>
      <c r="D257" s="132"/>
      <c r="E257" s="132"/>
      <c r="F257" s="132"/>
    </row>
    <row r="258" spans="1:6" ht="15.75" x14ac:dyDescent="0.25">
      <c r="A258" s="130"/>
      <c r="B258" s="128"/>
      <c r="C258" s="586" t="s">
        <v>3885</v>
      </c>
      <c r="D258" s="132">
        <v>1500000</v>
      </c>
      <c r="E258" s="132"/>
      <c r="F258" s="132"/>
    </row>
    <row r="259" spans="1:6" ht="15.75" x14ac:dyDescent="0.25">
      <c r="A259" s="130"/>
      <c r="B259" s="128"/>
      <c r="C259" s="586" t="s">
        <v>3886</v>
      </c>
      <c r="D259" s="132"/>
      <c r="E259" s="132"/>
      <c r="F259" s="132"/>
    </row>
    <row r="260" spans="1:6" ht="15.75" x14ac:dyDescent="0.25">
      <c r="A260" s="130"/>
      <c r="B260" s="128"/>
      <c r="C260" s="586" t="s">
        <v>3887</v>
      </c>
      <c r="D260" s="132"/>
      <c r="E260" s="132"/>
      <c r="F260" s="132"/>
    </row>
    <row r="261" spans="1:6" ht="15.75" x14ac:dyDescent="0.25">
      <c r="A261" s="130"/>
      <c r="B261" s="128"/>
      <c r="C261" s="587" t="s">
        <v>5120</v>
      </c>
      <c r="D261" s="132"/>
      <c r="E261" s="132"/>
      <c r="F261" s="132"/>
    </row>
  </sheetData>
  <sheetProtection password="C85D" sheet="1" objects="1" scenarios="1"/>
  <mergeCells count="5">
    <mergeCell ref="B5:B6"/>
    <mergeCell ref="C5:C6"/>
    <mergeCell ref="D5:F5"/>
    <mergeCell ref="C2:D2"/>
    <mergeCell ref="A3:F3"/>
  </mergeCells>
  <pageMargins left="0.70866141732283472" right="0.70866141732283472" top="0.74803149606299213" bottom="0.74803149606299213" header="0.31496062992125984" footer="0.31496062992125984"/>
  <pageSetup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theme="0"/>
  </sheetPr>
  <dimension ref="A1:F88"/>
  <sheetViews>
    <sheetView topLeftCell="A80" workbookViewId="0">
      <selection activeCell="D84" sqref="D84"/>
    </sheetView>
  </sheetViews>
  <sheetFormatPr defaultRowHeight="15" x14ac:dyDescent="0.25"/>
  <cols>
    <col min="1" max="1" width="10.140625" style="84" customWidth="1"/>
    <col min="2" max="2" width="41.85546875" style="84" customWidth="1"/>
    <col min="3" max="3" width="17.85546875" style="84" customWidth="1"/>
    <col min="4" max="4" width="8.85546875" style="84" customWidth="1"/>
    <col min="5" max="5" width="15.140625" style="84" customWidth="1"/>
    <col min="6" max="6" width="19" style="84" customWidth="1"/>
    <col min="7" max="16384" width="9.140625" style="84"/>
  </cols>
  <sheetData>
    <row r="1" spans="1:6" x14ac:dyDescent="0.25">
      <c r="B1" s="914" t="s">
        <v>5371</v>
      </c>
      <c r="C1" s="914"/>
      <c r="D1" s="914"/>
      <c r="E1" s="914"/>
    </row>
    <row r="2" spans="1:6" ht="15" customHeight="1" x14ac:dyDescent="0.25">
      <c r="A2" s="927" t="s">
        <v>5370</v>
      </c>
      <c r="B2" s="927"/>
      <c r="C2" s="927"/>
      <c r="D2" s="927"/>
      <c r="E2" s="927"/>
      <c r="F2" s="927"/>
    </row>
    <row r="3" spans="1:6" x14ac:dyDescent="0.25">
      <c r="A3" s="817"/>
      <c r="B3" s="818"/>
      <c r="C3" s="819"/>
      <c r="D3" s="819"/>
      <c r="E3" s="819"/>
      <c r="F3" s="819"/>
    </row>
    <row r="4" spans="1:6" ht="42.75" x14ac:dyDescent="0.25">
      <c r="A4" s="820" t="s">
        <v>3775</v>
      </c>
      <c r="B4" s="820" t="s">
        <v>3776</v>
      </c>
      <c r="C4" s="821" t="s">
        <v>24</v>
      </c>
      <c r="D4" s="821" t="s">
        <v>3777</v>
      </c>
      <c r="E4" s="821" t="s">
        <v>3774</v>
      </c>
      <c r="F4" s="821" t="s">
        <v>4179</v>
      </c>
    </row>
    <row r="5" spans="1:6" x14ac:dyDescent="0.25">
      <c r="A5" s="822" t="s">
        <v>3780</v>
      </c>
      <c r="B5" s="823">
        <v>2</v>
      </c>
      <c r="C5" s="824">
        <v>3</v>
      </c>
      <c r="D5" s="824">
        <v>4</v>
      </c>
      <c r="E5" s="824">
        <v>5</v>
      </c>
      <c r="F5" s="824">
        <v>6</v>
      </c>
    </row>
    <row r="6" spans="1:6" x14ac:dyDescent="0.25">
      <c r="A6" s="825" t="s">
        <v>3946</v>
      </c>
      <c r="B6" s="826" t="s">
        <v>4500</v>
      </c>
      <c r="C6" s="827">
        <f>SUM(C7,C16,C23,C29,C34,C40,C47,C49,C56)</f>
        <v>415451000</v>
      </c>
      <c r="D6" s="828">
        <f>IFERROR(C6/$C$87,"-")</f>
        <v>0.72014387242156352</v>
      </c>
      <c r="E6" s="827">
        <f>SUM(E7,E16,E23,E29,E34,E40,E47,E49,E56)</f>
        <v>9880100</v>
      </c>
      <c r="F6" s="827">
        <f>SUM(E6,C6)</f>
        <v>425331100</v>
      </c>
    </row>
    <row r="7" spans="1:6" x14ac:dyDescent="0.25">
      <c r="A7" s="829" t="s">
        <v>3781</v>
      </c>
      <c r="B7" s="830" t="s">
        <v>3782</v>
      </c>
      <c r="C7" s="831">
        <f>SUM(C8:C15)</f>
        <v>119832431</v>
      </c>
      <c r="D7" s="832">
        <f>IFERROR(C7/$C$87,"-")</f>
        <v>0.20771785578089791</v>
      </c>
      <c r="E7" s="831">
        <f>SUM(E8:E15)</f>
        <v>1060000</v>
      </c>
      <c r="F7" s="831">
        <f>C7+E7</f>
        <v>120892431</v>
      </c>
    </row>
    <row r="8" spans="1:6" x14ac:dyDescent="0.25">
      <c r="A8" s="833">
        <v>411</v>
      </c>
      <c r="B8" s="712" t="s">
        <v>3783</v>
      </c>
      <c r="C8" s="834">
        <f>SUMIF('ПО КОРИСНИЦИМА'!$F$8:$F$17281,'По основ. нам.'!A8,'ПО КОРИСНИЦИМА'!$H$8:$H$17281)</f>
        <v>95160945</v>
      </c>
      <c r="D8" s="835">
        <f t="shared" ref="D8:D77" si="0">IFERROR(C8/$C$87,"-")</f>
        <v>0.16495223608944357</v>
      </c>
      <c r="E8" s="834">
        <f>SUMIF('ПО КОРИСНИЦИМА'!$F$8:$F$17281,'По основ. нам.'!A8,'ПО КОРИСНИЦИМА'!$I$8:$I$17281)</f>
        <v>0</v>
      </c>
      <c r="F8" s="834">
        <f>C8+E8</f>
        <v>95160945</v>
      </c>
    </row>
    <row r="9" spans="1:6" x14ac:dyDescent="0.25">
      <c r="A9" s="833">
        <v>412</v>
      </c>
      <c r="B9" s="712" t="s">
        <v>3784</v>
      </c>
      <c r="C9" s="834">
        <f>SUMIF('ПО КОРИСНИЦИМА'!$F$8:$F$17281,'По основ. нам.'!A9,'ПО КОРИСНИЦИМА'!$H$8:$H$17281)</f>
        <v>17036534</v>
      </c>
      <c r="D9" s="835">
        <f t="shared" si="0"/>
        <v>2.953117351360721E-2</v>
      </c>
      <c r="E9" s="834">
        <f>SUMIF('ПО КОРИСНИЦИМА'!$F$8:$F$17281,'По основ. нам.'!A9,'ПО КОРИСНИЦИМА'!$I$8:$I$17281)</f>
        <v>0</v>
      </c>
      <c r="F9" s="834">
        <f t="shared" ref="F9:F78" si="1">C9+E9</f>
        <v>17036534</v>
      </c>
    </row>
    <row r="10" spans="1:6" x14ac:dyDescent="0.25">
      <c r="A10" s="836">
        <v>413</v>
      </c>
      <c r="B10" s="712" t="s">
        <v>3785</v>
      </c>
      <c r="C10" s="834">
        <f>SUMIF('ПО КОРИСНИЦИМА'!$F$8:$F$17281,'По основ. нам.'!A10,'ПО КОРИСНИЦИМА'!$H$8:$H$17281)</f>
        <v>272000</v>
      </c>
      <c r="D10" s="835">
        <f t="shared" si="0"/>
        <v>4.7148552608771018E-4</v>
      </c>
      <c r="E10" s="834">
        <f>SUMIF('ПО КОРИСНИЦИМА'!$F$8:$F$17281,'По основ. нам.'!A10,'ПО КОРИСНИЦИМА'!$I$8:$I$17281)</f>
        <v>50000</v>
      </c>
      <c r="F10" s="834">
        <f t="shared" si="1"/>
        <v>322000</v>
      </c>
    </row>
    <row r="11" spans="1:6" x14ac:dyDescent="0.25">
      <c r="A11" s="833" t="s">
        <v>3786</v>
      </c>
      <c r="B11" s="712" t="s">
        <v>3787</v>
      </c>
      <c r="C11" s="834">
        <f>SUMIF('ПО КОРИСНИЦИМА'!$F$8:$F$17281,'По основ. нам.'!A11,'ПО КОРИСНИЦИМА'!$H$8:$H$17281)</f>
        <v>3446688</v>
      </c>
      <c r="D11" s="835">
        <f t="shared" si="0"/>
        <v>5.9744981799271972E-3</v>
      </c>
      <c r="E11" s="834">
        <f>SUMIF('ПО КОРИСНИЦИМА'!$F$8:$F$17281,'По основ. нам.'!A11,'ПО КОРИСНИЦИМА'!$I$8:$I$17281)</f>
        <v>750000</v>
      </c>
      <c r="F11" s="834">
        <f t="shared" si="1"/>
        <v>4196688</v>
      </c>
    </row>
    <row r="12" spans="1:6" x14ac:dyDescent="0.25">
      <c r="A12" s="833" t="s">
        <v>3788</v>
      </c>
      <c r="B12" s="712" t="s">
        <v>3789</v>
      </c>
      <c r="C12" s="834">
        <f>SUMIF('ПО КОРИСНИЦИМА'!$F$8:$F$17281,'По основ. нам.'!A12,'ПО КОРИСНИЦИМА'!$H$8:$H$17281)</f>
        <v>2900000</v>
      </c>
      <c r="D12" s="835">
        <f t="shared" si="0"/>
        <v>5.0268677413763214E-3</v>
      </c>
      <c r="E12" s="834">
        <f>SUMIF('ПО КОРИСНИЦИМА'!$F$8:$F$17281,'По основ. нам.'!A12,'ПО КОРИСНИЦИМА'!$I$8:$I$17281)</f>
        <v>260000</v>
      </c>
      <c r="F12" s="834">
        <f t="shared" si="1"/>
        <v>3160000</v>
      </c>
    </row>
    <row r="13" spans="1:6" x14ac:dyDescent="0.25">
      <c r="A13" s="833" t="s">
        <v>3790</v>
      </c>
      <c r="B13" s="712" t="s">
        <v>3791</v>
      </c>
      <c r="C13" s="834">
        <f>SUMIF('ПО КОРИСНИЦИМА'!$F$8:$F$17281,'По основ. нам.'!A13,'ПО КОРИСНИЦИМА'!$H$8:$H$17281)</f>
        <v>1016264</v>
      </c>
      <c r="D13" s="835">
        <f t="shared" si="0"/>
        <v>1.7615947304558848E-3</v>
      </c>
      <c r="E13" s="834">
        <f>SUMIF('ПО КОРИСНИЦИМА'!$F$8:$F$17281,'По основ. нам.'!A13,'ПО КОРИСНИЦИМА'!$I$8:$I$17281)</f>
        <v>0</v>
      </c>
      <c r="F13" s="834">
        <f t="shared" si="1"/>
        <v>1016264</v>
      </c>
    </row>
    <row r="14" spans="1:6" x14ac:dyDescent="0.25">
      <c r="A14" s="833">
        <v>417</v>
      </c>
      <c r="B14" s="712" t="s">
        <v>3792</v>
      </c>
      <c r="C14" s="834">
        <f>SUMIF('ПО КОРИСНИЦИМА'!$F$8:$F$17281,'По основ. нам.'!A14,'ПО КОРИСНИЦИМА'!$H$8:$H$17281)</f>
        <v>0</v>
      </c>
      <c r="D14" s="835">
        <f t="shared" si="0"/>
        <v>0</v>
      </c>
      <c r="E14" s="834">
        <f>SUMIF('ПО КОРИСНИЦИМА'!$F$8:$F$17281,'По основ. нам.'!A14,'ПО КОРИСНИЦИМА'!$I$8:$I$17281)</f>
        <v>0</v>
      </c>
      <c r="F14" s="834">
        <f t="shared" si="1"/>
        <v>0</v>
      </c>
    </row>
    <row r="15" spans="1:6" x14ac:dyDescent="0.25">
      <c r="A15" s="833">
        <v>418</v>
      </c>
      <c r="B15" s="712" t="s">
        <v>3793</v>
      </c>
      <c r="C15" s="834">
        <f>SUMIF('ПО КОРИСНИЦИМА'!$F$8:$F$17281,'По основ. нам.'!A15,'ПО КОРИСНИЦИМА'!$H$8:$H$17281)</f>
        <v>0</v>
      </c>
      <c r="D15" s="835">
        <f t="shared" si="0"/>
        <v>0</v>
      </c>
      <c r="E15" s="834">
        <f>SUMIF('ПО КОРИСНИЦИМА'!$F$8:$F$17281,'По основ. нам.'!A15,'ПО КОРИСНИЦИМА'!$I$8:$I$17281)</f>
        <v>0</v>
      </c>
      <c r="F15" s="837">
        <f t="shared" si="1"/>
        <v>0</v>
      </c>
    </row>
    <row r="16" spans="1:6" x14ac:dyDescent="0.25">
      <c r="A16" s="829" t="s">
        <v>3794</v>
      </c>
      <c r="B16" s="830" t="s">
        <v>3795</v>
      </c>
      <c r="C16" s="831">
        <f>SUM(C17:C22)</f>
        <v>173966224</v>
      </c>
      <c r="D16" s="832">
        <f t="shared" si="0"/>
        <v>0.30155351707401629</v>
      </c>
      <c r="E16" s="831">
        <f>SUM(E17:E22)</f>
        <v>8819100</v>
      </c>
      <c r="F16" s="831">
        <f t="shared" si="1"/>
        <v>182785324</v>
      </c>
    </row>
    <row r="17" spans="1:6" x14ac:dyDescent="0.25">
      <c r="A17" s="833" t="s">
        <v>3796</v>
      </c>
      <c r="B17" s="712" t="s">
        <v>3797</v>
      </c>
      <c r="C17" s="834">
        <f>SUMIF('ПО КОРИСНИЦИМА'!$F$8:$F$17281,'По основ. нам.'!A17,'ПО КОРИСНИЦИМА'!$H$8:$H$17281)</f>
        <v>28140550</v>
      </c>
      <c r="D17" s="835">
        <f t="shared" si="0"/>
        <v>4.8778904489512914E-2</v>
      </c>
      <c r="E17" s="834">
        <f>SUMIF('ПО КОРИСНИЦИМА'!$F$8:$F$17281,'По основ. нам.'!A17,'ПО КОРИСНИЦИМА'!$I$8:$I$17281)</f>
        <v>2221000</v>
      </c>
      <c r="F17" s="834">
        <f t="shared" si="1"/>
        <v>30361550</v>
      </c>
    </row>
    <row r="18" spans="1:6" x14ac:dyDescent="0.25">
      <c r="A18" s="833">
        <v>422</v>
      </c>
      <c r="B18" s="712" t="s">
        <v>3798</v>
      </c>
      <c r="C18" s="834">
        <f>SUMIF('ПО КОРИСНИЦИМА'!$F$8:$F$17281,'По основ. нам.'!A18,'ПО КОРИСНИЦИМА'!$H$8:$H$17281)</f>
        <v>2110000</v>
      </c>
      <c r="D18" s="835">
        <f t="shared" si="0"/>
        <v>3.6574796325186342E-3</v>
      </c>
      <c r="E18" s="834">
        <f>SUMIF('ПО КОРИСНИЦИМА'!$F$8:$F$17281,'По основ. нам.'!A18,'ПО КОРИСНИЦИМА'!$I$8:$I$17281)</f>
        <v>345000</v>
      </c>
      <c r="F18" s="834">
        <f t="shared" si="1"/>
        <v>2455000</v>
      </c>
    </row>
    <row r="19" spans="1:6" x14ac:dyDescent="0.25">
      <c r="A19" s="833">
        <v>423</v>
      </c>
      <c r="B19" s="712" t="s">
        <v>3799</v>
      </c>
      <c r="C19" s="834">
        <f>SUMIF('ПО КОРИСНИЦИМА'!$F$8:$F$17281,'По основ. нам.'!A19,'ПО КОРИСНИЦИМА'!$H$8:$H$17281)</f>
        <v>28352469</v>
      </c>
      <c r="D19" s="835">
        <f t="shared" si="0"/>
        <v>4.9146245449817993E-2</v>
      </c>
      <c r="E19" s="834">
        <f>SUMIF('ПО КОРИСНИЦИМА'!$F$8:$F$17281,'По основ. нам.'!A19,'ПО КОРИСНИЦИМА'!$I$8:$I$17281)</f>
        <v>1381000</v>
      </c>
      <c r="F19" s="834">
        <f t="shared" si="1"/>
        <v>29733469</v>
      </c>
    </row>
    <row r="20" spans="1:6" x14ac:dyDescent="0.25">
      <c r="A20" s="833" t="s">
        <v>3800</v>
      </c>
      <c r="B20" s="712" t="s">
        <v>3801</v>
      </c>
      <c r="C20" s="834">
        <f>SUMIF('ПО КОРИСНИЦИМА'!$F$8:$F$17281,'По основ. нам.'!A20,'ПО КОРИСНИЦИМА'!$H$8:$H$17281)</f>
        <v>60380000</v>
      </c>
      <c r="D20" s="835">
        <f t="shared" si="0"/>
        <v>0.10466285318079389</v>
      </c>
      <c r="E20" s="834">
        <f>SUMIF('ПО КОРИСНИЦИМА'!$F$8:$F$17281,'По основ. нам.'!A20,'ПО КОРИСНИЦИМА'!$I$8:$I$17281)</f>
        <v>305620</v>
      </c>
      <c r="F20" s="834">
        <f t="shared" si="1"/>
        <v>60685620</v>
      </c>
    </row>
    <row r="21" spans="1:6" x14ac:dyDescent="0.25">
      <c r="A21" s="833" t="s">
        <v>3802</v>
      </c>
      <c r="B21" s="712" t="s">
        <v>3803</v>
      </c>
      <c r="C21" s="834">
        <f>SUMIF('ПО КОРИСНИЦИМА'!$F$8:$F$17281,'По основ. нам.'!A21,'ПО КОРИСНИЦИМА'!$H$8:$H$17281)</f>
        <v>11477205</v>
      </c>
      <c r="D21" s="835">
        <f t="shared" si="0"/>
        <v>1.9894617784711389E-2</v>
      </c>
      <c r="E21" s="834">
        <f>SUMIF('ПО КОРИСНИЦИМА'!$F$8:$F$17281,'По основ. нам.'!A21,'ПО КОРИСНИЦИМА'!$I$8:$I$17281)</f>
        <v>985000</v>
      </c>
      <c r="F21" s="834">
        <f t="shared" si="1"/>
        <v>12462205</v>
      </c>
    </row>
    <row r="22" spans="1:6" x14ac:dyDescent="0.25">
      <c r="A22" s="833" t="s">
        <v>3804</v>
      </c>
      <c r="B22" s="712" t="s">
        <v>3805</v>
      </c>
      <c r="C22" s="834">
        <f>SUMIF('ПО КОРИСНИЦИМА'!$F$8:$F$17281,'По основ. нам.'!A22,'ПО КОРИСНИЦИМА'!$H$8:$H$17281)</f>
        <v>43506000</v>
      </c>
      <c r="D22" s="835">
        <f t="shared" si="0"/>
        <v>7.5413416536661462E-2</v>
      </c>
      <c r="E22" s="834">
        <f>SUMIF('ПО КОРИСНИЦИМА'!$F$8:$F$17281,'По основ. нам.'!A22,'ПО КОРИСНИЦИМА'!$I$8:$I$17281)</f>
        <v>3581480</v>
      </c>
      <c r="F22" s="834">
        <f t="shared" si="1"/>
        <v>47087480</v>
      </c>
    </row>
    <row r="23" spans="1:6" x14ac:dyDescent="0.25">
      <c r="A23" s="829" t="s">
        <v>3806</v>
      </c>
      <c r="B23" s="830" t="s">
        <v>3807</v>
      </c>
      <c r="C23" s="831">
        <f>SUM(C24:C28)</f>
        <v>0</v>
      </c>
      <c r="D23" s="832">
        <f t="shared" si="0"/>
        <v>0</v>
      </c>
      <c r="E23" s="831">
        <f>SUM(E24:E28)</f>
        <v>0</v>
      </c>
      <c r="F23" s="831">
        <f t="shared" si="1"/>
        <v>0</v>
      </c>
    </row>
    <row r="24" spans="1:6" x14ac:dyDescent="0.25">
      <c r="A24" s="833">
        <v>431</v>
      </c>
      <c r="B24" s="712" t="s">
        <v>3808</v>
      </c>
      <c r="C24" s="834">
        <f>SUMIF('ПО КОРИСНИЦИМА'!$F$8:$F$17281,'По основ. нам.'!A24,'ПО КОРИСНИЦИМА'!$H$8:$H$17281)</f>
        <v>0</v>
      </c>
      <c r="D24" s="835">
        <f t="shared" si="0"/>
        <v>0</v>
      </c>
      <c r="E24" s="834">
        <f>SUMIF('ПО КОРИСНИЦИМА'!$F$8:$F$17281,'По основ. нам.'!A24,'ПО КОРИСНИЦИМА'!$I$8:$I$17281)</f>
        <v>0</v>
      </c>
      <c r="F24" s="834">
        <f t="shared" si="1"/>
        <v>0</v>
      </c>
    </row>
    <row r="25" spans="1:6" x14ac:dyDescent="0.25">
      <c r="A25" s="833">
        <v>432</v>
      </c>
      <c r="B25" s="712" t="s">
        <v>3809</v>
      </c>
      <c r="C25" s="834">
        <f>SUMIF('ПО КОРИСНИЦИМА'!$F$8:$F$17281,'По основ. нам.'!A25,'ПО КОРИСНИЦИМА'!$H$8:$H$17281)</f>
        <v>0</v>
      </c>
      <c r="D25" s="835">
        <f t="shared" si="0"/>
        <v>0</v>
      </c>
      <c r="E25" s="834">
        <f>SUMIF('ПО КОРИСНИЦИМА'!$F$8:$F$17281,'По основ. нам.'!A25,'ПО КОРИСНИЦИМА'!$I$8:$I$17281)</f>
        <v>0</v>
      </c>
      <c r="F25" s="837">
        <f t="shared" si="1"/>
        <v>0</v>
      </c>
    </row>
    <row r="26" spans="1:6" x14ac:dyDescent="0.25">
      <c r="A26" s="833">
        <v>433</v>
      </c>
      <c r="B26" s="712" t="s">
        <v>3810</v>
      </c>
      <c r="C26" s="834">
        <f>SUMIF('ПО КОРИСНИЦИМА'!$F$8:$F$17281,'По основ. нам.'!A26,'ПО КОРИСНИЦИМА'!$H$8:$H$17281)</f>
        <v>0</v>
      </c>
      <c r="D26" s="835">
        <f t="shared" si="0"/>
        <v>0</v>
      </c>
      <c r="E26" s="834">
        <f>SUMIF('ПО КОРИСНИЦИМА'!$F$8:$F$17281,'По основ. нам.'!A26,'ПО КОРИСНИЦИМА'!$I$8:$I$17281)</f>
        <v>0</v>
      </c>
      <c r="F26" s="837">
        <f t="shared" si="1"/>
        <v>0</v>
      </c>
    </row>
    <row r="27" spans="1:6" x14ac:dyDescent="0.25">
      <c r="A27" s="833">
        <v>434</v>
      </c>
      <c r="B27" s="712" t="s">
        <v>3811</v>
      </c>
      <c r="C27" s="834">
        <f>SUMIF('ПО КОРИСНИЦИМА'!$F$8:$F$17281,'По основ. нам.'!A27,'ПО КОРИСНИЦИМА'!$H$8:$H$17281)</f>
        <v>0</v>
      </c>
      <c r="D27" s="835">
        <f t="shared" si="0"/>
        <v>0</v>
      </c>
      <c r="E27" s="834">
        <f>SUMIF('ПО КОРИСНИЦИМА'!$F$8:$F$17281,'По основ. нам.'!A27,'ПО КОРИСНИЦИМА'!$I$8:$I$17281)</f>
        <v>0</v>
      </c>
      <c r="F27" s="834">
        <f t="shared" si="1"/>
        <v>0</v>
      </c>
    </row>
    <row r="28" spans="1:6" x14ac:dyDescent="0.25">
      <c r="A28" s="833">
        <v>435</v>
      </c>
      <c r="B28" s="712" t="s">
        <v>3812</v>
      </c>
      <c r="C28" s="834">
        <f>SUMIF('ПО КОРИСНИЦИМА'!$F$8:$F$17281,'По основ. нам.'!A28,'ПО КОРИСНИЦИМА'!$H$8:$H$17281)</f>
        <v>0</v>
      </c>
      <c r="D28" s="835">
        <f t="shared" si="0"/>
        <v>0</v>
      </c>
      <c r="E28" s="834">
        <f>SUMIF('ПО КОРИСНИЦИМА'!$F$8:$F$17281,'По основ. нам.'!A28,'ПО КОРИСНИЦИМА'!$I$8:$I$17281)</f>
        <v>0</v>
      </c>
      <c r="F28" s="837">
        <f t="shared" si="1"/>
        <v>0</v>
      </c>
    </row>
    <row r="29" spans="1:6" x14ac:dyDescent="0.25">
      <c r="A29" s="829" t="s">
        <v>3813</v>
      </c>
      <c r="B29" s="830" t="s">
        <v>3814</v>
      </c>
      <c r="C29" s="831">
        <f>SUM(C30:C33)</f>
        <v>0</v>
      </c>
      <c r="D29" s="832">
        <f t="shared" si="0"/>
        <v>0</v>
      </c>
      <c r="E29" s="831">
        <f>SUM(E30:E33)</f>
        <v>0</v>
      </c>
      <c r="F29" s="831">
        <f t="shared" si="1"/>
        <v>0</v>
      </c>
    </row>
    <row r="30" spans="1:6" x14ac:dyDescent="0.25">
      <c r="A30" s="833">
        <v>441</v>
      </c>
      <c r="B30" s="712" t="s">
        <v>3815</v>
      </c>
      <c r="C30" s="834">
        <f>SUMIF('ПО КОРИСНИЦИМА'!$F$8:$F$17281,'По основ. нам.'!A30,'ПО КОРИСНИЦИМА'!$H$8:$H$17281)</f>
        <v>0</v>
      </c>
      <c r="D30" s="835">
        <f t="shared" si="0"/>
        <v>0</v>
      </c>
      <c r="E30" s="834">
        <f>SUMIF('ПО КОРИСНИЦИМА'!$F$8:$F$17281,'По основ. нам.'!A30,'ПО КОРИСНИЦИМА'!$I$8:$I$17281)</f>
        <v>0</v>
      </c>
      <c r="F30" s="834">
        <f t="shared" si="1"/>
        <v>0</v>
      </c>
    </row>
    <row r="31" spans="1:6" x14ac:dyDescent="0.25">
      <c r="A31" s="833">
        <v>442</v>
      </c>
      <c r="B31" s="712" t="s">
        <v>3816</v>
      </c>
      <c r="C31" s="834">
        <f>SUMIF('ПО КОРИСНИЦИМА'!$F$8:$F$17281,'По основ. нам.'!A31,'ПО КОРИСНИЦИМА'!$H$8:$H$17281)</f>
        <v>0</v>
      </c>
      <c r="D31" s="835">
        <f t="shared" si="0"/>
        <v>0</v>
      </c>
      <c r="E31" s="834">
        <f>SUMIF('ПО КОРИСНИЦИМА'!$F$8:$F$17281,'По основ. нам.'!A31,'ПО КОРИСНИЦИМА'!$I$8:$I$17281)</f>
        <v>0</v>
      </c>
      <c r="F31" s="837">
        <f t="shared" si="1"/>
        <v>0</v>
      </c>
    </row>
    <row r="32" spans="1:6" x14ac:dyDescent="0.25">
      <c r="A32" s="833">
        <v>443</v>
      </c>
      <c r="B32" s="712" t="s">
        <v>3817</v>
      </c>
      <c r="C32" s="834">
        <f>SUMIF('ПО КОРИСНИЦИМА'!$F$8:$F$17281,'По основ. нам.'!A32,'ПО КОРИСНИЦИМА'!$H$8:$H$17281)</f>
        <v>0</v>
      </c>
      <c r="D32" s="835">
        <f t="shared" si="0"/>
        <v>0</v>
      </c>
      <c r="E32" s="834">
        <f>SUMIF('ПО КОРИСНИЦИМА'!$F$8:$F$17281,'По основ. нам.'!A32,'ПО КОРИСНИЦИМА'!$I$8:$I$17281)</f>
        <v>0</v>
      </c>
      <c r="F32" s="837">
        <f t="shared" si="1"/>
        <v>0</v>
      </c>
    </row>
    <row r="33" spans="1:6" x14ac:dyDescent="0.25">
      <c r="A33" s="838">
        <v>444</v>
      </c>
      <c r="B33" s="839" t="s">
        <v>3818</v>
      </c>
      <c r="C33" s="834">
        <f>SUMIF('ПО КОРИСНИЦИМА'!$F$8:$F$17281,'По основ. нам.'!A33,'ПО КОРИСНИЦИМА'!$H$8:$H$17281)</f>
        <v>0</v>
      </c>
      <c r="D33" s="835">
        <f t="shared" si="0"/>
        <v>0</v>
      </c>
      <c r="E33" s="834">
        <f>SUMIF('ПО КОРИСНИЦИМА'!$F$8:$F$17281,'По основ. нам.'!A33,'ПО КОРИСНИЦИМА'!$I$8:$I$17281)</f>
        <v>0</v>
      </c>
      <c r="F33" s="837">
        <f t="shared" si="1"/>
        <v>0</v>
      </c>
    </row>
    <row r="34" spans="1:6" x14ac:dyDescent="0.25">
      <c r="A34" s="829" t="s">
        <v>3819</v>
      </c>
      <c r="B34" s="830" t="s">
        <v>3820</v>
      </c>
      <c r="C34" s="831">
        <f>SUM(C35:C39)</f>
        <v>28900000</v>
      </c>
      <c r="D34" s="832">
        <f t="shared" si="0"/>
        <v>5.0095337146819206E-2</v>
      </c>
      <c r="E34" s="831">
        <f>SUM(E35:E39)</f>
        <v>0</v>
      </c>
      <c r="F34" s="831">
        <f t="shared" si="1"/>
        <v>28900000</v>
      </c>
    </row>
    <row r="35" spans="1:6" x14ac:dyDescent="0.25">
      <c r="A35" s="833" t="s">
        <v>3876</v>
      </c>
      <c r="B35" s="84" t="s">
        <v>1692</v>
      </c>
      <c r="C35" s="834">
        <f>SUMIF('ПО КОРИСНИЦИМА'!$F$8:$F$17281,'По основ. нам.'!A35,'ПО КОРИСНИЦИМА'!$H$8:$H$17281)</f>
        <v>28900000</v>
      </c>
      <c r="D35" s="835">
        <f t="shared" si="0"/>
        <v>5.0095337146819206E-2</v>
      </c>
      <c r="E35" s="834">
        <f>SUMIF('ПО КОРИСНИЦИМА'!$F$8:$F$17281,'По основ. нам.'!A35,'ПО КОРИСНИЦИМА'!$I$8:$I$17281)</f>
        <v>0</v>
      </c>
      <c r="F35" s="834">
        <f t="shared" si="1"/>
        <v>28900000</v>
      </c>
    </row>
    <row r="36" spans="1:6" x14ac:dyDescent="0.25">
      <c r="A36" s="833" t="s">
        <v>3877</v>
      </c>
      <c r="B36" s="84" t="s">
        <v>1701</v>
      </c>
      <c r="C36" s="834">
        <f>SUMIF('ПО КОРИСНИЦИМА'!$F$8:$F$17281,'По основ. нам.'!A36,'ПО КОРИСНИЦИМА'!$H$8:$H$17281)</f>
        <v>0</v>
      </c>
      <c r="D36" s="835">
        <f t="shared" si="0"/>
        <v>0</v>
      </c>
      <c r="E36" s="834">
        <f>SUMIF('ПО КОРИСНИЦИМА'!$F$8:$F$17281,'По основ. нам.'!A36,'ПО КОРИСНИЦИМА'!$I$8:$I$17281)</f>
        <v>0</v>
      </c>
      <c r="F36" s="837">
        <f t="shared" si="1"/>
        <v>0</v>
      </c>
    </row>
    <row r="37" spans="1:6" x14ac:dyDescent="0.25">
      <c r="A37" s="833" t="s">
        <v>3878</v>
      </c>
      <c r="B37" s="712" t="s">
        <v>3821</v>
      </c>
      <c r="C37" s="834">
        <f>SUMIF('ПО КОРИСНИЦИМА'!$F$8:$F$17281,'По основ. нам.'!A37,'ПО КОРИСНИЦИМА'!$H$8:$H$17281)</f>
        <v>0</v>
      </c>
      <c r="D37" s="835">
        <f t="shared" si="0"/>
        <v>0</v>
      </c>
      <c r="E37" s="834">
        <f>SUMIF('ПО КОРИСНИЦИМА'!$F$8:$F$17281,'По основ. нам.'!A37,'ПО КОРИСНИЦИМА'!$I$8:$I$17281)</f>
        <v>0</v>
      </c>
      <c r="F37" s="837"/>
    </row>
    <row r="38" spans="1:6" x14ac:dyDescent="0.25">
      <c r="A38" s="833">
        <v>453</v>
      </c>
      <c r="B38" s="712" t="s">
        <v>3822</v>
      </c>
      <c r="C38" s="834">
        <f>SUMIF('ПО КОРИСНИЦИМА'!$F$8:$F$17281,'По основ. нам.'!A38,'ПО КОРИСНИЦИМА'!$H$8:$H$17281)</f>
        <v>0</v>
      </c>
      <c r="D38" s="835">
        <f t="shared" si="0"/>
        <v>0</v>
      </c>
      <c r="E38" s="834">
        <f>SUMIF('ПО КОРИСНИЦИМА'!$F$8:$F$17281,'По основ. нам.'!A38,'ПО КОРИСНИЦИМА'!$I$8:$I$17281)</f>
        <v>0</v>
      </c>
      <c r="F38" s="837">
        <f t="shared" si="1"/>
        <v>0</v>
      </c>
    </row>
    <row r="39" spans="1:6" x14ac:dyDescent="0.25">
      <c r="A39" s="833">
        <v>454</v>
      </c>
      <c r="B39" s="712" t="s">
        <v>3823</v>
      </c>
      <c r="C39" s="834">
        <f>SUMIF('ПО КОРИСНИЦИМА'!$F$8:$F$17281,'По основ. нам.'!A39,'ПО КОРИСНИЦИМА'!$H$8:$H$17281)</f>
        <v>0</v>
      </c>
      <c r="D39" s="835">
        <f t="shared" si="0"/>
        <v>0</v>
      </c>
      <c r="E39" s="834">
        <f>SUMIF('ПО КОРИСНИЦИМА'!$F$8:$F$17281,'По основ. нам.'!A39,'ПО КОРИСНИЦИМА'!$I$8:$I$17281)</f>
        <v>0</v>
      </c>
      <c r="F39" s="837">
        <f t="shared" si="1"/>
        <v>0</v>
      </c>
    </row>
    <row r="40" spans="1:6" x14ac:dyDescent="0.25">
      <c r="A40" s="829" t="s">
        <v>3824</v>
      </c>
      <c r="B40" s="830" t="s">
        <v>3725</v>
      </c>
      <c r="C40" s="831">
        <f>SUM(C41:C46)</f>
        <v>48723020</v>
      </c>
      <c r="D40" s="832">
        <f t="shared" si="0"/>
        <v>8.4456612931183908E-2</v>
      </c>
      <c r="E40" s="831">
        <f>SUM(E41:E46)</f>
        <v>0</v>
      </c>
      <c r="F40" s="831">
        <f t="shared" si="1"/>
        <v>48723020</v>
      </c>
    </row>
    <row r="41" spans="1:6" x14ac:dyDescent="0.25">
      <c r="A41" s="840">
        <v>461</v>
      </c>
      <c r="B41" s="841" t="s">
        <v>3825</v>
      </c>
      <c r="C41" s="834">
        <f>SUMIF('ПО КОРИСНИЦИМА'!$F$8:$F$17281,'По основ. нам.'!A41,'ПО КОРИСНИЦИМА'!$H$8:$H$17281)</f>
        <v>0</v>
      </c>
      <c r="D41" s="835">
        <f t="shared" si="0"/>
        <v>0</v>
      </c>
      <c r="E41" s="834">
        <f>SUMIF('ПО КОРИСНИЦИМА'!$F$8:$F$17281,'По основ. нам.'!A41,'ПО КОРИСНИЦИМА'!$I$8:$I$17281)</f>
        <v>0</v>
      </c>
      <c r="F41" s="837">
        <f t="shared" si="1"/>
        <v>0</v>
      </c>
    </row>
    <row r="42" spans="1:6" ht="30" x14ac:dyDescent="0.25">
      <c r="A42" s="840">
        <v>462</v>
      </c>
      <c r="B42" s="841" t="s">
        <v>3826</v>
      </c>
      <c r="C42" s="834">
        <f>SUMIF('ПО КОРИСНИЦИМА'!$F$8:$F$17281,'По основ. нам.'!A42,'ПО КОРИСНИЦИМА'!$H$8:$H$17281)</f>
        <v>0</v>
      </c>
      <c r="D42" s="835">
        <f t="shared" si="0"/>
        <v>0</v>
      </c>
      <c r="E42" s="834">
        <f>SUMIF('ПО КОРИСНИЦИМА'!$F$8:$F$17281,'По основ. нам.'!A42,'ПО КОРИСНИЦИМА'!$I$8:$I$17281)</f>
        <v>0</v>
      </c>
      <c r="F42" s="837">
        <f t="shared" si="1"/>
        <v>0</v>
      </c>
    </row>
    <row r="43" spans="1:6" x14ac:dyDescent="0.25">
      <c r="A43" s="840">
        <v>4631</v>
      </c>
      <c r="B43" s="841" t="s">
        <v>3827</v>
      </c>
      <c r="C43" s="834">
        <f>SUMIF('ПО КОРИСНИЦИМА'!$F$8:$F$17281,'По основ. нам.'!A43,'ПО КОРИСНИЦИМА'!$H$8:$H$17281)</f>
        <v>32002000</v>
      </c>
      <c r="D43" s="835">
        <f t="shared" si="0"/>
        <v>5.5472352227422431E-2</v>
      </c>
      <c r="E43" s="834">
        <f>SUMIF('ПО КОРИСНИЦИМА'!$F$8:$F$17281,'По основ. нам.'!A43,'ПО КОРИСНИЦИМА'!$I$8:$I$17281)</f>
        <v>0</v>
      </c>
      <c r="F43" s="834">
        <f t="shared" si="1"/>
        <v>32002000</v>
      </c>
    </row>
    <row r="44" spans="1:6" ht="30" x14ac:dyDescent="0.25">
      <c r="A44" s="840">
        <v>4632</v>
      </c>
      <c r="B44" s="841" t="s">
        <v>3828</v>
      </c>
      <c r="C44" s="834">
        <f>SUMIF('ПО КОРИСНИЦИМА'!$F$8:$F$17281,'По основ. нам.'!A44,'ПО КОРИСНИЦИМА'!$H$8:$H$17281)</f>
        <v>2300000</v>
      </c>
      <c r="D44" s="835">
        <f t="shared" si="0"/>
        <v>3.9868261397122554E-3</v>
      </c>
      <c r="E44" s="834">
        <f>SUMIF('ПО КОРИСНИЦИМА'!$F$8:$F$17281,'По основ. нам.'!A44,'ПО КОРИСНИЦИМА'!$I$8:$I$17281)</f>
        <v>0</v>
      </c>
      <c r="F44" s="834">
        <f t="shared" si="1"/>
        <v>2300000</v>
      </c>
    </row>
    <row r="45" spans="1:6" ht="30" x14ac:dyDescent="0.25">
      <c r="A45" s="840">
        <v>464</v>
      </c>
      <c r="B45" s="841" t="s">
        <v>3829</v>
      </c>
      <c r="C45" s="834">
        <f>SUMIF('ПО КОРИСНИЦИМА'!$F$8:$F$17281,'По основ. нам.'!A45,'ПО КОРИСНИЦИМА'!$H$8:$H$17281)</f>
        <v>3150000</v>
      </c>
      <c r="D45" s="835">
        <f t="shared" si="0"/>
        <v>5.4602184087363496E-3</v>
      </c>
      <c r="E45" s="834">
        <f>SUMIF('ПО КОРИСНИЦИМА'!$F$8:$F$17281,'По основ. нам.'!A45,'ПО КОРИСНИЦИМА'!$I$8:$I$17281)</f>
        <v>0</v>
      </c>
      <c r="F45" s="837">
        <f t="shared" si="1"/>
        <v>3150000</v>
      </c>
    </row>
    <row r="46" spans="1:6" x14ac:dyDescent="0.25">
      <c r="A46" s="840">
        <v>465</v>
      </c>
      <c r="B46" s="841" t="s">
        <v>3830</v>
      </c>
      <c r="C46" s="834">
        <f>SUMIF('ПО КОРИСНИЦИМА'!$F$8:$F$17281,'По основ. нам.'!A46,'ПО КОРИСНИЦИМА'!$H$8:$H$17281)</f>
        <v>11271020</v>
      </c>
      <c r="D46" s="835">
        <f t="shared" si="0"/>
        <v>1.953721615531288E-2</v>
      </c>
      <c r="E46" s="834">
        <f>SUMIF('ПО КОРИСНИЦИМА'!$F$8:$F$17281,'По основ. нам.'!A46,'ПО КОРИСНИЦИМА'!$I$8:$I$17281)</f>
        <v>0</v>
      </c>
      <c r="F46" s="837">
        <f t="shared" si="1"/>
        <v>11271020</v>
      </c>
    </row>
    <row r="47" spans="1:6" x14ac:dyDescent="0.25">
      <c r="A47" s="829" t="s">
        <v>3831</v>
      </c>
      <c r="B47" s="830" t="s">
        <v>3832</v>
      </c>
      <c r="C47" s="831">
        <f>SUM(C48)</f>
        <v>4300000</v>
      </c>
      <c r="D47" s="832">
        <f t="shared" si="0"/>
        <v>7.4536314785924769E-3</v>
      </c>
      <c r="E47" s="831">
        <f>SUM(E48)</f>
        <v>0</v>
      </c>
      <c r="F47" s="831">
        <f t="shared" si="1"/>
        <v>4300000</v>
      </c>
    </row>
    <row r="48" spans="1:6" x14ac:dyDescent="0.25">
      <c r="A48" s="833">
        <v>472</v>
      </c>
      <c r="B48" s="712" t="s">
        <v>3833</v>
      </c>
      <c r="C48" s="834">
        <f>SUMIF('ПО КОРИСНИЦИМА'!$F$8:$F$17281,'По основ. нам.'!A48,'ПО КОРИСНИЦИМА'!$H$8:$H$17281)</f>
        <v>4300000</v>
      </c>
      <c r="D48" s="835">
        <f t="shared" si="0"/>
        <v>7.4536314785924769E-3</v>
      </c>
      <c r="E48" s="834">
        <f>SUMIF('ПО КОРИСНИЦИМА'!$F$8:$F$17281,'По основ. нам.'!A48,'ПО КОРИСНИЦИМА'!$I$8:$I$17281)</f>
        <v>0</v>
      </c>
      <c r="F48" s="834">
        <f t="shared" si="1"/>
        <v>4300000</v>
      </c>
    </row>
    <row r="49" spans="1:6" x14ac:dyDescent="0.25">
      <c r="A49" s="829" t="s">
        <v>3834</v>
      </c>
      <c r="B49" s="830" t="s">
        <v>3835</v>
      </c>
      <c r="C49" s="831">
        <f>SUM(C50:C55)</f>
        <v>35229325</v>
      </c>
      <c r="D49" s="832">
        <f t="shared" si="0"/>
        <v>6.1066605997573235E-2</v>
      </c>
      <c r="E49" s="831">
        <f>SUM(E50:E55)</f>
        <v>1000</v>
      </c>
      <c r="F49" s="831">
        <f>C49+E49</f>
        <v>35230325</v>
      </c>
    </row>
    <row r="50" spans="1:6" x14ac:dyDescent="0.25">
      <c r="A50" s="833">
        <v>481</v>
      </c>
      <c r="B50" s="712" t="s">
        <v>3836</v>
      </c>
      <c r="C50" s="834">
        <f>SUMIF('ПО КОРИСНИЦИМА'!$F$8:$F$17281,'По основ. нам.'!A50,'ПО КОРИСНИЦИМА'!$H$8:$H$17281)</f>
        <v>14878325</v>
      </c>
      <c r="D50" s="835">
        <f t="shared" si="0"/>
        <v>2.5790128271797538E-2</v>
      </c>
      <c r="E50" s="834">
        <f>SUMIF('ПО КОРИСНИЦИМА'!$F$8:$F$17281,'По основ. нам.'!A50,'ПО КОРИСНИЦИМА'!$I$8:$I$17281)</f>
        <v>0</v>
      </c>
      <c r="F50" s="834">
        <f>C50+E50</f>
        <v>14878325</v>
      </c>
    </row>
    <row r="51" spans="1:6" x14ac:dyDescent="0.25">
      <c r="A51" s="833">
        <v>482</v>
      </c>
      <c r="B51" s="712" t="s">
        <v>3837</v>
      </c>
      <c r="C51" s="834">
        <f>SUMIF('ПО КОРИСНИЦИМА'!$F$8:$F$17281,'По основ. нам.'!A51,'ПО КОРИСНИЦИМА'!$H$8:$H$17281)</f>
        <v>7870000</v>
      </c>
      <c r="D51" s="835">
        <f t="shared" si="0"/>
        <v>1.3641879008493674E-2</v>
      </c>
      <c r="E51" s="834">
        <f>SUMIF('ПО КОРИСНИЦИМА'!$F$8:$F$17281,'По основ. нам.'!A51,'ПО КОРИСНИЦИМА'!$I$8:$I$17281)</f>
        <v>1000</v>
      </c>
      <c r="F51" s="834">
        <f>C51+E51</f>
        <v>7871000</v>
      </c>
    </row>
    <row r="52" spans="1:6" x14ac:dyDescent="0.25">
      <c r="A52" s="833">
        <v>483</v>
      </c>
      <c r="B52" s="712" t="s">
        <v>3838</v>
      </c>
      <c r="C52" s="834">
        <f>SUMIF('ПО КОРИСНИЦИМА'!$F$8:$F$17281,'По основ. нам.'!A52,'ПО КОРИСНИЦИМА'!$H$8:$H$17281)</f>
        <v>3081000</v>
      </c>
      <c r="D52" s="835">
        <f t="shared" si="0"/>
        <v>5.3406136245449818E-3</v>
      </c>
      <c r="E52" s="834">
        <f>SUMIF('ПО КОРИСНИЦИМА'!$F$8:$F$17281,'По основ. нам.'!A52,'ПО КОРИСНИЦИМА'!$I$8:$I$17281)</f>
        <v>0</v>
      </c>
      <c r="F52" s="834">
        <f t="shared" si="1"/>
        <v>3081000</v>
      </c>
    </row>
    <row r="53" spans="1:6" x14ac:dyDescent="0.25">
      <c r="A53" s="833">
        <v>484</v>
      </c>
      <c r="B53" s="712" t="s">
        <v>3839</v>
      </c>
      <c r="C53" s="834">
        <f>SUMIF('ПО КОРИСНИЦИМА'!$F$8:$F$17281,'По основ. нам.'!A53,'ПО КОРИСНИЦИМА'!$H$8:$H$17281)</f>
        <v>7500000</v>
      </c>
      <c r="D53" s="835">
        <f t="shared" si="0"/>
        <v>1.3000520020800831E-2</v>
      </c>
      <c r="E53" s="834">
        <f>SUMIF('ПО КОРИСНИЦИМА'!$F$8:$F$17281,'По основ. нам.'!A53,'ПО КОРИСНИЦИМА'!$I$8:$I$17281)</f>
        <v>0</v>
      </c>
      <c r="F53" s="834">
        <f t="shared" si="1"/>
        <v>7500000</v>
      </c>
    </row>
    <row r="54" spans="1:6" x14ac:dyDescent="0.25">
      <c r="A54" s="833">
        <v>485</v>
      </c>
      <c r="B54" s="712" t="s">
        <v>3840</v>
      </c>
      <c r="C54" s="834">
        <f>SUMIF('ПО КОРИСНИЦИМА'!$F$8:$F$17281,'По основ. нам.'!A54,'ПО КОРИСНИЦИМА'!$H$8:$H$17281)</f>
        <v>1900000</v>
      </c>
      <c r="D54" s="835">
        <f t="shared" si="0"/>
        <v>3.2934650719362107E-3</v>
      </c>
      <c r="E54" s="834">
        <f>SUMIF('ПО КОРИСНИЦИМА'!$F$8:$F$17281,'По основ. нам.'!A54,'ПО КОРИСНИЦИМА'!$I$8:$I$17281)</f>
        <v>0</v>
      </c>
      <c r="F54" s="834">
        <f t="shared" si="1"/>
        <v>1900000</v>
      </c>
    </row>
    <row r="55" spans="1:6" x14ac:dyDescent="0.25">
      <c r="A55" s="833">
        <v>489</v>
      </c>
      <c r="B55" s="712" t="s">
        <v>3841</v>
      </c>
      <c r="C55" s="834">
        <f>SUMIF('ПО КОРИСНИЦИМА'!$F$8:$F$17281,'По основ. нам.'!A55,'ПО КОРИСНИЦИМА'!$H$8:$H$17281)</f>
        <v>0</v>
      </c>
      <c r="D55" s="835">
        <f t="shared" si="0"/>
        <v>0</v>
      </c>
      <c r="E55" s="834">
        <f>SUMIF('ПО КОРИСНИЦИМА'!$F$8:$F$17281,'По основ. нам.'!A55,'ПО КОРИСНИЦИМА'!$I$8:$I$17281)</f>
        <v>0</v>
      </c>
      <c r="F55" s="834">
        <f t="shared" si="1"/>
        <v>0</v>
      </c>
    </row>
    <row r="56" spans="1:6" ht="29.25" x14ac:dyDescent="0.25">
      <c r="A56" s="842">
        <v>490</v>
      </c>
      <c r="B56" s="843" t="s">
        <v>3842</v>
      </c>
      <c r="C56" s="831">
        <f>SUM(C57:C62)</f>
        <v>4500000</v>
      </c>
      <c r="D56" s="832">
        <f t="shared" si="0"/>
        <v>7.8003120124804995E-3</v>
      </c>
      <c r="E56" s="831">
        <f>SUM(E61:E62)</f>
        <v>0</v>
      </c>
      <c r="F56" s="831">
        <f t="shared" si="1"/>
        <v>4500000</v>
      </c>
    </row>
    <row r="57" spans="1:6" ht="30" x14ac:dyDescent="0.25">
      <c r="A57" s="844">
        <v>494</v>
      </c>
      <c r="B57" s="845" t="s">
        <v>4193</v>
      </c>
      <c r="C57" s="834">
        <f>SUMIF('ПО КОРИСНИЦИМА'!$F$8:$F$17281,'По основ. нам.'!A57,'ПО КОРИСНИЦИМА'!$H$8:$H$17281)</f>
        <v>0</v>
      </c>
      <c r="D57" s="835">
        <f t="shared" si="0"/>
        <v>0</v>
      </c>
      <c r="E57" s="834">
        <f>SUMIF('ПО КОРИСНИЦИМА'!$F$8:$F$17281,'По основ. нам.'!A57,'ПО КОРИСНИЦИМА'!$I$8:$I$17281)</f>
        <v>0</v>
      </c>
      <c r="F57" s="834">
        <f t="shared" si="1"/>
        <v>0</v>
      </c>
    </row>
    <row r="58" spans="1:6" ht="30" x14ac:dyDescent="0.25">
      <c r="A58" s="844">
        <v>495</v>
      </c>
      <c r="B58" s="845" t="s">
        <v>4194</v>
      </c>
      <c r="C58" s="834">
        <f>SUMIF('ПО КОРИСНИЦИМА'!$F$8:$F$17281,'По основ. нам.'!A58,'ПО КОРИСНИЦИМА'!$H$8:$H$17281)</f>
        <v>0</v>
      </c>
      <c r="D58" s="835">
        <f t="shared" si="0"/>
        <v>0</v>
      </c>
      <c r="E58" s="834">
        <f>SUMIF('ПО КОРИСНИЦИМА'!$F$8:$F$17281,'По основ. нам.'!A58,'ПО КОРИСНИЦИМА'!$I$8:$I$17281)</f>
        <v>0</v>
      </c>
      <c r="F58" s="834">
        <f t="shared" si="1"/>
        <v>0</v>
      </c>
    </row>
    <row r="59" spans="1:6" ht="45" x14ac:dyDescent="0.25">
      <c r="A59" s="844">
        <v>496</v>
      </c>
      <c r="B59" s="845" t="s">
        <v>4195</v>
      </c>
      <c r="C59" s="834">
        <f>SUMIF('ПО КОРИСНИЦИМА'!$F$8:$F$17281,'По основ. нам.'!A59,'ПО КОРИСНИЦИМА'!$H$8:$H$17281)</f>
        <v>0</v>
      </c>
      <c r="D59" s="835">
        <f t="shared" si="0"/>
        <v>0</v>
      </c>
      <c r="E59" s="834">
        <f>SUMIF('ПО КОРИСНИЦИМА'!$F$8:$F$17281,'По основ. нам.'!A59,'ПО КОРИСНИЦИМА'!$I$8:$I$17281)</f>
        <v>0</v>
      </c>
      <c r="F59" s="834">
        <f t="shared" si="1"/>
        <v>0</v>
      </c>
    </row>
    <row r="60" spans="1:6" ht="30" x14ac:dyDescent="0.25">
      <c r="A60" s="844">
        <v>499</v>
      </c>
      <c r="B60" s="845" t="s">
        <v>4196</v>
      </c>
      <c r="C60" s="834">
        <f>SUMIF('ПО КОРИСНИЦИМА'!$F$8:$F$17281,'По основ. нам.'!A60,'ПО КОРИСНИЦИМА'!$H$8:$H$17281)</f>
        <v>0</v>
      </c>
      <c r="D60" s="835">
        <f t="shared" si="0"/>
        <v>0</v>
      </c>
      <c r="E60" s="834">
        <f>SUMIF('ПО КОРИСНИЦИМА'!$F$8:$F$17281,'По основ. нам.'!A60,'ПО КОРИСНИЦИМА'!$I$8:$I$17281)</f>
        <v>0</v>
      </c>
      <c r="F60" s="834">
        <f t="shared" si="1"/>
        <v>0</v>
      </c>
    </row>
    <row r="61" spans="1:6" x14ac:dyDescent="0.25">
      <c r="A61" s="844">
        <v>49911</v>
      </c>
      <c r="B61" s="845" t="s">
        <v>3843</v>
      </c>
      <c r="C61" s="834">
        <f>SUMIF('ПО КОРИСНИЦИМА'!$F$8:$F$17281,'По основ. нам.'!A61,'ПО КОРИСНИЦИМА'!$H$8:$H$17281)</f>
        <v>500000</v>
      </c>
      <c r="D61" s="835">
        <f t="shared" si="0"/>
        <v>8.6670133472005549E-4</v>
      </c>
      <c r="E61" s="834">
        <f>SUMIF('ПО КОРИСНИЦИМА'!$F$8:$F$17281,'По основ. нам.'!A61,'ПО КОРИСНИЦИМА'!$I$8:$I$17281)</f>
        <v>0</v>
      </c>
      <c r="F61" s="834">
        <f t="shared" si="1"/>
        <v>500000</v>
      </c>
    </row>
    <row r="62" spans="1:6" x14ac:dyDescent="0.25">
      <c r="A62" s="833" t="s">
        <v>3844</v>
      </c>
      <c r="B62" s="712" t="s">
        <v>3845</v>
      </c>
      <c r="C62" s="834">
        <f>SUMIF('ПО КОРИСНИЦИМА'!$F$8:$F$17281,'По основ. нам.'!A62,'ПО КОРИСНИЦИМА'!$H$8:$H$17281)</f>
        <v>4000000</v>
      </c>
      <c r="D62" s="835">
        <f t="shared" si="0"/>
        <v>6.9336106777604439E-3</v>
      </c>
      <c r="E62" s="834">
        <f>SUMIF('ПО КОРИСНИЦИМА'!$F$8:$F$17281,'По основ. нам.'!A62,'ПО КОРИСНИЦИМА'!$I$8:$I$17281)</f>
        <v>0</v>
      </c>
      <c r="F62" s="834">
        <f t="shared" si="1"/>
        <v>4000000</v>
      </c>
    </row>
    <row r="63" spans="1:6" x14ac:dyDescent="0.25">
      <c r="A63" s="846" t="s">
        <v>3984</v>
      </c>
      <c r="B63" s="847" t="s">
        <v>4501</v>
      </c>
      <c r="C63" s="848">
        <f>SUM(C64,C70,C75,C79)</f>
        <v>161449000</v>
      </c>
      <c r="D63" s="849">
        <f>IFERROR(C63/$C$87,"-")</f>
        <v>0.27985612757843648</v>
      </c>
      <c r="E63" s="848">
        <f>SUM(E64,E70,E75,E79)</f>
        <v>5965000</v>
      </c>
      <c r="F63" s="848">
        <f>SUM(C63,E63)</f>
        <v>167414000</v>
      </c>
    </row>
    <row r="64" spans="1:6" x14ac:dyDescent="0.25">
      <c r="A64" s="829" t="s">
        <v>3846</v>
      </c>
      <c r="B64" s="830" t="s">
        <v>3847</v>
      </c>
      <c r="C64" s="831">
        <f>SUM(C65:C69)</f>
        <v>160849000</v>
      </c>
      <c r="D64" s="832">
        <f t="shared" si="0"/>
        <v>0.27881608597677243</v>
      </c>
      <c r="E64" s="831">
        <f>SUM(E65:E69)</f>
        <v>5965000</v>
      </c>
      <c r="F64" s="831">
        <f t="shared" si="1"/>
        <v>166814000</v>
      </c>
    </row>
    <row r="65" spans="1:6" x14ac:dyDescent="0.25">
      <c r="A65" s="833">
        <v>511</v>
      </c>
      <c r="B65" s="712" t="s">
        <v>3848</v>
      </c>
      <c r="C65" s="834">
        <f>SUMIF('ПО КОРИСНИЦИМА'!$F$8:$F$17281,'По основ. нам.'!A65,'ПО КОРИСНИЦИМА'!$H$8:$H$17281)</f>
        <v>139375000</v>
      </c>
      <c r="D65" s="835">
        <f t="shared" si="0"/>
        <v>0.24159299705321546</v>
      </c>
      <c r="E65" s="834">
        <f>SUMIF('ПО КОРИСНИЦИМА'!$F$8:$F$17281,'По основ. нам.'!A65,'ПО КОРИСНИЦИМА'!$I$8:$I$17281)</f>
        <v>4245000</v>
      </c>
      <c r="F65" s="834">
        <f t="shared" si="1"/>
        <v>143620000</v>
      </c>
    </row>
    <row r="66" spans="1:6" x14ac:dyDescent="0.25">
      <c r="A66" s="833">
        <v>512</v>
      </c>
      <c r="B66" s="712" t="s">
        <v>3849</v>
      </c>
      <c r="C66" s="834">
        <f>SUMIF('ПО КОРИСНИЦИМА'!$F$8:$F$17281,'По основ. нам.'!A66,'ПО КОРИСНИЦИМА'!$H$8:$H$17281)</f>
        <v>21224000</v>
      </c>
      <c r="D66" s="835">
        <f t="shared" si="0"/>
        <v>3.6789738256196913E-2</v>
      </c>
      <c r="E66" s="834">
        <f>SUMIF('ПО КОРИСНИЦИМА'!$F$8:$F$17281,'По основ. нам.'!A66,'ПО КОРИСНИЦИМА'!$I$8:$I$17281)</f>
        <v>1660000</v>
      </c>
      <c r="F66" s="834">
        <f t="shared" si="1"/>
        <v>22884000</v>
      </c>
    </row>
    <row r="67" spans="1:6" x14ac:dyDescent="0.25">
      <c r="A67" s="833">
        <v>513</v>
      </c>
      <c r="B67" s="712" t="s">
        <v>3850</v>
      </c>
      <c r="C67" s="834">
        <f>SUMIF('ПО КОРИСНИЦИМА'!$F$8:$F$17281,'По основ. нам.'!A67,'ПО КОРИСНИЦИМА'!$H$8:$H$17281)</f>
        <v>0</v>
      </c>
      <c r="D67" s="835">
        <f t="shared" si="0"/>
        <v>0</v>
      </c>
      <c r="E67" s="834">
        <f>SUMIF('ПО КОРИСНИЦИМА'!$F$8:$F$17281,'По основ. нам.'!A67,'ПО КОРИСНИЦИМА'!$I$8:$I$17281)</f>
        <v>0</v>
      </c>
      <c r="F67" s="837">
        <f t="shared" si="1"/>
        <v>0</v>
      </c>
    </row>
    <row r="68" spans="1:6" x14ac:dyDescent="0.25">
      <c r="A68" s="833">
        <v>514</v>
      </c>
      <c r="B68" s="712" t="s">
        <v>3851</v>
      </c>
      <c r="C68" s="834">
        <f>SUMIF('ПО КОРИСНИЦИМА'!$F$8:$F$17281,'По основ. нам.'!A68,'ПО КОРИСНИЦИМА'!$H$8:$H$17281)</f>
        <v>0</v>
      </c>
      <c r="D68" s="835">
        <f t="shared" si="0"/>
        <v>0</v>
      </c>
      <c r="E68" s="834">
        <f>SUMIF('ПО КОРИСНИЦИМА'!$F$8:$F$17281,'По основ. нам.'!A68,'ПО КОРИСНИЦИМА'!$I$8:$I$17281)</f>
        <v>0</v>
      </c>
      <c r="F68" s="834">
        <f t="shared" si="1"/>
        <v>0</v>
      </c>
    </row>
    <row r="69" spans="1:6" x14ac:dyDescent="0.25">
      <c r="A69" s="833">
        <v>515</v>
      </c>
      <c r="B69" s="712" t="s">
        <v>3852</v>
      </c>
      <c r="C69" s="834">
        <f>SUMIF('ПО КОРИСНИЦИМА'!$F$8:$F$17281,'По основ. нам.'!A69,'ПО КОРИСНИЦИМА'!$H$8:$H$17281)</f>
        <v>250000</v>
      </c>
      <c r="D69" s="835">
        <f t="shared" si="0"/>
        <v>4.3335066736002774E-4</v>
      </c>
      <c r="E69" s="834">
        <f>SUMIF('ПО КОРИСНИЦИМА'!$F$8:$F$17281,'По основ. нам.'!A69,'ПО КОРИСНИЦИМА'!$I$8:$I$17281)</f>
        <v>60000</v>
      </c>
      <c r="F69" s="834">
        <f t="shared" si="1"/>
        <v>310000</v>
      </c>
    </row>
    <row r="70" spans="1:6" x14ac:dyDescent="0.25">
      <c r="A70" s="829" t="s">
        <v>3853</v>
      </c>
      <c r="B70" s="830" t="s">
        <v>3854</v>
      </c>
      <c r="C70" s="831">
        <f>SUM(C71:C74)</f>
        <v>0</v>
      </c>
      <c r="D70" s="832">
        <f t="shared" si="0"/>
        <v>0</v>
      </c>
      <c r="E70" s="831">
        <f>SUM(E71:E73)</f>
        <v>0</v>
      </c>
      <c r="F70" s="831">
        <f t="shared" si="1"/>
        <v>0</v>
      </c>
    </row>
    <row r="71" spans="1:6" x14ac:dyDescent="0.25">
      <c r="A71" s="840">
        <v>521</v>
      </c>
      <c r="B71" s="850" t="s">
        <v>3855</v>
      </c>
      <c r="C71" s="834">
        <f>SUMIF('ПО КОРИСНИЦИМА'!$F$8:$F$17281,'По основ. нам.'!A71,'ПО КОРИСНИЦИМА'!$H$8:$H$17281)</f>
        <v>0</v>
      </c>
      <c r="D71" s="851">
        <f t="shared" si="0"/>
        <v>0</v>
      </c>
      <c r="E71" s="834">
        <f>SUMIF('ПО КОРИСНИЦИМА'!$F$8:$F$17281,'По основ. нам.'!A71,'ПО КОРИСНИЦИМА'!$I$8:$I$17281)</f>
        <v>0</v>
      </c>
      <c r="F71" s="834">
        <f t="shared" si="1"/>
        <v>0</v>
      </c>
    </row>
    <row r="72" spans="1:6" x14ac:dyDescent="0.25">
      <c r="A72" s="840">
        <v>522</v>
      </c>
      <c r="B72" s="850" t="s">
        <v>3856</v>
      </c>
      <c r="C72" s="834">
        <f>SUMIF('ПО КОРИСНИЦИМА'!$F$8:$F$17281,'По основ. нам.'!A72,'ПО КОРИСНИЦИМА'!$H$8:$H$17281)</f>
        <v>0</v>
      </c>
      <c r="D72" s="851">
        <f t="shared" si="0"/>
        <v>0</v>
      </c>
      <c r="E72" s="834">
        <f>SUMIF('ПО КОРИСНИЦИМА'!$F$8:$F$17281,'По основ. нам.'!A72,'ПО КОРИСНИЦИМА'!$I$8:$I$17281)</f>
        <v>0</v>
      </c>
      <c r="F72" s="834">
        <f t="shared" si="1"/>
        <v>0</v>
      </c>
    </row>
    <row r="73" spans="1:6" x14ac:dyDescent="0.25">
      <c r="A73" s="840">
        <v>523</v>
      </c>
      <c r="B73" s="852" t="s">
        <v>3857</v>
      </c>
      <c r="C73" s="834">
        <f>SUMIF('ПО КОРИСНИЦИМА'!$F$8:$F$17281,'По основ. нам.'!A73,'ПО КОРИСНИЦИМА'!$H$8:$H$17281)</f>
        <v>0</v>
      </c>
      <c r="D73" s="851">
        <f t="shared" si="0"/>
        <v>0</v>
      </c>
      <c r="E73" s="834">
        <f>SUMIF('ПО КОРИСНИЦИМА'!$F$8:$F$17281,'По основ. нам.'!A73,'ПО КОРИСНИЦИМА'!$I$8:$I$17281)</f>
        <v>0</v>
      </c>
      <c r="F73" s="834">
        <f t="shared" si="1"/>
        <v>0</v>
      </c>
    </row>
    <row r="74" spans="1:6" x14ac:dyDescent="0.25">
      <c r="A74" s="840">
        <v>531</v>
      </c>
      <c r="B74" s="852" t="s">
        <v>4197</v>
      </c>
      <c r="C74" s="834">
        <f>SUMIF('ПО КОРИСНИЦИМА'!$F$8:$F$17281,'По основ. нам.'!A74,'ПО КОРИСНИЦИМА'!$H$8:$H$17281)</f>
        <v>0</v>
      </c>
      <c r="D74" s="851">
        <f t="shared" si="0"/>
        <v>0</v>
      </c>
      <c r="E74" s="834"/>
      <c r="F74" s="834"/>
    </row>
    <row r="75" spans="1:6" ht="15.75" customHeight="1" x14ac:dyDescent="0.25">
      <c r="A75" s="829" t="s">
        <v>3858</v>
      </c>
      <c r="B75" s="830" t="s">
        <v>3859</v>
      </c>
      <c r="C75" s="853">
        <f>SUM(C76:C78)</f>
        <v>600000</v>
      </c>
      <c r="D75" s="854">
        <f t="shared" si="0"/>
        <v>1.0400416016640667E-3</v>
      </c>
      <c r="E75" s="855">
        <f>SUM(E76:E78)</f>
        <v>0</v>
      </c>
      <c r="F75" s="831">
        <f t="shared" si="1"/>
        <v>600000</v>
      </c>
    </row>
    <row r="76" spans="1:6" x14ac:dyDescent="0.25">
      <c r="A76" s="840">
        <v>541</v>
      </c>
      <c r="B76" s="850" t="s">
        <v>3860</v>
      </c>
      <c r="C76" s="834">
        <f>SUMIF('ПО КОРИСНИЦИМА'!$F$8:$F$17281,'По основ. нам.'!A76,'ПО КОРИСНИЦИМА'!$H$8:$H$17281)</f>
        <v>600000</v>
      </c>
      <c r="D76" s="851">
        <f t="shared" si="0"/>
        <v>1.0400416016640667E-3</v>
      </c>
      <c r="E76" s="834">
        <f>SUMIF('ПО КОРИСНИЦИМА'!$F$8:$F$17281,'По основ. нам.'!A76,'ПО КОРИСНИЦИМА'!$I$8:$I$17281)</f>
        <v>0</v>
      </c>
      <c r="F76" s="834">
        <f t="shared" si="1"/>
        <v>600000</v>
      </c>
    </row>
    <row r="77" spans="1:6" x14ac:dyDescent="0.25">
      <c r="A77" s="840">
        <v>542</v>
      </c>
      <c r="B77" s="850" t="s">
        <v>3861</v>
      </c>
      <c r="C77" s="834">
        <f>SUMIF('ПО КОРИСНИЦИМА'!$F$8:$F$17281,'По основ. нам.'!A77,'ПО КОРИСНИЦИМА'!$H$8:$H$17281)</f>
        <v>0</v>
      </c>
      <c r="D77" s="851">
        <f t="shared" si="0"/>
        <v>0</v>
      </c>
      <c r="E77" s="834">
        <f>SUMIF('ПО КОРИСНИЦИМА'!$F$8:$F$17281,'По основ. нам.'!A77,'ПО КОРИСНИЦИМА'!$I$8:$I$17281)</f>
        <v>0</v>
      </c>
      <c r="F77" s="837">
        <f t="shared" si="1"/>
        <v>0</v>
      </c>
    </row>
    <row r="78" spans="1:6" x14ac:dyDescent="0.25">
      <c r="A78" s="840">
        <v>543</v>
      </c>
      <c r="B78" s="852" t="s">
        <v>3862</v>
      </c>
      <c r="C78" s="834">
        <f>SUMIF('ПО КОРИСНИЦИМА'!$F$8:$F$17281,'По основ. нам.'!A78,'ПО КОРИСНИЦИМА'!$H$8:$H$17281)</f>
        <v>0</v>
      </c>
      <c r="D78" s="851">
        <f t="shared" ref="D78:D87" si="2">IFERROR(C78/$C$87,"-")</f>
        <v>0</v>
      </c>
      <c r="E78" s="834">
        <f>SUMIF('ПО КОРИСНИЦИМА'!$F$8:$F$17281,'По основ. нам.'!A78,'ПО КОРИСНИЦИМА'!$I$8:$I$17281)</f>
        <v>0</v>
      </c>
      <c r="F78" s="837">
        <f t="shared" si="1"/>
        <v>0</v>
      </c>
    </row>
    <row r="79" spans="1:6" ht="28.5" x14ac:dyDescent="0.25">
      <c r="A79" s="856">
        <v>550</v>
      </c>
      <c r="B79" s="857" t="s">
        <v>3863</v>
      </c>
      <c r="C79" s="855">
        <f>SUM(C80)</f>
        <v>0</v>
      </c>
      <c r="D79" s="858">
        <f t="shared" si="2"/>
        <v>0</v>
      </c>
      <c r="E79" s="855">
        <f>SUM(E80)</f>
        <v>0</v>
      </c>
      <c r="F79" s="831">
        <f>C79+E79</f>
        <v>0</v>
      </c>
    </row>
    <row r="80" spans="1:6" ht="30" x14ac:dyDescent="0.25">
      <c r="A80" s="840">
        <v>551</v>
      </c>
      <c r="B80" s="859" t="s">
        <v>3864</v>
      </c>
      <c r="C80" s="834">
        <f>SUMIF('ПО КОРИСНИЦИМА'!$F$8:$F$17281,'По основ. нам.'!A80,'ПО КОРИСНИЦИМА'!$H$8:$H$17281)</f>
        <v>0</v>
      </c>
      <c r="D80" s="851">
        <f t="shared" si="2"/>
        <v>0</v>
      </c>
      <c r="E80" s="834">
        <f>SUMIF('ПО КОРИСНИЦИМА'!$F$8:$F$17281,'По основ. нам.'!A80,'ПО КОРИСНИЦИМА'!$I$8:$I$17281)</f>
        <v>0</v>
      </c>
      <c r="F80" s="837">
        <f t="shared" ref="F80:F86" si="3">C80+E80</f>
        <v>0</v>
      </c>
    </row>
    <row r="81" spans="1:6" x14ac:dyDescent="0.25">
      <c r="A81" s="829" t="s">
        <v>3865</v>
      </c>
      <c r="B81" s="830" t="s">
        <v>3866</v>
      </c>
      <c r="C81" s="855">
        <f>SUM(C82:C84)</f>
        <v>0</v>
      </c>
      <c r="D81" s="854">
        <f t="shared" si="2"/>
        <v>0</v>
      </c>
      <c r="E81" s="855">
        <f>SUM(E82:E84)</f>
        <v>0</v>
      </c>
      <c r="F81" s="831">
        <f t="shared" si="3"/>
        <v>0</v>
      </c>
    </row>
    <row r="82" spans="1:6" x14ac:dyDescent="0.25">
      <c r="A82" s="833" t="s">
        <v>3867</v>
      </c>
      <c r="B82" s="712" t="s">
        <v>3868</v>
      </c>
      <c r="C82" s="834">
        <f>SUMIF('ПО КОРИСНИЦИМА'!$F$8:$F$17281,'По основ. нам.'!A82,'ПО КОРИСНИЦИМА'!$H$8:$H$17281)</f>
        <v>0</v>
      </c>
      <c r="D82" s="851">
        <f t="shared" si="2"/>
        <v>0</v>
      </c>
      <c r="E82" s="834">
        <f>SUMIF('ПО КОРИСНИЦИМА'!$F$8:$F$17281,'По основ. нам.'!A82,'ПО КОРИСНИЦИМА'!$I$8:$I$17281)</f>
        <v>0</v>
      </c>
      <c r="F82" s="834">
        <f t="shared" si="3"/>
        <v>0</v>
      </c>
    </row>
    <row r="83" spans="1:6" x14ac:dyDescent="0.25">
      <c r="A83" s="860" t="s">
        <v>3869</v>
      </c>
      <c r="B83" s="861" t="s">
        <v>3870</v>
      </c>
      <c r="C83" s="834">
        <f>SUMIF('ПО КОРИСНИЦИМА'!$F$8:$F$17281,'По основ. нам.'!A83,'ПО КОРИСНИЦИМА'!$H$8:$H$17281)</f>
        <v>0</v>
      </c>
      <c r="D83" s="862">
        <f t="shared" si="2"/>
        <v>0</v>
      </c>
      <c r="E83" s="834">
        <f>SUMIF('ПО КОРИСНИЦИМА'!$F$8:$F$17281,'По основ. нам.'!A83,'ПО КОРИСНИЦИМА'!$I$8:$I$17281)</f>
        <v>0</v>
      </c>
      <c r="F83" s="837"/>
    </row>
    <row r="84" spans="1:6" x14ac:dyDescent="0.25">
      <c r="A84" s="860" t="s">
        <v>3871</v>
      </c>
      <c r="B84" s="861" t="s">
        <v>87</v>
      </c>
      <c r="C84" s="834">
        <f>SUMIF('ПО КОРИСНИЦИМА'!$F$8:$F$17281,'По основ. нам.'!A84,'ПО КОРИСНИЦИМА'!$H$8:$H$17281)</f>
        <v>0</v>
      </c>
      <c r="D84" s="862">
        <f t="shared" si="2"/>
        <v>0</v>
      </c>
      <c r="E84" s="834">
        <f>SUMIF('ПО КОРИСНИЦИМА'!$F$8:$F$17281,'По основ. нам.'!A84,'ПО КОРИСНИЦИМА'!$I$8:$I$17281)</f>
        <v>0</v>
      </c>
      <c r="F84" s="837"/>
    </row>
    <row r="85" spans="1:6" x14ac:dyDescent="0.25">
      <c r="A85" s="829" t="s">
        <v>3872</v>
      </c>
      <c r="B85" s="830" t="s">
        <v>88</v>
      </c>
      <c r="C85" s="855">
        <f>SUMIF('ПО КОРИСНИЦИМА'!$F$8:$F$17281,'По основ. нам.'!A85,'ПО КОРИСНИЦИМА'!$H$8:$H$17281)</f>
        <v>0</v>
      </c>
      <c r="D85" s="858">
        <f t="shared" si="2"/>
        <v>0</v>
      </c>
      <c r="E85" s="855">
        <f>SUM(E86)</f>
        <v>0</v>
      </c>
      <c r="F85" s="831">
        <f t="shared" si="3"/>
        <v>0</v>
      </c>
    </row>
    <row r="86" spans="1:6" x14ac:dyDescent="0.25">
      <c r="A86" s="860" t="s">
        <v>3873</v>
      </c>
      <c r="B86" s="861" t="s">
        <v>3874</v>
      </c>
      <c r="C86" s="834">
        <f>SUMIF('ПО КОРИСНИЦИМА'!$F$8:$F$17281,'По основ. нам.'!A86,'ПО КОРИСНИЦИМА'!$H$8:$H$17281)</f>
        <v>0</v>
      </c>
      <c r="D86" s="862">
        <f t="shared" si="2"/>
        <v>0</v>
      </c>
      <c r="E86" s="834">
        <f>SUMIF('ПО КОРИСНИЦИМА'!$F$8:$F$17281,'По основ. нам.'!A86,'ПО КОРИСНИЦИМА'!$I$8:$I$17281)</f>
        <v>0</v>
      </c>
      <c r="F86" s="837">
        <f t="shared" si="3"/>
        <v>0</v>
      </c>
    </row>
    <row r="87" spans="1:6" x14ac:dyDescent="0.25">
      <c r="A87" s="863"/>
      <c r="B87" s="864" t="s">
        <v>3875</v>
      </c>
      <c r="C87" s="865">
        <f>SUM(C85,C81,C79,C75,C70,C64,C56,C49,C47,C40,C34,C29,C23,C16,C7)</f>
        <v>576900000</v>
      </c>
      <c r="D87" s="866">
        <f t="shared" si="2"/>
        <v>1</v>
      </c>
      <c r="E87" s="865">
        <f>SUM(E7,E16,E23,E29,E34,E40,E49,E47,E56,E64,E70,E75,E79,E81,E85)</f>
        <v>15845100</v>
      </c>
      <c r="F87" s="867">
        <f>C87+E87</f>
        <v>592745100</v>
      </c>
    </row>
    <row r="88" spans="1:6" x14ac:dyDescent="0.25">
      <c r="A88" s="124"/>
      <c r="B88" s="124"/>
      <c r="C88" s="125"/>
      <c r="D88" s="124"/>
      <c r="E88" s="125"/>
      <c r="F88" s="125"/>
    </row>
  </sheetData>
  <sheetProtection password="C85D" sheet="1" objects="1" scenarios="1"/>
  <mergeCells count="2">
    <mergeCell ref="B1:E1"/>
    <mergeCell ref="A2:F2"/>
  </mergeCells>
  <conditionalFormatting sqref="C88 E88:F88">
    <cfRule type="cellIs" dxfId="3" priority="5" stopIfTrue="1" operator="notEqual">
      <formula>0</formula>
    </cfRule>
  </conditionalFormatting>
  <conditionalFormatting sqref="C8:C15 C17:C22 C24:C28 C30:C33 C35:C39 C41:C46 C48 C50:C55 C61:C63 C65:C69 C76:C78 C80 C82:C84 C86 E8:E15 E17:E22 E24:E28 E30:E33 E35:E39 E41:E46 E48 E50:E55 E65:E69 E71:E74 E76:E78 E80 E82:E84 E86 C71:C74 E61:E63">
    <cfRule type="expression" priority="4" stopIfTrue="1">
      <formula>NOT(ISERROR(SEARCH("411",C8)))</formula>
    </cfRule>
  </conditionalFormatting>
  <conditionalFormatting sqref="C57:C62">
    <cfRule type="expression" priority="3" stopIfTrue="1">
      <formula>NOT(ISERROR(SEARCH("411",C57)))</formula>
    </cfRule>
  </conditionalFormatting>
  <conditionalFormatting sqref="E57:E62">
    <cfRule type="expression" priority="2" stopIfTrue="1">
      <formula>NOT(ISERROR(SEARCH("411",E57)))</formula>
    </cfRule>
  </conditionalFormatting>
  <conditionalFormatting sqref="C88:F88">
    <cfRule type="cellIs" dxfId="2" priority="1" operator="notEqual">
      <formula>0</formula>
    </cfRule>
  </conditionalFormatting>
  <pageMargins left="0.70866141732283472" right="0.70866141732283472" top="0.74803149606299213" bottom="0.74803149606299213" header="0.31496062992125984" footer="0.31496062992125984"/>
  <pageSetup orientation="landscape" r:id="rId1"/>
  <cellWatches>
    <cellWatch r="C88"/>
  </cellWatche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1"/>
  </sheetPr>
  <dimension ref="A1:H621"/>
  <sheetViews>
    <sheetView topLeftCell="A281" workbookViewId="0">
      <selection activeCell="A8" sqref="A8:XFD8"/>
    </sheetView>
  </sheetViews>
  <sheetFormatPr defaultRowHeight="12.75" x14ac:dyDescent="0.2"/>
  <cols>
    <col min="1" max="1" width="7.42578125" style="644" customWidth="1"/>
    <col min="2" max="2" width="11.7109375" style="644" customWidth="1"/>
    <col min="3" max="3" width="49.140625" style="663" customWidth="1"/>
    <col min="4" max="4" width="16.28515625" style="665" customWidth="1"/>
    <col min="5" max="5" width="7.85546875" style="644" customWidth="1"/>
    <col min="6" max="6" width="12.28515625" style="644" customWidth="1"/>
    <col min="7" max="7" width="15.5703125" style="665" customWidth="1"/>
    <col min="8" max="8" width="15.5703125" style="644" hidden="1" customWidth="1"/>
    <col min="9" max="16384" width="9.140625" style="644"/>
  </cols>
  <sheetData>
    <row r="1" spans="1:8" ht="15" x14ac:dyDescent="0.2">
      <c r="C1" s="914" t="s">
        <v>5372</v>
      </c>
      <c r="D1" s="914"/>
      <c r="E1" s="914"/>
      <c r="F1" s="914"/>
    </row>
    <row r="2" spans="1:8" ht="33" customHeight="1" x14ac:dyDescent="0.2">
      <c r="A2" s="914" t="s">
        <v>5374</v>
      </c>
      <c r="B2" s="914"/>
      <c r="C2" s="914"/>
      <c r="D2" s="914"/>
      <c r="E2" s="914"/>
      <c r="F2" s="914"/>
      <c r="G2" s="914"/>
    </row>
    <row r="3" spans="1:8" ht="21.75" hidden="1" customHeight="1" x14ac:dyDescent="0.2">
      <c r="A3" s="928"/>
      <c r="B3" s="928"/>
      <c r="C3" s="928"/>
      <c r="D3" s="928"/>
      <c r="E3" s="928"/>
      <c r="F3" s="928"/>
      <c r="G3" s="928"/>
    </row>
    <row r="4" spans="1:8" ht="15" customHeight="1" x14ac:dyDescent="0.2">
      <c r="A4" s="931" t="s">
        <v>5373</v>
      </c>
      <c r="B4" s="931"/>
      <c r="C4" s="931"/>
      <c r="D4" s="931"/>
      <c r="E4" s="931"/>
      <c r="F4" s="931"/>
      <c r="G4" s="931"/>
      <c r="H4" s="931"/>
    </row>
    <row r="5" spans="1:8" ht="15" customHeight="1" x14ac:dyDescent="0.2">
      <c r="A5" s="932" t="s">
        <v>3611</v>
      </c>
      <c r="B5" s="933"/>
      <c r="C5" s="929" t="s">
        <v>4173</v>
      </c>
      <c r="D5" s="930" t="s">
        <v>24</v>
      </c>
      <c r="E5" s="929" t="s">
        <v>3692</v>
      </c>
      <c r="F5" s="929" t="s">
        <v>3778</v>
      </c>
      <c r="G5" s="930" t="s">
        <v>3779</v>
      </c>
      <c r="H5" s="929" t="s">
        <v>4187</v>
      </c>
    </row>
    <row r="6" spans="1:8" ht="36" customHeight="1" x14ac:dyDescent="0.2">
      <c r="A6" s="645" t="s">
        <v>4070</v>
      </c>
      <c r="B6" s="645" t="s">
        <v>4172</v>
      </c>
      <c r="C6" s="929"/>
      <c r="D6" s="930"/>
      <c r="E6" s="929"/>
      <c r="F6" s="929"/>
      <c r="G6" s="930"/>
      <c r="H6" s="929"/>
    </row>
    <row r="7" spans="1:8" x14ac:dyDescent="0.2">
      <c r="A7" s="85" t="s">
        <v>3780</v>
      </c>
      <c r="B7" s="85" t="s">
        <v>4071</v>
      </c>
      <c r="C7" s="85" t="s">
        <v>4186</v>
      </c>
      <c r="D7" s="675">
        <v>4</v>
      </c>
      <c r="E7" s="676">
        <v>5</v>
      </c>
      <c r="F7" s="676">
        <v>6</v>
      </c>
      <c r="G7" s="675">
        <v>7</v>
      </c>
      <c r="H7" s="646">
        <v>8</v>
      </c>
    </row>
    <row r="8" spans="1:8" hidden="1" x14ac:dyDescent="0.2">
      <c r="A8" s="647" t="s">
        <v>3566</v>
      </c>
      <c r="B8" s="648"/>
      <c r="C8" s="568" t="s">
        <v>3674</v>
      </c>
      <c r="D8" s="677">
        <f>SUM(D9:D34)</f>
        <v>0</v>
      </c>
      <c r="E8" s="678">
        <f>IFERROR(D8/$D$601,"-")</f>
        <v>0</v>
      </c>
      <c r="F8" s="679">
        <f>SUM(F9:F34)</f>
        <v>0</v>
      </c>
      <c r="G8" s="677">
        <f>D8+F8</f>
        <v>0</v>
      </c>
      <c r="H8" s="680"/>
    </row>
    <row r="9" spans="1:8" hidden="1" x14ac:dyDescent="0.2">
      <c r="A9" s="650"/>
      <c r="B9" s="650" t="s">
        <v>4506</v>
      </c>
      <c r="C9" s="569" t="s">
        <v>4074</v>
      </c>
      <c r="D9" s="681">
        <f>SUMIF('ПО КОРИСНИЦИМА'!$G$7:$G$17281,"Свега за програмску активност 1101-0001:",'ПО КОРИСНИЦИМА'!$H$7:$H$17281)</f>
        <v>0</v>
      </c>
      <c r="E9" s="682">
        <f>IFERROR(D9/$D$601,"-")</f>
        <v>0</v>
      </c>
      <c r="F9" s="683">
        <f>SUMIF('ПО КОРИСНИЦИМА'!$G$7:$G$17281,"Свега за програмску активност 1101-0001:",'ПО КОРИСНИЦИМА'!$I$7:$I$17281)</f>
        <v>0</v>
      </c>
      <c r="G9" s="681">
        <f>D9+F9</f>
        <v>0</v>
      </c>
      <c r="H9" s="684"/>
    </row>
    <row r="10" spans="1:8" hidden="1" x14ac:dyDescent="0.2">
      <c r="A10" s="652"/>
      <c r="B10" s="652" t="s">
        <v>4507</v>
      </c>
      <c r="C10" s="570" t="s">
        <v>4073</v>
      </c>
      <c r="D10" s="685">
        <f>SUMIF('ПО КОРИСНИЦИМА'!$G$7:$G$17281,"Свега за програмску активност 1101-0002:",'ПО КОРИСНИЦИМА'!$H$7:$H$17281)</f>
        <v>0</v>
      </c>
      <c r="E10" s="686">
        <f>IFERROR(D10/$D$601,"-")</f>
        <v>0</v>
      </c>
      <c r="F10" s="687">
        <f>SUMIF('ПО КОРИСНИЦИМА'!$G$7:$G$17281,"Свега за програмску активност 1101-0002:",'ПО КОРИСНИЦИМА'!$I$7:$I$17281)</f>
        <v>0</v>
      </c>
      <c r="G10" s="685">
        <f t="shared" ref="G10:G194" si="0">D10+F10</f>
        <v>0</v>
      </c>
      <c r="H10" s="688"/>
    </row>
    <row r="11" spans="1:8" hidden="1" x14ac:dyDescent="0.2">
      <c r="A11" s="652"/>
      <c r="B11" s="652" t="s">
        <v>4508</v>
      </c>
      <c r="C11" s="570" t="str">
        <f>IFERROR(VLOOKUP(B11,'ПО КОРИСНИЦИМА'!$C$7:$J$17281,5,FALSE),"")</f>
        <v xml:space="preserve"> Попис и укњижење јавне имовине Града</v>
      </c>
      <c r="D11" s="689">
        <f>SUMIF('ПО КОРИСНИЦИМА'!$G$7:$G$17281,"Свега за пројекат 1101-П1:",'ПО КОРИСНИЦИМА'!$H$7:$H$17281)</f>
        <v>0</v>
      </c>
      <c r="E11" s="686">
        <f>IFERROR(D11/$D$601,"-")</f>
        <v>0</v>
      </c>
      <c r="F11" s="690">
        <f>SUMIF('ПО КОРИСНИЦИМА'!$G$7:$G$17281,"Свега за пројекат 1101-П1:",'ПО КОРИСНИЦИМА'!$I$7:$I$17281)</f>
        <v>0</v>
      </c>
      <c r="G11" s="685">
        <f t="shared" si="0"/>
        <v>0</v>
      </c>
      <c r="H11" s="688"/>
    </row>
    <row r="12" spans="1:8" hidden="1" x14ac:dyDescent="0.2">
      <c r="A12" s="652"/>
      <c r="B12" s="652" t="s">
        <v>4509</v>
      </c>
      <c r="C12" s="570" t="str">
        <f>IFERROR(VLOOKUP(B12,'ПО КОРИСНИЦИМА'!$C$7:$J$17281,5,FALSE),"")</f>
        <v/>
      </c>
      <c r="D12" s="689">
        <f>SUMIF('ПО КОРИСНИЦИМА'!$G$7:$G$17281,"Свега за пројекат 1101-П2:",'ПО КОРИСНИЦИМА'!$H$7:$H$17281)</f>
        <v>0</v>
      </c>
      <c r="E12" s="686">
        <f t="shared" ref="E12:E34" si="1">IFERROR(D12/$D$601,"-")</f>
        <v>0</v>
      </c>
      <c r="F12" s="690">
        <f>SUMIF('ПО КОРИСНИЦИМА'!$G$7:$G$17281,"Свега за пројекат 1101-П2:",'ПО КОРИСНИЦИМА'!$I$7:$I$17281)</f>
        <v>0</v>
      </c>
      <c r="G12" s="685">
        <f t="shared" si="0"/>
        <v>0</v>
      </c>
      <c r="H12" s="691"/>
    </row>
    <row r="13" spans="1:8" hidden="1" x14ac:dyDescent="0.2">
      <c r="A13" s="652"/>
      <c r="B13" s="652" t="s">
        <v>4510</v>
      </c>
      <c r="C13" s="570" t="str">
        <f>IFERROR(VLOOKUP(B13,'ПО КОРИСНИЦИМА'!$C$7:$J$17281,5,FALSE),"")</f>
        <v/>
      </c>
      <c r="D13" s="689">
        <f>SUMIF('ПО КОРИСНИЦИМА'!$G$7:$G$17281,"Свега за пројекат 1101-П3:",'ПО КОРИСНИЦИМА'!$H$7:$H$17281)</f>
        <v>0</v>
      </c>
      <c r="E13" s="686">
        <f t="shared" si="1"/>
        <v>0</v>
      </c>
      <c r="F13" s="690">
        <f>SUMIF('ПО КОРИСНИЦИМА'!$G$7:$G$17281,"Свега за пројекат 1101-П3:",'ПО КОРИСНИЦИМА'!$I$7:$I$17281)</f>
        <v>0</v>
      </c>
      <c r="G13" s="685">
        <f t="shared" si="0"/>
        <v>0</v>
      </c>
      <c r="H13" s="691"/>
    </row>
    <row r="14" spans="1:8" hidden="1" x14ac:dyDescent="0.2">
      <c r="A14" s="652"/>
      <c r="B14" s="652" t="s">
        <v>4511</v>
      </c>
      <c r="C14" s="570" t="str">
        <f>IFERROR(VLOOKUP(B14,'ПО КОРИСНИЦИМА'!$C$7:$J$17281,5,FALSE),"")</f>
        <v/>
      </c>
      <c r="D14" s="689">
        <f>SUMIF('ПО КОРИСНИЦИМА'!$G$7:$G$17281,"Свега за пројекат 1101-П4:",'ПО КОРИСНИЦИМА'!$H$7:$H$17281)</f>
        <v>0</v>
      </c>
      <c r="E14" s="686">
        <f t="shared" si="1"/>
        <v>0</v>
      </c>
      <c r="F14" s="690">
        <f>SUMIF('ПО КОРИСНИЦИМА'!$G$7:$G$17281,"Свега за пројекат 1101-П4:",'ПО КОРИСНИЦИМА'!$I$7:$I$17281)</f>
        <v>0</v>
      </c>
      <c r="G14" s="685">
        <f t="shared" si="0"/>
        <v>0</v>
      </c>
      <c r="H14" s="691"/>
    </row>
    <row r="15" spans="1:8" hidden="1" x14ac:dyDescent="0.2">
      <c r="A15" s="652"/>
      <c r="B15" s="652" t="s">
        <v>4512</v>
      </c>
      <c r="C15" s="570" t="str">
        <f>IFERROR(VLOOKUP(B15,'ПО КОРИСНИЦИМА'!$C$7:$J$17281,5,FALSE),"")</f>
        <v/>
      </c>
      <c r="D15" s="689">
        <f>SUMIF('ПО КОРИСНИЦИМА'!$G$7:$G$17281,"Свега за пројекат 1101-П5:",'ПО КОРИСНИЦИМА'!$H$7:$H$17281)</f>
        <v>0</v>
      </c>
      <c r="E15" s="686">
        <f t="shared" si="1"/>
        <v>0</v>
      </c>
      <c r="F15" s="690">
        <f>SUMIF('ПО КОРИСНИЦИМА'!$G$7:$G$17281,"Свега за пројекат 1101-П5:",'ПО КОРИСНИЦИМА'!$I$7:$I$17281)</f>
        <v>0</v>
      </c>
      <c r="G15" s="685">
        <f t="shared" si="0"/>
        <v>0</v>
      </c>
      <c r="H15" s="691"/>
    </row>
    <row r="16" spans="1:8" hidden="1" x14ac:dyDescent="0.2">
      <c r="A16" s="652"/>
      <c r="B16" s="652" t="s">
        <v>4513</v>
      </c>
      <c r="C16" s="570" t="str">
        <f>IFERROR(VLOOKUP(B16,'ПО КОРИСНИЦИМА'!$C$7:$J$17281,5,FALSE),"")</f>
        <v/>
      </c>
      <c r="D16" s="689">
        <f>SUMIF('ПО КОРИСНИЦИМА'!$G$7:$G$17281,"Свега за пројекат 1101-П6:",'ПО КОРИСНИЦИМА'!$H$7:$H$17281)</f>
        <v>0</v>
      </c>
      <c r="E16" s="686">
        <f t="shared" si="1"/>
        <v>0</v>
      </c>
      <c r="F16" s="690">
        <f>SUMIF('ПО КОРИСНИЦИМА'!$G$7:$G$17281,"Свега за пројекат 1101-П6:",'ПО КОРИСНИЦИМА'!$I$7:$I$17281)</f>
        <v>0</v>
      </c>
      <c r="G16" s="685">
        <f>D16+F16</f>
        <v>0</v>
      </c>
      <c r="H16" s="691"/>
    </row>
    <row r="17" spans="1:8" hidden="1" x14ac:dyDescent="0.2">
      <c r="A17" s="652"/>
      <c r="B17" s="652" t="s">
        <v>4514</v>
      </c>
      <c r="C17" s="570" t="str">
        <f>IFERROR(VLOOKUP(B17,'ПО КОРИСНИЦИМА'!$C$7:$J$17281,5,FALSE),"")</f>
        <v/>
      </c>
      <c r="D17" s="689">
        <f>SUMIF('ПО КОРИСНИЦИМА'!$G$7:$G$17281,"Свега за пројекат 1101-П7:",'ПО КОРИСНИЦИМА'!$H$7:$H$17281)</f>
        <v>0</v>
      </c>
      <c r="E17" s="686">
        <f t="shared" si="1"/>
        <v>0</v>
      </c>
      <c r="F17" s="690">
        <f>SUMIF('ПО КОРИСНИЦИМА'!$G$7:$G$17281,"Свега за пројекат 1101-П7:",'ПО КОРИСНИЦИМА'!$I$7:$I$17281)</f>
        <v>0</v>
      </c>
      <c r="G17" s="685">
        <f t="shared" si="0"/>
        <v>0</v>
      </c>
      <c r="H17" s="691"/>
    </row>
    <row r="18" spans="1:8" hidden="1" x14ac:dyDescent="0.2">
      <c r="A18" s="652"/>
      <c r="B18" s="652" t="s">
        <v>4515</v>
      </c>
      <c r="C18" s="570" t="str">
        <f>IFERROR(VLOOKUP(B18,'ПО КОРИСНИЦИМА'!$C$7:$J$17281,5,FALSE),"")</f>
        <v/>
      </c>
      <c r="D18" s="689">
        <f>SUMIF('ПО КОРИСНИЦИМА'!$G$7:$G$17281,"Свега за пројекат 1101-П8:",'ПО КОРИСНИЦИМА'!$H$7:$H$17281)</f>
        <v>0</v>
      </c>
      <c r="E18" s="686">
        <f t="shared" si="1"/>
        <v>0</v>
      </c>
      <c r="F18" s="690">
        <f>SUMIF('ПО КОРИСНИЦИМА'!$G$7:$G$17281,"Свега за пројекат 1101-П8:",'ПО КОРИСНИЦИМА'!$I$7:$I$17281)</f>
        <v>0</v>
      </c>
      <c r="G18" s="685">
        <f t="shared" si="0"/>
        <v>0</v>
      </c>
      <c r="H18" s="691"/>
    </row>
    <row r="19" spans="1:8" hidden="1" x14ac:dyDescent="0.2">
      <c r="A19" s="652"/>
      <c r="B19" s="652" t="s">
        <v>4516</v>
      </c>
      <c r="C19" s="570" t="str">
        <f>IFERROR(VLOOKUP(B19,'ПО КОРИСНИЦИМА'!$C$7:$J$17281,5,FALSE),"")</f>
        <v/>
      </c>
      <c r="D19" s="689">
        <f>SUMIF('ПО КОРИСНИЦИМА'!$G$7:$G$17281,"Свега за пројекат 1101-П9:",'ПО КОРИСНИЦИМА'!$H$7:$H$17281)</f>
        <v>0</v>
      </c>
      <c r="E19" s="686">
        <f t="shared" si="1"/>
        <v>0</v>
      </c>
      <c r="F19" s="690">
        <f>SUMIF('ПО КОРИСНИЦИМА'!$G$7:$G$17281,"Свега за пројекат 1101-П9:",'ПО КОРИСНИЦИМА'!$I$7:$I$17281)</f>
        <v>0</v>
      </c>
      <c r="G19" s="685">
        <f t="shared" si="0"/>
        <v>0</v>
      </c>
      <c r="H19" s="691"/>
    </row>
    <row r="20" spans="1:8" hidden="1" x14ac:dyDescent="0.2">
      <c r="A20" s="652"/>
      <c r="B20" s="652" t="s">
        <v>4517</v>
      </c>
      <c r="C20" s="570" t="str">
        <f>IFERROR(VLOOKUP(B20,'ПО КОРИСНИЦИМА'!$C$7:$J$17281,5,FALSE),"")</f>
        <v/>
      </c>
      <c r="D20" s="689">
        <f>SUMIF('ПО КОРИСНИЦИМА'!$G$7:$G$17281,"Свега за пројекат 1101-П10:",'ПО КОРИСНИЦИМА'!$H$7:$H$17281)</f>
        <v>0</v>
      </c>
      <c r="E20" s="686">
        <f t="shared" si="1"/>
        <v>0</v>
      </c>
      <c r="F20" s="690">
        <f>SUMIF('ПО КОРИСНИЦИМА'!$G$7:$G$17281,"Свега за пројекат 1101-П10:",'ПО КОРИСНИЦИМА'!$I$7:$I$17281)</f>
        <v>0</v>
      </c>
      <c r="G20" s="685">
        <f t="shared" si="0"/>
        <v>0</v>
      </c>
      <c r="H20" s="691"/>
    </row>
    <row r="21" spans="1:8" hidden="1" x14ac:dyDescent="0.2">
      <c r="A21" s="652"/>
      <c r="B21" s="652" t="s">
        <v>4518</v>
      </c>
      <c r="C21" s="570" t="str">
        <f>IFERROR(VLOOKUP(B21,'ПО КОРИСНИЦИМА'!$C$7:$J$17281,5,FALSE),"")</f>
        <v/>
      </c>
      <c r="D21" s="689">
        <f>SUMIF('ПО КОРИСНИЦИМА'!$G$7:$G$17281,"Свега за пројекат 1101-П11:",'ПО КОРИСНИЦИМА'!$H$7:$H$17281)</f>
        <v>0</v>
      </c>
      <c r="E21" s="686">
        <f t="shared" si="1"/>
        <v>0</v>
      </c>
      <c r="F21" s="690">
        <f>SUMIF('ПО КОРИСНИЦИМА'!$G$7:$G$17281,"Свега за пројекат 1101-П11:",'ПО КОРИСНИЦИМА'!$I$7:$I$17281)</f>
        <v>0</v>
      </c>
      <c r="G21" s="685">
        <f t="shared" si="0"/>
        <v>0</v>
      </c>
      <c r="H21" s="691"/>
    </row>
    <row r="22" spans="1:8" hidden="1" x14ac:dyDescent="0.2">
      <c r="A22" s="652"/>
      <c r="B22" s="652" t="s">
        <v>4519</v>
      </c>
      <c r="C22" s="570" t="str">
        <f>IFERROR(VLOOKUP(B22,'ПО КОРИСНИЦИМА'!$C$7:$J$17281,5,FALSE),"")</f>
        <v/>
      </c>
      <c r="D22" s="689">
        <f>SUMIF('ПО КОРИСНИЦИМА'!$G$7:$G$17281,"Свега за пројекат 1101-П12:",'ПО КОРИСНИЦИМА'!$H$7:$H$17281)</f>
        <v>0</v>
      </c>
      <c r="E22" s="686">
        <f t="shared" si="1"/>
        <v>0</v>
      </c>
      <c r="F22" s="690">
        <f>SUMIF('ПО КОРИСНИЦИМА'!$G$7:$G$17281,"Свега за пројекат 1101-П12:",'ПО КОРИСНИЦИМА'!$I$7:$I$17281)</f>
        <v>0</v>
      </c>
      <c r="G22" s="685">
        <f t="shared" si="0"/>
        <v>0</v>
      </c>
      <c r="H22" s="691"/>
    </row>
    <row r="23" spans="1:8" hidden="1" x14ac:dyDescent="0.2">
      <c r="A23" s="652"/>
      <c r="B23" s="652" t="s">
        <v>4520</v>
      </c>
      <c r="C23" s="570" t="str">
        <f>IFERROR(VLOOKUP(B23,'ПО КОРИСНИЦИМА'!$C$7:$J$17281,5,FALSE),"")</f>
        <v/>
      </c>
      <c r="D23" s="689">
        <f>SUMIF('ПО КОРИСНИЦИМА'!$G$7:$G$17281,"Свега за пројекат 1101-П13:",'ПО КОРИСНИЦИМА'!$H$7:$H$17281)</f>
        <v>0</v>
      </c>
      <c r="E23" s="686">
        <f t="shared" si="1"/>
        <v>0</v>
      </c>
      <c r="F23" s="690">
        <f>SUMIF('ПО КОРИСНИЦИМА'!$G$7:$G$17281,"Свега за пројекат 1101-П13:",'ПО КОРИСНИЦИМА'!$I$7:$I$17281)</f>
        <v>0</v>
      </c>
      <c r="G23" s="685">
        <f t="shared" si="0"/>
        <v>0</v>
      </c>
      <c r="H23" s="691"/>
    </row>
    <row r="24" spans="1:8" hidden="1" x14ac:dyDescent="0.2">
      <c r="A24" s="652"/>
      <c r="B24" s="652" t="s">
        <v>4521</v>
      </c>
      <c r="C24" s="570" t="str">
        <f>IFERROR(VLOOKUP(B24,'ПО КОРИСНИЦИМА'!$C$7:$J$17281,5,FALSE),"")</f>
        <v/>
      </c>
      <c r="D24" s="689">
        <f>SUMIF('ПО КОРИСНИЦИМА'!$G$7:$G$17281,"Свега за пројекат 1101-П14:",'ПО КОРИСНИЦИМА'!$H$7:$H$17281)</f>
        <v>0</v>
      </c>
      <c r="E24" s="686">
        <f t="shared" si="1"/>
        <v>0</v>
      </c>
      <c r="F24" s="690">
        <f>SUMIF('ПО КОРИСНИЦИМА'!$G$7:$G$17281,"Свега за пројекат 1101-П14:",'ПО КОРИСНИЦИМА'!$I$7:$I$17281)</f>
        <v>0</v>
      </c>
      <c r="G24" s="685">
        <f t="shared" si="0"/>
        <v>0</v>
      </c>
      <c r="H24" s="688"/>
    </row>
    <row r="25" spans="1:8" hidden="1" x14ac:dyDescent="0.2">
      <c r="A25" s="652"/>
      <c r="B25" s="652" t="s">
        <v>4522</v>
      </c>
      <c r="C25" s="570" t="str">
        <f>IFERROR(VLOOKUP(B25,'ПО КОРИСНИЦИМА'!$C$7:$J$17281,5,FALSE),"")</f>
        <v/>
      </c>
      <c r="D25" s="689">
        <f>SUMIF('ПО КОРИСНИЦИМА'!$G$7:$G$17281,"Свега за пројекат 1101-П15:",'ПО КОРИСНИЦИМА'!$H$7:$H$17281)</f>
        <v>0</v>
      </c>
      <c r="E25" s="686">
        <f t="shared" si="1"/>
        <v>0</v>
      </c>
      <c r="F25" s="690">
        <f>SUMIF('ПО КОРИСНИЦИМА'!$G$7:$G$17281,"Свега за пројекат 1101-П15:",'ПО КОРИСНИЦИМА'!$I$7:$I$17281)</f>
        <v>0</v>
      </c>
      <c r="G25" s="685">
        <f t="shared" si="0"/>
        <v>0</v>
      </c>
      <c r="H25" s="688"/>
    </row>
    <row r="26" spans="1:8" hidden="1" x14ac:dyDescent="0.2">
      <c r="A26" s="652"/>
      <c r="B26" s="652" t="s">
        <v>4523</v>
      </c>
      <c r="C26" s="570" t="str">
        <f>IFERROR(VLOOKUP(B26,'ПО КОРИСНИЦИМА'!$C$7:$J$17281,5,FALSE),"")</f>
        <v/>
      </c>
      <c r="D26" s="689">
        <f>SUMIF('ПО КОРИСНИЦИМА'!$G$7:$G$17281,"Свега за пројекат 1101-П16:",'ПО КОРИСНИЦИМА'!$H$7:$H$17281)</f>
        <v>0</v>
      </c>
      <c r="E26" s="686">
        <f t="shared" si="1"/>
        <v>0</v>
      </c>
      <c r="F26" s="690">
        <f>SUMIF('ПО КОРИСНИЦИМА'!$G$7:$G$17281,"Свега за пројекат 1101-П16:",'ПО КОРИСНИЦИМА'!$I$7:$I$17281)</f>
        <v>0</v>
      </c>
      <c r="G26" s="685">
        <f t="shared" si="0"/>
        <v>0</v>
      </c>
      <c r="H26" s="691"/>
    </row>
    <row r="27" spans="1:8" hidden="1" x14ac:dyDescent="0.2">
      <c r="A27" s="652"/>
      <c r="B27" s="652" t="s">
        <v>4524</v>
      </c>
      <c r="C27" s="570" t="str">
        <f>IFERROR(VLOOKUP(B27,'ПО КОРИСНИЦИМА'!$C$7:$J$17281,5,FALSE),"")</f>
        <v/>
      </c>
      <c r="D27" s="689">
        <f>SUMIF('ПО КОРИСНИЦИМА'!$G$7:$G$17281,"Свега за пројекат 1101-П17:",'ПО КОРИСНИЦИМА'!$H$7:$H$17281)</f>
        <v>0</v>
      </c>
      <c r="E27" s="686">
        <f t="shared" si="1"/>
        <v>0</v>
      </c>
      <c r="F27" s="690">
        <f>SUMIF('ПО КОРИСНИЦИМА'!$G$7:$G$17281,"Свега за пројекат 1101-П17:",'ПО КОРИСНИЦИМА'!$I$7:$I$17281)</f>
        <v>0</v>
      </c>
      <c r="G27" s="685">
        <f t="shared" si="0"/>
        <v>0</v>
      </c>
      <c r="H27" s="691"/>
    </row>
    <row r="28" spans="1:8" hidden="1" x14ac:dyDescent="0.2">
      <c r="A28" s="652"/>
      <c r="B28" s="652" t="s">
        <v>4525</v>
      </c>
      <c r="C28" s="570" t="str">
        <f>IFERROR(VLOOKUP(B28,'ПО КОРИСНИЦИМА'!$C$7:$J$17281,5,FALSE),"")</f>
        <v/>
      </c>
      <c r="D28" s="689">
        <f>SUMIF('ПО КОРИСНИЦИМА'!$G$7:$G$17281,"Свега за пројекат 1101-П18:",'ПО КОРИСНИЦИМА'!$H$7:$H$17281)</f>
        <v>0</v>
      </c>
      <c r="E28" s="686">
        <f t="shared" si="1"/>
        <v>0</v>
      </c>
      <c r="F28" s="690">
        <f>SUMIF('ПО КОРИСНИЦИМА'!$G$7:$G$17281,"Свега за пројекат 1101-П18:",'ПО КОРИСНИЦИМА'!$I$7:$I$17281)</f>
        <v>0</v>
      </c>
      <c r="G28" s="685">
        <f t="shared" si="0"/>
        <v>0</v>
      </c>
      <c r="H28" s="691"/>
    </row>
    <row r="29" spans="1:8" hidden="1" x14ac:dyDescent="0.2">
      <c r="A29" s="652"/>
      <c r="B29" s="652" t="s">
        <v>4526</v>
      </c>
      <c r="C29" s="570" t="str">
        <f>IFERROR(VLOOKUP(B29,'ПО КОРИСНИЦИМА'!$C$7:$J$17281,5,FALSE),"")</f>
        <v/>
      </c>
      <c r="D29" s="689">
        <f>SUMIF('ПО КОРИСНИЦИМА'!$G$7:$G$17281,"Свега за пројекат 1101-П19:",'ПО КОРИСНИЦИМА'!$H$7:$H$17281)</f>
        <v>0</v>
      </c>
      <c r="E29" s="686">
        <f t="shared" si="1"/>
        <v>0</v>
      </c>
      <c r="F29" s="690">
        <f>SUMIF('ПО КОРИСНИЦИМА'!$G$7:$G$17281,"Свега за пројекат 1101-П19:",'ПО КОРИСНИЦИМА'!$I$7:$I$17281)</f>
        <v>0</v>
      </c>
      <c r="G29" s="685">
        <f t="shared" si="0"/>
        <v>0</v>
      </c>
      <c r="H29" s="691"/>
    </row>
    <row r="30" spans="1:8" hidden="1" x14ac:dyDescent="0.2">
      <c r="A30" s="652"/>
      <c r="B30" s="652" t="s">
        <v>4527</v>
      </c>
      <c r="C30" s="570" t="str">
        <f>IFERROR(VLOOKUP(B30,'ПО КОРИСНИЦИМА'!$C$7:$J$17281,5,FALSE),"")</f>
        <v/>
      </c>
      <c r="D30" s="689">
        <f>SUMIF('ПО КОРИСНИЦИМА'!$G$7:$G$17281,"Свега за пројекат 1101-П20:",'ПО КОРИСНИЦИМА'!$H$7:$H$17281)</f>
        <v>0</v>
      </c>
      <c r="E30" s="686">
        <f t="shared" si="1"/>
        <v>0</v>
      </c>
      <c r="F30" s="690">
        <f>SUMIF('ПО КОРИСНИЦИМА'!$G$7:$G$17281,"Свега за пројекат 1101-П20:",'ПО КОРИСНИЦИМА'!$I$7:$I$17281)</f>
        <v>0</v>
      </c>
      <c r="G30" s="685">
        <f t="shared" si="0"/>
        <v>0</v>
      </c>
      <c r="H30" s="691"/>
    </row>
    <row r="31" spans="1:8" hidden="1" x14ac:dyDescent="0.2">
      <c r="A31" s="652"/>
      <c r="B31" s="652" t="s">
        <v>4528</v>
      </c>
      <c r="C31" s="570" t="str">
        <f>IFERROR(VLOOKUP(B31,'ПО КОРИСНИЦИМА'!$C$7:$J$17281,5,FALSE),"")</f>
        <v/>
      </c>
      <c r="D31" s="689">
        <f>SUMIF('ПО КОРИСНИЦИМА'!$G$7:$G$17281,"Свега за пројекат 1101-П21:",'ПО КОРИСНИЦИМА'!$H$7:$H$17281)</f>
        <v>0</v>
      </c>
      <c r="E31" s="686">
        <f t="shared" si="1"/>
        <v>0</v>
      </c>
      <c r="F31" s="690">
        <f>SUMIF('ПО КОРИСНИЦИМА'!$G$7:$G$17281,"Свега за пројекат 1101-П21:",'ПО КОРИСНИЦИМА'!$I$7:$I$17281)</f>
        <v>0</v>
      </c>
      <c r="G31" s="685">
        <f t="shared" si="0"/>
        <v>0</v>
      </c>
      <c r="H31" s="691"/>
    </row>
    <row r="32" spans="1:8" hidden="1" x14ac:dyDescent="0.2">
      <c r="A32" s="652"/>
      <c r="B32" s="652" t="s">
        <v>4529</v>
      </c>
      <c r="C32" s="570" t="str">
        <f>IFERROR(VLOOKUP(B32,'ПО КОРИСНИЦИМА'!$C$7:$J$17281,5,FALSE),"")</f>
        <v/>
      </c>
      <c r="D32" s="689">
        <f>SUMIF('ПО КОРИСНИЦИМА'!$G$7:$G$17281,"Свега за пројекат 1101-П22:",'ПО КОРИСНИЦИМА'!$H$7:$H$17281)</f>
        <v>0</v>
      </c>
      <c r="E32" s="686">
        <f t="shared" si="1"/>
        <v>0</v>
      </c>
      <c r="F32" s="690">
        <f>SUMIF('ПО КОРИСНИЦИМА'!$G$7:$G$17281,"Свега за пројекат 1101-П22:",'ПО КОРИСНИЦИМА'!$I$7:$I$17281)</f>
        <v>0</v>
      </c>
      <c r="G32" s="685">
        <f t="shared" si="0"/>
        <v>0</v>
      </c>
      <c r="H32" s="691"/>
    </row>
    <row r="33" spans="1:8" hidden="1" x14ac:dyDescent="0.2">
      <c r="A33" s="652"/>
      <c r="B33" s="652" t="s">
        <v>4530</v>
      </c>
      <c r="C33" s="570" t="str">
        <f>IFERROR(VLOOKUP(B33,'ПО КОРИСНИЦИМА'!$C$7:$J$17281,5,FALSE),"")</f>
        <v/>
      </c>
      <c r="D33" s="689">
        <f>SUMIF('ПО КОРИСНИЦИМА'!$G$7:$G$17281,"Свега за пројекат 1101-П23:",'ПО КОРИСНИЦИМА'!$H$7:$H$17281)</f>
        <v>0</v>
      </c>
      <c r="E33" s="686">
        <f t="shared" si="1"/>
        <v>0</v>
      </c>
      <c r="F33" s="690">
        <f>SUMIF('ПО КОРИСНИЦИМА'!$G$7:$G$17281,"Свега за пројекат 1101-П23:",'ПО КОРИСНИЦИМА'!$I$7:$I$17281)</f>
        <v>0</v>
      </c>
      <c r="G33" s="685">
        <f t="shared" si="0"/>
        <v>0</v>
      </c>
      <c r="H33" s="691"/>
    </row>
    <row r="34" spans="1:8" hidden="1" x14ac:dyDescent="0.2">
      <c r="A34" s="666"/>
      <c r="B34" s="666" t="s">
        <v>4531</v>
      </c>
      <c r="C34" s="667" t="str">
        <f>IFERROR(VLOOKUP(B34,'ПО КОРИСНИЦИМА'!$C$7:$J$17281,5,FALSE),"")</f>
        <v/>
      </c>
      <c r="D34" s="692">
        <f>SUMIF('ПО КОРИСНИЦИМА'!$G$7:$G$17281,"Свега за пројекат 1101-П24:",'ПО КОРИСНИЦИМА'!$H$7:$H$17281)</f>
        <v>0</v>
      </c>
      <c r="E34" s="693">
        <f t="shared" si="1"/>
        <v>0</v>
      </c>
      <c r="F34" s="694">
        <f>SUMIF('ПО КОРИСНИЦИМА'!$G$7:$G$17281,"Свега за пројекат 1101-П24:",'ПО КОРИСНИЦИМА'!$I$7:$I$17281)</f>
        <v>0</v>
      </c>
      <c r="G34" s="695">
        <f t="shared" si="0"/>
        <v>0</v>
      </c>
      <c r="H34" s="696"/>
    </row>
    <row r="35" spans="1:8" x14ac:dyDescent="0.2">
      <c r="A35" s="647" t="s">
        <v>3569</v>
      </c>
      <c r="B35" s="648"/>
      <c r="C35" s="568" t="s">
        <v>3675</v>
      </c>
      <c r="D35" s="677">
        <f>SUM(D36:D99)</f>
        <v>122282000</v>
      </c>
      <c r="E35" s="678">
        <f t="shared" ref="E35:E66" si="2">IFERROR(D35/$D$601,"-")</f>
        <v>0.21196394522447565</v>
      </c>
      <c r="F35" s="679">
        <f>SUM(F36:F99)</f>
        <v>0</v>
      </c>
      <c r="G35" s="677">
        <f>D35+F35</f>
        <v>122282000</v>
      </c>
      <c r="H35" s="680"/>
    </row>
    <row r="36" spans="1:8" x14ac:dyDescent="0.2">
      <c r="A36" s="650"/>
      <c r="B36" s="650" t="s">
        <v>4075</v>
      </c>
      <c r="C36" s="571" t="s">
        <v>183</v>
      </c>
      <c r="D36" s="681">
        <f>SUMIF('ПО КОРИСНИЦИМА'!$G$7:$G$17281,"Свега за програмску активност 0601-0001:",'ПО КОРИСНИЦИМА'!$H$7:$H$17281)</f>
        <v>56542000</v>
      </c>
      <c r="E36" s="682">
        <f t="shared" si="2"/>
        <v>9.8010053735482758E-2</v>
      </c>
      <c r="F36" s="683">
        <f>SUMIF('ПО КОРИСНИЦИМА'!$G$7:$G$17281,"Свега за програмску активност 0601-0001:",'ПО КОРИСНИЦИМА'!$I$7:$I$17281)</f>
        <v>0</v>
      </c>
      <c r="G36" s="681">
        <f t="shared" si="0"/>
        <v>56542000</v>
      </c>
      <c r="H36" s="684"/>
    </row>
    <row r="37" spans="1:8" x14ac:dyDescent="0.2">
      <c r="A37" s="652"/>
      <c r="B37" s="652" t="s">
        <v>4076</v>
      </c>
      <c r="C37" s="572" t="s">
        <v>4077</v>
      </c>
      <c r="D37" s="685">
        <f>SUMIF('ПО КОРИСНИЦИМА'!$G$7:$G$17281,"Свега за програмску активност 0601-0002:",'ПО КОРИСНИЦИМА'!$H$7:$H$17281)</f>
        <v>920000</v>
      </c>
      <c r="E37" s="686">
        <f t="shared" si="2"/>
        <v>1.594730455884902E-3</v>
      </c>
      <c r="F37" s="687">
        <f>SUMIF('ПО КОРИСНИЦИМА'!$G$7:$G$17281,"Свега за програмску активност 0601-0002:",'ПО КОРИСНИЦИМА'!$I$7:$I$17281)</f>
        <v>0</v>
      </c>
      <c r="G37" s="685">
        <f t="shared" si="0"/>
        <v>920000</v>
      </c>
      <c r="H37" s="688"/>
    </row>
    <row r="38" spans="1:8" x14ac:dyDescent="0.2">
      <c r="A38" s="652"/>
      <c r="B38" s="652" t="s">
        <v>4078</v>
      </c>
      <c r="C38" s="572" t="s">
        <v>4079</v>
      </c>
      <c r="D38" s="685">
        <f>SUMIF('ПО КОРИСНИЦИМА'!$G$7:$G$17281,"Свега за програмску активност 0601-0003:",'ПО КОРИСНИЦИМА'!$H$7:$H$17281)</f>
        <v>12420000</v>
      </c>
      <c r="E38" s="686">
        <f t="shared" si="2"/>
        <v>2.1528861154446178E-2</v>
      </c>
      <c r="F38" s="687">
        <f>SUMIF('ПО КОРИСНИЦИМА'!$G$7:$G$17281,"Свега за програмску активност 0601-0003:",'ПО КОРИСНИЦИМА'!$I$7:$I$17281)</f>
        <v>0</v>
      </c>
      <c r="G38" s="685">
        <f t="shared" si="0"/>
        <v>12420000</v>
      </c>
      <c r="H38" s="688"/>
    </row>
    <row r="39" spans="1:8" hidden="1" x14ac:dyDescent="0.2">
      <c r="A39" s="652"/>
      <c r="B39" s="652" t="s">
        <v>4080</v>
      </c>
      <c r="C39" s="572" t="s">
        <v>4081</v>
      </c>
      <c r="D39" s="685">
        <f>SUMIF('ПО КОРИСНИЦИМА'!$G$7:$G$17281,"Свега за програмску активност 0601-0004:",'ПО КОРИСНИЦИМА'!$H$7:$H$17281)</f>
        <v>0</v>
      </c>
      <c r="E39" s="686">
        <f t="shared" si="2"/>
        <v>0</v>
      </c>
      <c r="F39" s="687">
        <f>SUMIF('ПО КОРИСНИЦИМА'!$G$7:$G$17281,"Свега за програмску активност 0601-0004:",'ПО КОРИСНИЦИМА'!$I$7:$I$17281)</f>
        <v>0</v>
      </c>
      <c r="G39" s="685">
        <f t="shared" si="0"/>
        <v>0</v>
      </c>
      <c r="H39" s="688"/>
    </row>
    <row r="40" spans="1:8" hidden="1" x14ac:dyDescent="0.2">
      <c r="A40" s="652"/>
      <c r="B40" s="652" t="s">
        <v>4082</v>
      </c>
      <c r="C40" s="572" t="s">
        <v>4083</v>
      </c>
      <c r="D40" s="685">
        <f>SUMIF('ПО КОРИСНИЦИМА'!$G$7:$G$17281,"Свега за програмску активност 0601-0005:",'ПО КОРИСНИЦИМА'!$H$7:$H$17281)</f>
        <v>0</v>
      </c>
      <c r="E40" s="686">
        <f t="shared" si="2"/>
        <v>0</v>
      </c>
      <c r="F40" s="687">
        <f>SUMIF('ПО КОРИСНИЦИМА'!$G$7:$G$17281,"Свега за програмску активност 0601-0005:",'ПО КОРИСНИЦИМА'!$I$7:$I$17281)</f>
        <v>0</v>
      </c>
      <c r="G40" s="685">
        <f t="shared" si="0"/>
        <v>0</v>
      </c>
      <c r="H40" s="688"/>
    </row>
    <row r="41" spans="1:8" hidden="1" x14ac:dyDescent="0.2">
      <c r="A41" s="652"/>
      <c r="B41" s="652" t="s">
        <v>4084</v>
      </c>
      <c r="C41" s="572" t="s">
        <v>4085</v>
      </c>
      <c r="D41" s="685">
        <f>SUMIF('ПО КОРИСНИЦИМА'!$G$7:$G$17281,"Свега за програмску активност 0601-0006:",'ПО КОРИСНИЦИМА'!$H$7:$H$17281)</f>
        <v>0</v>
      </c>
      <c r="E41" s="686">
        <f t="shared" si="2"/>
        <v>0</v>
      </c>
      <c r="F41" s="687">
        <f>SUMIF('ПО КОРИСНИЦИМА'!$G$7:$G$17281,"Свега за програмску активност 0601-0006:",'ПО КОРИСНИЦИМА'!$I$7:$I$17281)</f>
        <v>0</v>
      </c>
      <c r="G41" s="685">
        <f t="shared" si="0"/>
        <v>0</v>
      </c>
      <c r="H41" s="688"/>
    </row>
    <row r="42" spans="1:8" x14ac:dyDescent="0.2">
      <c r="A42" s="652"/>
      <c r="B42" s="652" t="s">
        <v>4086</v>
      </c>
      <c r="C42" s="572" t="s">
        <v>4236</v>
      </c>
      <c r="D42" s="685">
        <f>SUMIF('ПО КОРИСНИЦИМА'!$G$7:$G$17281,"Свега за програмску активност 0601-0007:",'ПО КОРИСНИЦИМА'!$H$7:$H$17281)</f>
        <v>170000</v>
      </c>
      <c r="E42" s="686">
        <f t="shared" si="2"/>
        <v>2.9467845380481885E-4</v>
      </c>
      <c r="F42" s="687">
        <f>SUMIF('ПО КОРИСНИЦИМА'!$G$7:$G$17281,"Свега за програмску активност 0601-0007:",'ПО КОРИСНИЦИМА'!$I$7:$I$17281)</f>
        <v>0</v>
      </c>
      <c r="G42" s="685">
        <f t="shared" si="0"/>
        <v>170000</v>
      </c>
      <c r="H42" s="688"/>
    </row>
    <row r="43" spans="1:8" x14ac:dyDescent="0.2">
      <c r="A43" s="652"/>
      <c r="B43" s="652" t="s">
        <v>4087</v>
      </c>
      <c r="C43" s="572" t="s">
        <v>4088</v>
      </c>
      <c r="D43" s="685">
        <f>SUMIF('ПО КОРИСНИЦИМА'!$G$7:$G$17281,"Свега за програмску активност 0601-0008:",'ПО КОРИСНИЦИМА'!$H$7:$H$17281)</f>
        <v>3000000</v>
      </c>
      <c r="E43" s="686">
        <f t="shared" si="2"/>
        <v>5.2002080083203327E-3</v>
      </c>
      <c r="F43" s="687">
        <f>SUMIF('ПО КОРИСНИЦИМА'!$G$7:$G$17281,"Свега за програмску активност 0601-0008:",'ПО КОРИСНИЦИМА'!$I$7:$I$17281)</f>
        <v>0</v>
      </c>
      <c r="G43" s="685">
        <f t="shared" si="0"/>
        <v>3000000</v>
      </c>
      <c r="H43" s="688"/>
    </row>
    <row r="44" spans="1:8" hidden="1" x14ac:dyDescent="0.2">
      <c r="A44" s="652"/>
      <c r="B44" s="652" t="s">
        <v>4089</v>
      </c>
      <c r="C44" s="572" t="s">
        <v>4090</v>
      </c>
      <c r="D44" s="685">
        <f>SUMIF('ПО КОРИСНИЦИМА'!$G$7:$G$17281,"Свега за програмску активност 0601-0009:",'ПО КОРИСНИЦИМА'!$H$7:$H$17281)</f>
        <v>0</v>
      </c>
      <c r="E44" s="686">
        <f t="shared" si="2"/>
        <v>0</v>
      </c>
      <c r="F44" s="687">
        <f>SUMIF('ПО КОРИСНИЦИМА'!$G$7:$G$17281,"Свега за програмску активност 0601-0009:",'ПО КОРИСНИЦИМА'!$I$7:$I$17281)</f>
        <v>0</v>
      </c>
      <c r="G44" s="685">
        <f t="shared" si="0"/>
        <v>0</v>
      </c>
      <c r="H44" s="688"/>
    </row>
    <row r="45" spans="1:8" x14ac:dyDescent="0.2">
      <c r="A45" s="652"/>
      <c r="B45" s="652" t="s">
        <v>4091</v>
      </c>
      <c r="C45" s="572" t="s">
        <v>4092</v>
      </c>
      <c r="D45" s="685">
        <f>SUMIF('ПО КОРИСНИЦИМА'!$G$7:$G$17281,"Свега за програмску активност 0601-0010:",'ПО КОРИСНИЦИМА'!$H$7:$H$17281)</f>
        <v>10000000</v>
      </c>
      <c r="E45" s="686">
        <f t="shared" si="2"/>
        <v>1.7334026694401108E-2</v>
      </c>
      <c r="F45" s="687">
        <f>SUMIF('ПО КОРИСНИЦИМА'!$G$7:$G$17281,"Свега за програмску активност 0601-0010:",'ПО КОРИСНИЦИМА'!$I$7:$I$17281)</f>
        <v>0</v>
      </c>
      <c r="G45" s="685">
        <f t="shared" si="0"/>
        <v>10000000</v>
      </c>
      <c r="H45" s="688"/>
    </row>
    <row r="46" spans="1:8" x14ac:dyDescent="0.2">
      <c r="A46" s="652"/>
      <c r="B46" s="652" t="s">
        <v>4093</v>
      </c>
      <c r="C46" s="572" t="s">
        <v>4094</v>
      </c>
      <c r="D46" s="685">
        <f>SUMIF('ПО КОРИСНИЦИМА'!$G$7:$G$17281,"Свега за програмску активност 0601-0011:",'ПО КОРИСНИЦИМА'!$H$7:$H$17281)</f>
        <v>720000</v>
      </c>
      <c r="E46" s="686">
        <f t="shared" si="2"/>
        <v>1.2480499219968799E-3</v>
      </c>
      <c r="F46" s="687">
        <f>SUMIF('ПО КОРИСНИЦИМА'!$G$7:$G$17281,"Свега за програмску активност 0601-0011:",'ПО КОРИСНИЦИМА'!$I$7:$I$17281)</f>
        <v>0</v>
      </c>
      <c r="G46" s="685">
        <f t="shared" si="0"/>
        <v>720000</v>
      </c>
      <c r="H46" s="688"/>
    </row>
    <row r="47" spans="1:8" hidden="1" x14ac:dyDescent="0.2">
      <c r="A47" s="652"/>
      <c r="B47" s="652" t="s">
        <v>4095</v>
      </c>
      <c r="C47" s="572" t="s">
        <v>4096</v>
      </c>
      <c r="D47" s="685">
        <f>SUMIF('ПО КОРИСНИЦИМА'!$G$7:$G$17281,"Свега за програмску активност 0601-0012:",'ПО КОРИСНИЦИМА'!$H$7:$H$17281)</f>
        <v>0</v>
      </c>
      <c r="E47" s="686">
        <f t="shared" si="2"/>
        <v>0</v>
      </c>
      <c r="F47" s="687">
        <f>SUMIF('ПО КОРИСНИЦИМА'!$G$7:$G$17281,"Свега за програмску активност 0601-0012:",'ПО КОРИСНИЦИМА'!$I$7:$I$17281)</f>
        <v>0</v>
      </c>
      <c r="G47" s="685">
        <f t="shared" si="0"/>
        <v>0</v>
      </c>
      <c r="H47" s="688"/>
    </row>
    <row r="48" spans="1:8" hidden="1" x14ac:dyDescent="0.2">
      <c r="A48" s="652"/>
      <c r="B48" s="652" t="s">
        <v>4097</v>
      </c>
      <c r="C48" s="572" t="s">
        <v>4098</v>
      </c>
      <c r="D48" s="685">
        <f>SUMIF('ПО КОРИСНИЦИМА'!$G$7:$G$17281,"Свега за програмску активност 0601-0013:",'ПО КОРИСНИЦИМА'!$H$7:$H$17281)</f>
        <v>0</v>
      </c>
      <c r="E48" s="686">
        <f t="shared" si="2"/>
        <v>0</v>
      </c>
      <c r="F48" s="687">
        <f>SUMIF('ПО КОРИСНИЦИМА'!$G$7:$G$17281,"Свега за програмску активност 0601-0013:",'ПО КОРИСНИЦИМА'!$I$7:$I$17281)</f>
        <v>0</v>
      </c>
      <c r="G48" s="685">
        <f t="shared" si="0"/>
        <v>0</v>
      </c>
      <c r="H48" s="688"/>
    </row>
    <row r="49" spans="1:8" x14ac:dyDescent="0.2">
      <c r="A49" s="652"/>
      <c r="B49" s="652" t="s">
        <v>4099</v>
      </c>
      <c r="C49" s="572" t="s">
        <v>4100</v>
      </c>
      <c r="D49" s="685">
        <f>SUMIF('ПО КОРИСНИЦИМА'!$G$7:$G$17281,"Свега за програмску активност 0601-0014:",'ПО КОРИСНИЦИМА'!$H$7:$H$17281)</f>
        <v>570000</v>
      </c>
      <c r="E49" s="686">
        <f t="shared" si="2"/>
        <v>9.8803952158086315E-4</v>
      </c>
      <c r="F49" s="687">
        <f>SUMIF('ПО КОРИСНИЦИМА'!$G$7:$G$17281,"Свега за програмску активност 0601-0014:",'ПО КОРИСНИЦИМА'!$I$7:$I$17281)</f>
        <v>0</v>
      </c>
      <c r="G49" s="685">
        <f t="shared" si="0"/>
        <v>570000</v>
      </c>
      <c r="H49" s="688"/>
    </row>
    <row r="50" spans="1:8" x14ac:dyDescent="0.2">
      <c r="A50" s="652"/>
      <c r="B50" s="652" t="s">
        <v>4534</v>
      </c>
      <c r="C50" s="570" t="str">
        <f>IFERROR(VLOOKUP(B50,'ПО КОРИСНИЦИМА'!$C$7:$J$17281,5,FALSE),"")</f>
        <v>Изградња магистралног цевовода Врхпоље - Горња Трешњица</v>
      </c>
      <c r="D50" s="689">
        <f>SUMIF('ПО КОРИСНИЦИМА'!$G$7:$G$17281,"Свега за пројекат 0601-П1:",'ПО КОРИСНИЦИМА'!$H$7:$H$17281)</f>
        <v>10000000</v>
      </c>
      <c r="E50" s="686">
        <f t="shared" si="2"/>
        <v>1.7334026694401108E-2</v>
      </c>
      <c r="F50" s="690">
        <f>SUMIF('ПО КОРИСНИЦИМА'!$G$7:$G$17281,"Свега за пројекат 0601-П1:",'ПО КОРИСНИЦИМА'!$I$7:$I$17281)</f>
        <v>0</v>
      </c>
      <c r="G50" s="685">
        <f t="shared" si="0"/>
        <v>10000000</v>
      </c>
      <c r="H50" s="688"/>
    </row>
    <row r="51" spans="1:8" x14ac:dyDescent="0.2">
      <c r="A51" s="652"/>
      <c r="B51" s="652" t="s">
        <v>4535</v>
      </c>
      <c r="C51" s="570" t="str">
        <f>IFERROR(VLOOKUP(B51,'ПО КОРИСНИЦИМА'!$C$7:$J$17281,5,FALSE),"")</f>
        <v>Фекална пумпна станица</v>
      </c>
      <c r="D51" s="689">
        <f>SUMIF('ПО КОРИСНИЦИМА'!$G$7:$G$17281,"Свега за пројекат 0601-П2:",'ПО КОРИСНИЦИМА'!$H$7:$H$17281)</f>
        <v>10600000</v>
      </c>
      <c r="E51" s="686">
        <f t="shared" si="2"/>
        <v>1.8374068296065176E-2</v>
      </c>
      <c r="F51" s="690">
        <f>SUMIF('ПО КОРИСНИЦИМА'!$G$7:$G$17281,"Свега за пројекат 0601-П2:",'ПО КОРИСНИЦИМА'!$I$7:$I$17281)</f>
        <v>0</v>
      </c>
      <c r="G51" s="685">
        <f t="shared" si="0"/>
        <v>10600000</v>
      </c>
      <c r="H51" s="688"/>
    </row>
    <row r="52" spans="1:8" x14ac:dyDescent="0.2">
      <c r="A52" s="652"/>
      <c r="B52" s="652" t="s">
        <v>4536</v>
      </c>
      <c r="C52" s="570" t="str">
        <f>IFERROR(VLOOKUP(B52,'ПО КОРИСНИЦИМА'!$C$7:$J$17281,5,FALSE),"")</f>
        <v>Колектор од Старе пекаре до магистралног пута Љубовија - М.Зворник</v>
      </c>
      <c r="D52" s="689">
        <f>SUMIF('ПО КОРИСНИЦИМА'!$G$7:$G$17281,"Свега за пројекат 0601-П3:",'ПО КОРИСНИЦИМА'!$H$7:$H$17281)</f>
        <v>7500000</v>
      </c>
      <c r="E52" s="686">
        <f t="shared" si="2"/>
        <v>1.3000520020800831E-2</v>
      </c>
      <c r="F52" s="690">
        <f>SUMIF('ПО КОРИСНИЦИМА'!$G$7:$G$17281,"Свега за пројекат 0601-П3:",'ПО КОРИСНИЦИМА'!$I$7:$I$17281)</f>
        <v>0</v>
      </c>
      <c r="G52" s="685">
        <f t="shared" si="0"/>
        <v>7500000</v>
      </c>
      <c r="H52" s="688"/>
    </row>
    <row r="53" spans="1:8" x14ac:dyDescent="0.2">
      <c r="A53" s="652"/>
      <c r="B53" s="652" t="s">
        <v>4537</v>
      </c>
      <c r="C53" s="570" t="str">
        <f>IFERROR(VLOOKUP(B53,'ПО КОРИСНИЦИМА'!$C$7:$J$17281,5,FALSE),"")</f>
        <v>Водовод и канализација у Омладинској улици</v>
      </c>
      <c r="D53" s="689">
        <f>SUMIF('ПО КОРИСНИЦИМА'!$G$7:$G$17281,"Свега за пројекат 0601-П4:",'ПО КОРИСНИЦИМА'!$H$7:$H$17281)</f>
        <v>9200000</v>
      </c>
      <c r="E53" s="686">
        <f t="shared" si="2"/>
        <v>1.5947304558849022E-2</v>
      </c>
      <c r="F53" s="690">
        <f>SUMIF('ПО КОРИСНИЦИМА'!$G$7:$G$17281,"Свега за пројекат 0601-П4:",'ПО КОРИСНИЦИМА'!$I$7:$I$17281)</f>
        <v>0</v>
      </c>
      <c r="G53" s="685">
        <f t="shared" si="0"/>
        <v>9200000</v>
      </c>
      <c r="H53" s="688"/>
    </row>
    <row r="54" spans="1:8" hidden="1" x14ac:dyDescent="0.2">
      <c r="A54" s="652"/>
      <c r="B54" s="652" t="s">
        <v>4538</v>
      </c>
      <c r="C54" s="570" t="str">
        <f>IFERROR(VLOOKUP(B54,'ПО КОРИСНИЦИМА'!$C$7:$J$17281,5,FALSE),"")</f>
        <v>Водовод и канализација у Првомајској улици</v>
      </c>
      <c r="D54" s="689">
        <f>SUMIF('ПО КОРИСНИЦИМА'!$G$7:$G$17281,"Свега за пројекат 0601-П5:",'ПО КОРИСНИЦИМА'!$H$7:$H$17281)</f>
        <v>0</v>
      </c>
      <c r="E54" s="686">
        <f t="shared" si="2"/>
        <v>0</v>
      </c>
      <c r="F54" s="690">
        <f>SUMIF('ПО КОРИСНИЦИМА'!$G$7:$G$17281,"Свега за пројекат 0601-П5:",'ПО КОРИСНИЦИМА'!$I$7:$I$17281)</f>
        <v>0</v>
      </c>
      <c r="G54" s="685">
        <f t="shared" si="0"/>
        <v>0</v>
      </c>
      <c r="H54" s="691"/>
    </row>
    <row r="55" spans="1:8" hidden="1" x14ac:dyDescent="0.2">
      <c r="A55" s="652"/>
      <c r="B55" s="652" t="s">
        <v>4539</v>
      </c>
      <c r="C55" s="570" t="str">
        <f>IFERROR(VLOOKUP(B55,'ПО КОРИСНИЦИМА'!$C$7:$J$17281,5,FALSE),"")</f>
        <v>Уређење Новог гробља</v>
      </c>
      <c r="D55" s="689">
        <f>SUMIF('ПО КОРИСНИЦИМА'!$G$7:$G$17281,"Свега за пројекат 0601-П6:",'ПО КОРИСНИЦИМА'!$H$7:$H$17281)</f>
        <v>0</v>
      </c>
      <c r="E55" s="686">
        <f t="shared" si="2"/>
        <v>0</v>
      </c>
      <c r="F55" s="690">
        <f>SUMIF('ПО КОРИСНИЦИМА'!$G$7:$G$17281,"Свега за пројекат 0601-П6:",'ПО КОРИСНИЦИМА'!$I$7:$I$17281)</f>
        <v>0</v>
      </c>
      <c r="G55" s="685">
        <f t="shared" si="0"/>
        <v>0</v>
      </c>
      <c r="H55" s="691"/>
    </row>
    <row r="56" spans="1:8" x14ac:dyDescent="0.2">
      <c r="A56" s="652"/>
      <c r="B56" s="652" t="s">
        <v>4540</v>
      </c>
      <c r="C56" s="570" t="str">
        <f>IFERROR(VLOOKUP(B56,'ПО КОРИСНИЦИМА'!$C$7:$J$17281,5,FALSE),"")</f>
        <v>Израда пројектне документације</v>
      </c>
      <c r="D56" s="689">
        <f>SUMIF('ПО КОРИСНИЦИМА'!$G$7:$G$17281,"Свега за пројекат 0601-П7:",'ПО КОРИСНИЦИМА'!$H$7:$H$17281)</f>
        <v>640000</v>
      </c>
      <c r="E56" s="686">
        <f t="shared" si="2"/>
        <v>1.1093777084416709E-3</v>
      </c>
      <c r="F56" s="690">
        <f>SUMIF('ПО КОРИСНИЦИМА'!$G$7:$G$17281,"Свега за пројекат 0601-П7:",'ПО КОРИСНИЦИМА'!$I$7:$I$17281)</f>
        <v>0</v>
      </c>
      <c r="G56" s="685">
        <f t="shared" si="0"/>
        <v>640000</v>
      </c>
      <c r="H56" s="691"/>
    </row>
    <row r="57" spans="1:8" hidden="1" x14ac:dyDescent="0.2">
      <c r="A57" s="652"/>
      <c r="B57" s="652" t="s">
        <v>4541</v>
      </c>
      <c r="C57" s="570" t="str">
        <f>IFERROR(VLOOKUP(B57,'ПО КОРИСНИЦИМА'!$C$7:$J$17281,5,FALSE),"")</f>
        <v/>
      </c>
      <c r="D57" s="689">
        <f>SUMIF('ПО КОРИСНИЦИМА'!$G$7:$G$17281,"Свега за пројекат 0601-П8:",'ПО КОРИСНИЦИМА'!$H$7:$H$17281)</f>
        <v>0</v>
      </c>
      <c r="E57" s="686">
        <f t="shared" si="2"/>
        <v>0</v>
      </c>
      <c r="F57" s="690">
        <f>SUMIF('ПО КОРИСНИЦИМА'!$G$7:$G$17281,"Свега за пројекат 0601-П8:",'ПО КОРИСНИЦИМА'!$I$7:$I$17281)</f>
        <v>0</v>
      </c>
      <c r="G57" s="685">
        <f t="shared" si="0"/>
        <v>0</v>
      </c>
      <c r="H57" s="691"/>
    </row>
    <row r="58" spans="1:8" hidden="1" x14ac:dyDescent="0.2">
      <c r="A58" s="652"/>
      <c r="B58" s="652" t="s">
        <v>4542</v>
      </c>
      <c r="C58" s="570" t="str">
        <f>IFERROR(VLOOKUP(B58,'ПО КОРИСНИЦИМА'!$C$7:$J$17281,5,FALSE),"")</f>
        <v/>
      </c>
      <c r="D58" s="689">
        <f>SUMIF('ПО КОРИСНИЦИМА'!$G$7:$G$17281,"Свега за пројекат 0601-П9:",'ПО КОРИСНИЦИМА'!$H$7:$H$17281)</f>
        <v>0</v>
      </c>
      <c r="E58" s="686">
        <f t="shared" si="2"/>
        <v>0</v>
      </c>
      <c r="F58" s="690">
        <f>SUMIF('ПО КОРИСНИЦИМА'!$G$7:$G$17281,"Свега за пројекат 0601-П9:",'ПО КОРИСНИЦИМА'!$I$7:$I$17281)</f>
        <v>0</v>
      </c>
      <c r="G58" s="685">
        <f t="shared" si="0"/>
        <v>0</v>
      </c>
      <c r="H58" s="691"/>
    </row>
    <row r="59" spans="1:8" hidden="1" x14ac:dyDescent="0.2">
      <c r="A59" s="652"/>
      <c r="B59" s="652" t="s">
        <v>4543</v>
      </c>
      <c r="C59" s="570" t="str">
        <f>IFERROR(VLOOKUP(B59,'ПО КОРИСНИЦИМА'!$C$7:$J$17281,5,FALSE),"")</f>
        <v/>
      </c>
      <c r="D59" s="689">
        <f>SUMIF('ПО КОРИСНИЦИМА'!$G$7:$G$17281,"Свега за пројекат 0601-П10:",'ПО КОРИСНИЦИМА'!$H$7:$H$17281)</f>
        <v>0</v>
      </c>
      <c r="E59" s="686">
        <f t="shared" si="2"/>
        <v>0</v>
      </c>
      <c r="F59" s="690">
        <f>SUMIF('ПО КОРИСНИЦИМА'!$G$7:$G$17281,"Свега за пројекат 0601-П10:",'ПО КОРИСНИЦИМА'!$I$7:$I$17281)</f>
        <v>0</v>
      </c>
      <c r="G59" s="685">
        <f t="shared" si="0"/>
        <v>0</v>
      </c>
      <c r="H59" s="691"/>
    </row>
    <row r="60" spans="1:8" hidden="1" x14ac:dyDescent="0.2">
      <c r="A60" s="652"/>
      <c r="B60" s="652" t="s">
        <v>4544</v>
      </c>
      <c r="C60" s="570" t="str">
        <f>IFERROR(VLOOKUP(B60,'ПО КОРИСНИЦИМА'!$C$7:$J$17281,5,FALSE),"")</f>
        <v/>
      </c>
      <c r="D60" s="689">
        <f>SUMIF('ПО КОРИСНИЦИМА'!$G$7:$G$17281,"Свега за пројекат 0601-П11:",'ПО КОРИСНИЦИМА'!$H$7:$H$17281)</f>
        <v>0</v>
      </c>
      <c r="E60" s="686">
        <f t="shared" si="2"/>
        <v>0</v>
      </c>
      <c r="F60" s="690">
        <f>SUMIF('ПО КОРИСНИЦИМА'!$G$7:$G$17281,"Свега за пројекат 0601-П11:",'ПО КОРИСНИЦИМА'!$I$7:$I$17281)</f>
        <v>0</v>
      </c>
      <c r="G60" s="685">
        <f t="shared" si="0"/>
        <v>0</v>
      </c>
      <c r="H60" s="691"/>
    </row>
    <row r="61" spans="1:8" hidden="1" x14ac:dyDescent="0.2">
      <c r="A61" s="652"/>
      <c r="B61" s="652" t="s">
        <v>4545</v>
      </c>
      <c r="C61" s="570" t="str">
        <f>IFERROR(VLOOKUP(B61,'ПО КОРИСНИЦИМА'!$C$7:$J$17281,5,FALSE),"")</f>
        <v/>
      </c>
      <c r="D61" s="689">
        <f>SUMIF('ПО КОРИСНИЦИМА'!$G$7:$G$17281,"Свега за пројекат 0601-П12:",'ПО КОРИСНИЦИМА'!$H$7:$H$17281)</f>
        <v>0</v>
      </c>
      <c r="E61" s="686">
        <f t="shared" si="2"/>
        <v>0</v>
      </c>
      <c r="F61" s="690">
        <f>SUMIF('ПО КОРИСНИЦИМА'!$G$7:$G$17281,"Свега за пројекат 0601-П12:",'ПО КОРИСНИЦИМА'!$I$7:$I$17281)</f>
        <v>0</v>
      </c>
      <c r="G61" s="685">
        <f t="shared" si="0"/>
        <v>0</v>
      </c>
      <c r="H61" s="691"/>
    </row>
    <row r="62" spans="1:8" hidden="1" x14ac:dyDescent="0.2">
      <c r="A62" s="652"/>
      <c r="B62" s="652" t="s">
        <v>4546</v>
      </c>
      <c r="C62" s="570" t="str">
        <f>IFERROR(VLOOKUP(B62,'ПО КОРИСНИЦИМА'!$C$7:$J$17281,5,FALSE),"")</f>
        <v/>
      </c>
      <c r="D62" s="689">
        <f>SUMIF('ПО КОРИСНИЦИМА'!$G$7:$G$17281,"Свега за пројекат 0601-П13:",'ПО КОРИСНИЦИМА'!$H$7:$H$17281)</f>
        <v>0</v>
      </c>
      <c r="E62" s="686">
        <f t="shared" si="2"/>
        <v>0</v>
      </c>
      <c r="F62" s="690">
        <f>SUMIF('ПО КОРИСНИЦИМА'!$G$7:$G$17281,"Свега за пројекат 0601-П13:",'ПО КОРИСНИЦИМА'!$I$7:$I$17281)</f>
        <v>0</v>
      </c>
      <c r="G62" s="685">
        <f t="shared" si="0"/>
        <v>0</v>
      </c>
      <c r="H62" s="691"/>
    </row>
    <row r="63" spans="1:8" hidden="1" x14ac:dyDescent="0.2">
      <c r="A63" s="652"/>
      <c r="B63" s="652" t="s">
        <v>4547</v>
      </c>
      <c r="C63" s="570" t="str">
        <f>IFERROR(VLOOKUP(B63,'ПО КОРИСНИЦИМА'!$C$7:$J$17281,5,FALSE),"")</f>
        <v/>
      </c>
      <c r="D63" s="689">
        <f>SUMIF('ПО КОРИСНИЦИМА'!$G$7:$G$17281,"Свега за пројекат 0601-П14:",'ПО КОРИСНИЦИМА'!$H$7:$H$17281)</f>
        <v>0</v>
      </c>
      <c r="E63" s="686">
        <f t="shared" si="2"/>
        <v>0</v>
      </c>
      <c r="F63" s="690">
        <f>SUMIF('ПО КОРИСНИЦИМА'!$G$7:$G$17281,"Свега за пројекат 0601-П14:",'ПО КОРИСНИЦИМА'!$I$7:$I$17281)</f>
        <v>0</v>
      </c>
      <c r="G63" s="685">
        <f t="shared" si="0"/>
        <v>0</v>
      </c>
      <c r="H63" s="691"/>
    </row>
    <row r="64" spans="1:8" hidden="1" x14ac:dyDescent="0.2">
      <c r="A64" s="652"/>
      <c r="B64" s="652" t="s">
        <v>4548</v>
      </c>
      <c r="C64" s="570" t="str">
        <f>IFERROR(VLOOKUP(B64,'ПО КОРИСНИЦИМА'!$C$7:$J$17281,5,FALSE),"")</f>
        <v/>
      </c>
      <c r="D64" s="689">
        <f>SUMIF('ПО КОРИСНИЦИМА'!$G$7:$G$17281,"Свега за пројекат 0601-П15:",'ПО КОРИСНИЦИМА'!$H$7:$H$17281)</f>
        <v>0</v>
      </c>
      <c r="E64" s="686">
        <f t="shared" si="2"/>
        <v>0</v>
      </c>
      <c r="F64" s="690">
        <f>SUMIF('ПО КОРИСНИЦИМА'!$G$7:$G$17281,"Свега за пројекат 0601-П15:",'ПО КОРИСНИЦИМА'!$I$7:$I$17281)</f>
        <v>0</v>
      </c>
      <c r="G64" s="685">
        <f t="shared" si="0"/>
        <v>0</v>
      </c>
      <c r="H64" s="691"/>
    </row>
    <row r="65" spans="1:8" hidden="1" x14ac:dyDescent="0.2">
      <c r="A65" s="652"/>
      <c r="B65" s="652" t="s">
        <v>4549</v>
      </c>
      <c r="C65" s="570" t="str">
        <f>IFERROR(VLOOKUP(B65,'ПО КОРИСНИЦИМА'!$C$7:$J$17281,5,FALSE),"")</f>
        <v/>
      </c>
      <c r="D65" s="689">
        <f>SUMIF('ПО КОРИСНИЦИМА'!$G$7:$G$17281,"Свега за пројекат 0601-П16:",'ПО КОРИСНИЦИМА'!$H$7:$H$17281)</f>
        <v>0</v>
      </c>
      <c r="E65" s="686">
        <f t="shared" si="2"/>
        <v>0</v>
      </c>
      <c r="F65" s="690">
        <f>SUMIF('ПО КОРИСНИЦИМА'!$G$7:$G$17281,"Свега за пројекат 0601-П16:",'ПО КОРИСНИЦИМА'!$I$7:$I$17281)</f>
        <v>0</v>
      </c>
      <c r="G65" s="685">
        <f t="shared" si="0"/>
        <v>0</v>
      </c>
      <c r="H65" s="691"/>
    </row>
    <row r="66" spans="1:8" hidden="1" x14ac:dyDescent="0.2">
      <c r="A66" s="652"/>
      <c r="B66" s="652" t="s">
        <v>4550</v>
      </c>
      <c r="C66" s="570" t="str">
        <f>IFERROR(VLOOKUP(B66,'ПО КОРИСНИЦИМА'!$C$7:$J$17281,5,FALSE),"")</f>
        <v/>
      </c>
      <c r="D66" s="689">
        <f>SUMIF('ПО КОРИСНИЦИМА'!$G$7:$G$17281,"Свега за пројекат 0601-П17:",'ПО КОРИСНИЦИМА'!$H$7:$H$17281)</f>
        <v>0</v>
      </c>
      <c r="E66" s="686">
        <f t="shared" si="2"/>
        <v>0</v>
      </c>
      <c r="F66" s="690">
        <f>SUMIF('ПО КОРИСНИЦИМА'!$G$7:$G$17281,"Свега за пројекат 0601-П17:",'ПО КОРИСНИЦИМА'!$I$7:$I$17281)</f>
        <v>0</v>
      </c>
      <c r="G66" s="685">
        <f t="shared" si="0"/>
        <v>0</v>
      </c>
      <c r="H66" s="691"/>
    </row>
    <row r="67" spans="1:8" hidden="1" x14ac:dyDescent="0.2">
      <c r="A67" s="652"/>
      <c r="B67" s="652" t="s">
        <v>4551</v>
      </c>
      <c r="C67" s="570" t="str">
        <f>IFERROR(VLOOKUP(B67,'ПО КОРИСНИЦИМА'!$C$7:$J$17281,5,FALSE),"")</f>
        <v/>
      </c>
      <c r="D67" s="689">
        <f>SUMIF('ПО КОРИСНИЦИМА'!$G$7:$G$17281,"Свега за пројекат 0601-П18:",'ПО КОРИСНИЦИМА'!$H$7:$H$17281)</f>
        <v>0</v>
      </c>
      <c r="E67" s="686">
        <f t="shared" ref="E67:E98" si="3">IFERROR(D67/$D$601,"-")</f>
        <v>0</v>
      </c>
      <c r="F67" s="690">
        <f>SUMIF('ПО КОРИСНИЦИМА'!$G$7:$G$17281,"Свега за пројекат 0601-П18:",'ПО КОРИСНИЦИМА'!$I$7:$I$17281)</f>
        <v>0</v>
      </c>
      <c r="G67" s="685">
        <f t="shared" si="0"/>
        <v>0</v>
      </c>
      <c r="H67" s="691"/>
    </row>
    <row r="68" spans="1:8" hidden="1" x14ac:dyDescent="0.2">
      <c r="A68" s="652"/>
      <c r="B68" s="652" t="s">
        <v>4552</v>
      </c>
      <c r="C68" s="570" t="str">
        <f>IFERROR(VLOOKUP(B68,'ПО КОРИСНИЦИМА'!$C$7:$J$17281,5,FALSE),"")</f>
        <v/>
      </c>
      <c r="D68" s="689">
        <f>SUMIF('ПО КОРИСНИЦИМА'!$G$7:$G$17281,"Свега за пројекат 0601-П19:",'ПО КОРИСНИЦИМА'!$H$7:$H$17281)</f>
        <v>0</v>
      </c>
      <c r="E68" s="686">
        <f t="shared" si="3"/>
        <v>0</v>
      </c>
      <c r="F68" s="690">
        <f>SUMIF('ПО КОРИСНИЦИМА'!$G$7:$G$17281,"Свега за пројекат 0601-П19:",'ПО КОРИСНИЦИМА'!$I$7:$I$17281)</f>
        <v>0</v>
      </c>
      <c r="G68" s="685">
        <f t="shared" si="0"/>
        <v>0</v>
      </c>
      <c r="H68" s="691"/>
    </row>
    <row r="69" spans="1:8" hidden="1" x14ac:dyDescent="0.2">
      <c r="A69" s="652"/>
      <c r="B69" s="652" t="s">
        <v>4553</v>
      </c>
      <c r="C69" s="570" t="str">
        <f>IFERROR(VLOOKUP(B69,'ПО КОРИСНИЦИМА'!$C$7:$J$17281,5,FALSE),"")</f>
        <v/>
      </c>
      <c r="D69" s="689">
        <f>SUMIF('ПО КОРИСНИЦИМА'!$G$7:$G$17281,"Свега за пројекат 0601-П20:",'ПО КОРИСНИЦИМА'!$H$7:$H$17281)</f>
        <v>0</v>
      </c>
      <c r="E69" s="686">
        <f t="shared" si="3"/>
        <v>0</v>
      </c>
      <c r="F69" s="690">
        <f>SUMIF('ПО КОРИСНИЦИМА'!$G$7:$G$17281,"Свега за пројекат 0601-П20:",'ПО КОРИСНИЦИМА'!$I$7:$I$17281)</f>
        <v>0</v>
      </c>
      <c r="G69" s="685">
        <f t="shared" si="0"/>
        <v>0</v>
      </c>
      <c r="H69" s="691"/>
    </row>
    <row r="70" spans="1:8" hidden="1" x14ac:dyDescent="0.2">
      <c r="A70" s="652"/>
      <c r="B70" s="652" t="s">
        <v>4554</v>
      </c>
      <c r="C70" s="570" t="str">
        <f>IFERROR(VLOOKUP(B70,'ПО КОРИСНИЦИМА'!$C$7:$J$17281,5,FALSE),"")</f>
        <v/>
      </c>
      <c r="D70" s="689">
        <f>SUMIF('ПО КОРИСНИЦИМА'!$G$7:$G$17281,"Свега за пројекат 0601-П21:",'ПО КОРИСНИЦИМА'!$H$7:$H$17281)</f>
        <v>0</v>
      </c>
      <c r="E70" s="686">
        <f t="shared" si="3"/>
        <v>0</v>
      </c>
      <c r="F70" s="690">
        <f>SUMIF('ПО КОРИСНИЦИМА'!$G$7:$G$17281,"Свега за пројекат 0601-П21:",'ПО КОРИСНИЦИМА'!$I$7:$I$17281)</f>
        <v>0</v>
      </c>
      <c r="G70" s="685">
        <f t="shared" si="0"/>
        <v>0</v>
      </c>
      <c r="H70" s="691"/>
    </row>
    <row r="71" spans="1:8" hidden="1" x14ac:dyDescent="0.2">
      <c r="A71" s="652"/>
      <c r="B71" s="652" t="s">
        <v>4555</v>
      </c>
      <c r="C71" s="570" t="str">
        <f>IFERROR(VLOOKUP(B71,'ПО КОРИСНИЦИМА'!$C$7:$J$17281,5,FALSE),"")</f>
        <v/>
      </c>
      <c r="D71" s="689">
        <f>SUMIF('ПО КОРИСНИЦИМА'!$G$7:$G$17281,"Свега за пројекат 0601-П22:",'ПО КОРИСНИЦИМА'!$H$7:$H$17281)</f>
        <v>0</v>
      </c>
      <c r="E71" s="686">
        <f t="shared" si="3"/>
        <v>0</v>
      </c>
      <c r="F71" s="690">
        <f>SUMIF('ПО КОРИСНИЦИМА'!$G$7:$G$17281,"Свега за пројекат 0601-П22:",'ПО КОРИСНИЦИМА'!$I$7:$I$17281)</f>
        <v>0</v>
      </c>
      <c r="G71" s="685">
        <f t="shared" si="0"/>
        <v>0</v>
      </c>
      <c r="H71" s="691"/>
    </row>
    <row r="72" spans="1:8" hidden="1" x14ac:dyDescent="0.2">
      <c r="A72" s="652"/>
      <c r="B72" s="652" t="s">
        <v>4556</v>
      </c>
      <c r="C72" s="570" t="str">
        <f>IFERROR(VLOOKUP(B72,'ПО КОРИСНИЦИМА'!$C$7:$J$17281,5,FALSE),"")</f>
        <v/>
      </c>
      <c r="D72" s="689">
        <f>SUMIF('ПО КОРИСНИЦИМА'!$G$7:$G$17281,"Свега за пројекат 0601-П23:",'ПО КОРИСНИЦИМА'!$H$7:$H$17281)</f>
        <v>0</v>
      </c>
      <c r="E72" s="686">
        <f t="shared" si="3"/>
        <v>0</v>
      </c>
      <c r="F72" s="690">
        <f>SUMIF('ПО КОРИСНИЦИМА'!$G$7:$G$17281,"Свега за пројекат 0601-П23:",'ПО КОРИСНИЦИМА'!$I$7:$I$17281)</f>
        <v>0</v>
      </c>
      <c r="G72" s="685">
        <f t="shared" si="0"/>
        <v>0</v>
      </c>
      <c r="H72" s="691"/>
    </row>
    <row r="73" spans="1:8" hidden="1" x14ac:dyDescent="0.2">
      <c r="A73" s="652"/>
      <c r="B73" s="652" t="s">
        <v>4557</v>
      </c>
      <c r="C73" s="570" t="str">
        <f>IFERROR(VLOOKUP(B73,'ПО КОРИСНИЦИМА'!$C$7:$J$17281,5,FALSE),"")</f>
        <v/>
      </c>
      <c r="D73" s="689">
        <f>SUMIF('ПО КОРИСНИЦИМА'!$G$7:$G$17281,"Свега за пројекат 0601-П24:",'ПО КОРИСНИЦИМА'!$H$7:$H$17281)</f>
        <v>0</v>
      </c>
      <c r="E73" s="686">
        <f t="shared" si="3"/>
        <v>0</v>
      </c>
      <c r="F73" s="690">
        <f>SUMIF('ПО КОРИСНИЦИМА'!$G$7:$G$17281,"Свега за пројекат 0601-П24:",'ПО КОРИСНИЦИМА'!$I$7:$I$17281)</f>
        <v>0</v>
      </c>
      <c r="G73" s="685">
        <f t="shared" si="0"/>
        <v>0</v>
      </c>
      <c r="H73" s="691"/>
    </row>
    <row r="74" spans="1:8" hidden="1" x14ac:dyDescent="0.2">
      <c r="A74" s="652"/>
      <c r="B74" s="652" t="s">
        <v>4558</v>
      </c>
      <c r="C74" s="570" t="str">
        <f>IFERROR(VLOOKUP(B74,'ПО КОРИСНИЦИМА'!$C$7:$J$17281,5,FALSE),"")</f>
        <v/>
      </c>
      <c r="D74" s="689">
        <f>SUMIF('ПО КОРИСНИЦИМА'!$G$7:$G$17281,"Свега за пројекат 0601-П25:",'ПО КОРИСНИЦИМА'!$H$7:$H$17281)</f>
        <v>0</v>
      </c>
      <c r="E74" s="686">
        <f t="shared" si="3"/>
        <v>0</v>
      </c>
      <c r="F74" s="690">
        <f>SUMIF('ПО КОРИСНИЦИМА'!$G$7:$G$17281,"Свега за пројекат 0601-П25:",'ПО КОРИСНИЦИМА'!$I$7:$I$17281)</f>
        <v>0</v>
      </c>
      <c r="G74" s="685">
        <f t="shared" si="0"/>
        <v>0</v>
      </c>
      <c r="H74" s="691"/>
    </row>
    <row r="75" spans="1:8" hidden="1" x14ac:dyDescent="0.2">
      <c r="A75" s="652"/>
      <c r="B75" s="652" t="s">
        <v>4559</v>
      </c>
      <c r="C75" s="570" t="str">
        <f>IFERROR(VLOOKUP(B75,'ПО КОРИСНИЦИМА'!$C$7:$J$17281,5,FALSE),"")</f>
        <v/>
      </c>
      <c r="D75" s="689">
        <f>SUMIF('ПО КОРИСНИЦИМА'!$G$7:$G$17281,"Свега за пројекат 0601-П26:",'ПО КОРИСНИЦИМА'!$H$7:$H$17281)</f>
        <v>0</v>
      </c>
      <c r="E75" s="686">
        <f t="shared" si="3"/>
        <v>0</v>
      </c>
      <c r="F75" s="690">
        <f>SUMIF('ПО КОРИСНИЦИМА'!$G$7:$G$17281,"Свега за пројекат 0601-П26:",'ПО КОРИСНИЦИМА'!$I$7:$I$17281)</f>
        <v>0</v>
      </c>
      <c r="G75" s="685">
        <f t="shared" si="0"/>
        <v>0</v>
      </c>
      <c r="H75" s="691"/>
    </row>
    <row r="76" spans="1:8" hidden="1" x14ac:dyDescent="0.2">
      <c r="A76" s="652"/>
      <c r="B76" s="652" t="s">
        <v>4560</v>
      </c>
      <c r="C76" s="570" t="str">
        <f>IFERROR(VLOOKUP(B76,'ПО КОРИСНИЦИМА'!$C$7:$J$17281,5,FALSE),"")</f>
        <v/>
      </c>
      <c r="D76" s="689">
        <f>SUMIF('ПО КОРИСНИЦИМА'!$G$7:$G$17281,"Свега за пројекат 0601-П27:",'ПО КОРИСНИЦИМА'!$H$7:$H$17281)</f>
        <v>0</v>
      </c>
      <c r="E76" s="686">
        <f t="shared" si="3"/>
        <v>0</v>
      </c>
      <c r="F76" s="690">
        <f>SUMIF('ПО КОРИСНИЦИМА'!$G$7:$G$17281,"Свега за пројекат 0601-П27:",'ПО КОРИСНИЦИМА'!$I$7:$I$17281)</f>
        <v>0</v>
      </c>
      <c r="G76" s="685">
        <f t="shared" si="0"/>
        <v>0</v>
      </c>
      <c r="H76" s="691"/>
    </row>
    <row r="77" spans="1:8" hidden="1" x14ac:dyDescent="0.2">
      <c r="A77" s="652"/>
      <c r="B77" s="652" t="s">
        <v>4561</v>
      </c>
      <c r="C77" s="570" t="str">
        <f>IFERROR(VLOOKUP(B77,'ПО КОРИСНИЦИМА'!$C$7:$J$17281,5,FALSE),"")</f>
        <v/>
      </c>
      <c r="D77" s="689">
        <f>SUMIF('ПО КОРИСНИЦИМА'!$G$7:$G$17281,"Свега за пројекат 0601-П28:",'ПО КОРИСНИЦИМА'!$H$7:$H$17281)</f>
        <v>0</v>
      </c>
      <c r="E77" s="686">
        <f t="shared" si="3"/>
        <v>0</v>
      </c>
      <c r="F77" s="690">
        <f>SUMIF('ПО КОРИСНИЦИМА'!$G$7:$G$17281,"Свега за пројекат 0601-П28:",'ПО КОРИСНИЦИМА'!$I$7:$I$17281)</f>
        <v>0</v>
      </c>
      <c r="G77" s="685">
        <f t="shared" si="0"/>
        <v>0</v>
      </c>
      <c r="H77" s="691"/>
    </row>
    <row r="78" spans="1:8" hidden="1" x14ac:dyDescent="0.2">
      <c r="A78" s="652"/>
      <c r="B78" s="652" t="s">
        <v>4562</v>
      </c>
      <c r="C78" s="570" t="str">
        <f>IFERROR(VLOOKUP(B78,'ПО КОРИСНИЦИМА'!$C$7:$J$17281,5,FALSE),"")</f>
        <v/>
      </c>
      <c r="D78" s="689">
        <f>SUMIF('ПО КОРИСНИЦИМА'!$G$7:$G$17281,"Свега за пројекат 0601-П29:",'ПО КОРИСНИЦИМА'!$H$7:$H$17281)</f>
        <v>0</v>
      </c>
      <c r="E78" s="686">
        <f t="shared" si="3"/>
        <v>0</v>
      </c>
      <c r="F78" s="690">
        <f>SUMIF('ПО КОРИСНИЦИМА'!$G$7:$G$17281,"Свега за пројекат 0601-П29:",'ПО КОРИСНИЦИМА'!$I$7:$I$17281)</f>
        <v>0</v>
      </c>
      <c r="G78" s="685">
        <f t="shared" si="0"/>
        <v>0</v>
      </c>
      <c r="H78" s="691"/>
    </row>
    <row r="79" spans="1:8" hidden="1" x14ac:dyDescent="0.2">
      <c r="A79" s="652"/>
      <c r="B79" s="652" t="s">
        <v>4563</v>
      </c>
      <c r="C79" s="570" t="str">
        <f>IFERROR(VLOOKUP(B79,'ПО КОРИСНИЦИМА'!$C$7:$J$17281,5,FALSE),"")</f>
        <v/>
      </c>
      <c r="D79" s="689">
        <f>SUMIF('ПО КОРИСНИЦИМА'!$G$7:$G$17281,"Свега за пројекат 0601-П30:",'ПО КОРИСНИЦИМА'!$H$7:$H$17281)</f>
        <v>0</v>
      </c>
      <c r="E79" s="686">
        <f t="shared" si="3"/>
        <v>0</v>
      </c>
      <c r="F79" s="690">
        <f>SUMIF('ПО КОРИСНИЦИМА'!$G$7:$G$17281,"Свега за пројекат 0601-П30:",'ПО КОРИСНИЦИМА'!$I$7:$I$17281)</f>
        <v>0</v>
      </c>
      <c r="G79" s="685">
        <f t="shared" si="0"/>
        <v>0</v>
      </c>
      <c r="H79" s="691"/>
    </row>
    <row r="80" spans="1:8" hidden="1" x14ac:dyDescent="0.2">
      <c r="A80" s="652"/>
      <c r="B80" s="652" t="s">
        <v>4564</v>
      </c>
      <c r="C80" s="570" t="str">
        <f>IFERROR(VLOOKUP(B80,'ПО КОРИСНИЦИМА'!$C$7:$J$17281,5,FALSE),"")</f>
        <v/>
      </c>
      <c r="D80" s="689">
        <f>SUMIF('ПО КОРИСНИЦИМА'!$G$7:$G$17281,"Свега за пројекат 0601-П31:",'ПО КОРИСНИЦИМА'!$H$7:$H$17281)</f>
        <v>0</v>
      </c>
      <c r="E80" s="686">
        <f t="shared" si="3"/>
        <v>0</v>
      </c>
      <c r="F80" s="690">
        <f>SUMIF('ПО КОРИСНИЦИМА'!$G$7:$G$17281,"Свега за пројекат 0601-П31:",'ПО КОРИСНИЦИМА'!$I$7:$I$17281)</f>
        <v>0</v>
      </c>
      <c r="G80" s="685">
        <f t="shared" si="0"/>
        <v>0</v>
      </c>
      <c r="H80" s="691"/>
    </row>
    <row r="81" spans="1:8" hidden="1" x14ac:dyDescent="0.2">
      <c r="A81" s="652"/>
      <c r="B81" s="652" t="s">
        <v>4565</v>
      </c>
      <c r="C81" s="570" t="str">
        <f>IFERROR(VLOOKUP(B81,'ПО КОРИСНИЦИМА'!$C$7:$J$17281,5,FALSE),"")</f>
        <v/>
      </c>
      <c r="D81" s="689">
        <f>SUMIF('ПО КОРИСНИЦИМА'!$G$7:$G$17281,"Свега за пројекат 0601-П32:",'ПО КОРИСНИЦИМА'!$H$7:$H$17281)</f>
        <v>0</v>
      </c>
      <c r="E81" s="686">
        <f t="shared" si="3"/>
        <v>0</v>
      </c>
      <c r="F81" s="690">
        <f>SUMIF('ПО КОРИСНИЦИМА'!$G$7:$G$17281,"Свега за пројекат 0601-П32:",'ПО КОРИСНИЦИМА'!$I$7:$I$17281)</f>
        <v>0</v>
      </c>
      <c r="G81" s="685">
        <f t="shared" si="0"/>
        <v>0</v>
      </c>
      <c r="H81" s="691"/>
    </row>
    <row r="82" spans="1:8" hidden="1" x14ac:dyDescent="0.2">
      <c r="A82" s="652"/>
      <c r="B82" s="652" t="s">
        <v>4566</v>
      </c>
      <c r="C82" s="570" t="str">
        <f>IFERROR(VLOOKUP(B82,'ПО КОРИСНИЦИМА'!$C$7:$J$17281,5,FALSE),"")</f>
        <v/>
      </c>
      <c r="D82" s="689">
        <f>SUMIF('ПО КОРИСНИЦИМА'!$G$7:$G$17281,"Свега за пројекат 0601-П33:",'ПО КОРИСНИЦИМА'!$H$7:$H$17281)</f>
        <v>0</v>
      </c>
      <c r="E82" s="686">
        <f t="shared" si="3"/>
        <v>0</v>
      </c>
      <c r="F82" s="690">
        <f>SUMIF('ПО КОРИСНИЦИМА'!$G$7:$G$17281,"Свега за пројекат 0601-П33:",'ПО КОРИСНИЦИМА'!$I$7:$I$17281)</f>
        <v>0</v>
      </c>
      <c r="G82" s="685">
        <f t="shared" si="0"/>
        <v>0</v>
      </c>
      <c r="H82" s="691"/>
    </row>
    <row r="83" spans="1:8" hidden="1" x14ac:dyDescent="0.2">
      <c r="A83" s="652"/>
      <c r="B83" s="652" t="s">
        <v>4567</v>
      </c>
      <c r="C83" s="570" t="str">
        <f>IFERROR(VLOOKUP(B83,'ПО КОРИСНИЦИМА'!$C$7:$J$17281,5,FALSE),"")</f>
        <v/>
      </c>
      <c r="D83" s="689">
        <f>SUMIF('ПО КОРИСНИЦИМА'!$G$7:$G$17281,"Свега за пројекат 0601-П34:",'ПО КОРИСНИЦИМА'!$H$7:$H$17281)</f>
        <v>0</v>
      </c>
      <c r="E83" s="686">
        <f t="shared" si="3"/>
        <v>0</v>
      </c>
      <c r="F83" s="690">
        <f>SUMIF('ПО КОРИСНИЦИМА'!$G$7:$G$17281,"Свега за пројекат 0601-П34:",'ПО КОРИСНИЦИМА'!$I$7:$I$17281)</f>
        <v>0</v>
      </c>
      <c r="G83" s="685">
        <f t="shared" si="0"/>
        <v>0</v>
      </c>
      <c r="H83" s="691"/>
    </row>
    <row r="84" spans="1:8" hidden="1" x14ac:dyDescent="0.2">
      <c r="A84" s="652"/>
      <c r="B84" s="652" t="s">
        <v>4568</v>
      </c>
      <c r="C84" s="570" t="str">
        <f>IFERROR(VLOOKUP(B84,'ПО КОРИСНИЦИМА'!$C$7:$J$17281,5,FALSE),"")</f>
        <v/>
      </c>
      <c r="D84" s="689">
        <f>SUMIF('ПО КОРИСНИЦИМА'!$G$7:$G$17281,"Свега за пројекат 0601-П35:",'ПО КОРИСНИЦИМА'!$H$7:$H$17281)</f>
        <v>0</v>
      </c>
      <c r="E84" s="686">
        <f t="shared" si="3"/>
        <v>0</v>
      </c>
      <c r="F84" s="690">
        <f>SUMIF('ПО КОРИСНИЦИМА'!$G$7:$G$17281,"Свега за пројекат 0601-П35:",'ПО КОРИСНИЦИМА'!$I$7:$I$17281)</f>
        <v>0</v>
      </c>
      <c r="G84" s="685">
        <f t="shared" si="0"/>
        <v>0</v>
      </c>
      <c r="H84" s="691"/>
    </row>
    <row r="85" spans="1:8" hidden="1" x14ac:dyDescent="0.2">
      <c r="A85" s="652"/>
      <c r="B85" s="652" t="s">
        <v>4569</v>
      </c>
      <c r="C85" s="570" t="str">
        <f>IFERROR(VLOOKUP(B85,'ПО КОРИСНИЦИМА'!$C$7:$J$17281,5,FALSE),"")</f>
        <v/>
      </c>
      <c r="D85" s="689">
        <f>SUMIF('ПО КОРИСНИЦИМА'!$G$7:$G$17281,"Свега за пројекат 0601-П36:",'ПО КОРИСНИЦИМА'!$H$7:$H$17281)</f>
        <v>0</v>
      </c>
      <c r="E85" s="686">
        <f t="shared" si="3"/>
        <v>0</v>
      </c>
      <c r="F85" s="690">
        <f>SUMIF('ПО КОРИСНИЦИМА'!$G$7:$G$17281,"Свега за пројекат 0601-П36:",'ПО КОРИСНИЦИМА'!$I$7:$I$17281)</f>
        <v>0</v>
      </c>
      <c r="G85" s="685">
        <f t="shared" si="0"/>
        <v>0</v>
      </c>
      <c r="H85" s="691"/>
    </row>
    <row r="86" spans="1:8" hidden="1" x14ac:dyDescent="0.2">
      <c r="A86" s="652"/>
      <c r="B86" s="652" t="s">
        <v>4570</v>
      </c>
      <c r="C86" s="570" t="str">
        <f>IFERROR(VLOOKUP(B86,'ПО КОРИСНИЦИМА'!$C$7:$J$17281,5,FALSE),"")</f>
        <v/>
      </c>
      <c r="D86" s="689">
        <f>SUMIF('ПО КОРИСНИЦИМА'!$G$7:$G$17281,"Свега за пројекат 0601-П37:",'ПО КОРИСНИЦИМА'!$H$7:$H$17281)</f>
        <v>0</v>
      </c>
      <c r="E86" s="686">
        <f t="shared" si="3"/>
        <v>0</v>
      </c>
      <c r="F86" s="690">
        <f>SUMIF('ПО КОРИСНИЦИМА'!$G$7:$G$17281,"Свега за пројекат 0601-П37:",'ПО КОРИСНИЦИМА'!$I$7:$I$17281)</f>
        <v>0</v>
      </c>
      <c r="G86" s="685">
        <f t="shared" si="0"/>
        <v>0</v>
      </c>
      <c r="H86" s="688"/>
    </row>
    <row r="87" spans="1:8" hidden="1" x14ac:dyDescent="0.2">
      <c r="A87" s="654"/>
      <c r="B87" s="652" t="s">
        <v>4571</v>
      </c>
      <c r="C87" s="570" t="str">
        <f>IFERROR(VLOOKUP(B87,'ПО КОРИСНИЦИМА'!$C$7:$J$17281,5,FALSE),"")</f>
        <v/>
      </c>
      <c r="D87" s="689">
        <f>SUMIF('ПО КОРИСНИЦИМА'!$G$7:$G$17281,"Свега за пројекат 0601-П38:",'ПО КОРИСНИЦИМА'!$H$7:$H$17281)</f>
        <v>0</v>
      </c>
      <c r="E87" s="686">
        <f t="shared" si="3"/>
        <v>0</v>
      </c>
      <c r="F87" s="690">
        <f>SUMIF('ПО КОРИСНИЦИМА'!$G$7:$G$17281,"Свега за пројекат 0601-П38:",'ПО КОРИСНИЦИМА'!$I$7:$I$17281)</f>
        <v>0</v>
      </c>
      <c r="G87" s="685">
        <f t="shared" si="0"/>
        <v>0</v>
      </c>
      <c r="H87" s="697"/>
    </row>
    <row r="88" spans="1:8" hidden="1" x14ac:dyDescent="0.2">
      <c r="A88" s="652"/>
      <c r="B88" s="652" t="s">
        <v>4572</v>
      </c>
      <c r="C88" s="570" t="str">
        <f>IFERROR(VLOOKUP(B88,'ПО КОРИСНИЦИМА'!$C$7:$J$17281,5,FALSE),"")</f>
        <v/>
      </c>
      <c r="D88" s="689">
        <f>SUMIF('ПО КОРИСНИЦИМА'!$G$7:$G$17281,"Свега за пројекат 0601-П39:",'ПО КОРИСНИЦИМА'!$H$7:$H$17281)</f>
        <v>0</v>
      </c>
      <c r="E88" s="686">
        <f t="shared" si="3"/>
        <v>0</v>
      </c>
      <c r="F88" s="690">
        <f>SUMIF('ПО КОРИСНИЦИМА'!$G$7:$G$17281,"Свега за пројекат 0601-П39:",'ПО КОРИСНИЦИМА'!$I$7:$I$17281)</f>
        <v>0</v>
      </c>
      <c r="G88" s="685">
        <f t="shared" si="0"/>
        <v>0</v>
      </c>
      <c r="H88" s="691"/>
    </row>
    <row r="89" spans="1:8" hidden="1" x14ac:dyDescent="0.2">
      <c r="A89" s="652"/>
      <c r="B89" s="652" t="s">
        <v>4573</v>
      </c>
      <c r="C89" s="570" t="str">
        <f>IFERROR(VLOOKUP(B89,'ПО КОРИСНИЦИМА'!$C$7:$J$17281,5,FALSE),"")</f>
        <v/>
      </c>
      <c r="D89" s="689">
        <f>SUMIF('ПО КОРИСНИЦИМА'!$G$7:$G$17281,"Свега за пројекат 0601-П40:",'ПО КОРИСНИЦИМА'!$H$7:$H$17281)</f>
        <v>0</v>
      </c>
      <c r="E89" s="686">
        <f t="shared" si="3"/>
        <v>0</v>
      </c>
      <c r="F89" s="690">
        <f>SUMIF('ПО КОРИСНИЦИМА'!$G$7:$G$17281,"Свега за пројекат 0601-П40:",'ПО КОРИСНИЦИМА'!$I$7:$I$17281)</f>
        <v>0</v>
      </c>
      <c r="G89" s="685">
        <f t="shared" si="0"/>
        <v>0</v>
      </c>
      <c r="H89" s="691"/>
    </row>
    <row r="90" spans="1:8" hidden="1" x14ac:dyDescent="0.2">
      <c r="A90" s="652"/>
      <c r="B90" s="652" t="s">
        <v>4574</v>
      </c>
      <c r="C90" s="570" t="str">
        <f>IFERROR(VLOOKUP(B90,'ПО КОРИСНИЦИМА'!$C$7:$J$17281,5,FALSE),"")</f>
        <v/>
      </c>
      <c r="D90" s="689">
        <f>SUMIF('ПО КОРИСНИЦИМА'!$G$7:$G$17281,"Свега за пројекат 0601-П41:",'ПО КОРИСНИЦИМА'!$H$7:$H$17281)</f>
        <v>0</v>
      </c>
      <c r="E90" s="686">
        <f t="shared" si="3"/>
        <v>0</v>
      </c>
      <c r="F90" s="690">
        <f>SUMIF('ПО КОРИСНИЦИМА'!$G$7:$G$17281,"Свега за пројекат 0601-П41:",'ПО КОРИСНИЦИМА'!$I$7:$I$17281)</f>
        <v>0</v>
      </c>
      <c r="G90" s="685">
        <f t="shared" si="0"/>
        <v>0</v>
      </c>
      <c r="H90" s="691"/>
    </row>
    <row r="91" spans="1:8" hidden="1" x14ac:dyDescent="0.2">
      <c r="A91" s="652"/>
      <c r="B91" s="652" t="s">
        <v>4575</v>
      </c>
      <c r="C91" s="570" t="str">
        <f>IFERROR(VLOOKUP(B91,'ПО КОРИСНИЦИМА'!$C$7:$J$17281,5,FALSE),"")</f>
        <v/>
      </c>
      <c r="D91" s="689">
        <f>SUMIF('ПО КОРИСНИЦИМА'!$G$7:$G$17281,"Свега за пројекат 0601-П42:",'ПО КОРИСНИЦИМА'!$H$7:$H$17281)</f>
        <v>0</v>
      </c>
      <c r="E91" s="686">
        <f t="shared" si="3"/>
        <v>0</v>
      </c>
      <c r="F91" s="690">
        <f>SUMIF('ПО КОРИСНИЦИМА'!$G$7:$G$17281,"Свега за пројекат 0601-П42:",'ПО КОРИСНИЦИМА'!$I$7:$I$17281)</f>
        <v>0</v>
      </c>
      <c r="G91" s="685">
        <f t="shared" si="0"/>
        <v>0</v>
      </c>
      <c r="H91" s="691"/>
    </row>
    <row r="92" spans="1:8" hidden="1" x14ac:dyDescent="0.2">
      <c r="A92" s="652"/>
      <c r="B92" s="652" t="s">
        <v>4576</v>
      </c>
      <c r="C92" s="570" t="str">
        <f>IFERROR(VLOOKUP(B92,'ПО КОРИСНИЦИМА'!$C$7:$J$17281,5,FALSE),"")</f>
        <v/>
      </c>
      <c r="D92" s="689">
        <f>SUMIF('ПО КОРИСНИЦИМА'!$G$7:$G$17281,"Свега за пројекат 0601-П43:",'ПО КОРИСНИЦИМА'!$H$7:$H$17281)</f>
        <v>0</v>
      </c>
      <c r="E92" s="686">
        <f t="shared" si="3"/>
        <v>0</v>
      </c>
      <c r="F92" s="690">
        <f>SUMIF('ПО КОРИСНИЦИМА'!$G$7:$G$17281,"Свега за пројекат 0601-П43:",'ПО КОРИСНИЦИМА'!$I$7:$I$17281)</f>
        <v>0</v>
      </c>
      <c r="G92" s="685">
        <f t="shared" si="0"/>
        <v>0</v>
      </c>
      <c r="H92" s="691"/>
    </row>
    <row r="93" spans="1:8" hidden="1" x14ac:dyDescent="0.2">
      <c r="A93" s="652"/>
      <c r="B93" s="652" t="s">
        <v>4577</v>
      </c>
      <c r="C93" s="570" t="str">
        <f>IFERROR(VLOOKUP(B93,'ПО КОРИСНИЦИМА'!$C$7:$J$17281,5,FALSE),"")</f>
        <v/>
      </c>
      <c r="D93" s="689">
        <f>SUMIF('ПО КОРИСНИЦИМА'!$G$7:$G$17281,"Свега за пројекат 0601-П44:",'ПО КОРИСНИЦИМА'!$H$7:$H$17281)</f>
        <v>0</v>
      </c>
      <c r="E93" s="686">
        <f t="shared" si="3"/>
        <v>0</v>
      </c>
      <c r="F93" s="690">
        <f>SUMIF('ПО КОРИСНИЦИМА'!$G$7:$G$17281,"Свега за пројекат 0601-П44:",'ПО КОРИСНИЦИМА'!$I$7:$I$17281)</f>
        <v>0</v>
      </c>
      <c r="G93" s="685">
        <f t="shared" si="0"/>
        <v>0</v>
      </c>
      <c r="H93" s="691"/>
    </row>
    <row r="94" spans="1:8" hidden="1" x14ac:dyDescent="0.2">
      <c r="A94" s="652"/>
      <c r="B94" s="652" t="s">
        <v>4578</v>
      </c>
      <c r="C94" s="570" t="str">
        <f>IFERROR(VLOOKUP(B94,'ПО КОРИСНИЦИМА'!$C$7:$J$17281,5,FALSE),"")</f>
        <v/>
      </c>
      <c r="D94" s="689">
        <f>SUMIF('ПО КОРИСНИЦИМА'!$G$7:$G$17281,"Свега за пројекат 0601-П45:",'ПО КОРИСНИЦИМА'!$H$7:$H$17281)</f>
        <v>0</v>
      </c>
      <c r="E94" s="686">
        <f t="shared" si="3"/>
        <v>0</v>
      </c>
      <c r="F94" s="690">
        <f>SUMIF('ПО КОРИСНИЦИМА'!$G$7:$G$17281,"Свега за пројекат 0601-П45:",'ПО КОРИСНИЦИМА'!$I$7:$I$17281)</f>
        <v>0</v>
      </c>
      <c r="G94" s="685">
        <f t="shared" si="0"/>
        <v>0</v>
      </c>
      <c r="H94" s="691"/>
    </row>
    <row r="95" spans="1:8" hidden="1" x14ac:dyDescent="0.2">
      <c r="A95" s="652"/>
      <c r="B95" s="652" t="s">
        <v>4579</v>
      </c>
      <c r="C95" s="570" t="str">
        <f>IFERROR(VLOOKUP(B95,'ПО КОРИСНИЦИМА'!$C$7:$J$17281,5,FALSE),"")</f>
        <v/>
      </c>
      <c r="D95" s="689">
        <f>SUMIF('ПО КОРИСНИЦИМА'!$G$7:$G$17281,"Свега за пројекат 0601-П46:",'ПО КОРИСНИЦИМА'!$H$7:$H$17281)</f>
        <v>0</v>
      </c>
      <c r="E95" s="686">
        <f t="shared" si="3"/>
        <v>0</v>
      </c>
      <c r="F95" s="690">
        <f>SUMIF('ПО КОРИСНИЦИМА'!$G$7:$G$17281,"Свега за пројекат 0601-П46:",'ПО КОРИСНИЦИМА'!$I$7:$I$17281)</f>
        <v>0</v>
      </c>
      <c r="G95" s="685">
        <f t="shared" si="0"/>
        <v>0</v>
      </c>
      <c r="H95" s="691"/>
    </row>
    <row r="96" spans="1:8" hidden="1" x14ac:dyDescent="0.2">
      <c r="A96" s="652"/>
      <c r="B96" s="652" t="s">
        <v>4580</v>
      </c>
      <c r="C96" s="570" t="str">
        <f>IFERROR(VLOOKUP(B96,'ПО КОРИСНИЦИМА'!$C$7:$J$17281,5,FALSE),"")</f>
        <v/>
      </c>
      <c r="D96" s="689">
        <f>SUMIF('ПО КОРИСНИЦИМА'!$G$7:$G$17281,"Свега за пројекат 0601-П47:",'ПО КОРИСНИЦИМА'!$H$7:$H$17281)</f>
        <v>0</v>
      </c>
      <c r="E96" s="686">
        <f t="shared" si="3"/>
        <v>0</v>
      </c>
      <c r="F96" s="690">
        <f>SUMIF('ПО КОРИСНИЦИМА'!$G$7:$G$17281,"Свега за пројекат 0601-П47:",'ПО КОРИСНИЦИМА'!$I$7:$I$17281)</f>
        <v>0</v>
      </c>
      <c r="G96" s="685">
        <f t="shared" si="0"/>
        <v>0</v>
      </c>
      <c r="H96" s="691"/>
    </row>
    <row r="97" spans="1:8" hidden="1" x14ac:dyDescent="0.2">
      <c r="A97" s="652"/>
      <c r="B97" s="652" t="s">
        <v>4581</v>
      </c>
      <c r="C97" s="570" t="str">
        <f>IFERROR(VLOOKUP(B97,'ПО КОРИСНИЦИМА'!$C$7:$J$17281,5,FALSE),"")</f>
        <v/>
      </c>
      <c r="D97" s="689">
        <f>SUMIF('ПО КОРИСНИЦИМА'!$G$7:$G$17281,"Свега за пројекат 0601-П48:",'ПО КОРИСНИЦИМА'!$H$7:$H$17281)</f>
        <v>0</v>
      </c>
      <c r="E97" s="686">
        <f t="shared" si="3"/>
        <v>0</v>
      </c>
      <c r="F97" s="690">
        <f>SUMIF('ПО КОРИСНИЦИМА'!$G$7:$G$17281,"Свега за пројекат 0601-П48:",'ПО КОРИСНИЦИМА'!$I$7:$I$17281)</f>
        <v>0</v>
      </c>
      <c r="G97" s="685">
        <f t="shared" si="0"/>
        <v>0</v>
      </c>
      <c r="H97" s="691"/>
    </row>
    <row r="98" spans="1:8" hidden="1" x14ac:dyDescent="0.2">
      <c r="A98" s="652"/>
      <c r="B98" s="652" t="s">
        <v>4582</v>
      </c>
      <c r="C98" s="570" t="str">
        <f>IFERROR(VLOOKUP(B98,'ПО КОРИСНИЦИМА'!$C$7:$J$17281,5,FALSE),"")</f>
        <v/>
      </c>
      <c r="D98" s="689">
        <f>SUMIF('ПО КОРИСНИЦИМА'!$G$7:$G$17281,"Свега за пројекат 0601-П49:",'ПО КОРИСНИЦИМА'!$H$7:$H$17281)</f>
        <v>0</v>
      </c>
      <c r="E98" s="686">
        <f t="shared" si="3"/>
        <v>0</v>
      </c>
      <c r="F98" s="690">
        <f>SUMIF('ПО КОРИСНИЦИМА'!$G$7:$G$17281,"Свега за пројекат 0601-П49:",'ПО КОРИСНИЦИМА'!$I$7:$I$17281)</f>
        <v>0</v>
      </c>
      <c r="G98" s="685">
        <f t="shared" si="0"/>
        <v>0</v>
      </c>
      <c r="H98" s="691"/>
    </row>
    <row r="99" spans="1:8" hidden="1" x14ac:dyDescent="0.2">
      <c r="A99" s="666"/>
      <c r="B99" s="666" t="s">
        <v>4583</v>
      </c>
      <c r="C99" s="667" t="str">
        <f>IFERROR(VLOOKUP(B99,'ПО КОРИСНИЦИМА'!$C$7:$J$17281,5,FALSE),"")</f>
        <v/>
      </c>
      <c r="D99" s="692">
        <f>SUMIF('ПО КОРИСНИЦИМА'!$G$7:$G$17281,"Свега за пројекат 0601-П50:",'ПО КОРИСНИЦИМА'!$H$7:$H$17281)</f>
        <v>0</v>
      </c>
      <c r="E99" s="693">
        <f t="shared" ref="E99:E106" si="4">IFERROR(D99/$D$601,"-")</f>
        <v>0</v>
      </c>
      <c r="F99" s="694">
        <f>SUMIF('ПО КОРИСНИЦИМА'!$G$7:$G$17281,"Свега за пројекат 0601-П50:",'ПО КОРИСНИЦИМА'!$I$7:$I$17281)</f>
        <v>0</v>
      </c>
      <c r="G99" s="695">
        <f t="shared" si="0"/>
        <v>0</v>
      </c>
      <c r="H99" s="696"/>
    </row>
    <row r="100" spans="1:8" x14ac:dyDescent="0.2">
      <c r="A100" s="647" t="s">
        <v>3572</v>
      </c>
      <c r="B100" s="648"/>
      <c r="C100" s="568" t="s">
        <v>3676</v>
      </c>
      <c r="D100" s="677">
        <f>SUM(D101:D129)</f>
        <v>0</v>
      </c>
      <c r="E100" s="678">
        <f t="shared" si="4"/>
        <v>0</v>
      </c>
      <c r="F100" s="679">
        <f>SUM(F101:F129)</f>
        <v>0</v>
      </c>
      <c r="G100" s="677">
        <f t="shared" si="0"/>
        <v>0</v>
      </c>
      <c r="H100" s="680"/>
    </row>
    <row r="101" spans="1:8" hidden="1" x14ac:dyDescent="0.2">
      <c r="A101" s="650"/>
      <c r="B101" s="650" t="s">
        <v>4101</v>
      </c>
      <c r="C101" s="571" t="s">
        <v>4102</v>
      </c>
      <c r="D101" s="681">
        <f>SUMIF('ПО КОРИСНИЦИМА'!$G$7:$G$17281,"Свега за програмску активност 1501-0001:",'ПО КОРИСНИЦИМА'!$H$7:$H$17281)</f>
        <v>0</v>
      </c>
      <c r="E101" s="682">
        <f t="shared" si="4"/>
        <v>0</v>
      </c>
      <c r="F101" s="683">
        <f>SUMIF('ПО КОРИСНИЦИМА'!$G$7:$G$17281,"Свега за програмску активност 1501-0001:",'ПО КОРИСНИЦИМА'!$I$7:$I$17281)</f>
        <v>0</v>
      </c>
      <c r="G101" s="681">
        <f t="shared" si="0"/>
        <v>0</v>
      </c>
      <c r="H101" s="684"/>
    </row>
    <row r="102" spans="1:8" hidden="1" x14ac:dyDescent="0.2">
      <c r="A102" s="652"/>
      <c r="B102" s="652" t="s">
        <v>4103</v>
      </c>
      <c r="C102" s="572" t="s">
        <v>4104</v>
      </c>
      <c r="D102" s="685">
        <f>SUMIF('ПО КОРИСНИЦИМА'!$G$7:$G$17281,"Свега за програмску активност 1501-0002:",'ПО КОРИСНИЦИМА'!$H$7:$H$17281)</f>
        <v>0</v>
      </c>
      <c r="E102" s="686">
        <f t="shared" si="4"/>
        <v>0</v>
      </c>
      <c r="F102" s="687">
        <f>SUMIF('ПО КОРИСНИЦИМА'!$G$7:$G$17281,"Свега за програмску активност 1501-0002:",'ПО КОРИСНИЦИМА'!$I$7:$I$17281)</f>
        <v>0</v>
      </c>
      <c r="G102" s="685">
        <f t="shared" si="0"/>
        <v>0</v>
      </c>
      <c r="H102" s="688"/>
    </row>
    <row r="103" spans="1:8" hidden="1" x14ac:dyDescent="0.2">
      <c r="A103" s="652"/>
      <c r="B103" s="652" t="s">
        <v>4105</v>
      </c>
      <c r="C103" s="572" t="s">
        <v>4106</v>
      </c>
      <c r="D103" s="685">
        <f>SUMIF('ПО КОРИСНИЦИМА'!$G$7:$G$17281,"Свега за програмску активност 1501-0003:",'ПО КОРИСНИЦИМА'!$H$7:$H$17281)</f>
        <v>0</v>
      </c>
      <c r="E103" s="686">
        <f t="shared" si="4"/>
        <v>0</v>
      </c>
      <c r="F103" s="687">
        <f>SUMIF('ПО КОРИСНИЦИМА'!$G$7:$G$17281,"Свега за програмску активност 1501-0003:",'ПО КОРИСНИЦИМА'!$I$7:$I$17281)</f>
        <v>0</v>
      </c>
      <c r="G103" s="685">
        <f t="shared" si="0"/>
        <v>0</v>
      </c>
      <c r="H103" s="688"/>
    </row>
    <row r="104" spans="1:8" hidden="1" x14ac:dyDescent="0.2">
      <c r="A104" s="652"/>
      <c r="B104" s="652" t="s">
        <v>4107</v>
      </c>
      <c r="C104" s="572" t="s">
        <v>4108</v>
      </c>
      <c r="D104" s="685">
        <f>SUMIF('ПО КОРИСНИЦИМА'!$G$7:$G$17281,"Свега за програмску активност 1501-0004:",'ПО КОРИСНИЦИМА'!$H$7:$H$17281)</f>
        <v>0</v>
      </c>
      <c r="E104" s="686">
        <f t="shared" si="4"/>
        <v>0</v>
      </c>
      <c r="F104" s="687">
        <f>SUMIF('ПО КОРИСНИЦИМА'!$G$7:$G$17281,"Свега за програмску активност 1501-0004:",'ПО КОРИСНИЦИМА'!$I$7:$I$17281)</f>
        <v>0</v>
      </c>
      <c r="G104" s="685">
        <f t="shared" si="0"/>
        <v>0</v>
      </c>
      <c r="H104" s="688"/>
    </row>
    <row r="105" spans="1:8" hidden="1" x14ac:dyDescent="0.2">
      <c r="A105" s="652"/>
      <c r="B105" s="652" t="s">
        <v>4109</v>
      </c>
      <c r="C105" s="572" t="s">
        <v>4110</v>
      </c>
      <c r="D105" s="685">
        <f>SUMIF('ПО КОРИСНИЦИМА'!$G$7:$G$17281,"Свега за програмску активност 1501-0005:",'ПО КОРИСНИЦИМА'!$H$7:$H$17281)</f>
        <v>0</v>
      </c>
      <c r="E105" s="686">
        <f t="shared" si="4"/>
        <v>0</v>
      </c>
      <c r="F105" s="687">
        <f>SUMIF('ПО КОРИСНИЦИМА'!$G$7:$G$17281,"Свега за програмску активност 1501-0005:",'ПО КОРИСНИЦИМА'!$I$7:$I$17281)</f>
        <v>0</v>
      </c>
      <c r="G105" s="685">
        <f t="shared" si="0"/>
        <v>0</v>
      </c>
      <c r="H105" s="688"/>
    </row>
    <row r="106" spans="1:8" hidden="1" x14ac:dyDescent="0.2">
      <c r="A106" s="652"/>
      <c r="B106" s="652" t="s">
        <v>4584</v>
      </c>
      <c r="C106" s="570" t="str">
        <f>IFERROR(VLOOKUP(B106,'ПО КОРИСНИЦИМА'!$C$7:$J$17281,5,FALSE),"")</f>
        <v>Стручна пракса 2015</v>
      </c>
      <c r="D106" s="689">
        <f>SUMIF('ПО КОРИСНИЦИМА'!$G$7:$G$17281,"Свега за пројекат 1501-П1:",'ПО КОРИСНИЦИМА'!$H$7:$H$17281)</f>
        <v>0</v>
      </c>
      <c r="E106" s="686">
        <f t="shared" si="4"/>
        <v>0</v>
      </c>
      <c r="F106" s="690">
        <f>SUMIF('ПО КОРИСНИЦИМА'!$G$7:$G$17281,"Свега за пројекат 1501-П1:",'ПО КОРИСНИЦИМА'!$I$7:$I$17281)</f>
        <v>0</v>
      </c>
      <c r="G106" s="685">
        <f t="shared" ref="G106:G129" si="5">D106+F106</f>
        <v>0</v>
      </c>
      <c r="H106" s="688"/>
    </row>
    <row r="107" spans="1:8" hidden="1" x14ac:dyDescent="0.2">
      <c r="A107" s="652"/>
      <c r="B107" s="652" t="s">
        <v>4585</v>
      </c>
      <c r="C107" s="570" t="str">
        <f>IFERROR(VLOOKUP(B107,'ПО КОРИСНИЦИМА'!$C$7:$J$17281,5,FALSE),"")</f>
        <v>Школа заваривања 2015</v>
      </c>
      <c r="D107" s="689">
        <f>SUMIF('ПО КОРИСНИЦИМА'!$G$7:$G$17281,"Свега за пројекат 1501-П2:",'ПО КОРИСНИЦИМА'!$H$7:$H$17281)</f>
        <v>0</v>
      </c>
      <c r="E107" s="686">
        <f t="shared" ref="E107:E129" si="6">IFERROR(D107/$D$601,"-")</f>
        <v>0</v>
      </c>
      <c r="F107" s="690">
        <f>SUMIF('ПО КОРИСНИЦИМА'!$G$7:$G$17281,"Свега за пројекат 1501-П2:",'ПО КОРИСНИЦИМА'!$I$7:$I$17281)</f>
        <v>0</v>
      </c>
      <c r="G107" s="685">
        <f t="shared" si="5"/>
        <v>0</v>
      </c>
      <c r="H107" s="691"/>
    </row>
    <row r="108" spans="1:8" hidden="1" x14ac:dyDescent="0.2">
      <c r="A108" s="652"/>
      <c r="B108" s="652" t="s">
        <v>4586</v>
      </c>
      <c r="C108" s="570" t="str">
        <f>IFERROR(VLOOKUP(B108,'ПО КОРИСНИЦИМА'!$C$7:$J$17281,5,FALSE),"")</f>
        <v/>
      </c>
      <c r="D108" s="689">
        <f>SUMIF('ПО КОРИСНИЦИМА'!$G$7:$G$17281,"Свега за пројекат 1501-П3:",'ПО КОРИСНИЦИМА'!$H$7:$H$17281)</f>
        <v>0</v>
      </c>
      <c r="E108" s="686">
        <f t="shared" si="6"/>
        <v>0</v>
      </c>
      <c r="F108" s="690">
        <f>SUMIF('ПО КОРИСНИЦИМА'!$G$7:$G$17281,"Свега за пројекат 1501-П3:",'ПО КОРИСНИЦИМА'!$I$7:$I$17281)</f>
        <v>0</v>
      </c>
      <c r="G108" s="685">
        <f t="shared" si="5"/>
        <v>0</v>
      </c>
      <c r="H108" s="691"/>
    </row>
    <row r="109" spans="1:8" hidden="1" x14ac:dyDescent="0.2">
      <c r="A109" s="652"/>
      <c r="B109" s="652" t="s">
        <v>4587</v>
      </c>
      <c r="C109" s="572"/>
      <c r="D109" s="689">
        <f>SUMIF('ПО КОРИСНИЦИМА'!$G$7:$G$17281,"Свега за пројекат 1501-П4:",'ПО КОРИСНИЦИМА'!$H$7:$H$17281)</f>
        <v>0</v>
      </c>
      <c r="E109" s="686">
        <f t="shared" si="6"/>
        <v>0</v>
      </c>
      <c r="F109" s="690">
        <f>SUMIF('ПО КОРИСНИЦИМА'!$G$7:$G$17281,"Свега за пројекат 1501-П4:",'ПО КОРИСНИЦИМА'!$I$7:$I$17281)</f>
        <v>0</v>
      </c>
      <c r="G109" s="685">
        <f t="shared" si="5"/>
        <v>0</v>
      </c>
      <c r="H109" s="691"/>
    </row>
    <row r="110" spans="1:8" hidden="1" x14ac:dyDescent="0.2">
      <c r="A110" s="652"/>
      <c r="B110" s="652" t="s">
        <v>4588</v>
      </c>
      <c r="C110" s="572"/>
      <c r="D110" s="689">
        <f>SUMIF('ПО КОРИСНИЦИМА'!$G$7:$G$17281,"Свега за пројекат 1501-П5:",'ПО КОРИСНИЦИМА'!$H$7:$H$17281)</f>
        <v>0</v>
      </c>
      <c r="E110" s="686">
        <f t="shared" si="6"/>
        <v>0</v>
      </c>
      <c r="F110" s="690">
        <f>SUMIF('ПО КОРИСНИЦИМА'!$G$7:$G$17281,"Свега за пројекат 1501-П5:",'ПО КОРИСНИЦИМА'!$I$7:$I$17281)</f>
        <v>0</v>
      </c>
      <c r="G110" s="685">
        <f t="shared" si="5"/>
        <v>0</v>
      </c>
      <c r="H110" s="691"/>
    </row>
    <row r="111" spans="1:8" hidden="1" x14ac:dyDescent="0.2">
      <c r="A111" s="652"/>
      <c r="B111" s="652" t="s">
        <v>4589</v>
      </c>
      <c r="C111" s="572"/>
      <c r="D111" s="689">
        <f>SUMIF('ПО КОРИСНИЦИМА'!$G$7:$G$17281,"Свега за пројекат 1501-П6:",'ПО КОРИСНИЦИМА'!$H$7:$H$17281)</f>
        <v>0</v>
      </c>
      <c r="E111" s="686">
        <f t="shared" si="6"/>
        <v>0</v>
      </c>
      <c r="F111" s="690">
        <f>SUMIF('ПО КОРИСНИЦИМА'!$G$7:$G$17281,"Свега за пројекат 1501-П6:",'ПО КОРИСНИЦИМА'!$I$7:$I$17281)</f>
        <v>0</v>
      </c>
      <c r="G111" s="685">
        <f t="shared" si="5"/>
        <v>0</v>
      </c>
      <c r="H111" s="691"/>
    </row>
    <row r="112" spans="1:8" hidden="1" x14ac:dyDescent="0.2">
      <c r="A112" s="652"/>
      <c r="B112" s="652" t="s">
        <v>4590</v>
      </c>
      <c r="C112" s="572"/>
      <c r="D112" s="689">
        <f>SUMIF('ПО КОРИСНИЦИМА'!$G$7:$G$17281,"Свега за пројекат 1501-П7:",'ПО КОРИСНИЦИМА'!$H$7:$H$17281)</f>
        <v>0</v>
      </c>
      <c r="E112" s="686">
        <f t="shared" si="6"/>
        <v>0</v>
      </c>
      <c r="F112" s="690">
        <f>SUMIF('ПО КОРИСНИЦИМА'!$G$7:$G$17281,"Свега за пројекат 1501-П7:",'ПО КОРИСНИЦИМА'!$I$7:$I$17281)</f>
        <v>0</v>
      </c>
      <c r="G112" s="685">
        <f t="shared" si="5"/>
        <v>0</v>
      </c>
      <c r="H112" s="691"/>
    </row>
    <row r="113" spans="1:8" hidden="1" x14ac:dyDescent="0.2">
      <c r="A113" s="652"/>
      <c r="B113" s="652" t="s">
        <v>4591</v>
      </c>
      <c r="C113" s="572"/>
      <c r="D113" s="689">
        <f>SUMIF('ПО КОРИСНИЦИМА'!$G$7:$G$17281,"Свега за пројекат 1501-П8:",'ПО КОРИСНИЦИМА'!$H$7:$H$17281)</f>
        <v>0</v>
      </c>
      <c r="E113" s="686">
        <f t="shared" si="6"/>
        <v>0</v>
      </c>
      <c r="F113" s="690">
        <f>SUMIF('ПО КОРИСНИЦИМА'!$G$7:$G$17281,"Свега за пројекат 1501-П8:",'ПО КОРИСНИЦИМА'!$I$7:$I$17281)</f>
        <v>0</v>
      </c>
      <c r="G113" s="685">
        <f t="shared" si="5"/>
        <v>0</v>
      </c>
      <c r="H113" s="691"/>
    </row>
    <row r="114" spans="1:8" hidden="1" x14ac:dyDescent="0.2">
      <c r="A114" s="652"/>
      <c r="B114" s="652" t="s">
        <v>4592</v>
      </c>
      <c r="C114" s="572"/>
      <c r="D114" s="689">
        <f>SUMIF('ПО КОРИСНИЦИМА'!$G$7:$G$17281,"Свега за пројекат 1501-П9:",'ПО КОРИСНИЦИМА'!$H$7:$H$17281)</f>
        <v>0</v>
      </c>
      <c r="E114" s="686">
        <f t="shared" si="6"/>
        <v>0</v>
      </c>
      <c r="F114" s="690">
        <f>SUMIF('ПО КОРИСНИЦИМА'!$G$7:$G$17281,"Свега за пројекат 1501-П9:",'ПО КОРИСНИЦИМА'!$I$7:$I$17281)</f>
        <v>0</v>
      </c>
      <c r="G114" s="685">
        <f t="shared" si="5"/>
        <v>0</v>
      </c>
      <c r="H114" s="691"/>
    </row>
    <row r="115" spans="1:8" hidden="1" x14ac:dyDescent="0.2">
      <c r="A115" s="652"/>
      <c r="B115" s="652" t="s">
        <v>4593</v>
      </c>
      <c r="C115" s="572"/>
      <c r="D115" s="689">
        <f>SUMIF('ПО КОРИСНИЦИМА'!$G$7:$G$17281,"Свега за пројекат 1501-П10:",'ПО КОРИСНИЦИМА'!$H$7:$H$17281)</f>
        <v>0</v>
      </c>
      <c r="E115" s="686">
        <f t="shared" si="6"/>
        <v>0</v>
      </c>
      <c r="F115" s="690">
        <f>SUMIF('ПО КОРИСНИЦИМА'!$G$7:$G$17281,"Свега за пројекат 1501-П10:",'ПО КОРИСНИЦИМА'!$I$7:$I$17281)</f>
        <v>0</v>
      </c>
      <c r="G115" s="685">
        <f t="shared" si="5"/>
        <v>0</v>
      </c>
      <c r="H115" s="691"/>
    </row>
    <row r="116" spans="1:8" hidden="1" x14ac:dyDescent="0.2">
      <c r="A116" s="652"/>
      <c r="B116" s="652" t="s">
        <v>4594</v>
      </c>
      <c r="C116" s="572"/>
      <c r="D116" s="689">
        <f>SUMIF('ПО КОРИСНИЦИМА'!$G$7:$G$17281,"Свега за пројекат 1501-П11:",'ПО КОРИСНИЦИМА'!$H$7:$H$17281)</f>
        <v>0</v>
      </c>
      <c r="E116" s="686">
        <f t="shared" si="6"/>
        <v>0</v>
      </c>
      <c r="F116" s="690">
        <f>SUMIF('ПО КОРИСНИЦИМА'!$G$7:$G$17281,"Свега за пројекат 1501-П11:",'ПО КОРИСНИЦИМА'!$I$7:$I$17281)</f>
        <v>0</v>
      </c>
      <c r="G116" s="685">
        <f t="shared" si="5"/>
        <v>0</v>
      </c>
      <c r="H116" s="691"/>
    </row>
    <row r="117" spans="1:8" hidden="1" x14ac:dyDescent="0.2">
      <c r="A117" s="652"/>
      <c r="B117" s="652" t="s">
        <v>4595</v>
      </c>
      <c r="C117" s="572"/>
      <c r="D117" s="689">
        <f>SUMIF('ПО КОРИСНИЦИМА'!$G$7:$G$17281,"Свега за пројекат 1501-П12:",'ПО КОРИСНИЦИМА'!$H$7:$H$17281)</f>
        <v>0</v>
      </c>
      <c r="E117" s="686">
        <f t="shared" si="6"/>
        <v>0</v>
      </c>
      <c r="F117" s="690">
        <f>SUMIF('ПО КОРИСНИЦИМА'!$G$7:$G$17281,"Свега за пројекат 1501-П12:",'ПО КОРИСНИЦИМА'!$I$7:$I$17281)</f>
        <v>0</v>
      </c>
      <c r="G117" s="685">
        <f t="shared" si="5"/>
        <v>0</v>
      </c>
      <c r="H117" s="691"/>
    </row>
    <row r="118" spans="1:8" hidden="1" x14ac:dyDescent="0.2">
      <c r="A118" s="652"/>
      <c r="B118" s="652" t="s">
        <v>4596</v>
      </c>
      <c r="C118" s="572"/>
      <c r="D118" s="689">
        <f>SUMIF('ПО КОРИСНИЦИМА'!$G$7:$G$17281,"Свега за пројекат 1501-П13:",'ПО КОРИСНИЦИМА'!$H$7:$H$17281)</f>
        <v>0</v>
      </c>
      <c r="E118" s="686">
        <f t="shared" si="6"/>
        <v>0</v>
      </c>
      <c r="F118" s="690">
        <f>SUMIF('ПО КОРИСНИЦИМА'!$G$7:$G$17281,"Свега за пројекат 1501-П13:",'ПО КОРИСНИЦИМА'!$I$7:$I$17281)</f>
        <v>0</v>
      </c>
      <c r="G118" s="685">
        <f t="shared" si="5"/>
        <v>0</v>
      </c>
      <c r="H118" s="691"/>
    </row>
    <row r="119" spans="1:8" hidden="1" x14ac:dyDescent="0.2">
      <c r="A119" s="652"/>
      <c r="B119" s="652" t="s">
        <v>4597</v>
      </c>
      <c r="C119" s="572"/>
      <c r="D119" s="689">
        <f>SUMIF('ПО КОРИСНИЦИМА'!$G$7:$G$17281,"Свега за пројекат 1501-П14:",'ПО КОРИСНИЦИМА'!$H$7:$H$17281)</f>
        <v>0</v>
      </c>
      <c r="E119" s="686">
        <f t="shared" si="6"/>
        <v>0</v>
      </c>
      <c r="F119" s="690">
        <f>SUMIF('ПО КОРИСНИЦИМА'!$G$7:$G$17281,"Свега за пројекат 1501-П14:",'ПО КОРИСНИЦИМА'!$I$7:$I$17281)</f>
        <v>0</v>
      </c>
      <c r="G119" s="685">
        <f t="shared" si="5"/>
        <v>0</v>
      </c>
      <c r="H119" s="691"/>
    </row>
    <row r="120" spans="1:8" hidden="1" x14ac:dyDescent="0.2">
      <c r="A120" s="652"/>
      <c r="B120" s="652" t="s">
        <v>4598</v>
      </c>
      <c r="C120" s="572"/>
      <c r="D120" s="689">
        <f>SUMIF('ПО КОРИСНИЦИМА'!$G$7:$G$17281,"Свега за пројекат 1501-П15:",'ПО КОРИСНИЦИМА'!$H$7:$H$17281)</f>
        <v>0</v>
      </c>
      <c r="E120" s="686">
        <f t="shared" si="6"/>
        <v>0</v>
      </c>
      <c r="F120" s="690">
        <f>SUMIF('ПО КОРИСНИЦИМА'!$G$7:$G$17281,"Свега за пројекат 1501-П15:",'ПО КОРИСНИЦИМА'!$I$7:$I$17281)</f>
        <v>0</v>
      </c>
      <c r="G120" s="685">
        <f t="shared" si="5"/>
        <v>0</v>
      </c>
      <c r="H120" s="691"/>
    </row>
    <row r="121" spans="1:8" hidden="1" x14ac:dyDescent="0.2">
      <c r="A121" s="652"/>
      <c r="B121" s="652" t="s">
        <v>4599</v>
      </c>
      <c r="C121" s="572"/>
      <c r="D121" s="689">
        <f>SUMIF('ПО КОРИСНИЦИМА'!$G$7:$G$17281,"Свега за пројекат 1501-П16:",'ПО КОРИСНИЦИМА'!$H$7:$H$17281)</f>
        <v>0</v>
      </c>
      <c r="E121" s="686">
        <f t="shared" si="6"/>
        <v>0</v>
      </c>
      <c r="F121" s="690">
        <f>SUMIF('ПО КОРИСНИЦИМА'!$G$7:$G$17281,"Свега за пројекат 1501-П16:",'ПО КОРИСНИЦИМА'!$I$7:$I$17281)</f>
        <v>0</v>
      </c>
      <c r="G121" s="685">
        <f t="shared" si="5"/>
        <v>0</v>
      </c>
      <c r="H121" s="691"/>
    </row>
    <row r="122" spans="1:8" hidden="1" x14ac:dyDescent="0.2">
      <c r="A122" s="652"/>
      <c r="B122" s="652" t="s">
        <v>4600</v>
      </c>
      <c r="C122" s="572"/>
      <c r="D122" s="689">
        <f>SUMIF('ПО КОРИСНИЦИМА'!$G$7:$G$17281,"Свега за пројекат 1501-П17:",'ПО КОРИСНИЦИМА'!$H$7:$H$17281)</f>
        <v>0</v>
      </c>
      <c r="E122" s="686">
        <f t="shared" si="6"/>
        <v>0</v>
      </c>
      <c r="F122" s="690">
        <f>SUMIF('ПО КОРИСНИЦИМА'!$G$7:$G$17281,"Свега за пројекат 1501-П17:",'ПО КОРИСНИЦИМА'!$I$7:$I$17281)</f>
        <v>0</v>
      </c>
      <c r="G122" s="685">
        <f t="shared" si="5"/>
        <v>0</v>
      </c>
      <c r="H122" s="691"/>
    </row>
    <row r="123" spans="1:8" hidden="1" x14ac:dyDescent="0.2">
      <c r="A123" s="652"/>
      <c r="B123" s="652" t="s">
        <v>4601</v>
      </c>
      <c r="C123" s="572"/>
      <c r="D123" s="689">
        <f>SUMIF('ПО КОРИСНИЦИМА'!$G$7:$G$17281,"Свега за пројекат 1501-П18:",'ПО КОРИСНИЦИМА'!$H$7:$H$17281)</f>
        <v>0</v>
      </c>
      <c r="E123" s="686">
        <f t="shared" si="6"/>
        <v>0</v>
      </c>
      <c r="F123" s="690">
        <f>SUMIF('ПО КОРИСНИЦИМА'!$G$7:$G$17281,"Свега за пројекат 1501-П18:",'ПО КОРИСНИЦИМА'!$I$7:$I$17281)</f>
        <v>0</v>
      </c>
      <c r="G123" s="685">
        <f t="shared" si="5"/>
        <v>0</v>
      </c>
      <c r="H123" s="691"/>
    </row>
    <row r="124" spans="1:8" hidden="1" x14ac:dyDescent="0.2">
      <c r="A124" s="652"/>
      <c r="B124" s="652" t="s">
        <v>4602</v>
      </c>
      <c r="C124" s="572"/>
      <c r="D124" s="689">
        <f>SUMIF('ПО КОРИСНИЦИМА'!$G$7:$G$17281,"Свега за пројекат 1501-П19:",'ПО КОРИСНИЦИМА'!$H$7:$H$17281)</f>
        <v>0</v>
      </c>
      <c r="E124" s="686">
        <f t="shared" si="6"/>
        <v>0</v>
      </c>
      <c r="F124" s="690">
        <f>SUMIF('ПО КОРИСНИЦИМА'!$G$7:$G$17281,"Свега за пројекат 1501-П19:",'ПО КОРИСНИЦИМА'!$I$7:$I$17281)</f>
        <v>0</v>
      </c>
      <c r="G124" s="685">
        <f t="shared" si="5"/>
        <v>0</v>
      </c>
      <c r="H124" s="688"/>
    </row>
    <row r="125" spans="1:8" hidden="1" x14ac:dyDescent="0.2">
      <c r="A125" s="652"/>
      <c r="B125" s="652" t="s">
        <v>4603</v>
      </c>
      <c r="C125" s="572"/>
      <c r="D125" s="689">
        <f>SUMIF('ПО КОРИСНИЦИМА'!$G$7:$G$17281,"Свега за пројекат 1501-П20:",'ПО КОРИСНИЦИМА'!$H$7:$H$17281)</f>
        <v>0</v>
      </c>
      <c r="E125" s="686">
        <f t="shared" si="6"/>
        <v>0</v>
      </c>
      <c r="F125" s="690">
        <f>SUMIF('ПО КОРИСНИЦИМА'!$G$7:$G$17281,"Свега за пројекат 1501-П20:",'ПО КОРИСНИЦИМА'!$I$7:$I$17281)</f>
        <v>0</v>
      </c>
      <c r="G125" s="685">
        <f t="shared" si="5"/>
        <v>0</v>
      </c>
      <c r="H125" s="688"/>
    </row>
    <row r="126" spans="1:8" hidden="1" x14ac:dyDescent="0.2">
      <c r="A126" s="652"/>
      <c r="B126" s="652" t="s">
        <v>4604</v>
      </c>
      <c r="C126" s="572"/>
      <c r="D126" s="689">
        <f>SUMIF('ПО КОРИСНИЦИМА'!$G$7:$G$17281,"Свега за пројекат 1501-П21:",'ПО КОРИСНИЦИМА'!$H$7:$H$17281)</f>
        <v>0</v>
      </c>
      <c r="E126" s="686">
        <f t="shared" si="6"/>
        <v>0</v>
      </c>
      <c r="F126" s="690">
        <f>SUMIF('ПО КОРИСНИЦИМА'!$G$7:$G$17281,"Свега за пројекат 1501-П21:",'ПО КОРИСНИЦИМА'!$I$7:$I$17281)</f>
        <v>0</v>
      </c>
      <c r="G126" s="685">
        <f t="shared" si="5"/>
        <v>0</v>
      </c>
      <c r="H126" s="688"/>
    </row>
    <row r="127" spans="1:8" hidden="1" x14ac:dyDescent="0.2">
      <c r="A127" s="652"/>
      <c r="B127" s="652" t="s">
        <v>4605</v>
      </c>
      <c r="C127" s="572"/>
      <c r="D127" s="689">
        <f>SUMIF('ПО КОРИСНИЦИМА'!$G$7:$G$17281,"Свега за пројекат 1501-П22:",'ПО КОРИСНИЦИМА'!$H$7:$H$17281)</f>
        <v>0</v>
      </c>
      <c r="E127" s="686">
        <f t="shared" si="6"/>
        <v>0</v>
      </c>
      <c r="F127" s="690">
        <f>SUMIF('ПО КОРИСНИЦИМА'!$G$7:$G$17281,"Свега за пројекат 1501-П22:",'ПО КОРИСНИЦИМА'!$I$7:$I$17281)</f>
        <v>0</v>
      </c>
      <c r="G127" s="685">
        <f t="shared" si="5"/>
        <v>0</v>
      </c>
      <c r="H127" s="688"/>
    </row>
    <row r="128" spans="1:8" hidden="1" x14ac:dyDescent="0.2">
      <c r="A128" s="652"/>
      <c r="B128" s="652" t="s">
        <v>4606</v>
      </c>
      <c r="C128" s="572"/>
      <c r="D128" s="689">
        <f>SUMIF('ПО КОРИСНИЦИМА'!$G$7:$G$17281,"Свега за пројекат 1501-П23:",'ПО КОРИСНИЦИМА'!$H$7:$H$17281)</f>
        <v>0</v>
      </c>
      <c r="E128" s="686">
        <f t="shared" si="6"/>
        <v>0</v>
      </c>
      <c r="F128" s="690">
        <f>SUMIF('ПО КОРИСНИЦИМА'!$G$7:$G$17281,"Свега за пројекат 1501-П23:",'ПО КОРИСНИЦИМА'!$I$7:$I$17281)</f>
        <v>0</v>
      </c>
      <c r="G128" s="685">
        <f t="shared" si="5"/>
        <v>0</v>
      </c>
      <c r="H128" s="688"/>
    </row>
    <row r="129" spans="1:8" hidden="1" x14ac:dyDescent="0.2">
      <c r="A129" s="654"/>
      <c r="B129" s="652" t="s">
        <v>4607</v>
      </c>
      <c r="C129" s="573"/>
      <c r="D129" s="689">
        <f>SUMIF('ПО КОРИСНИЦИМА'!$G$7:$G$17281,"Свега за пројекат 1501-П24:",'ПО КОРИСНИЦИМА'!$H$7:$H$17281)</f>
        <v>0</v>
      </c>
      <c r="E129" s="686">
        <f t="shared" si="6"/>
        <v>0</v>
      </c>
      <c r="F129" s="690">
        <f>SUMIF('ПО КОРИСНИЦИМА'!$G$7:$G$17281,"Свега за пројекат 1501-П24:",'ПО КОРИСНИЦИМА'!$I$7:$I$17281)</f>
        <v>0</v>
      </c>
      <c r="G129" s="685">
        <f t="shared" si="5"/>
        <v>0</v>
      </c>
      <c r="H129" s="697"/>
    </row>
    <row r="130" spans="1:8" s="655" customFormat="1" x14ac:dyDescent="0.2">
      <c r="A130" s="647" t="s">
        <v>3575</v>
      </c>
      <c r="B130" s="648"/>
      <c r="C130" s="568" t="s">
        <v>3677</v>
      </c>
      <c r="D130" s="677">
        <f>SUM(D131:D156)</f>
        <v>10846000</v>
      </c>
      <c r="E130" s="678">
        <f>IFERROR(D130/$D$601,"-")</f>
        <v>1.8800485352747445E-2</v>
      </c>
      <c r="F130" s="679">
        <f>SUM(F131:F156)</f>
        <v>500000</v>
      </c>
      <c r="G130" s="677">
        <f t="shared" si="0"/>
        <v>11346000</v>
      </c>
      <c r="H130" s="698"/>
    </row>
    <row r="131" spans="1:8" x14ac:dyDescent="0.2">
      <c r="A131" s="650"/>
      <c r="B131" s="656" t="s">
        <v>4129</v>
      </c>
      <c r="C131" s="574" t="s">
        <v>4111</v>
      </c>
      <c r="D131" s="681">
        <f>SUMIF('ПО КОРИСНИЦИМА'!$G$7:$G$17281,"Свега за програмску активност 1502-0001:",'ПО КОРИСНИЦИМА'!$H$7:$H$17281)</f>
        <v>3826000</v>
      </c>
      <c r="E131" s="682">
        <f>IFERROR(D131/$D$601,"-")</f>
        <v>6.6319986132778643E-3</v>
      </c>
      <c r="F131" s="683">
        <f>SUMIF('ПО КОРИСНИЦИМА'!$G$7:$G$17281,"Свега за програмску активност 1502-0001:",'ПО КОРИСНИЦИМА'!$I$7:$I$17281)</f>
        <v>0</v>
      </c>
      <c r="G131" s="681">
        <f t="shared" si="0"/>
        <v>3826000</v>
      </c>
      <c r="H131" s="684"/>
    </row>
    <row r="132" spans="1:8" x14ac:dyDescent="0.2">
      <c r="A132" s="652"/>
      <c r="B132" s="657" t="s">
        <v>4318</v>
      </c>
      <c r="C132" s="575" t="s">
        <v>4112</v>
      </c>
      <c r="D132" s="685">
        <f>SUMIF('ПО КОРИСНИЦИМА'!$G$7:$G$17281,"Свега за програмску активност 1502-0002:",'ПО КОРИСНИЦИМА'!$H$7:$H$17281)</f>
        <v>2500000</v>
      </c>
      <c r="E132" s="686">
        <f>IFERROR(D132/$D$601,"-")</f>
        <v>4.3335066736002771E-3</v>
      </c>
      <c r="F132" s="687">
        <f>SUMIF('ПО КОРИСНИЦИМА'!$G$7:$G$17281,"Свега за програмску активност 1502-0002:",'ПО КОРИСНИЦИМА'!$I$7:$I$17281)</f>
        <v>500000</v>
      </c>
      <c r="G132" s="685">
        <f t="shared" si="0"/>
        <v>3000000</v>
      </c>
      <c r="H132" s="688"/>
    </row>
    <row r="133" spans="1:8" x14ac:dyDescent="0.2">
      <c r="A133" s="657"/>
      <c r="B133" s="652" t="s">
        <v>4608</v>
      </c>
      <c r="C133" s="570" t="str">
        <f>IFERROR(VLOOKUP(B133,'ПО КОРИСНИЦИМА'!$C$7:$J$17281,5,FALSE),"")</f>
        <v>Дринска регата</v>
      </c>
      <c r="D133" s="689">
        <f>SUMIF('ПО КОРИСНИЦИМА'!$G$7:$G$17281,"Свега за пројекат 1502-П1:",'ПО КОРИСНИЦИМА'!$H$7:$H$17281)</f>
        <v>4520000</v>
      </c>
      <c r="E133" s="686">
        <f>IFERROR(D133/$D$601,"-")</f>
        <v>7.8349800658693014E-3</v>
      </c>
      <c r="F133" s="690">
        <f>SUMIF('ПО КОРИСНИЦИМА'!$G$7:$G$17281,"Свега за пројекат 1502-П1:",'ПО КОРИСНИЦИМА'!$I$7:$I$17281)</f>
        <v>0</v>
      </c>
      <c r="G133" s="685">
        <f t="shared" si="0"/>
        <v>4520000</v>
      </c>
      <c r="H133" s="688"/>
    </row>
    <row r="134" spans="1:8" hidden="1" x14ac:dyDescent="0.2">
      <c r="A134" s="657"/>
      <c r="B134" s="652" t="s">
        <v>4609</v>
      </c>
      <c r="C134" s="570" t="str">
        <f>IFERROR(VLOOKUP(B134,'ПО КОРИСНИЦИМА'!$C$7:$J$17281,5,FALSE),"")</f>
        <v>Међународна смотра фолклора</v>
      </c>
      <c r="D134" s="689">
        <f>SUMIF('ПО КОРИСНИЦИМА'!$G$7:$G$17281,"Свега за пројекат 1502-П2:",'ПО КОРИСНИЦИМА'!$H$7:$H$17281)</f>
        <v>0</v>
      </c>
      <c r="E134" s="686">
        <f t="shared" ref="E134:E156" si="7">IFERROR(D134/$D$601,"-")</f>
        <v>0</v>
      </c>
      <c r="F134" s="690">
        <f>SUMIF('ПО КОРИСНИЦИМА'!$G$7:$G$17281,"Свега за пројекат 1502-П2:",'ПО КОРИСНИЦИМА'!$I$7:$I$17281)</f>
        <v>0</v>
      </c>
      <c r="G134" s="685">
        <f t="shared" si="0"/>
        <v>0</v>
      </c>
      <c r="H134" s="691"/>
    </row>
    <row r="135" spans="1:8" hidden="1" x14ac:dyDescent="0.2">
      <c r="A135" s="657"/>
      <c r="B135" s="652" t="s">
        <v>4610</v>
      </c>
      <c r="C135" s="570" t="str">
        <f>IFERROR(VLOOKUP(B135,'ПО КОРИСНИЦИМА'!$C$7:$J$17281,5,FALSE),"")</f>
        <v>Етно сајам</v>
      </c>
      <c r="D135" s="689">
        <f>SUMIF('ПО КОРИСНИЦИМА'!$G$7:$G$17281,"Свега за пројекат 1502-П3:",'ПО КОРИСНИЦИМА'!$H$7:$H$17281)</f>
        <v>0</v>
      </c>
      <c r="E135" s="686">
        <f t="shared" si="7"/>
        <v>0</v>
      </c>
      <c r="F135" s="690">
        <f>SUMIF('ПО КОРИСНИЦИМА'!$G$7:$G$17281,"Свега за пројекат 1502-П3:",'ПО КОРИСНИЦИМА'!$I$7:$I$17281)</f>
        <v>0</v>
      </c>
      <c r="G135" s="685">
        <f t="shared" si="0"/>
        <v>0</v>
      </c>
      <c r="H135" s="691"/>
    </row>
    <row r="136" spans="1:8" hidden="1" x14ac:dyDescent="0.2">
      <c r="A136" s="657"/>
      <c r="B136" s="652" t="s">
        <v>4611</v>
      </c>
      <c r="C136" s="570" t="str">
        <f>IFERROR(VLOOKUP(B136,'ПО КОРИСНИЦИМА'!$C$7:$J$17281,5,FALSE),"")</f>
        <v>Меморијал Бакије Бакића</v>
      </c>
      <c r="D136" s="689">
        <f>SUMIF('ПО КОРИСНИЦИМА'!$G$7:$G$17281,"Свега за пројекат 1502-П4:",'ПО КОРИСНИЦИМА'!$H$7:$H$17281)</f>
        <v>0</v>
      </c>
      <c r="E136" s="686">
        <f t="shared" si="7"/>
        <v>0</v>
      </c>
      <c r="F136" s="690">
        <f>SUMIF('ПО КОРИСНИЦИМА'!$G$7:$G$17281,"Свега за пројекат 1502-П4:",'ПО КОРИСНИЦИМА'!$I$7:$I$17281)</f>
        <v>0</v>
      </c>
      <c r="G136" s="685">
        <f t="shared" si="0"/>
        <v>0</v>
      </c>
      <c r="H136" s="691"/>
    </row>
    <row r="137" spans="1:8" hidden="1" x14ac:dyDescent="0.2">
      <c r="A137" s="657"/>
      <c r="B137" s="652" t="s">
        <v>4612</v>
      </c>
      <c r="C137" s="570" t="str">
        <f>IFERROR(VLOOKUP(B137,'ПО КОРИСНИЦИМА'!$C$7:$J$17281,5,FALSE),"")</f>
        <v>Новогодишње украшавање града</v>
      </c>
      <c r="D137" s="689">
        <f>SUMIF('ПО КОРИСНИЦИМА'!$G$7:$G$17281,"Свега за пројекат 1502-П5:",'ПО КОРИСНИЦИМА'!$H$7:$H$17281)</f>
        <v>0</v>
      </c>
      <c r="E137" s="686">
        <f t="shared" si="7"/>
        <v>0</v>
      </c>
      <c r="F137" s="690">
        <f>SUMIF('ПО КОРИСНИЦИМА'!$G$7:$G$17281,"Свега за пројекат 1502-П5:",'ПО КОРИСНИЦИМА'!$I$7:$I$17281)</f>
        <v>0</v>
      </c>
      <c r="G137" s="685">
        <f t="shared" si="0"/>
        <v>0</v>
      </c>
      <c r="H137" s="691"/>
    </row>
    <row r="138" spans="1:8" hidden="1" x14ac:dyDescent="0.2">
      <c r="A138" s="657"/>
      <c r="B138" s="652" t="s">
        <v>4613</v>
      </c>
      <c r="C138" s="570" t="str">
        <f>IFERROR(VLOOKUP(B138,'ПО КОРИСНИЦИМА'!$C$7:$J$17281,5,FALSE),"")</f>
        <v>Постављање Ски лифта "Суво Рудиште"</v>
      </c>
      <c r="D138" s="689">
        <f>SUMIF('ПО КОРИСНИЦИМА'!$G$7:$G$17281,"Свега за пројекат 1502-П6:",'ПО КОРИСНИЦИМА'!$H$7:$H$17281)</f>
        <v>0</v>
      </c>
      <c r="E138" s="686">
        <f t="shared" si="7"/>
        <v>0</v>
      </c>
      <c r="F138" s="690">
        <f>SUMIF('ПО КОРИСНИЦИМА'!$G$7:$G$17281,"Свега за пројекат 1502-П6:",'ПО КОРИСНИЦИМА'!$I$7:$I$17281)</f>
        <v>0</v>
      </c>
      <c r="G138" s="685">
        <f t="shared" si="0"/>
        <v>0</v>
      </c>
      <c r="H138" s="691"/>
    </row>
    <row r="139" spans="1:8" hidden="1" x14ac:dyDescent="0.2">
      <c r="A139" s="657"/>
      <c r="B139" s="652" t="s">
        <v>4614</v>
      </c>
      <c r="C139" s="570" t="str">
        <f>IFERROR(VLOOKUP(B139,'ПО КОРИСНИЦИМА'!$C$7:$J$17281,5,FALSE),"")</f>
        <v/>
      </c>
      <c r="D139" s="689">
        <f>SUMIF('ПО КОРИСНИЦИМА'!$G$7:$G$17281,"Свега за пројекат 1502-П7:",'ПО КОРИСНИЦИМА'!$H$7:$H$17281)</f>
        <v>0</v>
      </c>
      <c r="E139" s="686">
        <f t="shared" si="7"/>
        <v>0</v>
      </c>
      <c r="F139" s="690">
        <f>SUMIF('ПО КОРИСНИЦИМА'!$G$7:$G$17281,"Свега за пројекат 1502-П7:",'ПО КОРИСНИЦИМА'!$I$7:$I$17281)</f>
        <v>0</v>
      </c>
      <c r="G139" s="685">
        <f t="shared" si="0"/>
        <v>0</v>
      </c>
      <c r="H139" s="691"/>
    </row>
    <row r="140" spans="1:8" hidden="1" x14ac:dyDescent="0.2">
      <c r="A140" s="657"/>
      <c r="B140" s="652" t="s">
        <v>4615</v>
      </c>
      <c r="C140" s="570" t="str">
        <f>IFERROR(VLOOKUP(B140,'ПО КОРИСНИЦИМА'!$C$7:$J$17281,5,FALSE),"")</f>
        <v/>
      </c>
      <c r="D140" s="689">
        <f>SUMIF('ПО КОРИСНИЦИМА'!$G$7:$G$17281,"Свега за пројекат 1502-П8:",'ПО КОРИСНИЦИМА'!$H$7:$H$17281)</f>
        <v>0</v>
      </c>
      <c r="E140" s="686">
        <f t="shared" si="7"/>
        <v>0</v>
      </c>
      <c r="F140" s="690">
        <f>SUMIF('ПО КОРИСНИЦИМА'!$G$7:$G$17281,"Свега за пројекат 1502-П8:",'ПО КОРИСНИЦИМА'!$I$7:$I$17281)</f>
        <v>0</v>
      </c>
      <c r="G140" s="685">
        <f t="shared" si="0"/>
        <v>0</v>
      </c>
      <c r="H140" s="691"/>
    </row>
    <row r="141" spans="1:8" hidden="1" x14ac:dyDescent="0.2">
      <c r="A141" s="657"/>
      <c r="B141" s="652" t="s">
        <v>4616</v>
      </c>
      <c r="C141" s="570" t="str">
        <f>IFERROR(VLOOKUP(B141,'ПО КОРИСНИЦИМА'!$C$7:$J$17281,5,FALSE),"")</f>
        <v/>
      </c>
      <c r="D141" s="689">
        <f>SUMIF('ПО КОРИСНИЦИМА'!$G$7:$G$17281,"Свега за пројекат 1502-П9:",'ПО КОРИСНИЦИМА'!$H$7:$H$17281)</f>
        <v>0</v>
      </c>
      <c r="E141" s="686">
        <f t="shared" si="7"/>
        <v>0</v>
      </c>
      <c r="F141" s="690">
        <f>SUMIF('ПО КОРИСНИЦИМА'!$G$7:$G$17281,"Свега за пројекат 1502-П9:",'ПО КОРИСНИЦИМА'!$I$7:$I$17281)</f>
        <v>0</v>
      </c>
      <c r="G141" s="685">
        <f t="shared" si="0"/>
        <v>0</v>
      </c>
      <c r="H141" s="691"/>
    </row>
    <row r="142" spans="1:8" hidden="1" x14ac:dyDescent="0.2">
      <c r="A142" s="657"/>
      <c r="B142" s="652" t="s">
        <v>4617</v>
      </c>
      <c r="C142" s="570" t="str">
        <f>IFERROR(VLOOKUP(B142,'ПО КОРИСНИЦИМА'!$C$7:$J$17281,5,FALSE),"")</f>
        <v/>
      </c>
      <c r="D142" s="689">
        <f>SUMIF('ПО КОРИСНИЦИМА'!$G$7:$G$17281,"Свега за пројекат 1502-П10:",'ПО КОРИСНИЦИМА'!$H$7:$H$17281)</f>
        <v>0</v>
      </c>
      <c r="E142" s="686">
        <f t="shared" si="7"/>
        <v>0</v>
      </c>
      <c r="F142" s="690">
        <f>SUMIF('ПО КОРИСНИЦИМА'!$G$7:$G$17281,"Свега за пројекат 1502-П10:",'ПО КОРИСНИЦИМА'!$I$7:$I$17281)</f>
        <v>0</v>
      </c>
      <c r="G142" s="685">
        <f t="shared" si="0"/>
        <v>0</v>
      </c>
      <c r="H142" s="691"/>
    </row>
    <row r="143" spans="1:8" hidden="1" x14ac:dyDescent="0.2">
      <c r="A143" s="657"/>
      <c r="B143" s="652" t="s">
        <v>4618</v>
      </c>
      <c r="C143" s="570" t="str">
        <f>IFERROR(VLOOKUP(B143,'ПО КОРИСНИЦИМА'!$C$7:$J$17281,5,FALSE),"")</f>
        <v/>
      </c>
      <c r="D143" s="689">
        <f>SUMIF('ПО КОРИСНИЦИМА'!$G$7:$G$17281,"Свега за пројекат 1502-П11:",'ПО КОРИСНИЦИМА'!$H$7:$H$17281)</f>
        <v>0</v>
      </c>
      <c r="E143" s="686">
        <f t="shared" si="7"/>
        <v>0</v>
      </c>
      <c r="F143" s="690">
        <f>SUMIF('ПО КОРИСНИЦИМА'!$G$7:$G$17281,"Свега за пројекат 1502-П11:",'ПО КОРИСНИЦИМА'!$I$7:$I$17281)</f>
        <v>0</v>
      </c>
      <c r="G143" s="685">
        <f t="shared" si="0"/>
        <v>0</v>
      </c>
      <c r="H143" s="691"/>
    </row>
    <row r="144" spans="1:8" hidden="1" x14ac:dyDescent="0.2">
      <c r="A144" s="657"/>
      <c r="B144" s="652" t="s">
        <v>4619</v>
      </c>
      <c r="C144" s="570" t="str">
        <f>IFERROR(VLOOKUP(B144,'ПО КОРИСНИЦИМА'!$C$7:$J$17281,5,FALSE),"")</f>
        <v/>
      </c>
      <c r="D144" s="689">
        <f>SUMIF('ПО КОРИСНИЦИМА'!$G$7:$G$17281,"Свега за пројекат 1502-П12:",'ПО КОРИСНИЦИМА'!$H$7:$H$17281)</f>
        <v>0</v>
      </c>
      <c r="E144" s="686">
        <f t="shared" si="7"/>
        <v>0</v>
      </c>
      <c r="F144" s="690">
        <f>SUMIF('ПО КОРИСНИЦИМА'!$G$7:$G$17281,"Свега за пројекат 1502-П12:",'ПО КОРИСНИЦИМА'!$I$7:$I$17281)</f>
        <v>0</v>
      </c>
      <c r="G144" s="685">
        <f t="shared" si="0"/>
        <v>0</v>
      </c>
      <c r="H144" s="691"/>
    </row>
    <row r="145" spans="1:8" hidden="1" x14ac:dyDescent="0.2">
      <c r="A145" s="657"/>
      <c r="B145" s="652" t="s">
        <v>4620</v>
      </c>
      <c r="C145" s="570" t="str">
        <f>IFERROR(VLOOKUP(B145,'ПО КОРИСНИЦИМА'!$C$7:$J$17281,5,FALSE),"")</f>
        <v/>
      </c>
      <c r="D145" s="689">
        <f>SUMIF('ПО КОРИСНИЦИМА'!$G$7:$G$17281,"Свега за пројекат 1502-П13:",'ПО КОРИСНИЦИМА'!$H$7:$H$17281)</f>
        <v>0</v>
      </c>
      <c r="E145" s="686">
        <f t="shared" si="7"/>
        <v>0</v>
      </c>
      <c r="F145" s="690">
        <f>SUMIF('ПО КОРИСНИЦИМА'!$G$7:$G$17281,"Свега за пројекат 1502-П13:",'ПО КОРИСНИЦИМА'!$I$7:$I$17281)</f>
        <v>0</v>
      </c>
      <c r="G145" s="685">
        <f t="shared" si="0"/>
        <v>0</v>
      </c>
      <c r="H145" s="691"/>
    </row>
    <row r="146" spans="1:8" hidden="1" x14ac:dyDescent="0.2">
      <c r="A146" s="657"/>
      <c r="B146" s="652" t="s">
        <v>4621</v>
      </c>
      <c r="C146" s="570" t="str">
        <f>IFERROR(VLOOKUP(B146,'ПО КОРИСНИЦИМА'!$C$7:$J$17281,5,FALSE),"")</f>
        <v/>
      </c>
      <c r="D146" s="689">
        <f>SUMIF('ПО КОРИСНИЦИМА'!$G$7:$G$17281,"Свега за пројекат 1502-П14:",'ПО КОРИСНИЦИМА'!$H$7:$H$17281)</f>
        <v>0</v>
      </c>
      <c r="E146" s="686">
        <f t="shared" si="7"/>
        <v>0</v>
      </c>
      <c r="F146" s="690">
        <f>SUMIF('ПО КОРИСНИЦИМА'!$G$7:$G$17281,"Свега за пројекат 1502-П14:",'ПО КОРИСНИЦИМА'!$I$7:$I$17281)</f>
        <v>0</v>
      </c>
      <c r="G146" s="685">
        <f t="shared" si="0"/>
        <v>0</v>
      </c>
      <c r="H146" s="691"/>
    </row>
    <row r="147" spans="1:8" hidden="1" x14ac:dyDescent="0.2">
      <c r="A147" s="657"/>
      <c r="B147" s="652" t="s">
        <v>4622</v>
      </c>
      <c r="C147" s="570" t="str">
        <f>IFERROR(VLOOKUP(B147,'ПО КОРИСНИЦИМА'!$C$7:$J$17281,5,FALSE),"")</f>
        <v/>
      </c>
      <c r="D147" s="689">
        <f>SUMIF('ПО КОРИСНИЦИМА'!$G$7:$G$17281,"Свега за пројекат 1502-П15:",'ПО КОРИСНИЦИМА'!$H$7:$H$17281)</f>
        <v>0</v>
      </c>
      <c r="E147" s="686">
        <f t="shared" si="7"/>
        <v>0</v>
      </c>
      <c r="F147" s="690">
        <f>SUMIF('ПО КОРИСНИЦИМА'!$G$7:$G$17281,"Свега за пројекат 1502-П15:",'ПО КОРИСНИЦИМА'!$I$7:$I$17281)</f>
        <v>0</v>
      </c>
      <c r="G147" s="685">
        <f t="shared" si="0"/>
        <v>0</v>
      </c>
      <c r="H147" s="691"/>
    </row>
    <row r="148" spans="1:8" hidden="1" x14ac:dyDescent="0.2">
      <c r="A148" s="657"/>
      <c r="B148" s="652" t="s">
        <v>4623</v>
      </c>
      <c r="C148" s="570" t="str">
        <f>IFERROR(VLOOKUP(B148,'ПО КОРИСНИЦИМА'!$C$7:$J$17281,5,FALSE),"")</f>
        <v/>
      </c>
      <c r="D148" s="689">
        <f>SUMIF('ПО КОРИСНИЦИМА'!$G$7:$G$17281,"Свега за пројекат 1502-П16:",'ПО КОРИСНИЦИМА'!$H$7:$H$17281)</f>
        <v>0</v>
      </c>
      <c r="E148" s="686">
        <f t="shared" si="7"/>
        <v>0</v>
      </c>
      <c r="F148" s="690">
        <f>SUMIF('ПО КОРИСНИЦИМА'!$G$7:$G$17281,"Свега за пројекат 1502-П16:",'ПО КОРИСНИЦИМА'!$I$7:$I$17281)</f>
        <v>0</v>
      </c>
      <c r="G148" s="685">
        <f t="shared" si="0"/>
        <v>0</v>
      </c>
      <c r="H148" s="691"/>
    </row>
    <row r="149" spans="1:8" hidden="1" x14ac:dyDescent="0.2">
      <c r="A149" s="657"/>
      <c r="B149" s="652" t="s">
        <v>4624</v>
      </c>
      <c r="C149" s="570" t="str">
        <f>IFERROR(VLOOKUP(B149,'ПО КОРИСНИЦИМА'!$C$7:$J$17281,5,FALSE),"")</f>
        <v/>
      </c>
      <c r="D149" s="689">
        <f>SUMIF('ПО КОРИСНИЦИМА'!$G$7:$G$17281,"Свега за пројекат 1502-П17:",'ПО КОРИСНИЦИМА'!$H$7:$H$17281)</f>
        <v>0</v>
      </c>
      <c r="E149" s="686">
        <f t="shared" si="7"/>
        <v>0</v>
      </c>
      <c r="F149" s="690">
        <f>SUMIF('ПО КОРИСНИЦИМА'!$G$7:$G$17281,"Свега за пројекат 1502-П17:",'ПО КОРИСНИЦИМА'!$I$7:$I$17281)</f>
        <v>0</v>
      </c>
      <c r="G149" s="685">
        <f t="shared" si="0"/>
        <v>0</v>
      </c>
      <c r="H149" s="691"/>
    </row>
    <row r="150" spans="1:8" hidden="1" x14ac:dyDescent="0.2">
      <c r="A150" s="657"/>
      <c r="B150" s="652" t="s">
        <v>4625</v>
      </c>
      <c r="C150" s="570" t="str">
        <f>IFERROR(VLOOKUP(B150,'ПО КОРИСНИЦИМА'!$C$7:$J$17281,5,FALSE),"")</f>
        <v/>
      </c>
      <c r="D150" s="689">
        <f>SUMIF('ПО КОРИСНИЦИМА'!$G$7:$G$17281,"Свега за пројекат 1502-П18:",'ПО КОРИСНИЦИМА'!$H$7:$H$17281)</f>
        <v>0</v>
      </c>
      <c r="E150" s="686">
        <f t="shared" si="7"/>
        <v>0</v>
      </c>
      <c r="F150" s="690">
        <f>SUMIF('ПО КОРИСНИЦИМА'!$G$7:$G$17281,"Свега за пројекат 1502-П18:",'ПО КОРИСНИЦИМА'!$I$7:$I$17281)</f>
        <v>0</v>
      </c>
      <c r="G150" s="685">
        <f t="shared" si="0"/>
        <v>0</v>
      </c>
      <c r="H150" s="691"/>
    </row>
    <row r="151" spans="1:8" hidden="1" x14ac:dyDescent="0.2">
      <c r="A151" s="657"/>
      <c r="B151" s="652" t="s">
        <v>4626</v>
      </c>
      <c r="C151" s="570" t="str">
        <f>IFERROR(VLOOKUP(B151,'ПО КОРИСНИЦИМА'!$C$7:$J$17281,5,FALSE),"")</f>
        <v/>
      </c>
      <c r="D151" s="689">
        <f>SUMIF('ПО КОРИСНИЦИМА'!$G$7:$G$17281,"Свега за пројекат 1502-П19:",'ПО КОРИСНИЦИМА'!$H$7:$H$17281)</f>
        <v>0</v>
      </c>
      <c r="E151" s="686">
        <f t="shared" si="7"/>
        <v>0</v>
      </c>
      <c r="F151" s="690">
        <f>SUMIF('ПО КОРИСНИЦИМА'!$G$7:$G$17281,"Свега за пројекат 1502-П19:",'ПО КОРИСНИЦИМА'!$I$7:$I$17281)</f>
        <v>0</v>
      </c>
      <c r="G151" s="685">
        <f t="shared" si="0"/>
        <v>0</v>
      </c>
      <c r="H151" s="691"/>
    </row>
    <row r="152" spans="1:8" hidden="1" x14ac:dyDescent="0.2">
      <c r="A152" s="657"/>
      <c r="B152" s="652" t="s">
        <v>4627</v>
      </c>
      <c r="C152" s="570" t="str">
        <f>IFERROR(VLOOKUP(B152,'ПО КОРИСНИЦИМА'!$C$7:$J$17281,5,FALSE),"")</f>
        <v/>
      </c>
      <c r="D152" s="689">
        <f>SUMIF('ПО КОРИСНИЦИМА'!$G$7:$G$17281,"Свега за пројекат 1502-П20:",'ПО КОРИСНИЦИМА'!$H$7:$H$17281)</f>
        <v>0</v>
      </c>
      <c r="E152" s="686">
        <f t="shared" si="7"/>
        <v>0</v>
      </c>
      <c r="F152" s="690">
        <f>SUMIF('ПО КОРИСНИЦИМА'!$G$7:$G$17281,"Свега за пројекат 1502-П20:",'ПО КОРИСНИЦИМА'!$I$7:$I$17281)</f>
        <v>0</v>
      </c>
      <c r="G152" s="685">
        <f t="shared" si="0"/>
        <v>0</v>
      </c>
      <c r="H152" s="691"/>
    </row>
    <row r="153" spans="1:8" hidden="1" x14ac:dyDescent="0.2">
      <c r="A153" s="657"/>
      <c r="B153" s="652" t="s">
        <v>4628</v>
      </c>
      <c r="C153" s="570" t="str">
        <f>IFERROR(VLOOKUP(B153,'ПО КОРИСНИЦИМА'!$C$7:$J$17281,5,FALSE),"")</f>
        <v/>
      </c>
      <c r="D153" s="689">
        <f>SUMIF('ПО КОРИСНИЦИМА'!$G$7:$G$17281,"Свега за пројекат 1502-П21:",'ПО КОРИСНИЦИМА'!$H$7:$H$17281)</f>
        <v>0</v>
      </c>
      <c r="E153" s="686">
        <f t="shared" si="7"/>
        <v>0</v>
      </c>
      <c r="F153" s="690">
        <f>SUMIF('ПО КОРИСНИЦИМА'!$G$7:$G$17281,"Свега за пројекат 1502-П21:",'ПО КОРИСНИЦИМА'!$I$7:$I$17281)</f>
        <v>0</v>
      </c>
      <c r="G153" s="685">
        <f t="shared" si="0"/>
        <v>0</v>
      </c>
      <c r="H153" s="691"/>
    </row>
    <row r="154" spans="1:8" hidden="1" x14ac:dyDescent="0.2">
      <c r="A154" s="657"/>
      <c r="B154" s="652" t="s">
        <v>4629</v>
      </c>
      <c r="C154" s="570" t="str">
        <f>IFERROR(VLOOKUP(B154,'ПО КОРИСНИЦИМА'!$C$7:$J$17281,5,FALSE),"")</f>
        <v/>
      </c>
      <c r="D154" s="689">
        <f>SUMIF('ПО КОРИСНИЦИМА'!$G$7:$G$17281,"Свега за пројекат 1502-П22:",'ПО КОРИСНИЦИМА'!$H$7:$H$17281)</f>
        <v>0</v>
      </c>
      <c r="E154" s="686">
        <f t="shared" si="7"/>
        <v>0</v>
      </c>
      <c r="F154" s="690">
        <f>SUMIF('ПО КОРИСНИЦИМА'!$G$7:$G$17281,"Свега за пројекат 1502-П22:",'ПО КОРИСНИЦИМА'!$I$7:$I$17281)</f>
        <v>0</v>
      </c>
      <c r="G154" s="685">
        <f t="shared" si="0"/>
        <v>0</v>
      </c>
      <c r="H154" s="688"/>
    </row>
    <row r="155" spans="1:8" hidden="1" x14ac:dyDescent="0.2">
      <c r="A155" s="657"/>
      <c r="B155" s="652" t="s">
        <v>4630</v>
      </c>
      <c r="C155" s="570" t="str">
        <f>IFERROR(VLOOKUP(B155,'ПО КОРИСНИЦИМА'!$C$7:$J$17281,5,FALSE),"")</f>
        <v/>
      </c>
      <c r="D155" s="689">
        <f>SUMIF('ПО КОРИСНИЦИМА'!$G$7:$G$17281,"Свега за пројекат 1502-П23:",'ПО КОРИСНИЦИМА'!$H$7:$H$17281)</f>
        <v>0</v>
      </c>
      <c r="E155" s="686">
        <f t="shared" si="7"/>
        <v>0</v>
      </c>
      <c r="F155" s="690">
        <f>SUMIF('ПО КОРИСНИЦИМА'!$G$7:$G$17281,"Свега за пројекат 1502-П23:",'ПО КОРИСНИЦИМА'!$I$7:$I$17281)</f>
        <v>0</v>
      </c>
      <c r="G155" s="685">
        <f t="shared" si="0"/>
        <v>0</v>
      </c>
      <c r="H155" s="688"/>
    </row>
    <row r="156" spans="1:8" hidden="1" x14ac:dyDescent="0.2">
      <c r="A156" s="658"/>
      <c r="B156" s="652" t="s">
        <v>4631</v>
      </c>
      <c r="C156" s="570" t="str">
        <f>IFERROR(VLOOKUP(B156,'ПО КОРИСНИЦИМА'!$C$7:$J$17281,5,FALSE),"")</f>
        <v/>
      </c>
      <c r="D156" s="689">
        <f>SUMIF('ПО КОРИСНИЦИМА'!$G$7:$G$17281,"Свега за пројекат 1502-П24:",'ПО КОРИСНИЦИМА'!$H$7:$H$17281)</f>
        <v>0</v>
      </c>
      <c r="E156" s="686">
        <f t="shared" si="7"/>
        <v>0</v>
      </c>
      <c r="F156" s="690">
        <f>SUMIF('ПО КОРИСНИЦИМА'!$G$7:$G$17281,"Свега за пројекат 1502-П24:",'ПО КОРИСНИЦИМА'!$I$7:$I$17281)</f>
        <v>0</v>
      </c>
      <c r="G156" s="685">
        <f t="shared" si="0"/>
        <v>0</v>
      </c>
      <c r="H156" s="697"/>
    </row>
    <row r="157" spans="1:8" s="655" customFormat="1" x14ac:dyDescent="0.2">
      <c r="A157" s="647" t="s">
        <v>3578</v>
      </c>
      <c r="B157" s="648"/>
      <c r="C157" s="568" t="s">
        <v>3678</v>
      </c>
      <c r="D157" s="677">
        <f>SUM(D158:D175)</f>
        <v>30500000</v>
      </c>
      <c r="E157" s="678">
        <f>IFERROR(D157/$D$601,"-")</f>
        <v>5.2868781417923387E-2</v>
      </c>
      <c r="F157" s="679">
        <f>SUM(F158:F175)</f>
        <v>0</v>
      </c>
      <c r="G157" s="677">
        <f t="shared" si="0"/>
        <v>30500000</v>
      </c>
      <c r="H157" s="698"/>
    </row>
    <row r="158" spans="1:8" hidden="1" x14ac:dyDescent="0.2">
      <c r="A158" s="650"/>
      <c r="B158" s="659" t="s">
        <v>4130</v>
      </c>
      <c r="C158" s="569" t="s">
        <v>4113</v>
      </c>
      <c r="D158" s="681">
        <f>SUMIF('ПО КОРИСНИЦИМА'!$G$7:$G$17281,"Свега за програмску активност 0101-0001:",'ПО КОРИСНИЦИМА'!$H$7:$H$17281)</f>
        <v>0</v>
      </c>
      <c r="E158" s="682">
        <f>IFERROR(D158/$D$601,"-")</f>
        <v>0</v>
      </c>
      <c r="F158" s="683">
        <f>SUMIF('ПО КОРИСНИЦИМА'!$G$7:$G$17281,"Свега за програмску активност 0101-0001:",'ПО КОРИСНИЦИМА'!$I$7:$I$17281)</f>
        <v>0</v>
      </c>
      <c r="G158" s="681">
        <f t="shared" si="0"/>
        <v>0</v>
      </c>
      <c r="H158" s="684"/>
    </row>
    <row r="159" spans="1:8" x14ac:dyDescent="0.2">
      <c r="A159" s="652"/>
      <c r="B159" s="657" t="s">
        <v>4128</v>
      </c>
      <c r="C159" s="570" t="s">
        <v>4114</v>
      </c>
      <c r="D159" s="685">
        <f>SUMIF('ПО КОРИСНИЦИМА'!$G$7:$G$17281,"Свега за програмску активност 0101-0002:",'ПО КОРИСНИЦИМА'!$H$7:$H$17281)</f>
        <v>30500000</v>
      </c>
      <c r="E159" s="686">
        <f>IFERROR(D159/$D$601,"-")</f>
        <v>5.2868781417923387E-2</v>
      </c>
      <c r="F159" s="687">
        <f>SUMIF('ПО КОРИСНИЦИМА'!$G$7:$G$17281,"Свега за програмску активност 0101-0002:",'ПО КОРИСНИЦИМА'!$I$7:$I$17281)</f>
        <v>0</v>
      </c>
      <c r="G159" s="685">
        <f t="shared" si="0"/>
        <v>30500000</v>
      </c>
      <c r="H159" s="688"/>
    </row>
    <row r="160" spans="1:8" hidden="1" x14ac:dyDescent="0.2">
      <c r="A160" s="657"/>
      <c r="B160" s="660" t="s">
        <v>4632</v>
      </c>
      <c r="C160" s="570" t="str">
        <f>IFERROR(VLOOKUP(B160,'ПО КОРИСНИЦИМА'!$C$7:$J$17281,5,FALSE),"")</f>
        <v xml:space="preserve">Набавка стеоних јуница </v>
      </c>
      <c r="D160" s="689">
        <f>SUMIF('ПО КОРИСНИЦИМА'!$G$7:$G$17281,"Свега за пројекат 0101-П1:",'ПО КОРИСНИЦИМА'!$H$7:$H$17281)</f>
        <v>0</v>
      </c>
      <c r="E160" s="686">
        <f>IFERROR(D160/$D$601,"-")</f>
        <v>0</v>
      </c>
      <c r="F160" s="690">
        <f>SUMIF('ПО КОРИСНИЦИМА'!$G$7:$G$17281,"Свега за пројекат 1502-П1:",'ПО КОРИСНИЦИМА'!$I$7:$I$17281)</f>
        <v>0</v>
      </c>
      <c r="G160" s="685">
        <f t="shared" ref="G160:G175" si="8">D160+F160</f>
        <v>0</v>
      </c>
      <c r="H160" s="688"/>
    </row>
    <row r="161" spans="1:8" hidden="1" x14ac:dyDescent="0.2">
      <c r="A161" s="657"/>
      <c r="B161" s="660" t="s">
        <v>4633</v>
      </c>
      <c r="C161" s="570" t="str">
        <f>IFERROR(VLOOKUP(B161,'ПО КОРИСНИЦИМА'!$C$7:$J$17281,5,FALSE),"")</f>
        <v/>
      </c>
      <c r="D161" s="689">
        <f>SUMIF('ПО КОРИСНИЦИМА'!$G$7:$G$17281,"Свега за пројекат 0101-П2:",'ПО КОРИСНИЦИМА'!$H$7:$H$17281)</f>
        <v>0</v>
      </c>
      <c r="E161" s="686">
        <f t="shared" ref="E161:E175" si="9">IFERROR(D161/$D$601,"-")</f>
        <v>0</v>
      </c>
      <c r="F161" s="690">
        <f>SUMIF('ПО КОРИСНИЦИМА'!$G$7:$G$17281,"Свега за пројекат 0101-П2:",'ПО КОРИСНИЦИМА'!$I$7:$I$17281)</f>
        <v>0</v>
      </c>
      <c r="G161" s="685">
        <f t="shared" si="8"/>
        <v>0</v>
      </c>
      <c r="H161" s="691"/>
    </row>
    <row r="162" spans="1:8" hidden="1" x14ac:dyDescent="0.2">
      <c r="A162" s="657"/>
      <c r="B162" s="660" t="s">
        <v>4634</v>
      </c>
      <c r="C162" s="570" t="str">
        <f>IFERROR(VLOOKUP(B162,'ПО КОРИСНИЦИМА'!$C$7:$J$17281,5,FALSE),"")</f>
        <v/>
      </c>
      <c r="D162" s="689">
        <f>SUMIF('ПО КОРИСНИЦИМА'!$G$7:$G$17281,"Свега за пројекат 0101-П3:",'ПО КОРИСНИЦИМА'!$H$7:$H$17281)</f>
        <v>0</v>
      </c>
      <c r="E162" s="686">
        <f t="shared" si="9"/>
        <v>0</v>
      </c>
      <c r="F162" s="690">
        <f>SUMIF('ПО КОРИСНИЦИМА'!$G$7:$G$17281,"Свега за пројекат 0101-П3:",'ПО КОРИСНИЦИМА'!$I$7:$I$17281)</f>
        <v>0</v>
      </c>
      <c r="G162" s="685">
        <f t="shared" si="8"/>
        <v>0</v>
      </c>
      <c r="H162" s="691"/>
    </row>
    <row r="163" spans="1:8" hidden="1" x14ac:dyDescent="0.2">
      <c r="A163" s="657"/>
      <c r="B163" s="660" t="s">
        <v>4635</v>
      </c>
      <c r="C163" s="570" t="str">
        <f>IFERROR(VLOOKUP(B163,'ПО КОРИСНИЦИМА'!$C$7:$J$17281,5,FALSE),"")</f>
        <v/>
      </c>
      <c r="D163" s="689">
        <f>SUMIF('ПО КОРИСНИЦИМА'!$G$7:$G$17281,"Свега за пројекат 0101-П4:",'ПО КОРИСНИЦИМА'!$H$7:$H$17281)</f>
        <v>0</v>
      </c>
      <c r="E163" s="686">
        <f t="shared" si="9"/>
        <v>0</v>
      </c>
      <c r="F163" s="690">
        <f>SUMIF('ПО КОРИСНИЦИМА'!$G$7:$G$17281,"Свега за пројекат 0101-П4:",'ПО КОРИСНИЦИМА'!$I$7:$I$17281)</f>
        <v>0</v>
      </c>
      <c r="G163" s="685">
        <f t="shared" si="8"/>
        <v>0</v>
      </c>
      <c r="H163" s="691"/>
    </row>
    <row r="164" spans="1:8" hidden="1" x14ac:dyDescent="0.2">
      <c r="A164" s="657"/>
      <c r="B164" s="660" t="s">
        <v>4636</v>
      </c>
      <c r="C164" s="570" t="str">
        <f>IFERROR(VLOOKUP(B164,'ПО КОРИСНИЦИМА'!$C$7:$J$17281,5,FALSE),"")</f>
        <v/>
      </c>
      <c r="D164" s="689">
        <f>SUMIF('ПО КОРИСНИЦИМА'!$G$7:$G$17281,"Свега за пројекат 0101-П5:",'ПО КОРИСНИЦИМА'!$H$7:$H$17281)</f>
        <v>0</v>
      </c>
      <c r="E164" s="686">
        <f t="shared" si="9"/>
        <v>0</v>
      </c>
      <c r="F164" s="690">
        <f>SUMIF('ПО КОРИСНИЦИМА'!$G$7:$G$17281,"Свега за пројекат 0101-П5:",'ПО КОРИСНИЦИМА'!$I$7:$I$17281)</f>
        <v>0</v>
      </c>
      <c r="G164" s="685">
        <f t="shared" si="8"/>
        <v>0</v>
      </c>
      <c r="H164" s="691"/>
    </row>
    <row r="165" spans="1:8" hidden="1" x14ac:dyDescent="0.2">
      <c r="A165" s="657"/>
      <c r="B165" s="660" t="s">
        <v>4637</v>
      </c>
      <c r="C165" s="570" t="str">
        <f>IFERROR(VLOOKUP(B165,'ПО КОРИСНИЦИМА'!$C$7:$J$17281,5,FALSE),"")</f>
        <v/>
      </c>
      <c r="D165" s="689">
        <f>SUMIF('ПО КОРИСНИЦИМА'!$G$7:$G$17281,"Свега за пројекат 0101-П6:",'ПО КОРИСНИЦИМА'!$H$7:$H$17281)</f>
        <v>0</v>
      </c>
      <c r="E165" s="686">
        <f t="shared" si="9"/>
        <v>0</v>
      </c>
      <c r="F165" s="690">
        <f>SUMIF('ПО КОРИСНИЦИМА'!$G$7:$G$17281,"Свега за пројекат 0101-П6:",'ПО КОРИСНИЦИМА'!$I$7:$I$17281)</f>
        <v>0</v>
      </c>
      <c r="G165" s="685">
        <f t="shared" si="8"/>
        <v>0</v>
      </c>
      <c r="H165" s="691"/>
    </row>
    <row r="166" spans="1:8" hidden="1" x14ac:dyDescent="0.2">
      <c r="A166" s="657"/>
      <c r="B166" s="660" t="s">
        <v>4638</v>
      </c>
      <c r="C166" s="570" t="str">
        <f>IFERROR(VLOOKUP(B166,'ПО КОРИСНИЦИМА'!$C$7:$J$17281,5,FALSE),"")</f>
        <v/>
      </c>
      <c r="D166" s="689">
        <f>SUMIF('ПО КОРИСНИЦИМА'!$G$7:$G$17281,"Свега за пројекат 0101-П7:",'ПО КОРИСНИЦИМА'!$H$7:$H$17281)</f>
        <v>0</v>
      </c>
      <c r="E166" s="686">
        <f t="shared" si="9"/>
        <v>0</v>
      </c>
      <c r="F166" s="690">
        <f>SUMIF('ПО КОРИСНИЦИМА'!$G$7:$G$17281,"Свега за пројекат 0101-П7:",'ПО КОРИСНИЦИМА'!$I$7:$I$17281)</f>
        <v>0</v>
      </c>
      <c r="G166" s="685">
        <f t="shared" si="8"/>
        <v>0</v>
      </c>
      <c r="H166" s="691"/>
    </row>
    <row r="167" spans="1:8" hidden="1" x14ac:dyDescent="0.2">
      <c r="A167" s="657"/>
      <c r="B167" s="660" t="s">
        <v>4639</v>
      </c>
      <c r="C167" s="570" t="str">
        <f>IFERROR(VLOOKUP(B167,'ПО КОРИСНИЦИМА'!$C$7:$J$17281,5,FALSE),"")</f>
        <v/>
      </c>
      <c r="D167" s="689">
        <f>SUMIF('ПО КОРИСНИЦИМА'!$G$7:$G$17281,"Свега за пројекат 0101-П8:",'ПО КОРИСНИЦИМА'!$H$7:$H$17281)</f>
        <v>0</v>
      </c>
      <c r="E167" s="686">
        <f t="shared" si="9"/>
        <v>0</v>
      </c>
      <c r="F167" s="690">
        <f>SUMIF('ПО КОРИСНИЦИМА'!$G$7:$G$17281,"Свега за пројекат 0101-П8:",'ПО КОРИСНИЦИМА'!$I$7:$I$17281)</f>
        <v>0</v>
      </c>
      <c r="G167" s="685">
        <f t="shared" si="8"/>
        <v>0</v>
      </c>
      <c r="H167" s="691"/>
    </row>
    <row r="168" spans="1:8" hidden="1" x14ac:dyDescent="0.2">
      <c r="A168" s="657"/>
      <c r="B168" s="660" t="s">
        <v>4640</v>
      </c>
      <c r="C168" s="570" t="str">
        <f>IFERROR(VLOOKUP(B168,'ПО КОРИСНИЦИМА'!$C$7:$J$17281,5,FALSE),"")</f>
        <v/>
      </c>
      <c r="D168" s="689">
        <f>SUMIF('ПО КОРИСНИЦИМА'!$G$7:$G$17281,"Свега за пројекат 0101-П9:",'ПО КОРИСНИЦИМА'!$H$7:$H$17281)</f>
        <v>0</v>
      </c>
      <c r="E168" s="686">
        <f t="shared" si="9"/>
        <v>0</v>
      </c>
      <c r="F168" s="690">
        <f>SUMIF('ПО КОРИСНИЦИМА'!$G$7:$G$17281,"Свега за пројекат 0101-П9:",'ПО КОРИСНИЦИМА'!$I$7:$I$17281)</f>
        <v>0</v>
      </c>
      <c r="G168" s="685">
        <f t="shared" si="8"/>
        <v>0</v>
      </c>
      <c r="H168" s="691"/>
    </row>
    <row r="169" spans="1:8" hidden="1" x14ac:dyDescent="0.2">
      <c r="A169" s="657"/>
      <c r="B169" s="660" t="s">
        <v>4641</v>
      </c>
      <c r="C169" s="570" t="str">
        <f>IFERROR(VLOOKUP(B169,'ПО КОРИСНИЦИМА'!$C$7:$J$17281,5,FALSE),"")</f>
        <v/>
      </c>
      <c r="D169" s="689">
        <f>SUMIF('ПО КОРИСНИЦИМА'!$G$7:$G$17281,"Свега за пројекат 0101-П10:",'ПО КОРИСНИЦИМА'!$H$7:$H$17281)</f>
        <v>0</v>
      </c>
      <c r="E169" s="686">
        <f t="shared" si="9"/>
        <v>0</v>
      </c>
      <c r="F169" s="690">
        <f>SUMIF('ПО КОРИСНИЦИМА'!$G$7:$G$17281,"Свега за пројекат 0101-П10:",'ПО КОРИСНИЦИМА'!$I$7:$I$17281)</f>
        <v>0</v>
      </c>
      <c r="G169" s="685">
        <f t="shared" si="8"/>
        <v>0</v>
      </c>
      <c r="H169" s="691"/>
    </row>
    <row r="170" spans="1:8" hidden="1" x14ac:dyDescent="0.2">
      <c r="A170" s="657"/>
      <c r="B170" s="660" t="s">
        <v>4642</v>
      </c>
      <c r="C170" s="570" t="str">
        <f>IFERROR(VLOOKUP(B170,'ПО КОРИСНИЦИМА'!$C$7:$J$17281,5,FALSE),"")</f>
        <v/>
      </c>
      <c r="D170" s="689">
        <f>SUMIF('ПО КОРИСНИЦИМА'!$G$7:$G$17281,"Свега за пројекат 0101-П11:",'ПО КОРИСНИЦИМА'!$H$7:$H$17281)</f>
        <v>0</v>
      </c>
      <c r="E170" s="686">
        <f t="shared" si="9"/>
        <v>0</v>
      </c>
      <c r="F170" s="690">
        <f>SUMIF('ПО КОРИСНИЦИМА'!$G$7:$G$17281,"Свега за пројекат 0101-П11:",'ПО КОРИСНИЦИМА'!$I$7:$I$17281)</f>
        <v>0</v>
      </c>
      <c r="G170" s="685">
        <f t="shared" si="8"/>
        <v>0</v>
      </c>
      <c r="H170" s="691"/>
    </row>
    <row r="171" spans="1:8" hidden="1" x14ac:dyDescent="0.2">
      <c r="A171" s="657"/>
      <c r="B171" s="660" t="s">
        <v>4643</v>
      </c>
      <c r="C171" s="570" t="str">
        <f>IFERROR(VLOOKUP(B171,'ПО КОРИСНИЦИМА'!$C$7:$J$17281,5,FALSE),"")</f>
        <v/>
      </c>
      <c r="D171" s="689">
        <f>SUMIF('ПО КОРИСНИЦИМА'!$G$7:$G$17281,"Свега за пројекат 0101-П12:",'ПО КОРИСНИЦИМА'!$H$7:$H$17281)</f>
        <v>0</v>
      </c>
      <c r="E171" s="686">
        <f t="shared" si="9"/>
        <v>0</v>
      </c>
      <c r="F171" s="690">
        <f>SUMIF('ПО КОРИСНИЦИМА'!$G$7:$G$17281,"Свега за пројекат 0101-П12:",'ПО КОРИСНИЦИМА'!$I$7:$I$17281)</f>
        <v>0</v>
      </c>
      <c r="G171" s="685">
        <f t="shared" si="8"/>
        <v>0</v>
      </c>
      <c r="H171" s="691"/>
    </row>
    <row r="172" spans="1:8" hidden="1" x14ac:dyDescent="0.2">
      <c r="A172" s="657"/>
      <c r="B172" s="660" t="s">
        <v>4644</v>
      </c>
      <c r="C172" s="570" t="str">
        <f>IFERROR(VLOOKUP(B172,'ПО КОРИСНИЦИМА'!$C$7:$J$17281,5,FALSE),"")</f>
        <v/>
      </c>
      <c r="D172" s="689">
        <f>SUMIF('ПО КОРИСНИЦИМА'!$G$7:$G$17281,"Свега за пројекат 0101-П13:",'ПО КОРИСНИЦИМА'!$H$7:$H$17281)</f>
        <v>0</v>
      </c>
      <c r="E172" s="686">
        <f t="shared" si="9"/>
        <v>0</v>
      </c>
      <c r="F172" s="690">
        <f>SUMIF('ПО КОРИСНИЦИМА'!$G$7:$G$17281,"Свега за пројекат 0101-П13:",'ПО КОРИСНИЦИМА'!$I$7:$I$17281)</f>
        <v>0</v>
      </c>
      <c r="G172" s="685">
        <f t="shared" si="8"/>
        <v>0</v>
      </c>
      <c r="H172" s="691"/>
    </row>
    <row r="173" spans="1:8" hidden="1" x14ac:dyDescent="0.2">
      <c r="A173" s="657"/>
      <c r="B173" s="660" t="s">
        <v>4645</v>
      </c>
      <c r="C173" s="570" t="str">
        <f>IFERROR(VLOOKUP(B173,'ПО КОРИСНИЦИМА'!$C$7:$J$17281,5,FALSE),"")</f>
        <v/>
      </c>
      <c r="D173" s="689">
        <f>SUMIF('ПО КОРИСНИЦИМА'!$G$7:$G$17281,"Свега за пројекат 0101-П14:",'ПО КОРИСНИЦИМА'!$H$7:$H$17281)</f>
        <v>0</v>
      </c>
      <c r="E173" s="686">
        <f t="shared" si="9"/>
        <v>0</v>
      </c>
      <c r="F173" s="690">
        <f>SUMIF('ПО КОРИСНИЦИМА'!$G$7:$G$17281,"Свега за пројекат 0101-П14:",'ПО КОРИСНИЦИМА'!$I$7:$I$17281)</f>
        <v>0</v>
      </c>
      <c r="G173" s="685">
        <f t="shared" si="8"/>
        <v>0</v>
      </c>
      <c r="H173" s="688"/>
    </row>
    <row r="174" spans="1:8" hidden="1" x14ac:dyDescent="0.2">
      <c r="A174" s="657"/>
      <c r="B174" s="660" t="s">
        <v>4646</v>
      </c>
      <c r="C174" s="570" t="str">
        <f>IFERROR(VLOOKUP(B174,'ПО КОРИСНИЦИМА'!$C$7:$J$17281,5,FALSE),"")</f>
        <v/>
      </c>
      <c r="D174" s="689">
        <f>SUMIF('ПО КОРИСНИЦИМА'!$G$7:$G$17281,"Свега за пројекат 0101-П15:",'ПО КОРИСНИЦИМА'!$H$7:$H$17281)</f>
        <v>0</v>
      </c>
      <c r="E174" s="686">
        <f t="shared" si="9"/>
        <v>0</v>
      </c>
      <c r="F174" s="690">
        <f>SUMIF('ПО КОРИСНИЦИМА'!$G$7:$G$17281,"Свега за пројекат 0101-П15:",'ПО КОРИСНИЦИМА'!$I$7:$I$17281)</f>
        <v>0</v>
      </c>
      <c r="G174" s="685">
        <f t="shared" si="8"/>
        <v>0</v>
      </c>
      <c r="H174" s="688"/>
    </row>
    <row r="175" spans="1:8" hidden="1" x14ac:dyDescent="0.2">
      <c r="A175" s="658"/>
      <c r="B175" s="660" t="s">
        <v>4647</v>
      </c>
      <c r="C175" s="570" t="str">
        <f>IFERROR(VLOOKUP(B175,'ПО КОРИСНИЦИМА'!$C$7:$J$17281,5,FALSE),"")</f>
        <v/>
      </c>
      <c r="D175" s="689">
        <f>SUMIF('ПО КОРИСНИЦИМА'!$G$7:$G$17281,"Свега за пројекат 0101-П16:",'ПО КОРИСНИЦИМА'!$H$7:$H$17281)</f>
        <v>0</v>
      </c>
      <c r="E175" s="686">
        <f t="shared" si="9"/>
        <v>0</v>
      </c>
      <c r="F175" s="690">
        <f>SUMIF('ПО КОРИСНИЦИМА'!$G$7:$G$17281,"Свега за пројекат 0101-П16:",'ПО КОРИСНИЦИМА'!$I$7:$I$17281)</f>
        <v>0</v>
      </c>
      <c r="G175" s="685">
        <f t="shared" si="8"/>
        <v>0</v>
      </c>
      <c r="H175" s="697"/>
    </row>
    <row r="176" spans="1:8" s="655" customFormat="1" x14ac:dyDescent="0.2">
      <c r="A176" s="647" t="s">
        <v>3581</v>
      </c>
      <c r="B176" s="648"/>
      <c r="C176" s="568" t="s">
        <v>3679</v>
      </c>
      <c r="D176" s="677">
        <f>SUM(D177:D195)</f>
        <v>3800000</v>
      </c>
      <c r="E176" s="678">
        <f t="shared" ref="E176:E183" si="10">IFERROR(D176/$D$601,"-")</f>
        <v>6.5869301438724213E-3</v>
      </c>
      <c r="F176" s="679">
        <f>SUM(F177:F195)</f>
        <v>0</v>
      </c>
      <c r="G176" s="677">
        <f t="shared" si="0"/>
        <v>3800000</v>
      </c>
      <c r="H176" s="698"/>
    </row>
    <row r="177" spans="1:8" hidden="1" x14ac:dyDescent="0.2">
      <c r="A177" s="650"/>
      <c r="B177" s="541" t="s">
        <v>4115</v>
      </c>
      <c r="C177" s="571" t="s">
        <v>4116</v>
      </c>
      <c r="D177" s="681">
        <f>SUMIF('ПО КОРИСНИЦИМА'!$G$7:$G$17281,"Свега за програмску активност 0401-0001:",'ПО КОРИСНИЦИМА'!$H$7:$H$17281)</f>
        <v>0</v>
      </c>
      <c r="E177" s="682">
        <f t="shared" si="10"/>
        <v>0</v>
      </c>
      <c r="F177" s="683">
        <f>SUMIF('ПО КОРИСНИЦИМА'!$G$7:$G$17281,"Свега за програмску активност 0401-0001:",'ПО КОРИСНИЦИМА'!$I$7:$I$17281)</f>
        <v>0</v>
      </c>
      <c r="G177" s="681">
        <f t="shared" si="0"/>
        <v>0</v>
      </c>
      <c r="H177" s="684"/>
    </row>
    <row r="178" spans="1:8" x14ac:dyDescent="0.2">
      <c r="A178" s="652"/>
      <c r="B178" s="87" t="s">
        <v>4117</v>
      </c>
      <c r="C178" s="572" t="s">
        <v>4118</v>
      </c>
      <c r="D178" s="685">
        <f>SUMIF('ПО КОРИСНИЦИМА'!$G$7:$G$17281,"Свега за програмску активност 0401-0002:",'ПО КОРИСНИЦИМА'!$H$7:$H$17281)</f>
        <v>3000000</v>
      </c>
      <c r="E178" s="686">
        <f t="shared" si="10"/>
        <v>5.2002080083203327E-3</v>
      </c>
      <c r="F178" s="687">
        <f>SUMIF('ПО КОРИСНИЦИМА'!$G$7:$G$17281,"Свега за програмску активност 0401-0002:",'ПО КОРИСНИЦИМА'!$I$7:$I$17281)</f>
        <v>0</v>
      </c>
      <c r="G178" s="685">
        <f t="shared" si="0"/>
        <v>3000000</v>
      </c>
      <c r="H178" s="688"/>
    </row>
    <row r="179" spans="1:8" hidden="1" x14ac:dyDescent="0.2">
      <c r="A179" s="652"/>
      <c r="B179" s="87" t="s">
        <v>4119</v>
      </c>
      <c r="C179" s="572" t="s">
        <v>4120</v>
      </c>
      <c r="D179" s="685">
        <f>SUMIF('ПО КОРИСНИЦИМА'!$G$7:$G$17281,"Свега за програмску активност 0401-0003:",'ПО КОРИСНИЦИМА'!$H$7:$H$17281)</f>
        <v>0</v>
      </c>
      <c r="E179" s="686">
        <f t="shared" si="10"/>
        <v>0</v>
      </c>
      <c r="F179" s="687">
        <f>SUMIF('ПО КОРИСНИЦИМА'!$G$7:$G$17281,"Свега за програмску активност 0401-0003:",'ПО КОРИСНИЦИМА'!$I$7:$I$17281)</f>
        <v>0</v>
      </c>
      <c r="G179" s="685">
        <f t="shared" si="0"/>
        <v>0</v>
      </c>
      <c r="H179" s="688"/>
    </row>
    <row r="180" spans="1:8" hidden="1" x14ac:dyDescent="0.2">
      <c r="A180" s="652"/>
      <c r="B180" s="87" t="s">
        <v>4121</v>
      </c>
      <c r="C180" s="572" t="s">
        <v>4122</v>
      </c>
      <c r="D180" s="685">
        <f>SUMIF('ПО КОРИСНИЦИМА'!$G$7:$G$17281,"Свега за програмску активност 0401-0004:",'ПО КОРИСНИЦИМА'!$H$7:$H$17281)</f>
        <v>0</v>
      </c>
      <c r="E180" s="686">
        <f t="shared" si="10"/>
        <v>0</v>
      </c>
      <c r="F180" s="687">
        <f>SUMIF('ПО КОРИСНИЦИМА'!$G$7:$G$17281,"Свега за програмску активност 0401-0004:",'ПО КОРИСНИЦИМА'!$I$7:$I$17281)</f>
        <v>0</v>
      </c>
      <c r="G180" s="685">
        <f t="shared" si="0"/>
        <v>0</v>
      </c>
      <c r="H180" s="688"/>
    </row>
    <row r="181" spans="1:8" x14ac:dyDescent="0.2">
      <c r="A181" s="652"/>
      <c r="B181" s="87" t="s">
        <v>4648</v>
      </c>
      <c r="C181" s="570" t="str">
        <f>IFERROR(VLOOKUP(B181,'ПО КОРИСНИЦИМА'!$C$7:$J$17281,5,FALSE),"")</f>
        <v>Набавка контејнера</v>
      </c>
      <c r="D181" s="689">
        <v>800000</v>
      </c>
      <c r="E181" s="686">
        <f t="shared" si="10"/>
        <v>1.3867221355520888E-3</v>
      </c>
      <c r="F181" s="690">
        <f>SUMIF('ПО КОРИСНИЦИМА'!$G$7:$G$17281,"Свега за пројекат 0401-П1:",'ПО КОРИСНИЦИМА'!$I$7:$I$17281)</f>
        <v>0</v>
      </c>
      <c r="G181" s="685">
        <f t="shared" si="0"/>
        <v>800000</v>
      </c>
      <c r="H181" s="688"/>
    </row>
    <row r="182" spans="1:8" hidden="1" x14ac:dyDescent="0.2">
      <c r="A182" s="652"/>
      <c r="B182" s="87" t="s">
        <v>4649</v>
      </c>
      <c r="C182" s="570" t="str">
        <f>IFERROR(VLOOKUP(B182,'ПО КОРИСНИЦИМА'!$C$7:$J$17281,5,FALSE),"")</f>
        <v/>
      </c>
      <c r="D182" s="689">
        <f>SUMIF('ПО КОРИСНИЦИМА'!$G$7:$G$17281,"Свега за пројекат 0401-П2:",'ПО КОРИСНИЦИМА'!$H$7:$H$17281)</f>
        <v>0</v>
      </c>
      <c r="E182" s="686">
        <f t="shared" si="10"/>
        <v>0</v>
      </c>
      <c r="F182" s="690">
        <f>SUMIF('ПО КОРИСНИЦИМА'!$G$7:$G$17281,"Свега за пројекат 0401-П2:",'ПО КОРИСНИЦИМА'!$I$7:$I$17281)</f>
        <v>0</v>
      </c>
      <c r="G182" s="685">
        <f t="shared" si="0"/>
        <v>0</v>
      </c>
      <c r="H182" s="688"/>
    </row>
    <row r="183" spans="1:8" hidden="1" x14ac:dyDescent="0.2">
      <c r="A183" s="652"/>
      <c r="B183" s="87" t="s">
        <v>4650</v>
      </c>
      <c r="C183" s="570" t="str">
        <f>IFERROR(VLOOKUP(B183,'ПО КОРИСНИЦИМА'!$C$7:$J$17281,5,FALSE),"")</f>
        <v/>
      </c>
      <c r="D183" s="689">
        <f>SUMIF('ПО КОРИСНИЦИМА'!$G$7:$G$17281,"Свега за пројекат 0401-П3:",'ПО КОРИСНИЦИМА'!$H$7:$H$17281)</f>
        <v>0</v>
      </c>
      <c r="E183" s="686">
        <f t="shared" si="10"/>
        <v>0</v>
      </c>
      <c r="F183" s="690">
        <f>SUMIF('ПО КОРИСНИЦИМА'!$G$7:$G$17281,"Свега за пројекат 0401-П3:",'ПО КОРИСНИЦИМА'!$I$7:$I$17281)</f>
        <v>0</v>
      </c>
      <c r="G183" s="685">
        <f t="shared" si="0"/>
        <v>0</v>
      </c>
      <c r="H183" s="688"/>
    </row>
    <row r="184" spans="1:8" hidden="1" x14ac:dyDescent="0.2">
      <c r="A184" s="652"/>
      <c r="B184" s="87" t="s">
        <v>4651</v>
      </c>
      <c r="C184" s="570" t="str">
        <f>IFERROR(VLOOKUP(B184,'ПО КОРИСНИЦИМА'!$C$7:$J$17281,5,FALSE),"")</f>
        <v/>
      </c>
      <c r="D184" s="689">
        <f>SUMIF('ПО КОРИСНИЦИМА'!$G$7:$G$17281,"Свега за пројекат 0401-П4:",'ПО КОРИСНИЦИМА'!$H$7:$H$17281)</f>
        <v>0</v>
      </c>
      <c r="E184" s="686">
        <f t="shared" ref="E184:E195" si="11">IFERROR(D184/$D$601,"-")</f>
        <v>0</v>
      </c>
      <c r="F184" s="690">
        <f>SUMIF('ПО КОРИСНИЦИМА'!$G$7:$G$17281,"Свега за пројекат 0401-П4:",'ПО КОРИСНИЦИМА'!$I$7:$I$17281)</f>
        <v>0</v>
      </c>
      <c r="G184" s="685">
        <f t="shared" si="0"/>
        <v>0</v>
      </c>
      <c r="H184" s="691"/>
    </row>
    <row r="185" spans="1:8" hidden="1" x14ac:dyDescent="0.2">
      <c r="A185" s="652"/>
      <c r="B185" s="87" t="s">
        <v>4652</v>
      </c>
      <c r="C185" s="570" t="str">
        <f>IFERROR(VLOOKUP(B185,'ПО КОРИСНИЦИМА'!$C$7:$J$17281,5,FALSE),"")</f>
        <v/>
      </c>
      <c r="D185" s="689"/>
      <c r="E185" s="686">
        <f t="shared" si="11"/>
        <v>0</v>
      </c>
      <c r="F185" s="690">
        <f>SUMIF('ПО КОРИСНИЦИМА'!$G$7:$G$17281,"Свега за пројекат 0401-П5:",'ПО КОРИСНИЦИМА'!$I$7:$I$17281)</f>
        <v>0</v>
      </c>
      <c r="G185" s="685">
        <f t="shared" si="0"/>
        <v>0</v>
      </c>
      <c r="H185" s="691"/>
    </row>
    <row r="186" spans="1:8" hidden="1" x14ac:dyDescent="0.2">
      <c r="A186" s="652"/>
      <c r="B186" s="87" t="s">
        <v>4653</v>
      </c>
      <c r="C186" s="570" t="str">
        <f>IFERROR(VLOOKUP(B186,'ПО КОРИСНИЦИМА'!$C$7:$J$17281,5,FALSE),"")</f>
        <v/>
      </c>
      <c r="D186" s="689">
        <f>SUMIF('ПО КОРИСНИЦИМА'!$G$7:$G$17281,"Свега за пројекат 0401-П6:",'ПО КОРИСНИЦИМА'!$H$7:$H$17281)</f>
        <v>0</v>
      </c>
      <c r="E186" s="686">
        <f t="shared" si="11"/>
        <v>0</v>
      </c>
      <c r="F186" s="690">
        <f>SUMIF('ПО КОРИСНИЦИМА'!$G$7:$G$17281,"Свега за пројекат 0401-П6:",'ПО КОРИСНИЦИМА'!$I$7:$I$17281)</f>
        <v>0</v>
      </c>
      <c r="G186" s="685">
        <f t="shared" si="0"/>
        <v>0</v>
      </c>
      <c r="H186" s="691"/>
    </row>
    <row r="187" spans="1:8" hidden="1" x14ac:dyDescent="0.2">
      <c r="A187" s="652"/>
      <c r="B187" s="87" t="s">
        <v>4654</v>
      </c>
      <c r="C187" s="570" t="str">
        <f>IFERROR(VLOOKUP(B187,'ПО КОРИСНИЦИМА'!$C$7:$J$17281,5,FALSE),"")</f>
        <v/>
      </c>
      <c r="D187" s="689">
        <f>SUMIF('ПО КОРИСНИЦИМА'!$G$7:$G$17281,"Свега за пројекат 0401-П7:",'ПО КОРИСНИЦИМА'!$H$7:$H$17281)</f>
        <v>0</v>
      </c>
      <c r="E187" s="686">
        <f t="shared" si="11"/>
        <v>0</v>
      </c>
      <c r="F187" s="690">
        <f>SUMIF('ПО КОРИСНИЦИМА'!$G$7:$G$17281,"Свега за пројекат 0401-П7:",'ПО КОРИСНИЦИМА'!$I$7:$I$17281)</f>
        <v>0</v>
      </c>
      <c r="G187" s="685">
        <f t="shared" si="0"/>
        <v>0</v>
      </c>
      <c r="H187" s="691"/>
    </row>
    <row r="188" spans="1:8" hidden="1" x14ac:dyDescent="0.2">
      <c r="A188" s="652"/>
      <c r="B188" s="87" t="s">
        <v>4655</v>
      </c>
      <c r="C188" s="570" t="str">
        <f>IFERROR(VLOOKUP(B188,'ПО КОРИСНИЦИМА'!$C$7:$J$17281,5,FALSE),"")</f>
        <v/>
      </c>
      <c r="D188" s="689">
        <f>SUMIF('ПО КОРИСНИЦИМА'!$G$7:$G$17281,"Свега за пројекат 0401-П8:",'ПО КОРИСНИЦИМА'!$H$7:$H$17281)</f>
        <v>0</v>
      </c>
      <c r="E188" s="686">
        <f t="shared" si="11"/>
        <v>0</v>
      </c>
      <c r="F188" s="690">
        <f>SUMIF('ПО КОРИСНИЦИМА'!$G$7:$G$17281,"Свега за пројекат 0401-П8:",'ПО КОРИСНИЦИМА'!$I$7:$I$17281)</f>
        <v>0</v>
      </c>
      <c r="G188" s="685">
        <f t="shared" si="0"/>
        <v>0</v>
      </c>
      <c r="H188" s="691"/>
    </row>
    <row r="189" spans="1:8" hidden="1" x14ac:dyDescent="0.2">
      <c r="A189" s="652"/>
      <c r="B189" s="87" t="s">
        <v>4656</v>
      </c>
      <c r="C189" s="570" t="str">
        <f>IFERROR(VLOOKUP(B189,'ПО КОРИСНИЦИМА'!$C$7:$J$17281,5,FALSE),"")</f>
        <v/>
      </c>
      <c r="D189" s="689">
        <f>SUMIF('ПО КОРИСНИЦИМА'!$G$7:$G$17281,"Свега за пројекат 0401-П9:",'ПО КОРИСНИЦИМА'!$H$7:$H$17281)</f>
        <v>0</v>
      </c>
      <c r="E189" s="686">
        <f t="shared" si="11"/>
        <v>0</v>
      </c>
      <c r="F189" s="690">
        <f>SUMIF('ПО КОРИСНИЦИМА'!$G$7:$G$17281,"Свега за пројекат 0401-П9:",'ПО КОРИСНИЦИМА'!$I$7:$I$17281)</f>
        <v>0</v>
      </c>
      <c r="G189" s="685">
        <f t="shared" si="0"/>
        <v>0</v>
      </c>
      <c r="H189" s="691"/>
    </row>
    <row r="190" spans="1:8" hidden="1" x14ac:dyDescent="0.2">
      <c r="A190" s="652"/>
      <c r="B190" s="87" t="s">
        <v>4657</v>
      </c>
      <c r="C190" s="570" t="str">
        <f>IFERROR(VLOOKUP(B190,'ПО КОРИСНИЦИМА'!$C$7:$J$17281,5,FALSE),"")</f>
        <v/>
      </c>
      <c r="D190" s="689">
        <f>SUMIF('ПО КОРИСНИЦИМА'!$G$7:$G$17281,"Свега за пројекат 0401-П10:",'ПО КОРИСНИЦИМА'!$H$7:$H$17281)</f>
        <v>0</v>
      </c>
      <c r="E190" s="686">
        <f t="shared" si="11"/>
        <v>0</v>
      </c>
      <c r="F190" s="690">
        <f>SUMIF('ПО КОРИСНИЦИМА'!$G$7:$G$17281,"Свега за пројекат 0401-П10:",'ПО КОРИСНИЦИМА'!$I$7:$I$17281)</f>
        <v>0</v>
      </c>
      <c r="G190" s="685">
        <f t="shared" si="0"/>
        <v>0</v>
      </c>
      <c r="H190" s="691"/>
    </row>
    <row r="191" spans="1:8" hidden="1" x14ac:dyDescent="0.2">
      <c r="A191" s="652"/>
      <c r="B191" s="87" t="s">
        <v>4658</v>
      </c>
      <c r="C191" s="570" t="str">
        <f>IFERROR(VLOOKUP(B191,'ПО КОРИСНИЦИМА'!$C$7:$J$17281,5,FALSE),"")</f>
        <v/>
      </c>
      <c r="D191" s="689">
        <f>SUMIF('ПО КОРИСНИЦИМА'!$G$7:$G$17281,"Свега за пројекат 0401-П11:",'ПО КОРИСНИЦИМА'!$H$7:$H$17281)</f>
        <v>0</v>
      </c>
      <c r="E191" s="686">
        <f t="shared" si="11"/>
        <v>0</v>
      </c>
      <c r="F191" s="690">
        <f>SUMIF('ПО КОРИСНИЦИМА'!$G$7:$G$17281,"Свега за пројекат 0401-П11:",'ПО КОРИСНИЦИМА'!$I$7:$I$17281)</f>
        <v>0</v>
      </c>
      <c r="G191" s="685">
        <f t="shared" si="0"/>
        <v>0</v>
      </c>
      <c r="H191" s="691"/>
    </row>
    <row r="192" spans="1:8" hidden="1" x14ac:dyDescent="0.2">
      <c r="A192" s="652"/>
      <c r="B192" s="87" t="s">
        <v>4659</v>
      </c>
      <c r="C192" s="570" t="str">
        <f>IFERROR(VLOOKUP(B192,'ПО КОРИСНИЦИМА'!$C$7:$J$17281,5,FALSE),"")</f>
        <v/>
      </c>
      <c r="D192" s="689">
        <f>SUMIF('ПО КОРИСНИЦИМА'!$G$7:$G$17281,"Свега за пројекат 0401-П12:",'ПО КОРИСНИЦИМА'!$H$7:$H$17281)</f>
        <v>0</v>
      </c>
      <c r="E192" s="686">
        <f t="shared" si="11"/>
        <v>0</v>
      </c>
      <c r="F192" s="690">
        <f>SUMIF('ПО КОРИСНИЦИМА'!$G$7:$G$17281,"Свега за пројекат 0401-П12:",'ПО КОРИСНИЦИМА'!$I$7:$I$17281)</f>
        <v>0</v>
      </c>
      <c r="G192" s="685">
        <f t="shared" si="0"/>
        <v>0</v>
      </c>
      <c r="H192" s="688"/>
    </row>
    <row r="193" spans="1:8" hidden="1" x14ac:dyDescent="0.2">
      <c r="A193" s="652"/>
      <c r="B193" s="87" t="s">
        <v>4660</v>
      </c>
      <c r="C193" s="570" t="str">
        <f>IFERROR(VLOOKUP(B193,'ПО КОРИСНИЦИМА'!$C$7:$J$17281,5,FALSE),"")</f>
        <v/>
      </c>
      <c r="D193" s="689">
        <f>SUMIF('ПО КОРИСНИЦИМА'!$G$7:$G$17281,"Свега за пројекат 0401-П13:",'ПО КОРИСНИЦИМА'!$H$7:$H$17281)</f>
        <v>0</v>
      </c>
      <c r="E193" s="686">
        <f t="shared" si="11"/>
        <v>0</v>
      </c>
      <c r="F193" s="690">
        <f>SUMIF('ПО КОРИСНИЦИМА'!$G$7:$G$17281,"Свега за пројекат 0401-П13:",'ПО КОРИСНИЦИМА'!$I$7:$I$17281)</f>
        <v>0</v>
      </c>
      <c r="G193" s="685">
        <f t="shared" si="0"/>
        <v>0</v>
      </c>
      <c r="H193" s="688"/>
    </row>
    <row r="194" spans="1:8" hidden="1" x14ac:dyDescent="0.2">
      <c r="A194" s="652"/>
      <c r="B194" s="87" t="s">
        <v>4661</v>
      </c>
      <c r="C194" s="570" t="str">
        <f>IFERROR(VLOOKUP(B194,'ПО КОРИСНИЦИМА'!$C$7:$J$17281,5,FALSE),"")</f>
        <v/>
      </c>
      <c r="D194" s="689">
        <f>SUMIF('ПО КОРИСНИЦИМА'!$G$7:$G$17281,"Свега за пројекат 0401-П14:",'ПО КОРИСНИЦИМА'!$H$7:$H$17281)</f>
        <v>0</v>
      </c>
      <c r="E194" s="686">
        <f t="shared" si="11"/>
        <v>0</v>
      </c>
      <c r="F194" s="690">
        <f>SUMIF('ПО КОРИСНИЦИМА'!$G$7:$G$17281,"Свега за пројекат 0401-П14:",'ПО КОРИСНИЦИМА'!$I$7:$I$17281)</f>
        <v>0</v>
      </c>
      <c r="G194" s="685">
        <f t="shared" si="0"/>
        <v>0</v>
      </c>
      <c r="H194" s="688"/>
    </row>
    <row r="195" spans="1:8" hidden="1" x14ac:dyDescent="0.2">
      <c r="A195" s="658"/>
      <c r="B195" s="87" t="s">
        <v>4662</v>
      </c>
      <c r="C195" s="570" t="str">
        <f>IFERROR(VLOOKUP(B195,'ПО КОРИСНИЦИМА'!$C$7:$J$17281,5,FALSE),"")</f>
        <v/>
      </c>
      <c r="D195" s="689">
        <f>SUMIF('ПО КОРИСНИЦИМА'!$G$7:$G$17281,"Свега за пројекат 0401-П15:",'ПО КОРИСНИЦИМА'!$H$7:$H$17281)</f>
        <v>0</v>
      </c>
      <c r="E195" s="686">
        <f t="shared" si="11"/>
        <v>0</v>
      </c>
      <c r="F195" s="690">
        <f>SUMIF('ПО КОРИСНИЦИМА'!$G$7:$G$17281,"Свега за пројекат 0401-П15:",'ПО КОРИСНИЦИМА'!$I$7:$I$17281)</f>
        <v>0</v>
      </c>
      <c r="G195" s="685">
        <f t="shared" ref="G195" si="12">D195+F195</f>
        <v>0</v>
      </c>
      <c r="H195" s="697"/>
    </row>
    <row r="196" spans="1:8" s="655" customFormat="1" x14ac:dyDescent="0.2">
      <c r="A196" s="647" t="s">
        <v>3584</v>
      </c>
      <c r="B196" s="648"/>
      <c r="C196" s="568" t="s">
        <v>3680</v>
      </c>
      <c r="D196" s="677">
        <f>SUM(D197:D248)</f>
        <v>197983206</v>
      </c>
      <c r="E196" s="678">
        <f>IFERROR(D196/$D$601,"-")</f>
        <v>0.34318461778471138</v>
      </c>
      <c r="F196" s="679">
        <f>SUM(F197:F248)</f>
        <v>0</v>
      </c>
      <c r="G196" s="699">
        <f t="shared" ref="G196:G520" si="13">D196+F196</f>
        <v>197983206</v>
      </c>
      <c r="H196" s="698"/>
    </row>
    <row r="197" spans="1:8" hidden="1" x14ac:dyDescent="0.2">
      <c r="A197" s="650"/>
      <c r="B197" s="656" t="s">
        <v>4171</v>
      </c>
      <c r="C197" s="574" t="s">
        <v>4123</v>
      </c>
      <c r="D197" s="681">
        <f>SUMIF('ПО КОРИСНИЦИМА'!$G$7:$G$17281,"Свега за програмску активност 0701-0001:",'ПО КОРИСНИЦИМА'!$H$7:$H$17281)</f>
        <v>0</v>
      </c>
      <c r="E197" s="682">
        <f>IFERROR(D197/$D$601,"-")</f>
        <v>0</v>
      </c>
      <c r="F197" s="683">
        <f>SUMIF('ПО КОРИСНИЦИМА'!$G$7:$G$17281,"Свега за програмску активност 0701-0001:",'ПО КОРИСНИЦИМА'!$I$7:$I$17281)</f>
        <v>0</v>
      </c>
      <c r="G197" s="681">
        <f t="shared" si="13"/>
        <v>0</v>
      </c>
      <c r="H197" s="684"/>
    </row>
    <row r="198" spans="1:8" x14ac:dyDescent="0.2">
      <c r="A198" s="652"/>
      <c r="B198" s="660" t="s">
        <v>4505</v>
      </c>
      <c r="C198" s="575" t="s">
        <v>4124</v>
      </c>
      <c r="D198" s="685">
        <f>SUMIF('ПО КОРИСНИЦИМА'!$G$7:$G$17281,"Свега за програмску активност 0701-0002:",'ПО КОРИСНИЦИМА'!$H$7:$H$17281)</f>
        <v>125383206</v>
      </c>
      <c r="E198" s="686">
        <f>IFERROR(D198/$D$601,"-")</f>
        <v>0.21733958398335934</v>
      </c>
      <c r="F198" s="687">
        <f>SUMIF('ПО КОРИСНИЦИМА'!$G$7:$G$17281,"Свега за програмску активност 0701-0002:",'ПО КОРИСНИЦИМА'!$I$7:$I$17281)</f>
        <v>0</v>
      </c>
      <c r="G198" s="685">
        <f t="shared" si="13"/>
        <v>125383206</v>
      </c>
      <c r="H198" s="688"/>
    </row>
    <row r="199" spans="1:8" x14ac:dyDescent="0.2">
      <c r="A199" s="657"/>
      <c r="B199" s="657" t="s">
        <v>4663</v>
      </c>
      <c r="C199" s="570" t="str">
        <f>IFERROR(VLOOKUP(B199,'ПО КОРИСНИЦИМА'!$C$7:$J$17281,5,FALSE),"")</f>
        <v>Реконструкција улице С.Чупића-В.Мишића-7.јула са уређењем и реконструкцијом градског парка</v>
      </c>
      <c r="D199" s="689">
        <f>SUMIF('ПО КОРИСНИЦИМА'!$G$7:$G$17281,"Свега за пројекат 0701-П1:",'ПО КОРИСНИЦИМА'!$H$7:$H$17281)</f>
        <v>5700000</v>
      </c>
      <c r="E199" s="686">
        <f>IFERROR(D199/$D$601,"-")</f>
        <v>9.8803952158086315E-3</v>
      </c>
      <c r="F199" s="690">
        <f>SUMIF('ПО КОРИСНИЦИМА'!$G$7:$G$17281,"Свега за пројекат 0701-П1:",'ПО КОРИСНИЦИМА'!$I$7:$I$17281)</f>
        <v>0</v>
      </c>
      <c r="G199" s="685">
        <f t="shared" si="13"/>
        <v>5700000</v>
      </c>
      <c r="H199" s="688"/>
    </row>
    <row r="200" spans="1:8" x14ac:dyDescent="0.2">
      <c r="A200" s="657"/>
      <c r="B200" s="657" t="s">
        <v>4664</v>
      </c>
      <c r="C200" s="570" t="str">
        <f>IFERROR(VLOOKUP(B200,'ПО КОРИСНИЦИМА'!$C$7:$J$17281,5,FALSE),"")</f>
        <v>Изградња пута Жичара-Т.Приседо- Разбојиште- Кошље</v>
      </c>
      <c r="D200" s="689">
        <f>SUMIF('ПО КОРИСНИЦИМА'!$G$7:$G$17281,"Свега за пројекат 0701-П2:",'ПО КОРИСНИЦИМА'!$H$7:$H$17281)</f>
        <v>27700000</v>
      </c>
      <c r="E200" s="686">
        <f t="shared" ref="E200:E248" si="14">IFERROR(D200/$D$601,"-")</f>
        <v>4.8015253943491071E-2</v>
      </c>
      <c r="F200" s="690">
        <f>SUMIF('ПО КОРИСНИЦИМА'!$G$7:$G$17281,"Свега за пројекат 0701-П2:",'ПО КОРИСНИЦИМА'!$I$7:$I$17281)</f>
        <v>0</v>
      </c>
      <c r="G200" s="685">
        <f t="shared" si="13"/>
        <v>27700000</v>
      </c>
      <c r="H200" s="691"/>
    </row>
    <row r="201" spans="1:8" x14ac:dyDescent="0.2">
      <c r="A201" s="657"/>
      <c r="B201" s="657" t="s">
        <v>4665</v>
      </c>
      <c r="C201" s="570" t="str">
        <f>IFERROR(VLOOKUP(B201,'ПО КОРИСНИЦИМА'!$C$7:$J$17281,5,FALSE),"")</f>
        <v>Рехабилитација локалног пута  Грабовица - Поднемић Манастир Свете Тројице</v>
      </c>
      <c r="D201" s="689">
        <f>SUMIF('ПО КОРИСНИЦИМА'!$G$7:$G$17281,"Свега за пројекат 0701-П3:",'ПО КОРИСНИЦИМА'!$H$7:$H$17281)</f>
        <v>11000000</v>
      </c>
      <c r="E201" s="686">
        <f t="shared" si="14"/>
        <v>1.9067429363841221E-2</v>
      </c>
      <c r="F201" s="690">
        <f>SUMIF('ПО КОРИСНИЦИМА'!$G$7:$G$17281,"Свега за пројекат 0701-П3:",'ПО КОРИСНИЦИМА'!$I$7:$I$17281)</f>
        <v>0</v>
      </c>
      <c r="G201" s="685">
        <f t="shared" si="13"/>
        <v>11000000</v>
      </c>
      <c r="H201" s="691"/>
    </row>
    <row r="202" spans="1:8" x14ac:dyDescent="0.2">
      <c r="A202" s="657"/>
      <c r="B202" s="657" t="s">
        <v>4666</v>
      </c>
      <c r="C202" s="570" t="str">
        <f>IFERROR(VLOOKUP(B202,'ПО КОРИСНИЦИМА'!$C$7:$J$17281,5,FALSE),"")</f>
        <v xml:space="preserve">Рехабилитација Радничке улице </v>
      </c>
      <c r="D202" s="689">
        <f>SUMIF('ПО КОРИСНИЦИМА'!$G$7:$G$17281,"Свега за пројекат 0701-П4:",'ПО КОРИСНИЦИМА'!$H$7:$H$17281)</f>
        <v>6000000</v>
      </c>
      <c r="E202" s="686">
        <f t="shared" si="14"/>
        <v>1.0400416016640665E-2</v>
      </c>
      <c r="F202" s="690">
        <f>SUMIF('ПО КОРИСНИЦИМА'!$G$7:$G$17281,"Свега за пројекат 0701-П4:",'ПО КОРИСНИЦИМА'!$I$7:$I$17281)</f>
        <v>0</v>
      </c>
      <c r="G202" s="685">
        <f t="shared" si="13"/>
        <v>6000000</v>
      </c>
      <c r="H202" s="691"/>
    </row>
    <row r="203" spans="1:8" x14ac:dyDescent="0.2">
      <c r="A203" s="657"/>
      <c r="B203" s="657" t="s">
        <v>4667</v>
      </c>
      <c r="C203" s="570" t="str">
        <f>IFERROR(VLOOKUP(B203,'ПО КОРИСНИЦИМА'!$C$7:$J$17281,5,FALSE),"")</f>
        <v xml:space="preserve">Рехабилитација Косовске улице </v>
      </c>
      <c r="D203" s="689">
        <f>SUMIF('ПО КОРИСНИЦИМА'!$G$7:$G$17281,"Свега за пројекат 0701-П5:",'ПО КОРИСНИЦИМА'!$H$7:$H$17281)</f>
        <v>3400000</v>
      </c>
      <c r="E203" s="686">
        <f t="shared" si="14"/>
        <v>5.893569076096377E-3</v>
      </c>
      <c r="F203" s="690">
        <f>SUMIF('ПО КОРИСНИЦИМА'!$G$7:$G$17281,"Свега за пројекат 0701-П5:",'ПО КОРИСНИЦИМА'!$I$7:$I$17281)</f>
        <v>0</v>
      </c>
      <c r="G203" s="685">
        <f t="shared" si="13"/>
        <v>3400000</v>
      </c>
      <c r="H203" s="691"/>
    </row>
    <row r="204" spans="1:8" x14ac:dyDescent="0.2">
      <c r="A204" s="657"/>
      <c r="B204" s="657" t="s">
        <v>4668</v>
      </c>
      <c r="C204" s="570" t="str">
        <f>IFERROR(VLOOKUP(B204,'ПО КОРИСНИЦИМА'!$C$7:$J$17281,5,FALSE),"")</f>
        <v>Рехабилитација Омладинске улице</v>
      </c>
      <c r="D204" s="689">
        <f>SUMIF('ПО КОРИСНИЦИМА'!$G$7:$G$17281,"Свега за пројекат 0701-П6:",'ПО КОРИСНИЦИМА'!$H$7:$H$17281)</f>
        <v>5000000</v>
      </c>
      <c r="E204" s="686">
        <f t="shared" si="14"/>
        <v>8.6670133472005542E-3</v>
      </c>
      <c r="F204" s="690">
        <f>SUMIF('ПО КОРИСНИЦИМА'!$G$7:$G$17281,"Свега за пројекат 0701-П6:",'ПО КОРИСНИЦИМА'!$I$7:$I$17281)</f>
        <v>0</v>
      </c>
      <c r="G204" s="685">
        <f t="shared" si="13"/>
        <v>5000000</v>
      </c>
      <c r="H204" s="691"/>
    </row>
    <row r="205" spans="1:8" x14ac:dyDescent="0.2">
      <c r="A205" s="657"/>
      <c r="B205" s="657" t="s">
        <v>4669</v>
      </c>
      <c r="C205" s="570" t="str">
        <f>IFERROR(VLOOKUP(B205,'ПО КОРИСНИЦИМА'!$C$7:$J$17281,5,FALSE),"")</f>
        <v>Саобраћајна инфраструктура у индустријској зони уз државни пут 2. реда број 144</v>
      </c>
      <c r="D205" s="689">
        <f>SUMIF('ПО КОРИСНИЦИМА'!$G$7:$G$17281,"Свега за пројекат 0701-П7:",'ПО КОРИСНИЦИМА'!$H$7:$H$17281)</f>
        <v>2500000</v>
      </c>
      <c r="E205" s="686">
        <f t="shared" si="14"/>
        <v>4.3335066736002771E-3</v>
      </c>
      <c r="F205" s="690">
        <f>SUMIF('ПО КОРИСНИЦИМА'!$G$7:$G$17281,"Свега за пројекат 0701-П7:",'ПО КОРИСНИЦИМА'!$I$7:$I$17281)</f>
        <v>0</v>
      </c>
      <c r="G205" s="685">
        <f t="shared" si="13"/>
        <v>2500000</v>
      </c>
      <c r="H205" s="691"/>
    </row>
    <row r="206" spans="1:8" x14ac:dyDescent="0.2">
      <c r="A206" s="657"/>
      <c r="B206" s="657" t="s">
        <v>4670</v>
      </c>
      <c r="C206" s="570" t="str">
        <f>IFERROR(VLOOKUP(B206,'ПО КОРИСНИЦИМА'!$C$7:$J$17281,5,FALSE),"")</f>
        <v>Изградња нисконапонске мреже на територији општине Љубовија</v>
      </c>
      <c r="D206" s="689">
        <f>SUMIF('ПО КОРИСНИЦИМА'!$G$7:$G$17281,"Свега за пројекат 0701-П8:",'ПО КОРИСНИЦИМА'!$H$7:$H$17281)</f>
        <v>11300000</v>
      </c>
      <c r="E206" s="686">
        <f t="shared" si="14"/>
        <v>1.9587450164673254E-2</v>
      </c>
      <c r="F206" s="690">
        <f>SUMIF('ПО КОРИСНИЦИМА'!$G$7:$G$17281,"Свега за пројекат 0701-П8:",'ПО КОРИСНИЦИМА'!$I$7:$I$17281)</f>
        <v>0</v>
      </c>
      <c r="G206" s="685">
        <f t="shared" si="13"/>
        <v>11300000</v>
      </c>
      <c r="H206" s="691"/>
    </row>
    <row r="207" spans="1:8" hidden="1" x14ac:dyDescent="0.2">
      <c r="A207" s="657"/>
      <c r="B207" s="657" t="s">
        <v>4671</v>
      </c>
      <c r="C207" s="570" t="str">
        <f>IFERROR(VLOOKUP(B207,'ПО КОРИСНИЦИМА'!$C$7:$J$17281,5,FALSE),"")</f>
        <v/>
      </c>
      <c r="D207" s="689">
        <f>SUMIF('ПО КОРИСНИЦИМА'!$G$7:$G$17281,"Свега за пројекат 0701-П9:",'ПО КОРИСНИЦИМА'!$H$7:$H$17281)</f>
        <v>0</v>
      </c>
      <c r="E207" s="686">
        <f t="shared" si="14"/>
        <v>0</v>
      </c>
      <c r="F207" s="690">
        <f>SUMIF('ПО КОРИСНИЦИМА'!$G$7:$G$17281,"Свега за пројекат 0701-П9:",'ПО КОРИСНИЦИМА'!$I$7:$I$17281)</f>
        <v>0</v>
      </c>
      <c r="G207" s="685">
        <f t="shared" si="13"/>
        <v>0</v>
      </c>
      <c r="H207" s="691"/>
    </row>
    <row r="208" spans="1:8" hidden="1" x14ac:dyDescent="0.2">
      <c r="A208" s="657"/>
      <c r="B208" s="657" t="s">
        <v>4672</v>
      </c>
      <c r="C208" s="570" t="str">
        <f>IFERROR(VLOOKUP(B208,'ПО КОРИСНИЦИМА'!$C$7:$J$17281,5,FALSE),"")</f>
        <v/>
      </c>
      <c r="D208" s="689">
        <f>SUMIF('ПО КОРИСНИЦИМА'!$G$7:$G$17281,"Свега за пројекат 0701-П10:",'ПО КОРИСНИЦИМА'!$H$7:$H$17281)</f>
        <v>0</v>
      </c>
      <c r="E208" s="686">
        <f t="shared" si="14"/>
        <v>0</v>
      </c>
      <c r="F208" s="690">
        <f>SUMIF('ПО КОРИСНИЦИМА'!$G$7:$G$17281,"Свега за пројекат 0701-П10:",'ПО КОРИСНИЦИМА'!$I$7:$I$17281)</f>
        <v>0</v>
      </c>
      <c r="G208" s="685">
        <f t="shared" si="13"/>
        <v>0</v>
      </c>
      <c r="H208" s="691"/>
    </row>
    <row r="209" spans="1:8" hidden="1" x14ac:dyDescent="0.2">
      <c r="A209" s="657"/>
      <c r="B209" s="657" t="s">
        <v>4673</v>
      </c>
      <c r="C209" s="570" t="str">
        <f>IFERROR(VLOOKUP(B209,'ПО КОРИСНИЦИМА'!$C$7:$J$17281,5,FALSE),"")</f>
        <v/>
      </c>
      <c r="D209" s="689">
        <f>SUMIF('ПО КОРИСНИЦИМА'!$G$7:$G$17281,"Свега за пројекат 0701-П11:",'ПО КОРИСНИЦИМА'!$H$7:$H$17281)</f>
        <v>0</v>
      </c>
      <c r="E209" s="686">
        <f t="shared" si="14"/>
        <v>0</v>
      </c>
      <c r="F209" s="690">
        <f>SUMIF('ПО КОРИСНИЦИМА'!$G$7:$G$17281,"Свега за пројекат 0701-П11:",'ПО КОРИСНИЦИМА'!$I$7:$I$17281)</f>
        <v>0</v>
      </c>
      <c r="G209" s="685">
        <f t="shared" si="13"/>
        <v>0</v>
      </c>
      <c r="H209" s="691"/>
    </row>
    <row r="210" spans="1:8" hidden="1" x14ac:dyDescent="0.2">
      <c r="A210" s="657"/>
      <c r="B210" s="657" t="s">
        <v>4674</v>
      </c>
      <c r="C210" s="570" t="str">
        <f>IFERROR(VLOOKUP(B210,'ПО КОРИСНИЦИМА'!$C$7:$J$17281,5,FALSE),"")</f>
        <v/>
      </c>
      <c r="D210" s="689">
        <f>SUMIF('ПО КОРИСНИЦИМА'!$G$7:$G$17281,"Свега за пројекат 0701-П12:",'ПО КОРИСНИЦИМА'!$H$7:$H$17281)</f>
        <v>0</v>
      </c>
      <c r="E210" s="686">
        <f t="shared" si="14"/>
        <v>0</v>
      </c>
      <c r="F210" s="690">
        <f>SUMIF('ПО КОРИСНИЦИМА'!$G$7:$G$17281,"Свега за пројекат 0701-П12:",'ПО КОРИСНИЦИМА'!$I$7:$I$17281)</f>
        <v>0</v>
      </c>
      <c r="G210" s="685">
        <f t="shared" si="13"/>
        <v>0</v>
      </c>
      <c r="H210" s="691"/>
    </row>
    <row r="211" spans="1:8" hidden="1" x14ac:dyDescent="0.2">
      <c r="A211" s="657"/>
      <c r="B211" s="657" t="s">
        <v>4675</v>
      </c>
      <c r="C211" s="570" t="str">
        <f>IFERROR(VLOOKUP(B211,'ПО КОРИСНИЦИМА'!$C$7:$J$17281,5,FALSE),"")</f>
        <v/>
      </c>
      <c r="D211" s="689">
        <f>SUMIF('ПО КОРИСНИЦИМА'!$G$7:$G$17281,"Свега за пројекат 0701-П13:",'ПО КОРИСНИЦИМА'!$H$7:$H$17281)</f>
        <v>0</v>
      </c>
      <c r="E211" s="686">
        <f t="shared" si="14"/>
        <v>0</v>
      </c>
      <c r="F211" s="690">
        <f>SUMIF('ПО КОРИСНИЦИМА'!$G$7:$G$17281,"Свега за пројекат 0701-П13:",'ПО КОРИСНИЦИМА'!$I$7:$I$17281)</f>
        <v>0</v>
      </c>
      <c r="G211" s="685">
        <f t="shared" si="13"/>
        <v>0</v>
      </c>
      <c r="H211" s="691"/>
    </row>
    <row r="212" spans="1:8" hidden="1" x14ac:dyDescent="0.2">
      <c r="A212" s="657"/>
      <c r="B212" s="657" t="s">
        <v>4676</v>
      </c>
      <c r="C212" s="570" t="str">
        <f>IFERROR(VLOOKUP(B212,'ПО КОРИСНИЦИМА'!$C$7:$J$17281,5,FALSE),"")</f>
        <v/>
      </c>
      <c r="D212" s="689">
        <f>SUMIF('ПО КОРИСНИЦИМА'!$G$7:$G$17281,"Свега за пројекат 0701-П14:",'ПО КОРИСНИЦИМА'!$H$7:$H$17281)</f>
        <v>0</v>
      </c>
      <c r="E212" s="686">
        <f t="shared" si="14"/>
        <v>0</v>
      </c>
      <c r="F212" s="690">
        <f>SUMIF('ПО КОРИСНИЦИМА'!$G$7:$G$17281,"Свега за пројекат 0701-П14:",'ПО КОРИСНИЦИМА'!$I$7:$I$17281)</f>
        <v>0</v>
      </c>
      <c r="G212" s="685">
        <f t="shared" si="13"/>
        <v>0</v>
      </c>
      <c r="H212" s="691"/>
    </row>
    <row r="213" spans="1:8" hidden="1" x14ac:dyDescent="0.2">
      <c r="A213" s="657"/>
      <c r="B213" s="657" t="s">
        <v>4677</v>
      </c>
      <c r="C213" s="570" t="str">
        <f>IFERROR(VLOOKUP(B213,'ПО КОРИСНИЦИМА'!$C$7:$J$17281,5,FALSE),"")</f>
        <v/>
      </c>
      <c r="D213" s="689">
        <f>SUMIF('ПО КОРИСНИЦИМА'!$G$7:$G$17281,"Свега за пројекат 0701-П15:",'ПО КОРИСНИЦИМА'!$H$7:$H$17281)</f>
        <v>0</v>
      </c>
      <c r="E213" s="686">
        <f t="shared" si="14"/>
        <v>0</v>
      </c>
      <c r="F213" s="690">
        <f>SUMIF('ПО КОРИСНИЦИМА'!$G$7:$G$17281,"Свега за пројекат 0701-П15:",'ПО КОРИСНИЦИМА'!$I$7:$I$17281)</f>
        <v>0</v>
      </c>
      <c r="G213" s="685">
        <f t="shared" si="13"/>
        <v>0</v>
      </c>
      <c r="H213" s="691"/>
    </row>
    <row r="214" spans="1:8" hidden="1" x14ac:dyDescent="0.2">
      <c r="A214" s="657"/>
      <c r="B214" s="657" t="s">
        <v>4678</v>
      </c>
      <c r="C214" s="570" t="str">
        <f>IFERROR(VLOOKUP(B214,'ПО КОРИСНИЦИМА'!$C$7:$J$17281,5,FALSE),"")</f>
        <v/>
      </c>
      <c r="D214" s="689">
        <f>SUMIF('ПО КОРИСНИЦИМА'!$G$7:$G$17281,"Свега за пројекат 0701-П16:",'ПО КОРИСНИЦИМА'!$H$7:$H$17281)</f>
        <v>0</v>
      </c>
      <c r="E214" s="686">
        <f t="shared" si="14"/>
        <v>0</v>
      </c>
      <c r="F214" s="690">
        <f>SUMIF('ПО КОРИСНИЦИМА'!$G$7:$G$17281,"Свега за пројекат 0701-П16:",'ПО КОРИСНИЦИМА'!$I$7:$I$17281)</f>
        <v>0</v>
      </c>
      <c r="G214" s="685">
        <f t="shared" si="13"/>
        <v>0</v>
      </c>
      <c r="H214" s="691"/>
    </row>
    <row r="215" spans="1:8" hidden="1" x14ac:dyDescent="0.2">
      <c r="A215" s="657"/>
      <c r="B215" s="657" t="s">
        <v>4679</v>
      </c>
      <c r="C215" s="570" t="str">
        <f>IFERROR(VLOOKUP(B215,'ПО КОРИСНИЦИМА'!$C$7:$J$17281,5,FALSE),"")</f>
        <v/>
      </c>
      <c r="D215" s="689">
        <f>SUMIF('ПО КОРИСНИЦИМА'!$G$7:$G$17281,"Свега за пројекат 0701-П17:",'ПО КОРИСНИЦИМА'!$H$7:$H$17281)</f>
        <v>0</v>
      </c>
      <c r="E215" s="686">
        <f t="shared" si="14"/>
        <v>0</v>
      </c>
      <c r="F215" s="690">
        <f>SUMIF('ПО КОРИСНИЦИМА'!$G$7:$G$17281,"Свега за пројекат 0701-П17:",'ПО КОРИСНИЦИМА'!$I$7:$I$17281)</f>
        <v>0</v>
      </c>
      <c r="G215" s="685">
        <f t="shared" si="13"/>
        <v>0</v>
      </c>
      <c r="H215" s="691"/>
    </row>
    <row r="216" spans="1:8" hidden="1" x14ac:dyDescent="0.2">
      <c r="A216" s="657"/>
      <c r="B216" s="657" t="s">
        <v>4680</v>
      </c>
      <c r="C216" s="570" t="str">
        <f>IFERROR(VLOOKUP(B216,'ПО КОРИСНИЦИМА'!$C$7:$J$17281,5,FALSE),"")</f>
        <v/>
      </c>
      <c r="D216" s="689">
        <f>SUMIF('ПО КОРИСНИЦИМА'!$G$7:$G$17281,"Свега за пројекат 0701-П18:",'ПО КОРИСНИЦИМА'!$H$7:$H$17281)</f>
        <v>0</v>
      </c>
      <c r="E216" s="686">
        <f t="shared" si="14"/>
        <v>0</v>
      </c>
      <c r="F216" s="690">
        <f>SUMIF('ПО КОРИСНИЦИМА'!$G$7:$G$17281,"Свега за пројекат 0701-П18:",'ПО КОРИСНИЦИМА'!$I$7:$I$17281)</f>
        <v>0</v>
      </c>
      <c r="G216" s="685">
        <f t="shared" si="13"/>
        <v>0</v>
      </c>
      <c r="H216" s="691"/>
    </row>
    <row r="217" spans="1:8" hidden="1" x14ac:dyDescent="0.2">
      <c r="A217" s="657"/>
      <c r="B217" s="657" t="s">
        <v>4681</v>
      </c>
      <c r="C217" s="570" t="str">
        <f>IFERROR(VLOOKUP(B217,'ПО КОРИСНИЦИМА'!$C$7:$J$17281,5,FALSE),"")</f>
        <v/>
      </c>
      <c r="D217" s="689">
        <f>SUMIF('ПО КОРИСНИЦИМА'!$G$7:$G$17281,"Свега за пројекат 0701-П19:",'ПО КОРИСНИЦИМА'!$H$7:$H$17281)</f>
        <v>0</v>
      </c>
      <c r="E217" s="686">
        <f t="shared" si="14"/>
        <v>0</v>
      </c>
      <c r="F217" s="690">
        <f>SUMIF('ПО КОРИСНИЦИМА'!$G$7:$G$17281,"Свега за пројекат 0701-П19:",'ПО КОРИСНИЦИМА'!$I$7:$I$17281)</f>
        <v>0</v>
      </c>
      <c r="G217" s="685">
        <f t="shared" si="13"/>
        <v>0</v>
      </c>
      <c r="H217" s="691"/>
    </row>
    <row r="218" spans="1:8" hidden="1" x14ac:dyDescent="0.2">
      <c r="A218" s="657"/>
      <c r="B218" s="657" t="s">
        <v>4682</v>
      </c>
      <c r="C218" s="570" t="str">
        <f>IFERROR(VLOOKUP(B218,'ПО КОРИСНИЦИМА'!$C$7:$J$17281,5,FALSE),"")</f>
        <v/>
      </c>
      <c r="D218" s="689">
        <f>SUMIF('ПО КОРИСНИЦИМА'!$G$7:$G$17281,"Свега за пројекат 0701-П20:",'ПО КОРИСНИЦИМА'!$H$7:$H$17281)</f>
        <v>0</v>
      </c>
      <c r="E218" s="686">
        <f t="shared" si="14"/>
        <v>0</v>
      </c>
      <c r="F218" s="690">
        <f>SUMIF('ПО КОРИСНИЦИМА'!$G$7:$G$17281,"Свега за пројекат 0701-П20:",'ПО КОРИСНИЦИМА'!$I$7:$I$17281)</f>
        <v>0</v>
      </c>
      <c r="G218" s="685">
        <f t="shared" si="13"/>
        <v>0</v>
      </c>
      <c r="H218" s="691"/>
    </row>
    <row r="219" spans="1:8" hidden="1" x14ac:dyDescent="0.2">
      <c r="A219" s="657"/>
      <c r="B219" s="657" t="s">
        <v>4683</v>
      </c>
      <c r="C219" s="570" t="str">
        <f>IFERROR(VLOOKUP(B219,'ПО КОРИСНИЦИМА'!$C$7:$J$17281,5,FALSE),"")</f>
        <v/>
      </c>
      <c r="D219" s="689">
        <f>SUMIF('ПО КОРИСНИЦИМА'!$G$7:$G$17281,"Свега за пројекат 0701-П21:",'ПО КОРИСНИЦИМА'!$H$7:$H$17281)</f>
        <v>0</v>
      </c>
      <c r="E219" s="686">
        <f t="shared" si="14"/>
        <v>0</v>
      </c>
      <c r="F219" s="690">
        <f>SUMIF('ПО КОРИСНИЦИМА'!$G$7:$G$17281,"Свега за пројекат 0701-П21:",'ПО КОРИСНИЦИМА'!$I$7:$I$17281)</f>
        <v>0</v>
      </c>
      <c r="G219" s="685">
        <f t="shared" si="13"/>
        <v>0</v>
      </c>
      <c r="H219" s="691"/>
    </row>
    <row r="220" spans="1:8" hidden="1" x14ac:dyDescent="0.2">
      <c r="A220" s="657"/>
      <c r="B220" s="657" t="s">
        <v>4684</v>
      </c>
      <c r="C220" s="570" t="str">
        <f>IFERROR(VLOOKUP(B220,'ПО КОРИСНИЦИМА'!$C$7:$J$17281,5,FALSE),"")</f>
        <v/>
      </c>
      <c r="D220" s="689">
        <f>SUMIF('ПО КОРИСНИЦИМА'!$G$7:$G$17281,"Свега за пројекат 0701-П22:",'ПО КОРИСНИЦИМА'!$H$7:$H$17281)</f>
        <v>0</v>
      </c>
      <c r="E220" s="686">
        <f t="shared" si="14"/>
        <v>0</v>
      </c>
      <c r="F220" s="690">
        <f>SUMIF('ПО КОРИСНИЦИМА'!$G$7:$G$17281,"Свега за пројекат 0701-П22:",'ПО КОРИСНИЦИМА'!$I$7:$I$17281)</f>
        <v>0</v>
      </c>
      <c r="G220" s="685">
        <f t="shared" si="13"/>
        <v>0</v>
      </c>
      <c r="H220" s="691"/>
    </row>
    <row r="221" spans="1:8" hidden="1" x14ac:dyDescent="0.2">
      <c r="A221" s="657"/>
      <c r="B221" s="657" t="s">
        <v>4685</v>
      </c>
      <c r="C221" s="570" t="str">
        <f>IFERROR(VLOOKUP(B221,'ПО КОРИСНИЦИМА'!$C$7:$J$17281,5,FALSE),"")</f>
        <v/>
      </c>
      <c r="D221" s="689">
        <f>SUMIF('ПО КОРИСНИЦИМА'!$G$7:$G$17281,"Свега за пројекат 0701-П23:",'ПО КОРИСНИЦИМА'!$H$7:$H$17281)</f>
        <v>0</v>
      </c>
      <c r="E221" s="686">
        <f t="shared" si="14"/>
        <v>0</v>
      </c>
      <c r="F221" s="690">
        <f>SUMIF('ПО КОРИСНИЦИМА'!$G$7:$G$17281,"Свега за пројекат 0701-П23:",'ПО КОРИСНИЦИМА'!$I$7:$I$17281)</f>
        <v>0</v>
      </c>
      <c r="G221" s="685">
        <f t="shared" si="13"/>
        <v>0</v>
      </c>
      <c r="H221" s="691"/>
    </row>
    <row r="222" spans="1:8" hidden="1" x14ac:dyDescent="0.2">
      <c r="A222" s="657"/>
      <c r="B222" s="657" t="s">
        <v>4686</v>
      </c>
      <c r="C222" s="570" t="str">
        <f>IFERROR(VLOOKUP(B222,'ПО КОРИСНИЦИМА'!$C$7:$J$17281,5,FALSE),"")</f>
        <v/>
      </c>
      <c r="D222" s="689">
        <f>SUMIF('ПО КОРИСНИЦИМА'!$G$7:$G$17281,"Свега за пројекат 0701-П24:",'ПО КОРИСНИЦИМА'!$H$7:$H$17281)</f>
        <v>0</v>
      </c>
      <c r="E222" s="686">
        <f t="shared" si="14"/>
        <v>0</v>
      </c>
      <c r="F222" s="690">
        <f>SUMIF('ПО КОРИСНИЦИМА'!$G$7:$G$17281,"Свега за пројекат 0701-П24:",'ПО КОРИСНИЦИМА'!$I$7:$I$17281)</f>
        <v>0</v>
      </c>
      <c r="G222" s="685">
        <f t="shared" si="13"/>
        <v>0</v>
      </c>
      <c r="H222" s="691"/>
    </row>
    <row r="223" spans="1:8" hidden="1" x14ac:dyDescent="0.2">
      <c r="A223" s="657"/>
      <c r="B223" s="657" t="s">
        <v>4687</v>
      </c>
      <c r="C223" s="570" t="str">
        <f>IFERROR(VLOOKUP(B223,'ПО КОРИСНИЦИМА'!$C$7:$J$17281,5,FALSE),"")</f>
        <v/>
      </c>
      <c r="D223" s="689">
        <f>SUMIF('ПО КОРИСНИЦИМА'!$G$7:$G$17281,"Свега за пројекат 0701-П25:",'ПО КОРИСНИЦИМА'!$H$7:$H$17281)</f>
        <v>0</v>
      </c>
      <c r="E223" s="686">
        <f t="shared" si="14"/>
        <v>0</v>
      </c>
      <c r="F223" s="690">
        <f>SUMIF('ПО КОРИСНИЦИМА'!$G$7:$G$17281,"Свега за пројекат 0701-П25:",'ПО КОРИСНИЦИМА'!$I$7:$I$17281)</f>
        <v>0</v>
      </c>
      <c r="G223" s="685">
        <f t="shared" si="13"/>
        <v>0</v>
      </c>
      <c r="H223" s="691"/>
    </row>
    <row r="224" spans="1:8" hidden="1" x14ac:dyDescent="0.2">
      <c r="A224" s="657"/>
      <c r="B224" s="657" t="s">
        <v>4688</v>
      </c>
      <c r="C224" s="570" t="str">
        <f>IFERROR(VLOOKUP(B224,'ПО КОРИСНИЦИМА'!$C$7:$J$17281,5,FALSE),"")</f>
        <v/>
      </c>
      <c r="D224" s="689">
        <f>SUMIF('ПО КОРИСНИЦИМА'!$G$7:$G$17281,"Свега за пројекат 0701-П26:",'ПО КОРИСНИЦИМА'!$H$7:$H$17281)</f>
        <v>0</v>
      </c>
      <c r="E224" s="686">
        <f t="shared" si="14"/>
        <v>0</v>
      </c>
      <c r="F224" s="690">
        <f>SUMIF('ПО КОРИСНИЦИМА'!$G$7:$G$17281,"Свега за пројекат 0701-П26:",'ПО КОРИСНИЦИМА'!$I$7:$I$17281)</f>
        <v>0</v>
      </c>
      <c r="G224" s="685">
        <f t="shared" si="13"/>
        <v>0</v>
      </c>
      <c r="H224" s="691"/>
    </row>
    <row r="225" spans="1:8" hidden="1" x14ac:dyDescent="0.2">
      <c r="A225" s="657"/>
      <c r="B225" s="657" t="s">
        <v>4689</v>
      </c>
      <c r="C225" s="570" t="str">
        <f>IFERROR(VLOOKUP(B225,'ПО КОРИСНИЦИМА'!$C$7:$J$17281,5,FALSE),"")</f>
        <v/>
      </c>
      <c r="D225" s="689">
        <f>SUMIF('ПО КОРИСНИЦИМА'!$G$7:$G$17281,"Свега за пројекат 0701-П27:",'ПО КОРИСНИЦИМА'!$H$7:$H$17281)</f>
        <v>0</v>
      </c>
      <c r="E225" s="686">
        <f t="shared" si="14"/>
        <v>0</v>
      </c>
      <c r="F225" s="690">
        <f>SUMIF('ПО КОРИСНИЦИМА'!$G$7:$G$17281,"Свега за пројекат 0701-П27:",'ПО КОРИСНИЦИМА'!$I$7:$I$17281)</f>
        <v>0</v>
      </c>
      <c r="G225" s="685">
        <f t="shared" si="13"/>
        <v>0</v>
      </c>
      <c r="H225" s="691"/>
    </row>
    <row r="226" spans="1:8" hidden="1" x14ac:dyDescent="0.2">
      <c r="A226" s="657"/>
      <c r="B226" s="657" t="s">
        <v>4690</v>
      </c>
      <c r="C226" s="570" t="str">
        <f>IFERROR(VLOOKUP(B226,'ПО КОРИСНИЦИМА'!$C$7:$J$17281,5,FALSE),"")</f>
        <v/>
      </c>
      <c r="D226" s="689">
        <f>SUMIF('ПО КОРИСНИЦИМА'!$G$7:$G$17281,"Свега за пројекат 0701-П28:",'ПО КОРИСНИЦИМА'!$H$7:$H$17281)</f>
        <v>0</v>
      </c>
      <c r="E226" s="686">
        <f t="shared" si="14"/>
        <v>0</v>
      </c>
      <c r="F226" s="690">
        <f>SUMIF('ПО КОРИСНИЦИМА'!$G$7:$G$17281,"Свега за пројекат 0701-П28:",'ПО КОРИСНИЦИМА'!$I$7:$I$17281)</f>
        <v>0</v>
      </c>
      <c r="G226" s="685">
        <f t="shared" si="13"/>
        <v>0</v>
      </c>
      <c r="H226" s="691"/>
    </row>
    <row r="227" spans="1:8" hidden="1" x14ac:dyDescent="0.2">
      <c r="A227" s="657"/>
      <c r="B227" s="657" t="s">
        <v>4691</v>
      </c>
      <c r="C227" s="570" t="str">
        <f>IFERROR(VLOOKUP(B227,'ПО КОРИСНИЦИМА'!$C$7:$J$17281,5,FALSE),"")</f>
        <v/>
      </c>
      <c r="D227" s="689">
        <f>SUMIF('ПО КОРИСНИЦИМА'!$G$7:$G$17281,"Свега за пројекат 0701-П29:",'ПО КОРИСНИЦИМА'!$H$7:$H$17281)</f>
        <v>0</v>
      </c>
      <c r="E227" s="686">
        <f t="shared" si="14"/>
        <v>0</v>
      </c>
      <c r="F227" s="690">
        <f>SUMIF('ПО КОРИСНИЦИМА'!$G$7:$G$17281,"Свега за пројекат 0701-П29:",'ПО КОРИСНИЦИМА'!$I$7:$I$17281)</f>
        <v>0</v>
      </c>
      <c r="G227" s="685">
        <f t="shared" si="13"/>
        <v>0</v>
      </c>
      <c r="H227" s="691"/>
    </row>
    <row r="228" spans="1:8" hidden="1" x14ac:dyDescent="0.2">
      <c r="A228" s="657"/>
      <c r="B228" s="657" t="s">
        <v>4692</v>
      </c>
      <c r="C228" s="570" t="str">
        <f>IFERROR(VLOOKUP(B228,'ПО КОРИСНИЦИМА'!$C$7:$J$17281,5,FALSE),"")</f>
        <v/>
      </c>
      <c r="D228" s="689">
        <f>SUMIF('ПО КОРИСНИЦИМА'!$G$7:$G$17281,"Свега за пројекат 0701-П30:",'ПО КОРИСНИЦИМА'!$H$7:$H$17281)</f>
        <v>0</v>
      </c>
      <c r="E228" s="686">
        <f t="shared" si="14"/>
        <v>0</v>
      </c>
      <c r="F228" s="690">
        <f>SUMIF('ПО КОРИСНИЦИМА'!$G$7:$G$17281,"Свега за пројекат 0701-П30:",'ПО КОРИСНИЦИМА'!$I$7:$I$17281)</f>
        <v>0</v>
      </c>
      <c r="G228" s="685">
        <f t="shared" si="13"/>
        <v>0</v>
      </c>
      <c r="H228" s="691"/>
    </row>
    <row r="229" spans="1:8" hidden="1" x14ac:dyDescent="0.2">
      <c r="A229" s="657"/>
      <c r="B229" s="657" t="s">
        <v>4693</v>
      </c>
      <c r="C229" s="570" t="str">
        <f>IFERROR(VLOOKUP(B229,'ПО КОРИСНИЦИМА'!$C$7:$J$17281,5,FALSE),"")</f>
        <v/>
      </c>
      <c r="D229" s="689">
        <f>SUMIF('ПО КОРИСНИЦИМА'!$G$7:$G$17281,"Свега за пројекат 0701-П31:",'ПО КОРИСНИЦИМА'!$H$7:$H$17281)</f>
        <v>0</v>
      </c>
      <c r="E229" s="686">
        <f t="shared" si="14"/>
        <v>0</v>
      </c>
      <c r="F229" s="690">
        <f>SUMIF('ПО КОРИСНИЦИМА'!$G$7:$G$17281,"Свега за пројекат 0701-П31:",'ПО КОРИСНИЦИМА'!$I$7:$I$17281)</f>
        <v>0</v>
      </c>
      <c r="G229" s="685">
        <f t="shared" si="13"/>
        <v>0</v>
      </c>
      <c r="H229" s="691"/>
    </row>
    <row r="230" spans="1:8" hidden="1" x14ac:dyDescent="0.2">
      <c r="A230" s="657"/>
      <c r="B230" s="657" t="s">
        <v>4694</v>
      </c>
      <c r="C230" s="570" t="str">
        <f>IFERROR(VLOOKUP(B230,'ПО КОРИСНИЦИМА'!$C$7:$J$17281,5,FALSE),"")</f>
        <v/>
      </c>
      <c r="D230" s="689">
        <f>SUMIF('ПО КОРИСНИЦИМА'!$G$7:$G$17281,"Свега за пројекат 0701-П32:",'ПО КОРИСНИЦИМА'!$H$7:$H$17281)</f>
        <v>0</v>
      </c>
      <c r="E230" s="686">
        <f t="shared" si="14"/>
        <v>0</v>
      </c>
      <c r="F230" s="690">
        <f>SUMIF('ПО КОРИСНИЦИМА'!$G$7:$G$17281,"Свега за пројекат 0701-П32:",'ПО КОРИСНИЦИМА'!$I$7:$I$17281)</f>
        <v>0</v>
      </c>
      <c r="G230" s="685">
        <f t="shared" si="13"/>
        <v>0</v>
      </c>
      <c r="H230" s="691"/>
    </row>
    <row r="231" spans="1:8" hidden="1" x14ac:dyDescent="0.2">
      <c r="A231" s="657"/>
      <c r="B231" s="657" t="s">
        <v>4695</v>
      </c>
      <c r="C231" s="570" t="str">
        <f>IFERROR(VLOOKUP(B231,'ПО КОРИСНИЦИМА'!$C$7:$J$17281,5,FALSE),"")</f>
        <v/>
      </c>
      <c r="D231" s="689">
        <f>SUMIF('ПО КОРИСНИЦИМА'!$G$7:$G$17281,"Свега за пројекат 0701-П33:",'ПО КОРИСНИЦИМА'!$H$7:$H$17281)</f>
        <v>0</v>
      </c>
      <c r="E231" s="686">
        <f t="shared" si="14"/>
        <v>0</v>
      </c>
      <c r="F231" s="690">
        <f>SUMIF('ПО КОРИСНИЦИМА'!$G$7:$G$17281,"Свега за пројекат 0701-П33:",'ПО КОРИСНИЦИМА'!$I$7:$I$17281)</f>
        <v>0</v>
      </c>
      <c r="G231" s="685">
        <f t="shared" si="13"/>
        <v>0</v>
      </c>
      <c r="H231" s="691"/>
    </row>
    <row r="232" spans="1:8" hidden="1" x14ac:dyDescent="0.2">
      <c r="A232" s="657"/>
      <c r="B232" s="657" t="s">
        <v>4696</v>
      </c>
      <c r="C232" s="570" t="str">
        <f>IFERROR(VLOOKUP(B232,'ПО КОРИСНИЦИМА'!$C$7:$J$17281,5,FALSE),"")</f>
        <v/>
      </c>
      <c r="D232" s="689">
        <f>SUMIF('ПО КОРИСНИЦИМА'!$G$7:$G$17281,"Свега за пројекат 0701-П34:",'ПО КОРИСНИЦИМА'!$H$7:$H$17281)</f>
        <v>0</v>
      </c>
      <c r="E232" s="686">
        <f t="shared" si="14"/>
        <v>0</v>
      </c>
      <c r="F232" s="690">
        <f>SUMIF('ПО КОРИСНИЦИМА'!$G$7:$G$17281,"Свега за пројекат 0701-П34:",'ПО КОРИСНИЦИМА'!$I$7:$I$17281)</f>
        <v>0</v>
      </c>
      <c r="G232" s="685">
        <f t="shared" si="13"/>
        <v>0</v>
      </c>
      <c r="H232" s="691"/>
    </row>
    <row r="233" spans="1:8" hidden="1" x14ac:dyDescent="0.2">
      <c r="A233" s="657"/>
      <c r="B233" s="657" t="s">
        <v>4697</v>
      </c>
      <c r="C233" s="570" t="str">
        <f>IFERROR(VLOOKUP(B233,'ПО КОРИСНИЦИМА'!$C$7:$J$17281,5,FALSE),"")</f>
        <v/>
      </c>
      <c r="D233" s="689">
        <f>SUMIF('ПО КОРИСНИЦИМА'!$G$7:$G$17281,"Свега за пројекат 0701-П35:",'ПО КОРИСНИЦИМА'!$H$7:$H$17281)</f>
        <v>0</v>
      </c>
      <c r="E233" s="686">
        <f t="shared" si="14"/>
        <v>0</v>
      </c>
      <c r="F233" s="690">
        <f>SUMIF('ПО КОРИСНИЦИМА'!$G$7:$G$17281,"Свега за пројекат 0701-П35:",'ПО КОРИСНИЦИМА'!$I$7:$I$17281)</f>
        <v>0</v>
      </c>
      <c r="G233" s="685">
        <f t="shared" si="13"/>
        <v>0</v>
      </c>
      <c r="H233" s="691"/>
    </row>
    <row r="234" spans="1:8" hidden="1" x14ac:dyDescent="0.2">
      <c r="A234" s="657"/>
      <c r="B234" s="657" t="s">
        <v>4698</v>
      </c>
      <c r="C234" s="570" t="str">
        <f>IFERROR(VLOOKUP(B234,'ПО КОРИСНИЦИМА'!$C$7:$J$17281,5,FALSE),"")</f>
        <v/>
      </c>
      <c r="D234" s="689">
        <f>SUMIF('ПО КОРИСНИЦИМА'!$G$7:$G$17281,"Свега за пројекат 0701-П36:",'ПО КОРИСНИЦИМА'!$H$7:$H$17281)</f>
        <v>0</v>
      </c>
      <c r="E234" s="686">
        <f t="shared" si="14"/>
        <v>0</v>
      </c>
      <c r="F234" s="690">
        <f>SUMIF('ПО КОРИСНИЦИМА'!$G$7:$G$17281,"Свега за пројекат 0701-П36:",'ПО КОРИСНИЦИМА'!$I$7:$I$17281)</f>
        <v>0</v>
      </c>
      <c r="G234" s="685">
        <f t="shared" si="13"/>
        <v>0</v>
      </c>
      <c r="H234" s="691"/>
    </row>
    <row r="235" spans="1:8" hidden="1" x14ac:dyDescent="0.2">
      <c r="A235" s="657"/>
      <c r="B235" s="657" t="s">
        <v>4699</v>
      </c>
      <c r="C235" s="570" t="str">
        <f>IFERROR(VLOOKUP(B235,'ПО КОРИСНИЦИМА'!$C$7:$J$17281,5,FALSE),"")</f>
        <v/>
      </c>
      <c r="D235" s="689">
        <f>SUMIF('ПО КОРИСНИЦИМА'!$G$7:$G$17281,"Свега за пројекат 0701-П37:",'ПО КОРИСНИЦИМА'!$H$7:$H$17281)</f>
        <v>0</v>
      </c>
      <c r="E235" s="686">
        <f t="shared" si="14"/>
        <v>0</v>
      </c>
      <c r="F235" s="690">
        <f>SUMIF('ПО КОРИСНИЦИМА'!$G$7:$G$17281,"Свега за пројекат 0701-П37:",'ПО КОРИСНИЦИМА'!$I$7:$I$17281)</f>
        <v>0</v>
      </c>
      <c r="G235" s="685">
        <f t="shared" si="13"/>
        <v>0</v>
      </c>
      <c r="H235" s="691"/>
    </row>
    <row r="236" spans="1:8" hidden="1" x14ac:dyDescent="0.2">
      <c r="A236" s="657"/>
      <c r="B236" s="657" t="s">
        <v>4700</v>
      </c>
      <c r="C236" s="570" t="str">
        <f>IFERROR(VLOOKUP(B236,'ПО КОРИСНИЦИМА'!$C$7:$J$17281,5,FALSE),"")</f>
        <v/>
      </c>
      <c r="D236" s="689">
        <f>SUMIF('ПО КОРИСНИЦИМА'!$G$7:$G$17281,"Свега за пројекат 0701-П38:",'ПО КОРИСНИЦИМА'!$H$7:$H$17281)</f>
        <v>0</v>
      </c>
      <c r="E236" s="686">
        <f t="shared" si="14"/>
        <v>0</v>
      </c>
      <c r="F236" s="690">
        <f>SUMIF('ПО КОРИСНИЦИМА'!$G$7:$G$17281,"Свега за пројекат 0701-П38:",'ПО КОРИСНИЦИМА'!$I$7:$I$17281)</f>
        <v>0</v>
      </c>
      <c r="G236" s="685">
        <f t="shared" si="13"/>
        <v>0</v>
      </c>
      <c r="H236" s="691"/>
    </row>
    <row r="237" spans="1:8" hidden="1" x14ac:dyDescent="0.2">
      <c r="A237" s="657"/>
      <c r="B237" s="657" t="s">
        <v>4701</v>
      </c>
      <c r="C237" s="570" t="str">
        <f>IFERROR(VLOOKUP(B237,'ПО КОРИСНИЦИМА'!$C$7:$J$17281,5,FALSE),"")</f>
        <v/>
      </c>
      <c r="D237" s="689">
        <f>SUMIF('ПО КОРИСНИЦИМА'!$G$7:$G$17281,"Свега за пројекат 0701-П39:",'ПО КОРИСНИЦИМА'!$H$7:$H$17281)</f>
        <v>0</v>
      </c>
      <c r="E237" s="686">
        <f t="shared" si="14"/>
        <v>0</v>
      </c>
      <c r="F237" s="690">
        <f>SUMIF('ПО КОРИСНИЦИМА'!$G$7:$G$17281,"Свега за пројекат 0701-П39:",'ПО КОРИСНИЦИМА'!$I$7:$I$17281)</f>
        <v>0</v>
      </c>
      <c r="G237" s="685">
        <f t="shared" si="13"/>
        <v>0</v>
      </c>
      <c r="H237" s="691"/>
    </row>
    <row r="238" spans="1:8" hidden="1" x14ac:dyDescent="0.2">
      <c r="A238" s="657"/>
      <c r="B238" s="657" t="s">
        <v>4702</v>
      </c>
      <c r="C238" s="570" t="str">
        <f>IFERROR(VLOOKUP(B238,'ПО КОРИСНИЦИМА'!$C$7:$J$17281,5,FALSE),"")</f>
        <v/>
      </c>
      <c r="D238" s="689">
        <f>SUMIF('ПО КОРИСНИЦИМА'!$G$7:$G$17281,"Свега за пројекат 0701-П40:",'ПО КОРИСНИЦИМА'!$H$7:$H$17281)</f>
        <v>0</v>
      </c>
      <c r="E238" s="686">
        <f t="shared" si="14"/>
        <v>0</v>
      </c>
      <c r="F238" s="690">
        <f>SUMIF('ПО КОРИСНИЦИМА'!$G$7:$G$17281,"Свега за пројекат 0701-П40:",'ПО КОРИСНИЦИМА'!$I$7:$I$17281)</f>
        <v>0</v>
      </c>
      <c r="G238" s="685">
        <f t="shared" si="13"/>
        <v>0</v>
      </c>
      <c r="H238" s="691"/>
    </row>
    <row r="239" spans="1:8" hidden="1" x14ac:dyDescent="0.2">
      <c r="A239" s="657"/>
      <c r="B239" s="657" t="s">
        <v>4703</v>
      </c>
      <c r="C239" s="570" t="str">
        <f>IFERROR(VLOOKUP(B239,'ПО КОРИСНИЦИМА'!$C$7:$J$17281,5,FALSE),"")</f>
        <v/>
      </c>
      <c r="D239" s="689">
        <f>SUMIF('ПО КОРИСНИЦИМА'!$G$7:$G$17281,"Свега за пројекат 0701-П41:",'ПО КОРИСНИЦИМА'!$H$7:$H$17281)</f>
        <v>0</v>
      </c>
      <c r="E239" s="686">
        <f t="shared" si="14"/>
        <v>0</v>
      </c>
      <c r="F239" s="690">
        <f>SUMIF('ПО КОРИСНИЦИМА'!$G$7:$G$17281,"Свега за пројекат 0701-П41:",'ПО КОРИСНИЦИМА'!$I$7:$I$17281)</f>
        <v>0</v>
      </c>
      <c r="G239" s="685">
        <f t="shared" si="13"/>
        <v>0</v>
      </c>
      <c r="H239" s="691"/>
    </row>
    <row r="240" spans="1:8" hidden="1" x14ac:dyDescent="0.2">
      <c r="A240" s="657"/>
      <c r="B240" s="657" t="s">
        <v>4704</v>
      </c>
      <c r="C240" s="570" t="str">
        <f>IFERROR(VLOOKUP(B240,'ПО КОРИСНИЦИМА'!$C$7:$J$17281,5,FALSE),"")</f>
        <v/>
      </c>
      <c r="D240" s="689">
        <f>SUMIF('ПО КОРИСНИЦИМА'!$G$7:$G$17281,"Свега за пројекат 0701-П42:",'ПО КОРИСНИЦИМА'!$H$7:$H$17281)</f>
        <v>0</v>
      </c>
      <c r="E240" s="686">
        <f t="shared" si="14"/>
        <v>0</v>
      </c>
      <c r="F240" s="690">
        <f>SUMIF('ПО КОРИСНИЦИМА'!$G$7:$G$17281,"Свега за пројекат 0701-П42:",'ПО КОРИСНИЦИМА'!$I$7:$I$17281)</f>
        <v>0</v>
      </c>
      <c r="G240" s="685">
        <f t="shared" si="13"/>
        <v>0</v>
      </c>
      <c r="H240" s="691"/>
    </row>
    <row r="241" spans="1:8" hidden="1" x14ac:dyDescent="0.2">
      <c r="A241" s="657"/>
      <c r="B241" s="657" t="s">
        <v>4705</v>
      </c>
      <c r="C241" s="570" t="str">
        <f>IFERROR(VLOOKUP(B241,'ПО КОРИСНИЦИМА'!$C$7:$J$17281,5,FALSE),"")</f>
        <v/>
      </c>
      <c r="D241" s="689">
        <f>SUMIF('ПО КОРИСНИЦИМА'!$G$7:$G$17281,"Свега за пројекат 0701-П43:",'ПО КОРИСНИЦИМА'!$H$7:$H$17281)</f>
        <v>0</v>
      </c>
      <c r="E241" s="686">
        <f t="shared" si="14"/>
        <v>0</v>
      </c>
      <c r="F241" s="690">
        <f>SUMIF('ПО КОРИСНИЦИМА'!$G$7:$G$17281,"Свега за пројекат 0701-П43:",'ПО КОРИСНИЦИМА'!$I$7:$I$17281)</f>
        <v>0</v>
      </c>
      <c r="G241" s="685">
        <f t="shared" si="13"/>
        <v>0</v>
      </c>
      <c r="H241" s="691"/>
    </row>
    <row r="242" spans="1:8" hidden="1" x14ac:dyDescent="0.2">
      <c r="A242" s="657"/>
      <c r="B242" s="657" t="s">
        <v>4706</v>
      </c>
      <c r="C242" s="570" t="str">
        <f>IFERROR(VLOOKUP(B242,'ПО КОРИСНИЦИМА'!$C$7:$J$17281,5,FALSE),"")</f>
        <v/>
      </c>
      <c r="D242" s="689">
        <f>SUMIF('ПО КОРИСНИЦИМА'!$G$7:$G$17281,"Свега за пројекат 0701-П44:",'ПО КОРИСНИЦИМА'!$H$7:$H$17281)</f>
        <v>0</v>
      </c>
      <c r="E242" s="686">
        <f t="shared" si="14"/>
        <v>0</v>
      </c>
      <c r="F242" s="690">
        <f>SUMIF('ПО КОРИСНИЦИМА'!$G$7:$G$17281,"Свега за пројекат 0701-П44:",'ПО КОРИСНИЦИМА'!$I$7:$I$17281)</f>
        <v>0</v>
      </c>
      <c r="G242" s="685">
        <f t="shared" ref="G242:G248" si="15">D242+F242</f>
        <v>0</v>
      </c>
      <c r="H242" s="691"/>
    </row>
    <row r="243" spans="1:8" hidden="1" x14ac:dyDescent="0.2">
      <c r="A243" s="657"/>
      <c r="B243" s="657" t="s">
        <v>4707</v>
      </c>
      <c r="C243" s="570" t="str">
        <f>IFERROR(VLOOKUP(B243,'ПО КОРИСНИЦИМА'!$C$7:$J$17281,5,FALSE),"")</f>
        <v/>
      </c>
      <c r="D243" s="689">
        <f>SUMIF('ПО КОРИСНИЦИМА'!$G$7:$G$17281,"Свега за пројекат 0701-П45:",'ПО КОРИСНИЦИМА'!$H$7:$H$17281)</f>
        <v>0</v>
      </c>
      <c r="E243" s="686">
        <f t="shared" si="14"/>
        <v>0</v>
      </c>
      <c r="F243" s="690">
        <f>SUMIF('ПО КОРИСНИЦИМА'!$G$7:$G$17281,"Свега за пројекат 0701-П45:",'ПО КОРИСНИЦИМА'!$I$7:$I$17281)</f>
        <v>0</v>
      </c>
      <c r="G243" s="685">
        <f t="shared" si="15"/>
        <v>0</v>
      </c>
      <c r="H243" s="691"/>
    </row>
    <row r="244" spans="1:8" hidden="1" x14ac:dyDescent="0.2">
      <c r="A244" s="657"/>
      <c r="B244" s="657" t="s">
        <v>4708</v>
      </c>
      <c r="C244" s="570" t="str">
        <f>IFERROR(VLOOKUP(B244,'ПО КОРИСНИЦИМА'!$C$7:$J$17281,5,FALSE),"")</f>
        <v/>
      </c>
      <c r="D244" s="689">
        <f>SUMIF('ПО КОРИСНИЦИМА'!$G$7:$G$17281,"Свега за пројекат 0701-П46:",'ПО КОРИСНИЦИМА'!$H$7:$H$17281)</f>
        <v>0</v>
      </c>
      <c r="E244" s="686">
        <f t="shared" si="14"/>
        <v>0</v>
      </c>
      <c r="F244" s="690">
        <f>SUMIF('ПО КОРИСНИЦИМА'!$G$7:$G$17281,"Свега за пројекат 0701-П46:",'ПО КОРИСНИЦИМА'!$I$7:$I$17281)</f>
        <v>0</v>
      </c>
      <c r="G244" s="685">
        <f t="shared" si="15"/>
        <v>0</v>
      </c>
      <c r="H244" s="691"/>
    </row>
    <row r="245" spans="1:8" hidden="1" x14ac:dyDescent="0.2">
      <c r="A245" s="657"/>
      <c r="B245" s="657" t="s">
        <v>4709</v>
      </c>
      <c r="C245" s="570" t="str">
        <f>IFERROR(VLOOKUP(B245,'ПО КОРИСНИЦИМА'!$C$7:$J$17281,5,FALSE),"")</f>
        <v/>
      </c>
      <c r="D245" s="689">
        <f>SUMIF('ПО КОРИСНИЦИМА'!$G$7:$G$17281,"Свега за пројекат 0701-П47:",'ПО КОРИСНИЦИМА'!$H$7:$H$17281)</f>
        <v>0</v>
      </c>
      <c r="E245" s="686">
        <f t="shared" si="14"/>
        <v>0</v>
      </c>
      <c r="F245" s="690">
        <f>SUMIF('ПО КОРИСНИЦИМА'!$G$7:$G$17281,"Свега за пројекат 0701-П47:",'ПО КОРИСНИЦИМА'!$I$7:$I$17281)</f>
        <v>0</v>
      </c>
      <c r="G245" s="685">
        <f t="shared" si="15"/>
        <v>0</v>
      </c>
      <c r="H245" s="691"/>
    </row>
    <row r="246" spans="1:8" hidden="1" x14ac:dyDescent="0.2">
      <c r="A246" s="657"/>
      <c r="B246" s="657" t="s">
        <v>4710</v>
      </c>
      <c r="C246" s="570" t="str">
        <f>IFERROR(VLOOKUP(B246,'ПО КОРИСНИЦИМА'!$C$7:$J$17281,5,FALSE),"")</f>
        <v/>
      </c>
      <c r="D246" s="689">
        <f>SUMIF('ПО КОРИСНИЦИМА'!$G$7:$G$17281,"Свега за пројекат 0701-П48:",'ПО КОРИСНИЦИМА'!$H$7:$H$17281)</f>
        <v>0</v>
      </c>
      <c r="E246" s="686">
        <f t="shared" si="14"/>
        <v>0</v>
      </c>
      <c r="F246" s="690">
        <f>SUMIF('ПО КОРИСНИЦИМА'!$G$7:$G$17281,"Свега за пројекат 0701-П48:",'ПО КОРИСНИЦИМА'!$I$7:$I$17281)</f>
        <v>0</v>
      </c>
      <c r="G246" s="685">
        <f t="shared" si="15"/>
        <v>0</v>
      </c>
      <c r="H246" s="691"/>
    </row>
    <row r="247" spans="1:8" hidden="1" x14ac:dyDescent="0.2">
      <c r="A247" s="657"/>
      <c r="B247" s="657" t="s">
        <v>4711</v>
      </c>
      <c r="C247" s="570" t="str">
        <f>IFERROR(VLOOKUP(B247,'ПО КОРИСНИЦИМА'!$C$7:$J$17281,5,FALSE),"")</f>
        <v/>
      </c>
      <c r="D247" s="689">
        <f>SUMIF('ПО КОРИСНИЦИМА'!$G$7:$G$17281,"Свега за пројекат 0701-П49:",'ПО КОРИСНИЦИМА'!$H$7:$H$17281)</f>
        <v>0</v>
      </c>
      <c r="E247" s="686">
        <f t="shared" si="14"/>
        <v>0</v>
      </c>
      <c r="F247" s="690">
        <f>SUMIF('ПО КОРИСНИЦИМА'!$G$7:$G$17281,"Свега за пројекат 0701-П49:",'ПО КОРИСНИЦИМА'!$I$7:$I$17281)</f>
        <v>0</v>
      </c>
      <c r="G247" s="685">
        <f t="shared" si="15"/>
        <v>0</v>
      </c>
      <c r="H247" s="700"/>
    </row>
    <row r="248" spans="1:8" hidden="1" x14ac:dyDescent="0.2">
      <c r="A248" s="658"/>
      <c r="B248" s="657" t="s">
        <v>4712</v>
      </c>
      <c r="C248" s="570" t="str">
        <f>IFERROR(VLOOKUP(B248,'ПО КОРИСНИЦИМА'!$C$7:$J$17281,5,FALSE),"")</f>
        <v/>
      </c>
      <c r="D248" s="689">
        <f>SUMIF('ПО КОРИСНИЦИМА'!$G$7:$G$17281,"Свега за пројекат 0701-П50:",'ПО КОРИСНИЦИМА'!$H$7:$H$17281)</f>
        <v>0</v>
      </c>
      <c r="E248" s="686">
        <f t="shared" si="14"/>
        <v>0</v>
      </c>
      <c r="F248" s="690">
        <f>SUMIF('ПО КОРИСНИЦИМА'!$G$7:$G$17281,"Свега за пројекат 0701-П50:",'ПО КОРИСНИЦИМА'!$I$7:$I$17281)</f>
        <v>0</v>
      </c>
      <c r="G248" s="685">
        <f t="shared" si="15"/>
        <v>0</v>
      </c>
      <c r="H248" s="701"/>
    </row>
    <row r="249" spans="1:8" s="655" customFormat="1" x14ac:dyDescent="0.2">
      <c r="A249" s="647" t="s">
        <v>3587</v>
      </c>
      <c r="B249" s="648"/>
      <c r="C249" s="568" t="s">
        <v>3681</v>
      </c>
      <c r="D249" s="677">
        <f>SUM(D250:D280)</f>
        <v>21499000</v>
      </c>
      <c r="E249" s="678">
        <f>IFERROR(D249/$D$601,"-")</f>
        <v>3.7266423990292945E-2</v>
      </c>
      <c r="F249" s="679">
        <f>SUM(F250:F280)</f>
        <v>14651100</v>
      </c>
      <c r="G249" s="677">
        <f t="shared" si="13"/>
        <v>36150100</v>
      </c>
      <c r="H249" s="698"/>
    </row>
    <row r="250" spans="1:8" x14ac:dyDescent="0.2">
      <c r="A250" s="650"/>
      <c r="B250" s="659" t="s">
        <v>4354</v>
      </c>
      <c r="C250" s="574" t="s">
        <v>4125</v>
      </c>
      <c r="D250" s="681">
        <f>SUMIF('ПО КОРИСНИЦИМА'!$G$7:$G$17281,"Свега за програмску активност 2001-0001:",'ПО КОРИСНИЦИМА'!$H$7:$H$17281)</f>
        <v>17864000</v>
      </c>
      <c r="E250" s="682">
        <f>IFERROR(D250/$D$601,"-")</f>
        <v>3.096550528687814E-2</v>
      </c>
      <c r="F250" s="683">
        <f>SUMIF('ПО КОРИСНИЦИМА'!$G$7:$G$17281,"Свега за програмску активност 2001-0001:",'ПО КОРИСНИЦИМА'!$I$7:$I$17281)</f>
        <v>10406100</v>
      </c>
      <c r="G250" s="681">
        <f t="shared" si="13"/>
        <v>28270100</v>
      </c>
      <c r="H250" s="702"/>
    </row>
    <row r="251" spans="1:8" x14ac:dyDescent="0.2">
      <c r="A251" s="657"/>
      <c r="B251" s="657" t="s">
        <v>5205</v>
      </c>
      <c r="C251" s="570" t="str">
        <f>IFERROR(VLOOKUP(B251,'ПО КОРИСНИЦИМА'!$C$7:$J$17281,5,FALSE),"")</f>
        <v>Санација и унапређење енергетске ефикасности</v>
      </c>
      <c r="D251" s="689">
        <f>SUMIF('ПО КОРИСНИЦИМА'!$G$7:$G$17281,"Свега за пројекат 2001-П1:",'ПО КОРИСНИЦИМА'!$H$7:$H$17281)</f>
        <v>3635000</v>
      </c>
      <c r="E251" s="686">
        <f>IFERROR(D251/$D$601,"-")</f>
        <v>6.3009187034148029E-3</v>
      </c>
      <c r="F251" s="690">
        <f>SUMIF('ПО КОРИСНИЦИМА'!$G$7:$G$17281,"Свега за пројекат 2001-П1:",'ПО КОРИСНИЦИМА'!$I$7:$I$17281)</f>
        <v>3965000</v>
      </c>
      <c r="G251" s="685">
        <f t="shared" si="13"/>
        <v>7600000</v>
      </c>
      <c r="H251" s="703"/>
    </row>
    <row r="252" spans="1:8" x14ac:dyDescent="0.2">
      <c r="A252" s="657"/>
      <c r="B252" s="657" t="s">
        <v>5207</v>
      </c>
      <c r="C252" s="570" t="str">
        <f>IFERROR(VLOOKUP(B252,'ПО КОРИСНИЦИМА'!$C$7:$J$17281,5,FALSE),"")</f>
        <v>Пројекат реконструкције санитарног чвора</v>
      </c>
      <c r="D252" s="689"/>
      <c r="E252" s="686">
        <f t="shared" ref="E252:E280" si="16">IFERROR(D252/$D$601,"-")</f>
        <v>0</v>
      </c>
      <c r="F252" s="690">
        <v>280000</v>
      </c>
      <c r="G252" s="685">
        <f t="shared" ref="G252:G280" si="17">D252+F252</f>
        <v>280000</v>
      </c>
      <c r="H252" s="704"/>
    </row>
    <row r="253" spans="1:8" hidden="1" x14ac:dyDescent="0.2">
      <c r="A253" s="657"/>
      <c r="B253" s="657" t="s">
        <v>4713</v>
      </c>
      <c r="C253" s="570" t="str">
        <f>IFERROR(VLOOKUP(B253,'ПО КОРИСНИЦИМА'!$C$7:$J$17281,5,FALSE),"")</f>
        <v/>
      </c>
      <c r="D253" s="689">
        <f>SUMIF('ПО КОРИСНИЦИМА'!$G$7:$G$17281,"Свега за пројекат 2001-П3:",'ПО КОРИСНИЦИМА'!$H$7:$H$17281)</f>
        <v>0</v>
      </c>
      <c r="E253" s="686">
        <f t="shared" si="16"/>
        <v>0</v>
      </c>
      <c r="F253" s="690"/>
      <c r="G253" s="685">
        <f t="shared" si="17"/>
        <v>0</v>
      </c>
      <c r="H253" s="704"/>
    </row>
    <row r="254" spans="1:8" hidden="1" x14ac:dyDescent="0.2">
      <c r="A254" s="657"/>
      <c r="B254" s="657" t="s">
        <v>4714</v>
      </c>
      <c r="C254" s="570" t="str">
        <f>IFERROR(VLOOKUP(B254,'ПО КОРИСНИЦИМА'!$C$7:$J$17281,5,FALSE),"")</f>
        <v/>
      </c>
      <c r="D254" s="689">
        <f>SUMIF('ПО КОРИСНИЦИМА'!$G$7:$G$17281,"Свега за пројекат 2001-П4:",'ПО КОРИСНИЦИМА'!$H$7:$H$17281)</f>
        <v>0</v>
      </c>
      <c r="E254" s="686">
        <f t="shared" si="16"/>
        <v>0</v>
      </c>
      <c r="F254" s="690">
        <f>SUMIF('ПО КОРИСНИЦИМА'!$G$7:$G$17281,"Свега за пројекат 2001-П4:",'ПО КОРИСНИЦИМА'!$I$7:$I$17281)</f>
        <v>0</v>
      </c>
      <c r="G254" s="685">
        <f t="shared" si="17"/>
        <v>0</v>
      </c>
      <c r="H254" s="704"/>
    </row>
    <row r="255" spans="1:8" hidden="1" x14ac:dyDescent="0.2">
      <c r="A255" s="657"/>
      <c r="B255" s="657" t="s">
        <v>4715</v>
      </c>
      <c r="C255" s="570" t="str">
        <f>IFERROR(VLOOKUP(B255,'ПО КОРИСНИЦИМА'!$C$7:$J$17281,5,FALSE),"")</f>
        <v/>
      </c>
      <c r="D255" s="689">
        <f>SUMIF('ПО КОРИСНИЦИМА'!$G$7:$G$17281,"Свега за пројекат 2001-П5:",'ПО КОРИСНИЦИМА'!$H$7:$H$17281)</f>
        <v>0</v>
      </c>
      <c r="E255" s="686">
        <f t="shared" si="16"/>
        <v>0</v>
      </c>
      <c r="F255" s="690"/>
      <c r="G255" s="685">
        <f t="shared" si="17"/>
        <v>0</v>
      </c>
      <c r="H255" s="704"/>
    </row>
    <row r="256" spans="1:8" hidden="1" x14ac:dyDescent="0.2">
      <c r="A256" s="657"/>
      <c r="B256" s="657" t="s">
        <v>4716</v>
      </c>
      <c r="C256" s="570"/>
      <c r="D256" s="689"/>
      <c r="E256" s="686">
        <f t="shared" si="16"/>
        <v>0</v>
      </c>
      <c r="F256" s="690"/>
      <c r="G256" s="685">
        <f t="shared" si="17"/>
        <v>0</v>
      </c>
      <c r="H256" s="704"/>
    </row>
    <row r="257" spans="1:8" hidden="1" x14ac:dyDescent="0.2">
      <c r="A257" s="657"/>
      <c r="B257" s="657" t="s">
        <v>4717</v>
      </c>
      <c r="C257" s="570"/>
      <c r="D257" s="689">
        <f>SUMIF('ПО КОРИСНИЦИМА'!$G$7:$G$17281,"Свега за пројекат 2001-П7:",'ПО КОРИСНИЦИМА'!$H$7:$H$17281)</f>
        <v>0</v>
      </c>
      <c r="E257" s="686">
        <f t="shared" si="16"/>
        <v>0</v>
      </c>
      <c r="F257" s="690"/>
      <c r="G257" s="685">
        <f t="shared" si="17"/>
        <v>0</v>
      </c>
      <c r="H257" s="704"/>
    </row>
    <row r="258" spans="1:8" hidden="1" x14ac:dyDescent="0.2">
      <c r="A258" s="657"/>
      <c r="B258" s="657" t="s">
        <v>4718</v>
      </c>
      <c r="C258" s="570" t="str">
        <f>IFERROR(VLOOKUP(B258,'ПО КОРИСНИЦИМА'!$C$7:$J$17281,5,FALSE),"")</f>
        <v/>
      </c>
      <c r="D258" s="689">
        <f>SUMIF('ПО КОРИСНИЦИМА'!$G$7:$G$17281,"Свега за пројекат 2001-П8:",'ПО КОРИСНИЦИМА'!$H$7:$H$17281)</f>
        <v>0</v>
      </c>
      <c r="E258" s="686">
        <f t="shared" si="16"/>
        <v>0</v>
      </c>
      <c r="F258" s="690">
        <f>SUMIF('ПО КОРИСНИЦИМА'!$G$7:$G$17281,"Свега за пројекат 2001-П8:",'ПО КОРИСНИЦИМА'!$I$7:$I$17281)</f>
        <v>0</v>
      </c>
      <c r="G258" s="685">
        <f t="shared" si="17"/>
        <v>0</v>
      </c>
      <c r="H258" s="704"/>
    </row>
    <row r="259" spans="1:8" hidden="1" x14ac:dyDescent="0.2">
      <c r="A259" s="657"/>
      <c r="B259" s="657" t="s">
        <v>4719</v>
      </c>
      <c r="C259" s="570" t="str">
        <f>IFERROR(VLOOKUP(B259,'ПО КОРИСНИЦИМА'!$C$7:$J$17281,5,FALSE),"")</f>
        <v/>
      </c>
      <c r="D259" s="689">
        <f>SUMIF('ПО КОРИСНИЦИМА'!$G$7:$G$17281,"Свега за пројекат 2001-П9:",'ПО КОРИСНИЦИМА'!$H$7:$H$17281)</f>
        <v>0</v>
      </c>
      <c r="E259" s="686">
        <f t="shared" si="16"/>
        <v>0</v>
      </c>
      <c r="F259" s="690">
        <f>SUMIF('ПО КОРИСНИЦИМА'!$G$7:$G$17281,"Свега за пројекат 2001-П9:",'ПО КОРИСНИЦИМА'!$I$7:$I$17281)</f>
        <v>0</v>
      </c>
      <c r="G259" s="685">
        <f t="shared" si="17"/>
        <v>0</v>
      </c>
      <c r="H259" s="704"/>
    </row>
    <row r="260" spans="1:8" hidden="1" x14ac:dyDescent="0.2">
      <c r="A260" s="657"/>
      <c r="B260" s="657" t="s">
        <v>4720</v>
      </c>
      <c r="C260" s="570" t="str">
        <f>IFERROR(VLOOKUP(B260,'ПО КОРИСНИЦИМА'!$C$7:$J$17281,5,FALSE),"")</f>
        <v/>
      </c>
      <c r="D260" s="689">
        <f>SUMIF('ПО КОРИСНИЦИМА'!$G$7:$G$17281,"Свега за пројекат 2001-П10:",'ПО КОРИСНИЦИМА'!$H$7:$H$17281)</f>
        <v>0</v>
      </c>
      <c r="E260" s="686">
        <f t="shared" si="16"/>
        <v>0</v>
      </c>
      <c r="F260" s="690">
        <f>SUMIF('ПО КОРИСНИЦИМА'!$G$7:$G$17281,"Свега за пројекат 2001-П10:",'ПО КОРИСНИЦИМА'!$I$7:$I$17281)</f>
        <v>0</v>
      </c>
      <c r="G260" s="685">
        <f t="shared" si="17"/>
        <v>0</v>
      </c>
      <c r="H260" s="704"/>
    </row>
    <row r="261" spans="1:8" hidden="1" x14ac:dyDescent="0.2">
      <c r="A261" s="657"/>
      <c r="B261" s="657" t="s">
        <v>4721</v>
      </c>
      <c r="C261" s="570" t="str">
        <f>IFERROR(VLOOKUP(B261,'ПО КОРИСНИЦИМА'!$C$7:$J$17281,5,FALSE),"")</f>
        <v/>
      </c>
      <c r="D261" s="689">
        <f>SUMIF('ПО КОРИСНИЦИМА'!$G$7:$G$17281,"Свега за пројекат 2001-П11:",'ПО КОРИСНИЦИМА'!$H$7:$H$17281)</f>
        <v>0</v>
      </c>
      <c r="E261" s="686">
        <f t="shared" si="16"/>
        <v>0</v>
      </c>
      <c r="F261" s="690">
        <f>SUMIF('ПО КОРИСНИЦИМА'!$G$7:$G$17281,"Свега за пројекат 2001-П11:",'ПО КОРИСНИЦИМА'!$I$7:$I$17281)</f>
        <v>0</v>
      </c>
      <c r="G261" s="685">
        <f t="shared" si="17"/>
        <v>0</v>
      </c>
      <c r="H261" s="704"/>
    </row>
    <row r="262" spans="1:8" hidden="1" x14ac:dyDescent="0.2">
      <c r="A262" s="657"/>
      <c r="B262" s="657" t="s">
        <v>4722</v>
      </c>
      <c r="C262" s="570" t="str">
        <f>IFERROR(VLOOKUP(B262,'ПО КОРИСНИЦИМА'!$C$7:$J$17281,5,FALSE),"")</f>
        <v/>
      </c>
      <c r="D262" s="689">
        <f>SUMIF('ПО КОРИСНИЦИМА'!$G$7:$G$17281,"Свега за пројекат 2001-П12:",'ПО КОРИСНИЦИМА'!$H$7:$H$17281)</f>
        <v>0</v>
      </c>
      <c r="E262" s="686">
        <f t="shared" si="16"/>
        <v>0</v>
      </c>
      <c r="F262" s="690">
        <f>SUMIF('ПО КОРИСНИЦИМА'!$G$7:$G$17281,"Свега за пројекат 2001-П12:",'ПО КОРИСНИЦИМА'!$I$7:$I$17281)</f>
        <v>0</v>
      </c>
      <c r="G262" s="685">
        <f t="shared" si="17"/>
        <v>0</v>
      </c>
      <c r="H262" s="704"/>
    </row>
    <row r="263" spans="1:8" hidden="1" x14ac:dyDescent="0.2">
      <c r="A263" s="657"/>
      <c r="B263" s="657" t="s">
        <v>4723</v>
      </c>
      <c r="C263" s="570" t="str">
        <f>IFERROR(VLOOKUP(B263,'ПО КОРИСНИЦИМА'!$C$7:$J$17281,5,FALSE),"")</f>
        <v/>
      </c>
      <c r="D263" s="689">
        <f>SUMIF('ПО КОРИСНИЦИМА'!$G$7:$G$17281,"Свега за пројекат 2001-П13:",'ПО КОРИСНИЦИМА'!$H$7:$H$17281)</f>
        <v>0</v>
      </c>
      <c r="E263" s="686">
        <f t="shared" si="16"/>
        <v>0</v>
      </c>
      <c r="F263" s="690">
        <f>SUMIF('ПО КОРИСНИЦИМА'!$G$7:$G$17281,"Свега за пројекат 2001-П13:",'ПО КОРИСНИЦИМА'!$I$7:$I$17281)</f>
        <v>0</v>
      </c>
      <c r="G263" s="685">
        <f t="shared" si="17"/>
        <v>0</v>
      </c>
      <c r="H263" s="704"/>
    </row>
    <row r="264" spans="1:8" hidden="1" x14ac:dyDescent="0.2">
      <c r="A264" s="657"/>
      <c r="B264" s="657" t="s">
        <v>4724</v>
      </c>
      <c r="C264" s="570" t="str">
        <f>IFERROR(VLOOKUP(B264,'ПО КОРИСНИЦИМА'!$C$7:$J$17281,5,FALSE),"")</f>
        <v/>
      </c>
      <c r="D264" s="689">
        <f>SUMIF('ПО КОРИСНИЦИМА'!$G$7:$G$17281,"Свега за пројекат 2001-П14:",'ПО КОРИСНИЦИМА'!$H$7:$H$17281)</f>
        <v>0</v>
      </c>
      <c r="E264" s="686">
        <f t="shared" si="16"/>
        <v>0</v>
      </c>
      <c r="F264" s="690">
        <f>SUMIF('ПО КОРИСНИЦИМА'!$G$7:$G$17281,"Свега за пројекат 2001-П14:",'ПО КОРИСНИЦИМА'!$I$7:$I$17281)</f>
        <v>0</v>
      </c>
      <c r="G264" s="685">
        <f t="shared" si="17"/>
        <v>0</v>
      </c>
      <c r="H264" s="704"/>
    </row>
    <row r="265" spans="1:8" hidden="1" x14ac:dyDescent="0.2">
      <c r="A265" s="657"/>
      <c r="B265" s="657" t="s">
        <v>4725</v>
      </c>
      <c r="C265" s="570" t="str">
        <f>IFERROR(VLOOKUP(B265,'ПО КОРИСНИЦИМА'!$C$7:$J$17281,5,FALSE),"")</f>
        <v/>
      </c>
      <c r="D265" s="689">
        <f>SUMIF('ПО КОРИСНИЦИМА'!$G$7:$G$17281,"Свега за пројекат 2001-П15:",'ПО КОРИСНИЦИМА'!$H$7:$H$17281)</f>
        <v>0</v>
      </c>
      <c r="E265" s="686">
        <f t="shared" si="16"/>
        <v>0</v>
      </c>
      <c r="F265" s="690">
        <f>SUMIF('ПО КОРИСНИЦИМА'!$G$7:$G$17281,"Свега за пројекат 2001-П15:",'ПО КОРИСНИЦИМА'!$I$7:$I$17281)</f>
        <v>0</v>
      </c>
      <c r="G265" s="685">
        <f t="shared" si="17"/>
        <v>0</v>
      </c>
      <c r="H265" s="704"/>
    </row>
    <row r="266" spans="1:8" hidden="1" x14ac:dyDescent="0.2">
      <c r="A266" s="657"/>
      <c r="B266" s="657" t="s">
        <v>4726</v>
      </c>
      <c r="C266" s="570" t="str">
        <f>IFERROR(VLOOKUP(B266,'ПО КОРИСНИЦИМА'!$C$7:$J$17281,5,FALSE),"")</f>
        <v/>
      </c>
      <c r="D266" s="689">
        <f>SUMIF('ПО КОРИСНИЦИМА'!$G$7:$G$17281,"Свега за пројекат 2001-П16:",'ПО КОРИСНИЦИМА'!$H$7:$H$17281)</f>
        <v>0</v>
      </c>
      <c r="E266" s="686">
        <f t="shared" si="16"/>
        <v>0</v>
      </c>
      <c r="F266" s="690">
        <f>SUMIF('ПО КОРИСНИЦИМА'!$G$7:$G$17281,"Свега за пројекат 2001-П16:",'ПО КОРИСНИЦИМА'!$I$7:$I$17281)</f>
        <v>0</v>
      </c>
      <c r="G266" s="685">
        <f t="shared" si="17"/>
        <v>0</v>
      </c>
      <c r="H266" s="704"/>
    </row>
    <row r="267" spans="1:8" hidden="1" x14ac:dyDescent="0.2">
      <c r="A267" s="657"/>
      <c r="B267" s="657" t="s">
        <v>4727</v>
      </c>
      <c r="C267" s="570" t="str">
        <f>IFERROR(VLOOKUP(B267,'ПО КОРИСНИЦИМА'!$C$7:$J$17281,5,FALSE),"")</f>
        <v/>
      </c>
      <c r="D267" s="689">
        <f>SUMIF('ПО КОРИСНИЦИМА'!$G$7:$G$17281,"Свега за пројекат 2001-П17:",'ПО КОРИСНИЦИМА'!$H$7:$H$17281)</f>
        <v>0</v>
      </c>
      <c r="E267" s="686">
        <f t="shared" si="16"/>
        <v>0</v>
      </c>
      <c r="F267" s="690">
        <f>SUMIF('ПО КОРИСНИЦИМА'!$G$7:$G$17281,"Свега за пројекат 2001-П17:",'ПО КОРИСНИЦИМА'!$I$7:$I$17281)</f>
        <v>0</v>
      </c>
      <c r="G267" s="685">
        <f t="shared" si="17"/>
        <v>0</v>
      </c>
      <c r="H267" s="704"/>
    </row>
    <row r="268" spans="1:8" hidden="1" x14ac:dyDescent="0.2">
      <c r="A268" s="657"/>
      <c r="B268" s="657" t="s">
        <v>4728</v>
      </c>
      <c r="C268" s="570" t="str">
        <f>IFERROR(VLOOKUP(B268,'ПО КОРИСНИЦИМА'!$C$7:$J$17281,5,FALSE),"")</f>
        <v/>
      </c>
      <c r="D268" s="689">
        <f>SUMIF('ПО КОРИСНИЦИМА'!$G$7:$G$17281,"Свега за пројекат 2001-П18:",'ПО КОРИСНИЦИМА'!$H$7:$H$17281)</f>
        <v>0</v>
      </c>
      <c r="E268" s="686">
        <f t="shared" si="16"/>
        <v>0</v>
      </c>
      <c r="F268" s="690">
        <f>SUMIF('ПО КОРИСНИЦИМА'!$G$7:$G$17281,"Свега за пројекат 2001-П18:",'ПО КОРИСНИЦИМА'!$I$7:$I$17281)</f>
        <v>0</v>
      </c>
      <c r="G268" s="685">
        <f t="shared" si="17"/>
        <v>0</v>
      </c>
      <c r="H268" s="704"/>
    </row>
    <row r="269" spans="1:8" hidden="1" x14ac:dyDescent="0.2">
      <c r="A269" s="657"/>
      <c r="B269" s="657" t="s">
        <v>4729</v>
      </c>
      <c r="C269" s="570" t="str">
        <f>IFERROR(VLOOKUP(B269,'ПО КОРИСНИЦИМА'!$C$7:$J$17281,5,FALSE),"")</f>
        <v/>
      </c>
      <c r="D269" s="689">
        <f>SUMIF('ПО КОРИСНИЦИМА'!$G$7:$G$17281,"Свега за пројекат 2001-П19:",'ПО КОРИСНИЦИМА'!$H$7:$H$17281)</f>
        <v>0</v>
      </c>
      <c r="E269" s="686">
        <f t="shared" si="16"/>
        <v>0</v>
      </c>
      <c r="F269" s="690">
        <f>SUMIF('ПО КОРИСНИЦИМА'!$G$7:$G$17281,"Свега за пројекат 2001-П19:",'ПО КОРИСНИЦИМА'!$I$7:$I$17281)</f>
        <v>0</v>
      </c>
      <c r="G269" s="685">
        <f t="shared" si="17"/>
        <v>0</v>
      </c>
      <c r="H269" s="704"/>
    </row>
    <row r="270" spans="1:8" hidden="1" x14ac:dyDescent="0.2">
      <c r="A270" s="657"/>
      <c r="B270" s="657" t="s">
        <v>4730</v>
      </c>
      <c r="C270" s="570" t="str">
        <f>IFERROR(VLOOKUP(B270,'ПО КОРИСНИЦИМА'!$C$7:$J$17281,5,FALSE),"")</f>
        <v/>
      </c>
      <c r="D270" s="689">
        <f>SUMIF('ПО КОРИСНИЦИМА'!$G$7:$G$17281,"Свега за пројекат 2001-П20:",'ПО КОРИСНИЦИМА'!$H$7:$H$17281)</f>
        <v>0</v>
      </c>
      <c r="E270" s="686">
        <f t="shared" si="16"/>
        <v>0</v>
      </c>
      <c r="F270" s="690">
        <f>SUMIF('ПО КОРИСНИЦИМА'!$G$7:$G$17281,"Свега за пројекат 2001-П20:",'ПО КОРИСНИЦИМА'!$I$7:$I$17281)</f>
        <v>0</v>
      </c>
      <c r="G270" s="685">
        <f t="shared" si="17"/>
        <v>0</v>
      </c>
      <c r="H270" s="703"/>
    </row>
    <row r="271" spans="1:8" hidden="1" x14ac:dyDescent="0.2">
      <c r="A271" s="657"/>
      <c r="B271" s="657" t="s">
        <v>4731</v>
      </c>
      <c r="C271" s="570" t="str">
        <f>IFERROR(VLOOKUP(B271,'ПО КОРИСНИЦИМА'!$C$7:$J$17281,5,FALSE),"")</f>
        <v/>
      </c>
      <c r="D271" s="689">
        <f>SUMIF('ПО КОРИСНИЦИМА'!$G$7:$G$17281,"Свега за пројекат 2001-П21:",'ПО КОРИСНИЦИМА'!$H$7:$H$17281)</f>
        <v>0</v>
      </c>
      <c r="E271" s="686">
        <f t="shared" si="16"/>
        <v>0</v>
      </c>
      <c r="F271" s="690">
        <f>SUMIF('ПО КОРИСНИЦИМА'!$G$7:$G$17281,"Свега за пројекат 2001-П21:",'ПО КОРИСНИЦИМА'!$I$7:$I$17281)</f>
        <v>0</v>
      </c>
      <c r="G271" s="685">
        <f t="shared" si="17"/>
        <v>0</v>
      </c>
      <c r="H271" s="704"/>
    </row>
    <row r="272" spans="1:8" hidden="1" x14ac:dyDescent="0.2">
      <c r="A272" s="657"/>
      <c r="B272" s="657" t="s">
        <v>4732</v>
      </c>
      <c r="C272" s="570" t="str">
        <f>IFERROR(VLOOKUP(B272,'ПО КОРИСНИЦИМА'!$C$7:$J$17281,5,FALSE),"")</f>
        <v/>
      </c>
      <c r="D272" s="689">
        <f>SUMIF('ПО КОРИСНИЦИМА'!$G$7:$G$17281,"Свега за пројекат 2001-П22:",'ПО КОРИСНИЦИМА'!$H$7:$H$17281)</f>
        <v>0</v>
      </c>
      <c r="E272" s="686">
        <f t="shared" si="16"/>
        <v>0</v>
      </c>
      <c r="F272" s="690">
        <f>SUMIF('ПО КОРИСНИЦИМА'!$G$7:$G$17281,"Свега за пројекат 2001-П22:",'ПО КОРИСНИЦИМА'!$I$7:$I$17281)</f>
        <v>0</v>
      </c>
      <c r="G272" s="685">
        <f t="shared" si="17"/>
        <v>0</v>
      </c>
      <c r="H272" s="704"/>
    </row>
    <row r="273" spans="1:8" hidden="1" x14ac:dyDescent="0.2">
      <c r="A273" s="657"/>
      <c r="B273" s="657" t="s">
        <v>4733</v>
      </c>
      <c r="C273" s="570" t="str">
        <f>IFERROR(VLOOKUP(B273,'ПО КОРИСНИЦИМА'!$C$7:$J$17281,5,FALSE),"")</f>
        <v/>
      </c>
      <c r="D273" s="689">
        <f>SUMIF('ПО КОРИСНИЦИМА'!$G$7:$G$17281,"Свега за пројекат 2001-П23:",'ПО КОРИСНИЦИМА'!$H$7:$H$17281)</f>
        <v>0</v>
      </c>
      <c r="E273" s="686">
        <f t="shared" si="16"/>
        <v>0</v>
      </c>
      <c r="F273" s="690">
        <f>SUMIF('ПО КОРИСНИЦИМА'!$G$7:$G$17281,"Свега за пројекат 2001-П23:",'ПО КОРИСНИЦИМА'!$I$7:$I$17281)</f>
        <v>0</v>
      </c>
      <c r="G273" s="685">
        <f t="shared" si="17"/>
        <v>0</v>
      </c>
      <c r="H273" s="704"/>
    </row>
    <row r="274" spans="1:8" hidden="1" x14ac:dyDescent="0.2">
      <c r="A274" s="657"/>
      <c r="B274" s="657" t="s">
        <v>4734</v>
      </c>
      <c r="C274" s="570" t="str">
        <f>IFERROR(VLOOKUP(B274,'ПО КОРИСНИЦИМА'!$C$7:$J$17281,5,FALSE),"")</f>
        <v/>
      </c>
      <c r="D274" s="689">
        <f>SUMIF('ПО КОРИСНИЦИМА'!$G$7:$G$17281,"Свега за пројекат 2001-П24:",'ПО КОРИСНИЦИМА'!$H$7:$H$17281)</f>
        <v>0</v>
      </c>
      <c r="E274" s="686">
        <f t="shared" si="16"/>
        <v>0</v>
      </c>
      <c r="F274" s="690">
        <f>SUMIF('ПО КОРИСНИЦИМА'!$G$7:$G$17281,"Свега за пројекат 2001-П24:",'ПО КОРИСНИЦИМА'!$I$7:$I$17281)</f>
        <v>0</v>
      </c>
      <c r="G274" s="685">
        <f t="shared" si="17"/>
        <v>0</v>
      </c>
      <c r="H274" s="704"/>
    </row>
    <row r="275" spans="1:8" hidden="1" x14ac:dyDescent="0.2">
      <c r="A275" s="657"/>
      <c r="B275" s="657" t="s">
        <v>4735</v>
      </c>
      <c r="C275" s="570" t="str">
        <f>IFERROR(VLOOKUP(B275,'ПО КОРИСНИЦИМА'!$C$7:$J$17281,5,FALSE),"")</f>
        <v/>
      </c>
      <c r="D275" s="689">
        <f>SUMIF('ПО КОРИСНИЦИМА'!$G$7:$G$17281,"Свега за пројекат 2001-П25:",'ПО КОРИСНИЦИМА'!$H$7:$H$17281)</f>
        <v>0</v>
      </c>
      <c r="E275" s="686">
        <f t="shared" si="16"/>
        <v>0</v>
      </c>
      <c r="F275" s="690">
        <f>SUMIF('ПО КОРИСНИЦИМА'!$G$7:$G$17281,"Свега за пројекат 2001-П25:",'ПО КОРИСНИЦИМА'!$I$7:$I$17281)</f>
        <v>0</v>
      </c>
      <c r="G275" s="685">
        <f t="shared" si="17"/>
        <v>0</v>
      </c>
      <c r="H275" s="704"/>
    </row>
    <row r="276" spans="1:8" hidden="1" x14ac:dyDescent="0.2">
      <c r="A276" s="657"/>
      <c r="B276" s="657" t="s">
        <v>4736</v>
      </c>
      <c r="C276" s="570" t="str">
        <f>IFERROR(VLOOKUP(B276,'ПО КОРИСНИЦИМА'!$C$7:$J$17281,5,FALSE),"")</f>
        <v/>
      </c>
      <c r="D276" s="689">
        <f>SUMIF('ПО КОРИСНИЦИМА'!$G$7:$G$17281,"Свега за пројекат 2001-П26:",'ПО КОРИСНИЦИМА'!$H$7:$H$17281)</f>
        <v>0</v>
      </c>
      <c r="E276" s="686">
        <f t="shared" si="16"/>
        <v>0</v>
      </c>
      <c r="F276" s="690">
        <f>SUMIF('ПО КОРИСНИЦИМА'!$G$7:$G$17281,"Свега за пројекат 2001-П26:",'ПО КОРИСНИЦИМА'!$I$7:$I$17281)</f>
        <v>0</v>
      </c>
      <c r="G276" s="685">
        <f t="shared" si="17"/>
        <v>0</v>
      </c>
      <c r="H276" s="704"/>
    </row>
    <row r="277" spans="1:8" hidden="1" x14ac:dyDescent="0.2">
      <c r="A277" s="657"/>
      <c r="B277" s="657" t="s">
        <v>4737</v>
      </c>
      <c r="C277" s="570" t="str">
        <f>IFERROR(VLOOKUP(B277,'ПО КОРИСНИЦИМА'!$C$7:$J$17281,5,FALSE),"")</f>
        <v/>
      </c>
      <c r="D277" s="689">
        <f>SUMIF('ПО КОРИСНИЦИМА'!$G$7:$G$17281,"Свега за пројекат 2001-П27:",'ПО КОРИСНИЦИМА'!$H$7:$H$17281)</f>
        <v>0</v>
      </c>
      <c r="E277" s="686">
        <f t="shared" si="16"/>
        <v>0</v>
      </c>
      <c r="F277" s="690">
        <f>SUMIF('ПО КОРИСНИЦИМА'!$G$7:$G$17281,"Свега за пројекат 2001-П27:",'ПО КОРИСНИЦИМА'!$I$7:$I$17281)</f>
        <v>0</v>
      </c>
      <c r="G277" s="685">
        <f t="shared" si="17"/>
        <v>0</v>
      </c>
      <c r="H277" s="704"/>
    </row>
    <row r="278" spans="1:8" hidden="1" x14ac:dyDescent="0.2">
      <c r="A278" s="657"/>
      <c r="B278" s="657" t="s">
        <v>4738</v>
      </c>
      <c r="C278" s="570" t="str">
        <f>IFERROR(VLOOKUP(B278,'ПО КОРИСНИЦИМА'!$C$7:$J$17281,5,FALSE),"")</f>
        <v/>
      </c>
      <c r="D278" s="689">
        <f>SUMIF('ПО КОРИСНИЦИМА'!$G$7:$G$17281,"Свега за пројекат 2001-П28:",'ПО КОРИСНИЦИМА'!$H$7:$H$17281)</f>
        <v>0</v>
      </c>
      <c r="E278" s="686">
        <f t="shared" si="16"/>
        <v>0</v>
      </c>
      <c r="F278" s="690">
        <f>SUMIF('ПО КОРИСНИЦИМА'!$G$7:$G$17281,"Свега за пројекат 2001-П28:",'ПО КОРИСНИЦИМА'!$I$7:$I$17281)</f>
        <v>0</v>
      </c>
      <c r="G278" s="685">
        <f t="shared" si="17"/>
        <v>0</v>
      </c>
      <c r="H278" s="700"/>
    </row>
    <row r="279" spans="1:8" hidden="1" x14ac:dyDescent="0.2">
      <c r="A279" s="657"/>
      <c r="B279" s="657" t="s">
        <v>4739</v>
      </c>
      <c r="C279" s="570" t="str">
        <f>IFERROR(VLOOKUP(B279,'ПО КОРИСНИЦИМА'!$C$7:$J$17281,5,FALSE),"")</f>
        <v/>
      </c>
      <c r="D279" s="689">
        <f>SUMIF('ПО КОРИСНИЦИМА'!$G$7:$G$17281,"Свега за пројекат 2001-П29:",'ПО КОРИСНИЦИМА'!$H$7:$H$17281)</f>
        <v>0</v>
      </c>
      <c r="E279" s="686">
        <f t="shared" si="16"/>
        <v>0</v>
      </c>
      <c r="F279" s="690">
        <f>SUMIF('ПО КОРИСНИЦИМА'!$G$7:$G$17281,"Свега за пројекат 2001-П29:",'ПО КОРИСНИЦИМА'!$I$7:$I$17281)</f>
        <v>0</v>
      </c>
      <c r="G279" s="685">
        <f t="shared" si="17"/>
        <v>0</v>
      </c>
      <c r="H279" s="700"/>
    </row>
    <row r="280" spans="1:8" hidden="1" x14ac:dyDescent="0.2">
      <c r="A280" s="658"/>
      <c r="B280" s="657" t="s">
        <v>4800</v>
      </c>
      <c r="C280" s="570" t="str">
        <f>IFERROR(VLOOKUP(B280,'ПО КОРИСНИЦИМА'!$C$7:$J$17281,5,FALSE),"")</f>
        <v/>
      </c>
      <c r="D280" s="689">
        <f>SUMIF('ПО КОРИСНИЦИМА'!$G$7:$G$17281,"Свега за пројекат 2001-П30:",'ПО КОРИСНИЦИМА'!$H$7:$H$17281)</f>
        <v>0</v>
      </c>
      <c r="E280" s="686">
        <f t="shared" si="16"/>
        <v>0</v>
      </c>
      <c r="F280" s="690">
        <f>SUMIF('ПО КОРИСНИЦИМА'!$G$7:$G$17281,"Свега за пројекат 2001-П30:",'ПО КОРИСНИЦИМА'!$I$7:$I$17281)</f>
        <v>0</v>
      </c>
      <c r="G280" s="685">
        <f t="shared" si="17"/>
        <v>0</v>
      </c>
      <c r="H280" s="697"/>
    </row>
    <row r="281" spans="1:8" s="655" customFormat="1" x14ac:dyDescent="0.2">
      <c r="A281" s="647" t="s">
        <v>3590</v>
      </c>
      <c r="B281" s="648"/>
      <c r="C281" s="568" t="s">
        <v>3682</v>
      </c>
      <c r="D281" s="677">
        <f>SUM(D282:D312)</f>
        <v>27000000</v>
      </c>
      <c r="E281" s="678">
        <f>IFERROR(D281/$D$601,"-")</f>
        <v>4.6801872074882997E-2</v>
      </c>
      <c r="F281" s="679">
        <f>SUM(F282:F312)</f>
        <v>0</v>
      </c>
      <c r="G281" s="677">
        <f t="shared" si="13"/>
        <v>27000000</v>
      </c>
      <c r="H281" s="698"/>
    </row>
    <row r="282" spans="1:8" x14ac:dyDescent="0.2">
      <c r="A282" s="650"/>
      <c r="B282" s="659" t="s">
        <v>4131</v>
      </c>
      <c r="C282" s="574" t="s">
        <v>4126</v>
      </c>
      <c r="D282" s="681">
        <f>SUMIF('ПО КОРИСНИЦИМА'!$G$7:$G$17281,"Свега за програмску активност 2002-0001:",'ПО КОРИСНИЦИМА'!$H$7:$H$17281)</f>
        <v>27000000</v>
      </c>
      <c r="E282" s="682">
        <f>IFERROR(D282/$D$601,"-")</f>
        <v>4.6801872074882997E-2</v>
      </c>
      <c r="F282" s="683">
        <f>SUMIF('ПО КОРИСНИЦИМА'!$G$7:$G$17281,"Свега за програмску активност 2002-0001:",'ПО КОРИСНИЦИМА'!$I$7:$I$17281)</f>
        <v>0</v>
      </c>
      <c r="G282" s="681">
        <f t="shared" si="13"/>
        <v>27000000</v>
      </c>
      <c r="H282" s="684"/>
    </row>
    <row r="283" spans="1:8" hidden="1" x14ac:dyDescent="0.2">
      <c r="A283" s="650"/>
      <c r="B283" s="659" t="s">
        <v>4740</v>
      </c>
      <c r="C283" s="570" t="str">
        <f>IFERROR(VLOOKUP(B283,'ПО КОРИСНИЦИМА'!$C$7:$J$17281,5,FALSE),"")</f>
        <v>Школа у природи</v>
      </c>
      <c r="D283" s="689">
        <f>SUMIF('ПО КОРИСНИЦИМА'!$G$7:$G$17281,"Свега за пројекат 2002-П1:",'ПО КОРИСНИЦИМА'!$H$7:$H$17281)</f>
        <v>0</v>
      </c>
      <c r="E283" s="686">
        <f>IFERROR(D283/$D$601,"-")</f>
        <v>0</v>
      </c>
      <c r="F283" s="690">
        <f>SUMIF('ПО КОРИСНИЦИМА'!$G$7:$G$17281,"Свега за пројекат 2002-П1:",'ПО КОРИСНИЦИМА'!$I$7:$I$17281)</f>
        <v>0</v>
      </c>
      <c r="G283" s="681">
        <f t="shared" ref="G283:G312" si="18">D283+F283</f>
        <v>0</v>
      </c>
      <c r="H283" s="684"/>
    </row>
    <row r="284" spans="1:8" hidden="1" x14ac:dyDescent="0.2">
      <c r="A284" s="650"/>
      <c r="B284" s="659" t="s">
        <v>4741</v>
      </c>
      <c r="C284" s="570" t="str">
        <f>IFERROR(VLOOKUP(B284,'ПО КОРИСНИЦИМА'!$C$7:$J$17281,5,FALSE),"")</f>
        <v>Изградња школе у Бресници</v>
      </c>
      <c r="D284" s="689">
        <f>SUMIF('ПО КОРИСНИЦИМА'!$G$7:$G$17281,"Свега за пројекат 2002-П2:",'ПО КОРИСНИЦИМА'!$H$7:$H$17281)</f>
        <v>0</v>
      </c>
      <c r="E284" s="686">
        <f t="shared" ref="E284:E343" si="19">IFERROR(D284/$D$601,"-")</f>
        <v>0</v>
      </c>
      <c r="F284" s="690">
        <f>SUMIF('ПО КОРИСНИЦИМА'!$G$7:$G$17281,"Свега за пројекат 2002-П2:",'ПО КОРИСНИЦИМА'!$I$7:$I$17281)</f>
        <v>0</v>
      </c>
      <c r="G284" s="681">
        <f t="shared" si="18"/>
        <v>0</v>
      </c>
      <c r="H284" s="684"/>
    </row>
    <row r="285" spans="1:8" hidden="1" x14ac:dyDescent="0.2">
      <c r="A285" s="650"/>
      <c r="B285" s="659" t="s">
        <v>4742</v>
      </c>
      <c r="C285" s="570" t="str">
        <f>IFERROR(VLOOKUP(B285,'ПО КОРИСНИЦИМА'!$C$7:$J$17281,5,FALSE),"")</f>
        <v/>
      </c>
      <c r="D285" s="689">
        <f>SUMIF('ПО КОРИСНИЦИМА'!$G$7:$G$17281,"Свега за пројекат 2002-П3:",'ПО КОРИСНИЦИМА'!$H$7:$H$17281)</f>
        <v>0</v>
      </c>
      <c r="E285" s="686">
        <f t="shared" si="19"/>
        <v>0</v>
      </c>
      <c r="F285" s="690">
        <f>SUMIF('ПО КОРИСНИЦИМА'!$G$7:$G$17281,"Свега за пројекат 2002-П3:",'ПО КОРИСНИЦИМА'!$I$7:$I$17281)</f>
        <v>0</v>
      </c>
      <c r="G285" s="681">
        <f t="shared" si="18"/>
        <v>0</v>
      </c>
      <c r="H285" s="684"/>
    </row>
    <row r="286" spans="1:8" hidden="1" x14ac:dyDescent="0.2">
      <c r="A286" s="650"/>
      <c r="B286" s="659" t="s">
        <v>4743</v>
      </c>
      <c r="C286" s="570" t="str">
        <f>IFERROR(VLOOKUP(B286,'ПО КОРИСНИЦИМА'!$C$7:$J$17281,5,FALSE),"")</f>
        <v/>
      </c>
      <c r="D286" s="689">
        <f>SUMIF('ПО КОРИСНИЦИМА'!$G$7:$G$17281,"Свега за пројекат 2002-П4:",'ПО КОРИСНИЦИМА'!$H$7:$H$17281)</f>
        <v>0</v>
      </c>
      <c r="E286" s="686">
        <f t="shared" si="19"/>
        <v>0</v>
      </c>
      <c r="F286" s="690">
        <f>SUMIF('ПО КОРИСНИЦИМА'!$G$7:$G$17281,"Свега за пројекат 2002-П4:",'ПО КОРИСНИЦИМА'!$I$7:$I$17281)</f>
        <v>0</v>
      </c>
      <c r="G286" s="681">
        <f t="shared" si="18"/>
        <v>0</v>
      </c>
      <c r="H286" s="684"/>
    </row>
    <row r="287" spans="1:8" hidden="1" x14ac:dyDescent="0.2">
      <c r="A287" s="650"/>
      <c r="B287" s="659" t="s">
        <v>4744</v>
      </c>
      <c r="C287" s="570" t="str">
        <f>IFERROR(VLOOKUP(B287,'ПО КОРИСНИЦИМА'!$C$7:$J$17281,5,FALSE),"")</f>
        <v/>
      </c>
      <c r="D287" s="689">
        <f>SUMIF('ПО КОРИСНИЦИМА'!$G$7:$G$17281,"Свега за пројекат 2002-П5:",'ПО КОРИСНИЦИМА'!$H$7:$H$17281)</f>
        <v>0</v>
      </c>
      <c r="E287" s="686">
        <f t="shared" si="19"/>
        <v>0</v>
      </c>
      <c r="F287" s="690">
        <f>SUMIF('ПО КОРИСНИЦИМА'!$G$7:$G$17281,"Свега за пројекат 2002-П5:",'ПО КОРИСНИЦИМА'!$I$7:$I$17281)</f>
        <v>0</v>
      </c>
      <c r="G287" s="681">
        <f t="shared" si="18"/>
        <v>0</v>
      </c>
      <c r="H287" s="684"/>
    </row>
    <row r="288" spans="1:8" hidden="1" x14ac:dyDescent="0.2">
      <c r="A288" s="650"/>
      <c r="B288" s="659" t="s">
        <v>4745</v>
      </c>
      <c r="C288" s="570" t="str">
        <f>IFERROR(VLOOKUP(B288,'ПО КОРИСНИЦИМА'!$C$7:$J$17281,5,FALSE),"")</f>
        <v/>
      </c>
      <c r="D288" s="689">
        <f>SUMIF('ПО КОРИСНИЦИМА'!$G$7:$G$17281,"Свега за пројекат 2002-П6:",'ПО КОРИСНИЦИМА'!$H$7:$H$17281)</f>
        <v>0</v>
      </c>
      <c r="E288" s="686">
        <f t="shared" si="19"/>
        <v>0</v>
      </c>
      <c r="F288" s="690">
        <f>SUMIF('ПО КОРИСНИЦИМА'!$G$7:$G$17281,"Свега за пројекат 2002-П6:",'ПО КОРИСНИЦИМА'!$I$7:$I$17281)</f>
        <v>0</v>
      </c>
      <c r="G288" s="681">
        <f t="shared" si="18"/>
        <v>0</v>
      </c>
      <c r="H288" s="684"/>
    </row>
    <row r="289" spans="1:8" hidden="1" x14ac:dyDescent="0.2">
      <c r="A289" s="650"/>
      <c r="B289" s="659" t="s">
        <v>4746</v>
      </c>
      <c r="C289" s="570" t="str">
        <f>IFERROR(VLOOKUP(B289,'ПО КОРИСНИЦИМА'!$C$7:$J$17281,5,FALSE),"")</f>
        <v/>
      </c>
      <c r="D289" s="689">
        <f>SUMIF('ПО КОРИСНИЦИМА'!$G$7:$G$17281,"Свега за пројекат 2002-П7:",'ПО КОРИСНИЦИМА'!$H$7:$H$17281)</f>
        <v>0</v>
      </c>
      <c r="E289" s="686">
        <f t="shared" si="19"/>
        <v>0</v>
      </c>
      <c r="F289" s="690">
        <f>SUMIF('ПО КОРИСНИЦИМА'!$G$7:$G$17281,"Свега за пројекат 2002-П7:",'ПО КОРИСНИЦИМА'!$I$7:$I$17281)</f>
        <v>0</v>
      </c>
      <c r="G289" s="681">
        <f t="shared" si="18"/>
        <v>0</v>
      </c>
      <c r="H289" s="684"/>
    </row>
    <row r="290" spans="1:8" hidden="1" x14ac:dyDescent="0.2">
      <c r="A290" s="650"/>
      <c r="B290" s="659" t="s">
        <v>4747</v>
      </c>
      <c r="C290" s="570" t="str">
        <f>IFERROR(VLOOKUP(B290,'ПО КОРИСНИЦИМА'!$C$7:$J$17281,5,FALSE),"")</f>
        <v/>
      </c>
      <c r="D290" s="689">
        <f>SUMIF('ПО КОРИСНИЦИМА'!$G$7:$G$17281,"Свега за пројекат 2002-П8:",'ПО КОРИСНИЦИМА'!$H$7:$H$17281)</f>
        <v>0</v>
      </c>
      <c r="E290" s="686">
        <f t="shared" si="19"/>
        <v>0</v>
      </c>
      <c r="F290" s="690">
        <f>SUMIF('ПО КОРИСНИЦИМА'!$G$7:$G$17281,"Свега за пројекат 2002-П8:",'ПО КОРИСНИЦИМА'!$I$7:$I$17281)</f>
        <v>0</v>
      </c>
      <c r="G290" s="681">
        <f t="shared" si="18"/>
        <v>0</v>
      </c>
      <c r="H290" s="684"/>
    </row>
    <row r="291" spans="1:8" hidden="1" x14ac:dyDescent="0.2">
      <c r="A291" s="650"/>
      <c r="B291" s="659" t="s">
        <v>4748</v>
      </c>
      <c r="C291" s="570" t="str">
        <f>IFERROR(VLOOKUP(B291,'ПО КОРИСНИЦИМА'!$C$7:$J$17281,5,FALSE),"")</f>
        <v/>
      </c>
      <c r="D291" s="689">
        <f>SUMIF('ПО КОРИСНИЦИМА'!$G$7:$G$17281,"Свега за пројекат 2002-П9:",'ПО КОРИСНИЦИМА'!$H$7:$H$17281)</f>
        <v>0</v>
      </c>
      <c r="E291" s="686">
        <f t="shared" si="19"/>
        <v>0</v>
      </c>
      <c r="F291" s="690">
        <f>SUMIF('ПО КОРИСНИЦИМА'!$G$7:$G$17281,"Свега за пројекат 2002-П9:",'ПО КОРИСНИЦИМА'!$I$7:$I$17281)</f>
        <v>0</v>
      </c>
      <c r="G291" s="681">
        <f t="shared" si="18"/>
        <v>0</v>
      </c>
      <c r="H291" s="684"/>
    </row>
    <row r="292" spans="1:8" hidden="1" x14ac:dyDescent="0.2">
      <c r="A292" s="650"/>
      <c r="B292" s="659" t="s">
        <v>4749</v>
      </c>
      <c r="C292" s="570" t="str">
        <f>IFERROR(VLOOKUP(B292,'ПО КОРИСНИЦИМА'!$C$7:$J$17281,5,FALSE),"")</f>
        <v/>
      </c>
      <c r="D292" s="689">
        <f>SUMIF('ПО КОРИСНИЦИМА'!$G$7:$G$17281,"Свега за пројекат 2002-П10:",'ПО КОРИСНИЦИМА'!$H$7:$H$17281)</f>
        <v>0</v>
      </c>
      <c r="E292" s="686">
        <f t="shared" si="19"/>
        <v>0</v>
      </c>
      <c r="F292" s="690">
        <f>SUMIF('ПО КОРИСНИЦИМА'!$G$7:$G$17281,"Свега за пројекат 2002-П10:",'ПО КОРИСНИЦИМА'!$I$7:$I$17281)</f>
        <v>0</v>
      </c>
      <c r="G292" s="681">
        <f t="shared" si="18"/>
        <v>0</v>
      </c>
      <c r="H292" s="684"/>
    </row>
    <row r="293" spans="1:8" hidden="1" x14ac:dyDescent="0.2">
      <c r="A293" s="650"/>
      <c r="B293" s="659" t="s">
        <v>4750</v>
      </c>
      <c r="C293" s="570" t="str">
        <f>IFERROR(VLOOKUP(B293,'ПО КОРИСНИЦИМА'!$C$7:$J$17281,5,FALSE),"")</f>
        <v/>
      </c>
      <c r="D293" s="689">
        <f>SUMIF('ПО КОРИСНИЦИМА'!$G$7:$G$17281,"Свега за пројекат 2002-П11:",'ПО КОРИСНИЦИМА'!$H$7:$H$17281)</f>
        <v>0</v>
      </c>
      <c r="E293" s="686">
        <f t="shared" si="19"/>
        <v>0</v>
      </c>
      <c r="F293" s="690">
        <f>SUMIF('ПО КОРИСНИЦИМА'!$G$7:$G$17281,"Свега за пројекат 2002-П11:",'ПО КОРИСНИЦИМА'!$I$7:$I$17281)</f>
        <v>0</v>
      </c>
      <c r="G293" s="681">
        <f t="shared" si="18"/>
        <v>0</v>
      </c>
      <c r="H293" s="684"/>
    </row>
    <row r="294" spans="1:8" hidden="1" x14ac:dyDescent="0.2">
      <c r="A294" s="650"/>
      <c r="B294" s="659" t="s">
        <v>4751</v>
      </c>
      <c r="C294" s="570" t="str">
        <f>IFERROR(VLOOKUP(B294,'ПО КОРИСНИЦИМА'!$C$7:$J$17281,5,FALSE),"")</f>
        <v/>
      </c>
      <c r="D294" s="689">
        <f>SUMIF('ПО КОРИСНИЦИМА'!$G$7:$G$17281,"Свега за пројекат 2002-П12:",'ПО КОРИСНИЦИМА'!$H$7:$H$17281)</f>
        <v>0</v>
      </c>
      <c r="E294" s="686">
        <f t="shared" si="19"/>
        <v>0</v>
      </c>
      <c r="F294" s="690">
        <f>SUMIF('ПО КОРИСНИЦИМА'!$G$7:$G$17281,"Свега за пројекат 2002-П12:",'ПО КОРИСНИЦИМА'!$I$7:$I$17281)</f>
        <v>0</v>
      </c>
      <c r="G294" s="681">
        <f t="shared" si="18"/>
        <v>0</v>
      </c>
      <c r="H294" s="684"/>
    </row>
    <row r="295" spans="1:8" hidden="1" x14ac:dyDescent="0.2">
      <c r="A295" s="650"/>
      <c r="B295" s="659" t="s">
        <v>4752</v>
      </c>
      <c r="C295" s="570" t="str">
        <f>IFERROR(VLOOKUP(B295,'ПО КОРИСНИЦИМА'!$C$7:$J$17281,5,FALSE),"")</f>
        <v/>
      </c>
      <c r="D295" s="689">
        <f>SUMIF('ПО КОРИСНИЦИМА'!$G$7:$G$17281,"Свега за пројекат 2002-П13:",'ПО КОРИСНИЦИМА'!$H$7:$H$17281)</f>
        <v>0</v>
      </c>
      <c r="E295" s="686">
        <f t="shared" si="19"/>
        <v>0</v>
      </c>
      <c r="F295" s="690">
        <f>SUMIF('ПО КОРИСНИЦИМА'!$G$7:$G$17281,"Свега за пројекат 2002-П13:",'ПО КОРИСНИЦИМА'!$I$7:$I$17281)</f>
        <v>0</v>
      </c>
      <c r="G295" s="681">
        <f t="shared" si="18"/>
        <v>0</v>
      </c>
      <c r="H295" s="684"/>
    </row>
    <row r="296" spans="1:8" hidden="1" x14ac:dyDescent="0.2">
      <c r="A296" s="650"/>
      <c r="B296" s="659" t="s">
        <v>4753</v>
      </c>
      <c r="C296" s="570" t="str">
        <f>IFERROR(VLOOKUP(B296,'ПО КОРИСНИЦИМА'!$C$7:$J$17281,5,FALSE),"")</f>
        <v/>
      </c>
      <c r="D296" s="689">
        <f>SUMIF('ПО КОРИСНИЦИМА'!$G$7:$G$17281,"Свега за пројекат 2002-П14:",'ПО КОРИСНИЦИМА'!$H$7:$H$17281)</f>
        <v>0</v>
      </c>
      <c r="E296" s="686">
        <f t="shared" si="19"/>
        <v>0</v>
      </c>
      <c r="F296" s="690">
        <f>SUMIF('ПО КОРИСНИЦИМА'!$G$7:$G$17281,"Свега за пројекат 2002-П14:",'ПО КОРИСНИЦИМА'!$I$7:$I$17281)</f>
        <v>0</v>
      </c>
      <c r="G296" s="681">
        <f t="shared" si="18"/>
        <v>0</v>
      </c>
      <c r="H296" s="684"/>
    </row>
    <row r="297" spans="1:8" hidden="1" x14ac:dyDescent="0.2">
      <c r="A297" s="650"/>
      <c r="B297" s="659" t="s">
        <v>4754</v>
      </c>
      <c r="C297" s="570" t="str">
        <f>IFERROR(VLOOKUP(B297,'ПО КОРИСНИЦИМА'!$C$7:$J$17281,5,FALSE),"")</f>
        <v/>
      </c>
      <c r="D297" s="689">
        <f>SUMIF('ПО КОРИСНИЦИМА'!$G$7:$G$17281,"Свега за пројекат 2002-П15:",'ПО КОРИСНИЦИМА'!$H$7:$H$17281)</f>
        <v>0</v>
      </c>
      <c r="E297" s="686">
        <f t="shared" si="19"/>
        <v>0</v>
      </c>
      <c r="F297" s="690">
        <f>SUMIF('ПО КОРИСНИЦИМА'!$G$7:$G$17281,"Свега за пројекат 2002-П15:",'ПО КОРИСНИЦИМА'!$I$7:$I$17281)</f>
        <v>0</v>
      </c>
      <c r="G297" s="681">
        <f t="shared" si="18"/>
        <v>0</v>
      </c>
      <c r="H297" s="684"/>
    </row>
    <row r="298" spans="1:8" hidden="1" x14ac:dyDescent="0.2">
      <c r="A298" s="650"/>
      <c r="B298" s="659" t="s">
        <v>4755</v>
      </c>
      <c r="C298" s="570" t="str">
        <f>IFERROR(VLOOKUP(B298,'ПО КОРИСНИЦИМА'!$C$7:$J$17281,5,FALSE),"")</f>
        <v/>
      </c>
      <c r="D298" s="689">
        <f>SUMIF('ПО КОРИСНИЦИМА'!$G$7:$G$17281,"Свега за пројекат 2002-П16:",'ПО КОРИСНИЦИМА'!$H$7:$H$17281)</f>
        <v>0</v>
      </c>
      <c r="E298" s="686">
        <f t="shared" si="19"/>
        <v>0</v>
      </c>
      <c r="F298" s="690">
        <f>SUMIF('ПО КОРИСНИЦИМА'!$G$7:$G$17281,"Свега за пројекат 2002-П16:",'ПО КОРИСНИЦИМА'!$I$7:$I$17281)</f>
        <v>0</v>
      </c>
      <c r="G298" s="681">
        <f t="shared" si="18"/>
        <v>0</v>
      </c>
      <c r="H298" s="684"/>
    </row>
    <row r="299" spans="1:8" hidden="1" x14ac:dyDescent="0.2">
      <c r="A299" s="650"/>
      <c r="B299" s="659" t="s">
        <v>4756</v>
      </c>
      <c r="C299" s="570" t="str">
        <f>IFERROR(VLOOKUP(B299,'ПО КОРИСНИЦИМА'!$C$7:$J$17281,5,FALSE),"")</f>
        <v/>
      </c>
      <c r="D299" s="689">
        <f>SUMIF('ПО КОРИСНИЦИМА'!$G$7:$G$17281,"Свега за пројекат 2002-П17:",'ПО КОРИСНИЦИМА'!$H$7:$H$17281)</f>
        <v>0</v>
      </c>
      <c r="E299" s="686">
        <f t="shared" si="19"/>
        <v>0</v>
      </c>
      <c r="F299" s="690">
        <f>SUMIF('ПО КОРИСНИЦИМА'!$G$7:$G$17281,"Свега за пројекат 2002-П17:",'ПО КОРИСНИЦИМА'!$I$7:$I$17281)</f>
        <v>0</v>
      </c>
      <c r="G299" s="681">
        <f t="shared" si="18"/>
        <v>0</v>
      </c>
      <c r="H299" s="684"/>
    </row>
    <row r="300" spans="1:8" hidden="1" x14ac:dyDescent="0.2">
      <c r="A300" s="650"/>
      <c r="B300" s="659" t="s">
        <v>4757</v>
      </c>
      <c r="C300" s="570" t="str">
        <f>IFERROR(VLOOKUP(B300,'ПО КОРИСНИЦИМА'!$C$7:$J$17281,5,FALSE),"")</f>
        <v/>
      </c>
      <c r="D300" s="689">
        <f>SUMIF('ПО КОРИСНИЦИМА'!$G$7:$G$17281,"Свега за пројекат 2002-П18:",'ПО КОРИСНИЦИМА'!$H$7:$H$17281)</f>
        <v>0</v>
      </c>
      <c r="E300" s="686">
        <f t="shared" si="19"/>
        <v>0</v>
      </c>
      <c r="F300" s="690">
        <f>SUMIF('ПО КОРИСНИЦИМА'!$G$7:$G$17281,"Свега за пројекат 2002-П18:",'ПО КОРИСНИЦИМА'!$I$7:$I$17281)</f>
        <v>0</v>
      </c>
      <c r="G300" s="681">
        <f t="shared" si="18"/>
        <v>0</v>
      </c>
      <c r="H300" s="684"/>
    </row>
    <row r="301" spans="1:8" hidden="1" x14ac:dyDescent="0.2">
      <c r="A301" s="650"/>
      <c r="B301" s="659" t="s">
        <v>4758</v>
      </c>
      <c r="C301" s="570" t="str">
        <f>IFERROR(VLOOKUP(B301,'ПО КОРИСНИЦИМА'!$C$7:$J$17281,5,FALSE),"")</f>
        <v/>
      </c>
      <c r="D301" s="689">
        <f>SUMIF('ПО КОРИСНИЦИМА'!$G$7:$G$17281,"Свега за пројекат 2002-П19:",'ПО КОРИСНИЦИМА'!$H$7:$H$17281)</f>
        <v>0</v>
      </c>
      <c r="E301" s="686">
        <f t="shared" si="19"/>
        <v>0</v>
      </c>
      <c r="F301" s="690">
        <f>SUMIF('ПО КОРИСНИЦИМА'!$G$7:$G$17281,"Свега за пројекат 2002-П19:",'ПО КОРИСНИЦИМА'!$I$7:$I$17281)</f>
        <v>0</v>
      </c>
      <c r="G301" s="681">
        <f t="shared" si="18"/>
        <v>0</v>
      </c>
      <c r="H301" s="684"/>
    </row>
    <row r="302" spans="1:8" hidden="1" x14ac:dyDescent="0.2">
      <c r="A302" s="650"/>
      <c r="B302" s="659" t="s">
        <v>4759</v>
      </c>
      <c r="C302" s="570" t="str">
        <f>IFERROR(VLOOKUP(B302,'ПО КОРИСНИЦИМА'!$C$7:$J$17281,5,FALSE),"")</f>
        <v/>
      </c>
      <c r="D302" s="689">
        <f>SUMIF('ПО КОРИСНИЦИМА'!$G$7:$G$17281,"Свега за пројекат 2002-П20:",'ПО КОРИСНИЦИМА'!$H$7:$H$17281)</f>
        <v>0</v>
      </c>
      <c r="E302" s="686">
        <f t="shared" si="19"/>
        <v>0</v>
      </c>
      <c r="F302" s="690">
        <f>SUMIF('ПО КОРИСНИЦИМА'!$G$7:$G$17281,"Свега за пројекат 2002-П20:",'ПО КОРИСНИЦИМА'!$I$7:$I$17281)</f>
        <v>0</v>
      </c>
      <c r="G302" s="681">
        <f t="shared" si="18"/>
        <v>0</v>
      </c>
      <c r="H302" s="684"/>
    </row>
    <row r="303" spans="1:8" hidden="1" x14ac:dyDescent="0.2">
      <c r="A303" s="650"/>
      <c r="B303" s="659" t="s">
        <v>4760</v>
      </c>
      <c r="C303" s="570" t="str">
        <f>IFERROR(VLOOKUP(B303,'ПО КОРИСНИЦИМА'!$C$7:$J$17281,5,FALSE),"")</f>
        <v/>
      </c>
      <c r="D303" s="689">
        <f>SUMIF('ПО КОРИСНИЦИМА'!$G$7:$G$17281,"Свега за пројекат 2002-П21:",'ПО КОРИСНИЦИМА'!$H$7:$H$17281)</f>
        <v>0</v>
      </c>
      <c r="E303" s="686">
        <f t="shared" si="19"/>
        <v>0</v>
      </c>
      <c r="F303" s="690">
        <f>SUMIF('ПО КОРИСНИЦИМА'!$G$7:$G$17281,"Свега за пројекат 2002-П21:",'ПО КОРИСНИЦИМА'!$I$7:$I$17281)</f>
        <v>0</v>
      </c>
      <c r="G303" s="681">
        <f t="shared" si="18"/>
        <v>0</v>
      </c>
      <c r="H303" s="684"/>
    </row>
    <row r="304" spans="1:8" hidden="1" x14ac:dyDescent="0.2">
      <c r="A304" s="650"/>
      <c r="B304" s="659" t="s">
        <v>4761</v>
      </c>
      <c r="C304" s="570" t="str">
        <f>IFERROR(VLOOKUP(B304,'ПО КОРИСНИЦИМА'!$C$7:$J$17281,5,FALSE),"")</f>
        <v/>
      </c>
      <c r="D304" s="689">
        <f>SUMIF('ПО КОРИСНИЦИМА'!$G$7:$G$17281,"Свега за пројекат 2002-П22:",'ПО КОРИСНИЦИМА'!$H$7:$H$17281)</f>
        <v>0</v>
      </c>
      <c r="E304" s="686">
        <f t="shared" si="19"/>
        <v>0</v>
      </c>
      <c r="F304" s="690">
        <f>SUMIF('ПО КОРИСНИЦИМА'!$G$7:$G$17281,"Свега за пројекат 2002-П22:",'ПО КОРИСНИЦИМА'!$I$7:$I$17281)</f>
        <v>0</v>
      </c>
      <c r="G304" s="681">
        <f t="shared" si="18"/>
        <v>0</v>
      </c>
      <c r="H304" s="684"/>
    </row>
    <row r="305" spans="1:8" hidden="1" x14ac:dyDescent="0.2">
      <c r="A305" s="650"/>
      <c r="B305" s="659" t="s">
        <v>4762</v>
      </c>
      <c r="C305" s="570" t="str">
        <f>IFERROR(VLOOKUP(B305,'ПО КОРИСНИЦИМА'!$C$7:$J$17281,5,FALSE),"")</f>
        <v/>
      </c>
      <c r="D305" s="689">
        <f>SUMIF('ПО КОРИСНИЦИМА'!$G$7:$G$17281,"Свега за пројекат 2002-П23:",'ПО КОРИСНИЦИМА'!$H$7:$H$17281)</f>
        <v>0</v>
      </c>
      <c r="E305" s="686">
        <f t="shared" si="19"/>
        <v>0</v>
      </c>
      <c r="F305" s="690">
        <f>SUMIF('ПО КОРИСНИЦИМА'!$G$7:$G$17281,"Свега за пројекат 2002-П23:",'ПО КОРИСНИЦИМА'!$I$7:$I$17281)</f>
        <v>0</v>
      </c>
      <c r="G305" s="681">
        <f t="shared" si="18"/>
        <v>0</v>
      </c>
      <c r="H305" s="684"/>
    </row>
    <row r="306" spans="1:8" hidden="1" x14ac:dyDescent="0.2">
      <c r="A306" s="650"/>
      <c r="B306" s="659" t="s">
        <v>4763</v>
      </c>
      <c r="C306" s="570" t="str">
        <f>IFERROR(VLOOKUP(B306,'ПО КОРИСНИЦИМА'!$C$7:$J$17281,5,FALSE),"")</f>
        <v/>
      </c>
      <c r="D306" s="689">
        <f>SUMIF('ПО КОРИСНИЦИМА'!$G$7:$G$17281,"Свега за пројекат 2002-П24:",'ПО КОРИСНИЦИМА'!$H$7:$H$17281)</f>
        <v>0</v>
      </c>
      <c r="E306" s="686">
        <f t="shared" si="19"/>
        <v>0</v>
      </c>
      <c r="F306" s="690">
        <f>SUMIF('ПО КОРИСНИЦИМА'!$G$7:$G$17281,"Свега за пројекат 2002-П24:",'ПО КОРИСНИЦИМА'!$I$7:$I$17281)</f>
        <v>0</v>
      </c>
      <c r="G306" s="681">
        <f t="shared" si="18"/>
        <v>0</v>
      </c>
      <c r="H306" s="684"/>
    </row>
    <row r="307" spans="1:8" hidden="1" x14ac:dyDescent="0.2">
      <c r="A307" s="650"/>
      <c r="B307" s="659" t="s">
        <v>4764</v>
      </c>
      <c r="C307" s="570" t="str">
        <f>IFERROR(VLOOKUP(B307,'ПО КОРИСНИЦИМА'!$C$7:$J$17281,5,FALSE),"")</f>
        <v/>
      </c>
      <c r="D307" s="689">
        <f>SUMIF('ПО КОРИСНИЦИМА'!$G$7:$G$17281,"Свега за пројекат 2002-П25:",'ПО КОРИСНИЦИМА'!$H$7:$H$17281)</f>
        <v>0</v>
      </c>
      <c r="E307" s="686">
        <f t="shared" si="19"/>
        <v>0</v>
      </c>
      <c r="F307" s="690">
        <f>SUMIF('ПО КОРИСНИЦИМА'!$G$7:$G$17281,"Свега за пројекат 2002-П25:",'ПО КОРИСНИЦИМА'!$I$7:$I$17281)</f>
        <v>0</v>
      </c>
      <c r="G307" s="681">
        <f t="shared" si="18"/>
        <v>0</v>
      </c>
      <c r="H307" s="684"/>
    </row>
    <row r="308" spans="1:8" hidden="1" x14ac:dyDescent="0.2">
      <c r="A308" s="657"/>
      <c r="B308" s="659" t="s">
        <v>4765</v>
      </c>
      <c r="C308" s="570" t="str">
        <f>IFERROR(VLOOKUP(B308,'ПО КОРИСНИЦИМА'!$C$7:$J$17281,5,FALSE),"")</f>
        <v/>
      </c>
      <c r="D308" s="689">
        <f>SUMIF('ПО КОРИСНИЦИМА'!$G$7:$G$17281,"Свега за пројекат 2002-П26:",'ПО КОРИСНИЦИМА'!$H$7:$H$17281)</f>
        <v>0</v>
      </c>
      <c r="E308" s="686">
        <f t="shared" si="19"/>
        <v>0</v>
      </c>
      <c r="F308" s="690">
        <f>SUMIF('ПО КОРИСНИЦИМА'!$G$7:$G$17281,"Свега за пројекат 2002-П26:",'ПО КОРИСНИЦИМА'!$I$7:$I$17281)</f>
        <v>0</v>
      </c>
      <c r="G308" s="681">
        <f t="shared" si="18"/>
        <v>0</v>
      </c>
      <c r="H308" s="688"/>
    </row>
    <row r="309" spans="1:8" hidden="1" x14ac:dyDescent="0.2">
      <c r="A309" s="657"/>
      <c r="B309" s="659" t="s">
        <v>4766</v>
      </c>
      <c r="C309" s="570" t="str">
        <f>IFERROR(VLOOKUP(B309,'ПО КОРИСНИЦИМА'!$C$7:$J$17281,5,FALSE),"")</f>
        <v/>
      </c>
      <c r="D309" s="689">
        <f>SUMIF('ПО КОРИСНИЦИМА'!$G$7:$G$17281,"Свега за пројекат 2002-П27:",'ПО КОРИСНИЦИМА'!$H$7:$H$17281)</f>
        <v>0</v>
      </c>
      <c r="E309" s="686">
        <f t="shared" si="19"/>
        <v>0</v>
      </c>
      <c r="F309" s="690">
        <f>SUMIF('ПО КОРИСНИЦИМА'!$G$7:$G$17281,"Свега за пројекат 2002-П27:",'ПО КОРИСНИЦИМА'!$I$7:$I$17281)</f>
        <v>0</v>
      </c>
      <c r="G309" s="681">
        <f t="shared" si="18"/>
        <v>0</v>
      </c>
      <c r="H309" s="688"/>
    </row>
    <row r="310" spans="1:8" hidden="1" x14ac:dyDescent="0.2">
      <c r="A310" s="657"/>
      <c r="B310" s="659" t="s">
        <v>4767</v>
      </c>
      <c r="C310" s="570" t="str">
        <f>IFERROR(VLOOKUP(B310,'ПО КОРИСНИЦИМА'!$C$7:$J$17281,5,FALSE),"")</f>
        <v/>
      </c>
      <c r="D310" s="689">
        <f>SUMIF('ПО КОРИСНИЦИМА'!$G$7:$G$17281,"Свега за пројекат 2002-П28:",'ПО КОРИСНИЦИМА'!$H$7:$H$17281)</f>
        <v>0</v>
      </c>
      <c r="E310" s="686">
        <f t="shared" si="19"/>
        <v>0</v>
      </c>
      <c r="F310" s="690">
        <f>SUMIF('ПО КОРИСНИЦИМА'!$G$7:$G$17281,"Свега за пројекат 2002-П28:",'ПО КОРИСНИЦИМА'!$I$7:$I$17281)</f>
        <v>0</v>
      </c>
      <c r="G310" s="681">
        <f t="shared" si="18"/>
        <v>0</v>
      </c>
      <c r="H310" s="688"/>
    </row>
    <row r="311" spans="1:8" hidden="1" x14ac:dyDescent="0.2">
      <c r="A311" s="657"/>
      <c r="B311" s="659" t="s">
        <v>4768</v>
      </c>
      <c r="C311" s="570" t="str">
        <f>IFERROR(VLOOKUP(B311,'ПО КОРИСНИЦИМА'!$C$7:$J$17281,5,FALSE),"")</f>
        <v/>
      </c>
      <c r="D311" s="689">
        <f>SUMIF('ПО КОРИСНИЦИМА'!$G$7:$G$17281,"Свега за пројекат 2002-П29:",'ПО КОРИСНИЦИМА'!$H$7:$H$17281)</f>
        <v>0</v>
      </c>
      <c r="E311" s="686">
        <f t="shared" si="19"/>
        <v>0</v>
      </c>
      <c r="F311" s="690">
        <f>SUMIF('ПО КОРИСНИЦИМА'!$G$7:$G$17281,"Свега за пројекат 2002-П29:",'ПО КОРИСНИЦИМА'!$I$7:$I$17281)</f>
        <v>0</v>
      </c>
      <c r="G311" s="681">
        <f t="shared" si="18"/>
        <v>0</v>
      </c>
      <c r="H311" s="688"/>
    </row>
    <row r="312" spans="1:8" hidden="1" x14ac:dyDescent="0.2">
      <c r="A312" s="658"/>
      <c r="B312" s="659" t="s">
        <v>4769</v>
      </c>
      <c r="C312" s="570" t="str">
        <f>IFERROR(VLOOKUP(B312,'ПО КОРИСНИЦИМА'!$C$7:$J$17281,5,FALSE),"")</f>
        <v/>
      </c>
      <c r="D312" s="689">
        <f>SUMIF('ПО КОРИСНИЦИМА'!$G$7:$G$17281,"Свега за пројекат 2002-П30:",'ПО КОРИСНИЦИМА'!$H$7:$H$17281)</f>
        <v>0</v>
      </c>
      <c r="E312" s="686">
        <f t="shared" si="19"/>
        <v>0</v>
      </c>
      <c r="F312" s="690">
        <f>SUMIF('ПО КОРИСНИЦИМА'!$G$7:$G$17281,"Свега за пројекат 2002-П30:",'ПО КОРИСНИЦИМА'!$I$7:$I$17281)</f>
        <v>0</v>
      </c>
      <c r="G312" s="681">
        <f t="shared" si="18"/>
        <v>0</v>
      </c>
      <c r="H312" s="697"/>
    </row>
    <row r="313" spans="1:8" s="655" customFormat="1" x14ac:dyDescent="0.2">
      <c r="A313" s="647" t="s">
        <v>3593</v>
      </c>
      <c r="B313" s="648"/>
      <c r="C313" s="568" t="s">
        <v>3683</v>
      </c>
      <c r="D313" s="677">
        <f>SUM(D314:D344)</f>
        <v>4845000</v>
      </c>
      <c r="E313" s="678">
        <f>IFERROR(D313/$D$601,"-")</f>
        <v>8.3983359334373377E-3</v>
      </c>
      <c r="F313" s="679">
        <f>SUM(F314:F344)</f>
        <v>0</v>
      </c>
      <c r="G313" s="677">
        <f t="shared" si="13"/>
        <v>4845000</v>
      </c>
      <c r="H313" s="698"/>
    </row>
    <row r="314" spans="1:8" x14ac:dyDescent="0.2">
      <c r="A314" s="651"/>
      <c r="B314" s="659" t="s">
        <v>4359</v>
      </c>
      <c r="C314" s="574" t="s">
        <v>4127</v>
      </c>
      <c r="D314" s="681">
        <f>SUMIF('ПО КОРИСНИЦИМА'!$G$7:$G$17281,"Свега за програмску активност 2003-0001:",'ПО КОРИСНИЦИМА'!$H$7:$H$17281)</f>
        <v>4845000</v>
      </c>
      <c r="E314" s="686">
        <f t="shared" si="19"/>
        <v>8.3983359334373377E-3</v>
      </c>
      <c r="F314" s="683">
        <f>SUMIF('ПО КОРИСНИЦИМА'!$G$7:$G$17281,"Свега за програмску активност 2003-0001:",'ПО КОРИСНИЦИМА'!$I$7:$I$17281)</f>
        <v>0</v>
      </c>
      <c r="G314" s="681">
        <f t="shared" si="13"/>
        <v>4845000</v>
      </c>
      <c r="H314" s="684"/>
    </row>
    <row r="315" spans="1:8" hidden="1" x14ac:dyDescent="0.2">
      <c r="A315" s="657"/>
      <c r="B315" s="657" t="s">
        <v>4770</v>
      </c>
      <c r="C315" s="570" t="str">
        <f>IFERROR(VLOOKUP(B315,'ПО КОРИСНИЦИМА'!$C$7:$J$17281,5,FALSE),"")</f>
        <v xml:space="preserve">Пројекат: </v>
      </c>
      <c r="D315" s="689">
        <f>SUMIF('ПО КОРИСНИЦИМА'!$G$7:$G$17281,"Свега за пројекат 2003-П1:",'ПО КОРИСНИЦИМА'!$H$7:$H$17281)</f>
        <v>0</v>
      </c>
      <c r="E315" s="686">
        <f>IFERROR(D315/$D$601,"-")</f>
        <v>0</v>
      </c>
      <c r="F315" s="690">
        <f>SUMIF('ПО КОРИСНИЦИМА'!$G$7:$G$17281,"Свега за пројекат 2003-П1:",'ПО КОРИСНИЦИМА'!$I$7:$I$17281)</f>
        <v>0</v>
      </c>
      <c r="G315" s="681">
        <f t="shared" ref="G315:G344" si="20">D315+F315</f>
        <v>0</v>
      </c>
      <c r="H315" s="688"/>
    </row>
    <row r="316" spans="1:8" hidden="1" x14ac:dyDescent="0.2">
      <c r="A316" s="657"/>
      <c r="B316" s="657" t="s">
        <v>4771</v>
      </c>
      <c r="C316" s="570" t="str">
        <f>IFERROR(VLOOKUP(B316,'ПО КОРИСНИЦИМА'!$C$7:$J$17281,5,FALSE),"")</f>
        <v xml:space="preserve">Пројекат: </v>
      </c>
      <c r="D316" s="689">
        <f>SUMIF('ПО КОРИСНИЦИМА'!$G$7:$G$17281,"Свега за пројекат 2003-П2:",'ПО КОРИСНИЦИМА'!$H$7:$H$17281)</f>
        <v>0</v>
      </c>
      <c r="E316" s="686">
        <f t="shared" si="19"/>
        <v>0</v>
      </c>
      <c r="F316" s="690">
        <f>SUMIF('ПО КОРИСНИЦИМА'!$G$7:$G$17281,"Свега за пројекат 2003-П2:",'ПО КОРИСНИЦИМА'!$I$7:$I$17281)</f>
        <v>0</v>
      </c>
      <c r="G316" s="681">
        <f t="shared" si="20"/>
        <v>0</v>
      </c>
      <c r="H316" s="691"/>
    </row>
    <row r="317" spans="1:8" hidden="1" x14ac:dyDescent="0.2">
      <c r="A317" s="657"/>
      <c r="B317" s="657" t="s">
        <v>4772</v>
      </c>
      <c r="C317" s="570" t="str">
        <f>IFERROR(VLOOKUP(B317,'ПО КОРИСНИЦИМА'!$C$7:$J$17281,5,FALSE),"")</f>
        <v/>
      </c>
      <c r="D317" s="689">
        <f>SUMIF('ПО КОРИСНИЦИМА'!$G$7:$G$17281,"Свега за пројекат 2003-П3:",'ПО КОРИСНИЦИМА'!$H$7:$H$17281)</f>
        <v>0</v>
      </c>
      <c r="E317" s="686">
        <f t="shared" si="19"/>
        <v>0</v>
      </c>
      <c r="F317" s="690">
        <f>SUMIF('ПО КОРИСНИЦИМА'!$G$7:$G$17281,"Свега за пројекат 2003-П3:",'ПО КОРИСНИЦИМА'!$I$7:$I$17281)</f>
        <v>0</v>
      </c>
      <c r="G317" s="681">
        <f t="shared" si="20"/>
        <v>0</v>
      </c>
      <c r="H317" s="691"/>
    </row>
    <row r="318" spans="1:8" hidden="1" x14ac:dyDescent="0.2">
      <c r="A318" s="657"/>
      <c r="B318" s="657" t="s">
        <v>4773</v>
      </c>
      <c r="C318" s="570" t="str">
        <f>IFERROR(VLOOKUP(B318,'ПО КОРИСНИЦИМА'!$C$7:$J$17281,5,FALSE),"")</f>
        <v/>
      </c>
      <c r="D318" s="689">
        <f>SUMIF('ПО КОРИСНИЦИМА'!$G$7:$G$17281,"Свега за пројекат 2003-П4:",'ПО КОРИСНИЦИМА'!$H$7:$H$17281)</f>
        <v>0</v>
      </c>
      <c r="E318" s="686">
        <f t="shared" si="19"/>
        <v>0</v>
      </c>
      <c r="F318" s="690">
        <f>SUMIF('ПО КОРИСНИЦИМА'!$G$7:$G$17281,"Свега за пројекат 2003-П4:",'ПО КОРИСНИЦИМА'!$I$7:$I$17281)</f>
        <v>0</v>
      </c>
      <c r="G318" s="681">
        <f t="shared" si="20"/>
        <v>0</v>
      </c>
      <c r="H318" s="691"/>
    </row>
    <row r="319" spans="1:8" hidden="1" x14ac:dyDescent="0.2">
      <c r="A319" s="657"/>
      <c r="B319" s="657" t="s">
        <v>4774</v>
      </c>
      <c r="C319" s="570" t="str">
        <f>IFERROR(VLOOKUP(B319,'ПО КОРИСНИЦИМА'!$C$7:$J$17281,5,FALSE),"")</f>
        <v/>
      </c>
      <c r="D319" s="689">
        <f>SUMIF('ПО КОРИСНИЦИМА'!$G$7:$G$17281,"Свега за пројекат 2003-П5:",'ПО КОРИСНИЦИМА'!$H$7:$H$17281)</f>
        <v>0</v>
      </c>
      <c r="E319" s="686">
        <f t="shared" si="19"/>
        <v>0</v>
      </c>
      <c r="F319" s="690">
        <f>SUMIF('ПО КОРИСНИЦИМА'!$G$7:$G$17281,"Свега за пројекат 2003-П5:",'ПО КОРИСНИЦИМА'!$I$7:$I$17281)</f>
        <v>0</v>
      </c>
      <c r="G319" s="681">
        <f t="shared" si="20"/>
        <v>0</v>
      </c>
      <c r="H319" s="691"/>
    </row>
    <row r="320" spans="1:8" hidden="1" x14ac:dyDescent="0.2">
      <c r="A320" s="657"/>
      <c r="B320" s="657" t="s">
        <v>4775</v>
      </c>
      <c r="C320" s="570" t="str">
        <f>IFERROR(VLOOKUP(B320,'ПО КОРИСНИЦИМА'!$C$7:$J$17281,5,FALSE),"")</f>
        <v/>
      </c>
      <c r="D320" s="689">
        <f>SUMIF('ПО КОРИСНИЦИМА'!$G$7:$G$17281,"Свега за пројекат 2003-П6:",'ПО КОРИСНИЦИМА'!$H$7:$H$17281)</f>
        <v>0</v>
      </c>
      <c r="E320" s="686">
        <f t="shared" si="19"/>
        <v>0</v>
      </c>
      <c r="F320" s="690">
        <f>SUMIF('ПО КОРИСНИЦИМА'!$G$7:$G$17281,"Свега за пројекат 2003-П6:",'ПО КОРИСНИЦИМА'!$I$7:$I$17281)</f>
        <v>0</v>
      </c>
      <c r="G320" s="681">
        <f t="shared" si="20"/>
        <v>0</v>
      </c>
      <c r="H320" s="691"/>
    </row>
    <row r="321" spans="1:8" hidden="1" x14ac:dyDescent="0.2">
      <c r="A321" s="657"/>
      <c r="B321" s="657" t="s">
        <v>4776</v>
      </c>
      <c r="C321" s="570" t="str">
        <f>IFERROR(VLOOKUP(B321,'ПО КОРИСНИЦИМА'!$C$7:$J$17281,5,FALSE),"")</f>
        <v/>
      </c>
      <c r="D321" s="689">
        <f>SUMIF('ПО КОРИСНИЦИМА'!$G$7:$G$17281,"Свега за пројекат 2003-П7:",'ПО КОРИСНИЦИМА'!$H$7:$H$17281)</f>
        <v>0</v>
      </c>
      <c r="E321" s="686">
        <f t="shared" si="19"/>
        <v>0</v>
      </c>
      <c r="F321" s="690">
        <f>SUMIF('ПО КОРИСНИЦИМА'!$G$7:$G$17281,"Свега за пројекат 2003-П7:",'ПО КОРИСНИЦИМА'!$I$7:$I$17281)</f>
        <v>0</v>
      </c>
      <c r="G321" s="681">
        <f t="shared" si="20"/>
        <v>0</v>
      </c>
      <c r="H321" s="691"/>
    </row>
    <row r="322" spans="1:8" hidden="1" x14ac:dyDescent="0.2">
      <c r="A322" s="657"/>
      <c r="B322" s="657" t="s">
        <v>4777</v>
      </c>
      <c r="C322" s="570" t="str">
        <f>IFERROR(VLOOKUP(B322,'ПО КОРИСНИЦИМА'!$C$7:$J$17281,5,FALSE),"")</f>
        <v/>
      </c>
      <c r="D322" s="689">
        <f>SUMIF('ПО КОРИСНИЦИМА'!$G$7:$G$17281,"Свега за пројекат 2003-П8:",'ПО КОРИСНИЦИМА'!$H$7:$H$17281)</f>
        <v>0</v>
      </c>
      <c r="E322" s="686">
        <f t="shared" si="19"/>
        <v>0</v>
      </c>
      <c r="F322" s="690">
        <f>SUMIF('ПО КОРИСНИЦИМА'!$G$7:$G$17281,"Свега за пројекат 2003-П8:",'ПО КОРИСНИЦИМА'!$I$7:$I$17281)</f>
        <v>0</v>
      </c>
      <c r="G322" s="681">
        <f t="shared" si="20"/>
        <v>0</v>
      </c>
      <c r="H322" s="691"/>
    </row>
    <row r="323" spans="1:8" hidden="1" x14ac:dyDescent="0.2">
      <c r="A323" s="657"/>
      <c r="B323" s="657" t="s">
        <v>4778</v>
      </c>
      <c r="C323" s="570" t="str">
        <f>IFERROR(VLOOKUP(B323,'ПО КОРИСНИЦИМА'!$C$7:$J$17281,5,FALSE),"")</f>
        <v/>
      </c>
      <c r="D323" s="689">
        <f>SUMIF('ПО КОРИСНИЦИМА'!$G$7:$G$17281,"Свега за пројекат 2003-П9:",'ПО КОРИСНИЦИМА'!$H$7:$H$17281)</f>
        <v>0</v>
      </c>
      <c r="E323" s="686">
        <f t="shared" si="19"/>
        <v>0</v>
      </c>
      <c r="F323" s="690">
        <f>SUMIF('ПО КОРИСНИЦИМА'!$G$7:$G$17281,"Свега за пројекат 2003-П9:",'ПО КОРИСНИЦИМА'!$I$7:$I$17281)</f>
        <v>0</v>
      </c>
      <c r="G323" s="681">
        <f t="shared" si="20"/>
        <v>0</v>
      </c>
      <c r="H323" s="691"/>
    </row>
    <row r="324" spans="1:8" hidden="1" x14ac:dyDescent="0.2">
      <c r="A324" s="657"/>
      <c r="B324" s="657" t="s">
        <v>4779</v>
      </c>
      <c r="C324" s="570" t="str">
        <f>IFERROR(VLOOKUP(B324,'ПО КОРИСНИЦИМА'!$C$7:$J$17281,5,FALSE),"")</f>
        <v/>
      </c>
      <c r="D324" s="689">
        <f>SUMIF('ПО КОРИСНИЦИМА'!$G$7:$G$17281,"Свега за пројекат 2003-П10:",'ПО КОРИСНИЦИМА'!$H$7:$H$17281)</f>
        <v>0</v>
      </c>
      <c r="E324" s="686">
        <f t="shared" si="19"/>
        <v>0</v>
      </c>
      <c r="F324" s="690">
        <f>SUMIF('ПО КОРИСНИЦИМА'!$G$7:$G$17281,"Свега за пројекат 2003-П10:",'ПО КОРИСНИЦИМА'!$I$7:$I$17281)</f>
        <v>0</v>
      </c>
      <c r="G324" s="681">
        <f t="shared" si="20"/>
        <v>0</v>
      </c>
      <c r="H324" s="691"/>
    </row>
    <row r="325" spans="1:8" hidden="1" x14ac:dyDescent="0.2">
      <c r="A325" s="657"/>
      <c r="B325" s="657" t="s">
        <v>4780</v>
      </c>
      <c r="C325" s="570" t="str">
        <f>IFERROR(VLOOKUP(B325,'ПО КОРИСНИЦИМА'!$C$7:$J$17281,5,FALSE),"")</f>
        <v/>
      </c>
      <c r="D325" s="689">
        <f>SUMIF('ПО КОРИСНИЦИМА'!$G$7:$G$17281,"Свега за пројекат 2003-П11:",'ПО КОРИСНИЦИМА'!$H$7:$H$17281)</f>
        <v>0</v>
      </c>
      <c r="E325" s="686">
        <f t="shared" si="19"/>
        <v>0</v>
      </c>
      <c r="F325" s="690">
        <f>SUMIF('ПО КОРИСНИЦИМА'!$G$7:$G$17281,"Свега за пројекат 2003-П11:",'ПО КОРИСНИЦИМА'!$I$7:$I$17281)</f>
        <v>0</v>
      </c>
      <c r="G325" s="681">
        <f t="shared" si="20"/>
        <v>0</v>
      </c>
      <c r="H325" s="691"/>
    </row>
    <row r="326" spans="1:8" hidden="1" x14ac:dyDescent="0.2">
      <c r="A326" s="657"/>
      <c r="B326" s="657" t="s">
        <v>4781</v>
      </c>
      <c r="C326" s="570" t="str">
        <f>IFERROR(VLOOKUP(B326,'ПО КОРИСНИЦИМА'!$C$7:$J$17281,5,FALSE),"")</f>
        <v/>
      </c>
      <c r="D326" s="689">
        <f>SUMIF('ПО КОРИСНИЦИМА'!$G$7:$G$17281,"Свега за пројекат 2003-П12:",'ПО КОРИСНИЦИМА'!$H$7:$H$17281)</f>
        <v>0</v>
      </c>
      <c r="E326" s="686">
        <f t="shared" si="19"/>
        <v>0</v>
      </c>
      <c r="F326" s="690">
        <f>SUMIF('ПО КОРИСНИЦИМА'!$G$7:$G$17281,"Свега за пројекат 2003-П12:",'ПО КОРИСНИЦИМА'!$I$7:$I$17281)</f>
        <v>0</v>
      </c>
      <c r="G326" s="681">
        <f t="shared" si="20"/>
        <v>0</v>
      </c>
      <c r="H326" s="691"/>
    </row>
    <row r="327" spans="1:8" hidden="1" x14ac:dyDescent="0.2">
      <c r="A327" s="657"/>
      <c r="B327" s="657" t="s">
        <v>4782</v>
      </c>
      <c r="C327" s="570" t="str">
        <f>IFERROR(VLOOKUP(B327,'ПО КОРИСНИЦИМА'!$C$7:$J$17281,5,FALSE),"")</f>
        <v/>
      </c>
      <c r="D327" s="689">
        <f>SUMIF('ПО КОРИСНИЦИМА'!$G$7:$G$17281,"Свега за пројекат 2003-П13:",'ПО КОРИСНИЦИМА'!$H$7:$H$17281)</f>
        <v>0</v>
      </c>
      <c r="E327" s="686">
        <f t="shared" si="19"/>
        <v>0</v>
      </c>
      <c r="F327" s="690">
        <f>SUMIF('ПО КОРИСНИЦИМА'!$G$7:$G$17281,"Свега за пројекат 2003-П13:",'ПО КОРИСНИЦИМА'!$I$7:$I$17281)</f>
        <v>0</v>
      </c>
      <c r="G327" s="681">
        <f t="shared" si="20"/>
        <v>0</v>
      </c>
      <c r="H327" s="691"/>
    </row>
    <row r="328" spans="1:8" hidden="1" x14ac:dyDescent="0.2">
      <c r="A328" s="657"/>
      <c r="B328" s="657" t="s">
        <v>4783</v>
      </c>
      <c r="C328" s="570" t="str">
        <f>IFERROR(VLOOKUP(B328,'ПО КОРИСНИЦИМА'!$C$7:$J$17281,5,FALSE),"")</f>
        <v/>
      </c>
      <c r="D328" s="689">
        <f>SUMIF('ПО КОРИСНИЦИМА'!$G$7:$G$17281,"Свега за пројекат 2003-П14:",'ПО КОРИСНИЦИМА'!$H$7:$H$17281)</f>
        <v>0</v>
      </c>
      <c r="E328" s="686">
        <f t="shared" si="19"/>
        <v>0</v>
      </c>
      <c r="F328" s="690">
        <f>SUMIF('ПО КОРИСНИЦИМА'!$G$7:$G$17281,"Свега за пројекат 2003-П14:",'ПО КОРИСНИЦИМА'!$I$7:$I$17281)</f>
        <v>0</v>
      </c>
      <c r="G328" s="681">
        <f t="shared" si="20"/>
        <v>0</v>
      </c>
      <c r="H328" s="691"/>
    </row>
    <row r="329" spans="1:8" hidden="1" x14ac:dyDescent="0.2">
      <c r="A329" s="657"/>
      <c r="B329" s="657" t="s">
        <v>4784</v>
      </c>
      <c r="C329" s="570" t="str">
        <f>IFERROR(VLOOKUP(B329,'ПО КОРИСНИЦИМА'!$C$7:$J$17281,5,FALSE),"")</f>
        <v/>
      </c>
      <c r="D329" s="689">
        <f>SUMIF('ПО КОРИСНИЦИМА'!$G$7:$G$17281,"Свега за пројекат 2003-П15:",'ПО КОРИСНИЦИМА'!$H$7:$H$17281)</f>
        <v>0</v>
      </c>
      <c r="E329" s="686">
        <f t="shared" si="19"/>
        <v>0</v>
      </c>
      <c r="F329" s="690">
        <f>SUMIF('ПО КОРИСНИЦИМА'!$G$7:$G$17281,"Свега за пројекат 2003-П15:",'ПО КОРИСНИЦИМА'!$I$7:$I$17281)</f>
        <v>0</v>
      </c>
      <c r="G329" s="681">
        <f t="shared" si="20"/>
        <v>0</v>
      </c>
      <c r="H329" s="691"/>
    </row>
    <row r="330" spans="1:8" hidden="1" x14ac:dyDescent="0.2">
      <c r="A330" s="657"/>
      <c r="B330" s="657" t="s">
        <v>4785</v>
      </c>
      <c r="C330" s="570" t="str">
        <f>IFERROR(VLOOKUP(B330,'ПО КОРИСНИЦИМА'!$C$7:$J$17281,5,FALSE),"")</f>
        <v/>
      </c>
      <c r="D330" s="689">
        <f>SUMIF('ПО КОРИСНИЦИМА'!$G$7:$G$17281,"Свега за пројекат 2003-П16:",'ПО КОРИСНИЦИМА'!$H$7:$H$17281)</f>
        <v>0</v>
      </c>
      <c r="E330" s="686">
        <f t="shared" si="19"/>
        <v>0</v>
      </c>
      <c r="F330" s="690">
        <f>SUMIF('ПО КОРИСНИЦИМА'!$G$7:$G$17281,"Свега за пројекат 2003-П16:",'ПО КОРИСНИЦИМА'!$I$7:$I$17281)</f>
        <v>0</v>
      </c>
      <c r="G330" s="681">
        <f t="shared" si="20"/>
        <v>0</v>
      </c>
      <c r="H330" s="691"/>
    </row>
    <row r="331" spans="1:8" hidden="1" x14ac:dyDescent="0.2">
      <c r="A331" s="657"/>
      <c r="B331" s="657" t="s">
        <v>4786</v>
      </c>
      <c r="C331" s="570" t="str">
        <f>IFERROR(VLOOKUP(B331,'ПО КОРИСНИЦИМА'!$C$7:$J$17281,5,FALSE),"")</f>
        <v/>
      </c>
      <c r="D331" s="689">
        <f>SUMIF('ПО КОРИСНИЦИМА'!$G$7:$G$17281,"Свега за пројекат 2003-П17:",'ПО КОРИСНИЦИМА'!$H$7:$H$17281)</f>
        <v>0</v>
      </c>
      <c r="E331" s="686">
        <f t="shared" si="19"/>
        <v>0</v>
      </c>
      <c r="F331" s="690">
        <f>SUMIF('ПО КОРИСНИЦИМА'!$G$7:$G$17281,"Свега за пројекат 2003-П17:",'ПО КОРИСНИЦИМА'!$I$7:$I$17281)</f>
        <v>0</v>
      </c>
      <c r="G331" s="681">
        <f t="shared" si="20"/>
        <v>0</v>
      </c>
      <c r="H331" s="691"/>
    </row>
    <row r="332" spans="1:8" hidden="1" x14ac:dyDescent="0.2">
      <c r="A332" s="657"/>
      <c r="B332" s="657" t="s">
        <v>4787</v>
      </c>
      <c r="C332" s="570" t="str">
        <f>IFERROR(VLOOKUP(B332,'ПО КОРИСНИЦИМА'!$C$7:$J$17281,5,FALSE),"")</f>
        <v/>
      </c>
      <c r="D332" s="689">
        <f>SUMIF('ПО КОРИСНИЦИМА'!$G$7:$G$17281,"Свега за пројекат 2003-П18:",'ПО КОРИСНИЦИМА'!$H$7:$H$17281)</f>
        <v>0</v>
      </c>
      <c r="E332" s="686">
        <f t="shared" si="19"/>
        <v>0</v>
      </c>
      <c r="F332" s="690">
        <f>SUMIF('ПО КОРИСНИЦИМА'!$G$7:$G$17281,"Свега за пројекат 2003-П18:",'ПО КОРИСНИЦИМА'!$I$7:$I$17281)</f>
        <v>0</v>
      </c>
      <c r="G332" s="681">
        <f t="shared" si="20"/>
        <v>0</v>
      </c>
      <c r="H332" s="691"/>
    </row>
    <row r="333" spans="1:8" hidden="1" x14ac:dyDescent="0.2">
      <c r="A333" s="657"/>
      <c r="B333" s="657" t="s">
        <v>4788</v>
      </c>
      <c r="C333" s="570" t="str">
        <f>IFERROR(VLOOKUP(B333,'ПО КОРИСНИЦИМА'!$C$7:$J$17281,5,FALSE),"")</f>
        <v/>
      </c>
      <c r="D333" s="689">
        <f>SUMIF('ПО КОРИСНИЦИМА'!$G$7:$G$17281,"Свега за пројекат 2003-П19:",'ПО КОРИСНИЦИМА'!$H$7:$H$17281)</f>
        <v>0</v>
      </c>
      <c r="E333" s="686">
        <f t="shared" si="19"/>
        <v>0</v>
      </c>
      <c r="F333" s="690">
        <f>SUMIF('ПО КОРИСНИЦИМА'!$G$7:$G$17281,"Свега за пројекат 2003-П19:",'ПО КОРИСНИЦИМА'!$I$7:$I$17281)</f>
        <v>0</v>
      </c>
      <c r="G333" s="681">
        <f t="shared" si="20"/>
        <v>0</v>
      </c>
      <c r="H333" s="691"/>
    </row>
    <row r="334" spans="1:8" hidden="1" x14ac:dyDescent="0.2">
      <c r="A334" s="657"/>
      <c r="B334" s="657" t="s">
        <v>4789</v>
      </c>
      <c r="C334" s="570" t="str">
        <f>IFERROR(VLOOKUP(B334,'ПО КОРИСНИЦИМА'!$C$7:$J$17281,5,FALSE),"")</f>
        <v/>
      </c>
      <c r="D334" s="689">
        <f>SUMIF('ПО КОРИСНИЦИМА'!$G$7:$G$17281,"Свега за пројекат 2003-П20:",'ПО КОРИСНИЦИМА'!$H$7:$H$17281)</f>
        <v>0</v>
      </c>
      <c r="E334" s="686">
        <f t="shared" si="19"/>
        <v>0</v>
      </c>
      <c r="F334" s="690">
        <f>SUMIF('ПО КОРИСНИЦИМА'!$G$7:$G$17281,"Свега за пројекат 2003-П20:",'ПО КОРИСНИЦИМА'!$I$7:$I$17281)</f>
        <v>0</v>
      </c>
      <c r="G334" s="681">
        <f t="shared" si="20"/>
        <v>0</v>
      </c>
      <c r="H334" s="691"/>
    </row>
    <row r="335" spans="1:8" hidden="1" x14ac:dyDescent="0.2">
      <c r="A335" s="657"/>
      <c r="B335" s="657" t="s">
        <v>4790</v>
      </c>
      <c r="C335" s="570" t="str">
        <f>IFERROR(VLOOKUP(B335,'ПО КОРИСНИЦИМА'!$C$7:$J$17281,5,FALSE),"")</f>
        <v/>
      </c>
      <c r="D335" s="689">
        <f>SUMIF('ПО КОРИСНИЦИМА'!$G$7:$G$17281,"Свега за пројекат 2003-П21:",'ПО КОРИСНИЦИМА'!$H$7:$H$17281)</f>
        <v>0</v>
      </c>
      <c r="E335" s="686">
        <f t="shared" si="19"/>
        <v>0</v>
      </c>
      <c r="F335" s="690">
        <f>SUMIF('ПО КОРИСНИЦИМА'!$G$7:$G$17281,"Свега за пројекат 2003-П21:",'ПО КОРИСНИЦИМА'!$I$7:$I$17281)</f>
        <v>0</v>
      </c>
      <c r="G335" s="681">
        <f t="shared" si="20"/>
        <v>0</v>
      </c>
      <c r="H335" s="691"/>
    </row>
    <row r="336" spans="1:8" hidden="1" x14ac:dyDescent="0.2">
      <c r="A336" s="657"/>
      <c r="B336" s="657" t="s">
        <v>4791</v>
      </c>
      <c r="C336" s="570" t="str">
        <f>IFERROR(VLOOKUP(B336,'ПО КОРИСНИЦИМА'!$C$7:$J$17281,5,FALSE),"")</f>
        <v/>
      </c>
      <c r="D336" s="689">
        <f>SUMIF('ПО КОРИСНИЦИМА'!$G$7:$G$17281,"Свега за пројекат 2003-П22:",'ПО КОРИСНИЦИМА'!$H$7:$H$17281)</f>
        <v>0</v>
      </c>
      <c r="E336" s="686">
        <f t="shared" si="19"/>
        <v>0</v>
      </c>
      <c r="F336" s="690">
        <f>SUMIF('ПО КОРИСНИЦИМА'!$G$7:$G$17281,"Свега за пројекат 2003-П22:",'ПО КОРИСНИЦИМА'!$I$7:$I$17281)</f>
        <v>0</v>
      </c>
      <c r="G336" s="681">
        <f t="shared" si="20"/>
        <v>0</v>
      </c>
      <c r="H336" s="691"/>
    </row>
    <row r="337" spans="1:8" hidden="1" x14ac:dyDescent="0.2">
      <c r="A337" s="657"/>
      <c r="B337" s="657" t="s">
        <v>4792</v>
      </c>
      <c r="C337" s="570" t="str">
        <f>IFERROR(VLOOKUP(B337,'ПО КОРИСНИЦИМА'!$C$7:$J$17281,5,FALSE),"")</f>
        <v/>
      </c>
      <c r="D337" s="689">
        <f>SUMIF('ПО КОРИСНИЦИМА'!$G$7:$G$17281,"Свега за пројекат 2003-П23:",'ПО КОРИСНИЦИМА'!$H$7:$H$17281)</f>
        <v>0</v>
      </c>
      <c r="E337" s="686">
        <f t="shared" si="19"/>
        <v>0</v>
      </c>
      <c r="F337" s="690">
        <f>SUMIF('ПО КОРИСНИЦИМА'!$G$7:$G$17281,"Свега за пројекат 2003-П23:",'ПО КОРИСНИЦИМА'!$I$7:$I$17281)</f>
        <v>0</v>
      </c>
      <c r="G337" s="681">
        <f t="shared" si="20"/>
        <v>0</v>
      </c>
      <c r="H337" s="691"/>
    </row>
    <row r="338" spans="1:8" hidden="1" x14ac:dyDescent="0.2">
      <c r="A338" s="657"/>
      <c r="B338" s="657" t="s">
        <v>4793</v>
      </c>
      <c r="C338" s="570" t="str">
        <f>IFERROR(VLOOKUP(B338,'ПО КОРИСНИЦИМА'!$C$7:$J$17281,5,FALSE),"")</f>
        <v/>
      </c>
      <c r="D338" s="689">
        <f>SUMIF('ПО КОРИСНИЦИМА'!$G$7:$G$17281,"Свега за пројекат 2003-П24:",'ПО КОРИСНИЦИМА'!$H$7:$H$17281)</f>
        <v>0</v>
      </c>
      <c r="E338" s="686">
        <f t="shared" si="19"/>
        <v>0</v>
      </c>
      <c r="F338" s="690">
        <f>SUMIF('ПО КОРИСНИЦИМА'!$G$7:$G$17281,"Свега за пројекат 2003-П24:",'ПО КОРИСНИЦИМА'!$I$7:$I$17281)</f>
        <v>0</v>
      </c>
      <c r="G338" s="681">
        <f t="shared" si="20"/>
        <v>0</v>
      </c>
      <c r="H338" s="691"/>
    </row>
    <row r="339" spans="1:8" hidden="1" x14ac:dyDescent="0.2">
      <c r="A339" s="657"/>
      <c r="B339" s="657" t="s">
        <v>4794</v>
      </c>
      <c r="C339" s="570" t="str">
        <f>IFERROR(VLOOKUP(B339,'ПО КОРИСНИЦИМА'!$C$7:$J$17281,5,FALSE),"")</f>
        <v/>
      </c>
      <c r="D339" s="689">
        <f>SUMIF('ПО КОРИСНИЦИМА'!$G$7:$G$17281,"Свега за пројекат 2003-П25:",'ПО КОРИСНИЦИМА'!$H$7:$H$17281)</f>
        <v>0</v>
      </c>
      <c r="E339" s="686">
        <f t="shared" si="19"/>
        <v>0</v>
      </c>
      <c r="F339" s="690">
        <f>SUMIF('ПО КОРИСНИЦИМА'!$G$7:$G$17281,"Свега за пројекат 2003-П25:",'ПО КОРИСНИЦИМА'!$I$7:$I$17281)</f>
        <v>0</v>
      </c>
      <c r="G339" s="681">
        <f t="shared" si="20"/>
        <v>0</v>
      </c>
      <c r="H339" s="691"/>
    </row>
    <row r="340" spans="1:8" hidden="1" x14ac:dyDescent="0.2">
      <c r="A340" s="657"/>
      <c r="B340" s="657" t="s">
        <v>4795</v>
      </c>
      <c r="C340" s="570" t="str">
        <f>IFERROR(VLOOKUP(B340,'ПО КОРИСНИЦИМА'!$C$7:$J$17281,5,FALSE),"")</f>
        <v/>
      </c>
      <c r="D340" s="689">
        <f>SUMIF('ПО КОРИСНИЦИМА'!$G$7:$G$17281,"Свега за пројекат 2003-П26:",'ПО КОРИСНИЦИМА'!$H$7:$H$17281)</f>
        <v>0</v>
      </c>
      <c r="E340" s="686">
        <f t="shared" si="19"/>
        <v>0</v>
      </c>
      <c r="F340" s="690">
        <f>SUMIF('ПО КОРИСНИЦИМА'!$G$7:$G$17281,"Свега за пројекат 2003-П26:",'ПО КОРИСНИЦИМА'!$I$7:$I$17281)</f>
        <v>0</v>
      </c>
      <c r="G340" s="681">
        <f t="shared" si="20"/>
        <v>0</v>
      </c>
      <c r="H340" s="691"/>
    </row>
    <row r="341" spans="1:8" hidden="1" x14ac:dyDescent="0.2">
      <c r="A341" s="657"/>
      <c r="B341" s="657" t="s">
        <v>4796</v>
      </c>
      <c r="C341" s="570" t="str">
        <f>IFERROR(VLOOKUP(B341,'ПО КОРИСНИЦИМА'!$C$7:$J$17281,5,FALSE),"")</f>
        <v/>
      </c>
      <c r="D341" s="689">
        <f>SUMIF('ПО КОРИСНИЦИМА'!$G$7:$G$17281,"Свега за пројекат 2003-П27:",'ПО КОРИСНИЦИМА'!$H$7:$H$17281)</f>
        <v>0</v>
      </c>
      <c r="E341" s="686">
        <f t="shared" si="19"/>
        <v>0</v>
      </c>
      <c r="F341" s="690">
        <f>SUMIF('ПО КОРИСНИЦИМА'!$G$7:$G$17281,"Свега за пројекат 2003-П27:",'ПО КОРИСНИЦИМА'!$I$7:$I$17281)</f>
        <v>0</v>
      </c>
      <c r="G341" s="681">
        <f t="shared" si="20"/>
        <v>0</v>
      </c>
      <c r="H341" s="691"/>
    </row>
    <row r="342" spans="1:8" hidden="1" x14ac:dyDescent="0.2">
      <c r="A342" s="657"/>
      <c r="B342" s="657" t="s">
        <v>4797</v>
      </c>
      <c r="C342" s="570" t="str">
        <f>IFERROR(VLOOKUP(B342,'ПО КОРИСНИЦИМА'!$C$7:$J$17281,5,FALSE),"")</f>
        <v/>
      </c>
      <c r="D342" s="689">
        <f>SUMIF('ПО КОРИСНИЦИМА'!$G$7:$G$17281,"Свега за пројекат 2003-П28:",'ПО КОРИСНИЦИМА'!$H$7:$H$17281)</f>
        <v>0</v>
      </c>
      <c r="E342" s="686">
        <f t="shared" si="19"/>
        <v>0</v>
      </c>
      <c r="F342" s="690">
        <f>SUMIF('ПО КОРИСНИЦИМА'!$G$7:$G$17281,"Свега за пројекат 2003-П28:",'ПО КОРИСНИЦИМА'!$I$7:$I$17281)</f>
        <v>0</v>
      </c>
      <c r="G342" s="681">
        <f t="shared" si="20"/>
        <v>0</v>
      </c>
      <c r="H342" s="688"/>
    </row>
    <row r="343" spans="1:8" hidden="1" x14ac:dyDescent="0.2">
      <c r="A343" s="657"/>
      <c r="B343" s="657" t="s">
        <v>4798</v>
      </c>
      <c r="C343" s="570" t="str">
        <f>IFERROR(VLOOKUP(B343,'ПО КОРИСНИЦИМА'!$C$7:$J$17281,5,FALSE),"")</f>
        <v/>
      </c>
      <c r="D343" s="689">
        <f>SUMIF('ПО КОРИСНИЦИМА'!$G$7:$G$17281,"Свега за пројекат 2003-П29:",'ПО КОРИСНИЦИМА'!$H$7:$H$17281)</f>
        <v>0</v>
      </c>
      <c r="E343" s="686">
        <f t="shared" si="19"/>
        <v>0</v>
      </c>
      <c r="F343" s="690">
        <f>SUMIF('ПО КОРИСНИЦИМА'!$G$7:$G$17281,"Свега за пројекат 2003-П29:",'ПО КОРИСНИЦИМА'!$I$7:$I$17281)</f>
        <v>0</v>
      </c>
      <c r="G343" s="681">
        <f t="shared" si="20"/>
        <v>0</v>
      </c>
      <c r="H343" s="688"/>
    </row>
    <row r="344" spans="1:8" hidden="1" x14ac:dyDescent="0.2">
      <c r="A344" s="658"/>
      <c r="B344" s="657" t="s">
        <v>4799</v>
      </c>
      <c r="C344" s="570" t="str">
        <f>IFERROR(VLOOKUP(B344,'ПО КОРИСНИЦИМА'!$C$7:$J$17281,5,FALSE),"")</f>
        <v/>
      </c>
      <c r="D344" s="689">
        <f>SUMIF('ПО КОРИСНИЦИМА'!$G$7:$G$17281,"Свега за пројекат 2003-П30:",'ПО КОРИСНИЦИМА'!$H$7:$H$17281)</f>
        <v>0</v>
      </c>
      <c r="E344" s="686">
        <f t="shared" ref="E344:E351" si="21">IFERROR(D344/$D$601,"-")</f>
        <v>0</v>
      </c>
      <c r="F344" s="690">
        <f>SUMIF('ПО КОРИСНИЦИМА'!$G$7:$G$17281,"Свега за пројекат 2003-П30:",'ПО КОРИСНИЦИМА'!$I$7:$I$17281)</f>
        <v>0</v>
      </c>
      <c r="G344" s="681">
        <f t="shared" si="20"/>
        <v>0</v>
      </c>
      <c r="H344" s="697"/>
    </row>
    <row r="345" spans="1:8" s="655" customFormat="1" x14ac:dyDescent="0.2">
      <c r="A345" s="647" t="s">
        <v>3596</v>
      </c>
      <c r="B345" s="648"/>
      <c r="C345" s="568" t="s">
        <v>3684</v>
      </c>
      <c r="D345" s="677">
        <f>SUM(D346:D380)</f>
        <v>9429000</v>
      </c>
      <c r="E345" s="678">
        <f t="shared" si="21"/>
        <v>1.6344253770150807E-2</v>
      </c>
      <c r="F345" s="679">
        <f>SUM(F346:F380)</f>
        <v>0</v>
      </c>
      <c r="G345" s="677">
        <f t="shared" si="13"/>
        <v>9429000</v>
      </c>
      <c r="H345" s="698"/>
    </row>
    <row r="346" spans="1:8" x14ac:dyDescent="0.2">
      <c r="A346" s="651"/>
      <c r="B346" s="656" t="s">
        <v>4132</v>
      </c>
      <c r="C346" s="576" t="s">
        <v>4133</v>
      </c>
      <c r="D346" s="681">
        <f>SUMIF('ПО КОРИСНИЦИМА'!$G$7:$G$17281,"Свега за програмску активност 0901-0001:",'ПО КОРИСНИЦИМА'!$H$7:$H$17281)</f>
        <v>4657000</v>
      </c>
      <c r="E346" s="682">
        <f t="shared" si="21"/>
        <v>8.0724562315825973E-3</v>
      </c>
      <c r="F346" s="683">
        <f>SUMIF('ПО КОРИСНИЦИМА'!$G$7:$G$17281,"Свега за програмску активност 0901-0001:",'ПО КОРИСНИЦИМА'!$I$7:$I$17281)</f>
        <v>0</v>
      </c>
      <c r="G346" s="705">
        <f t="shared" si="13"/>
        <v>4657000</v>
      </c>
      <c r="H346" s="684"/>
    </row>
    <row r="347" spans="1:8" x14ac:dyDescent="0.2">
      <c r="A347" s="653"/>
      <c r="B347" s="660" t="s">
        <v>4134</v>
      </c>
      <c r="C347" s="577" t="s">
        <v>4135</v>
      </c>
      <c r="D347" s="685">
        <f>SUMIF('ПО КОРИСНИЦИМА'!$G$7:$G$17281,"Свега за програмску активност 0901-0002:",'ПО КОРИСНИЦИМА'!$H$7:$H$17281)</f>
        <v>600000</v>
      </c>
      <c r="E347" s="686">
        <f t="shared" si="21"/>
        <v>1.0400416016640667E-3</v>
      </c>
      <c r="F347" s="687">
        <f>SUMIF('ПО КОРИСНИЦИМА'!$G$7:$G$17281,"Свега за програмску активност 0901-0002:",'ПО КОРИСНИЦИМА'!$I$7:$I$17281)</f>
        <v>0</v>
      </c>
      <c r="G347" s="705">
        <f t="shared" ref="G347:G380" si="22">D347+F347</f>
        <v>600000</v>
      </c>
      <c r="H347" s="688"/>
    </row>
    <row r="348" spans="1:8" hidden="1" x14ac:dyDescent="0.2">
      <c r="A348" s="653"/>
      <c r="B348" s="660" t="s">
        <v>4136</v>
      </c>
      <c r="C348" s="577" t="s">
        <v>4137</v>
      </c>
      <c r="D348" s="685">
        <f>SUMIF('ПО КОРИСНИЦИМА'!$G$7:$G$17281,"Свега за програмску активност 0901-0003:",'ПО КОРИСНИЦИМА'!$H$7:$H$17281)</f>
        <v>0</v>
      </c>
      <c r="E348" s="686">
        <f t="shared" si="21"/>
        <v>0</v>
      </c>
      <c r="F348" s="687">
        <f>SUMIF('ПО КОРИСНИЦИМА'!$G$7:$G$17281,"Свега за програмску активност 0901-0003:",'ПО КОРИСНИЦИМА'!$I$7:$I$17281)</f>
        <v>0</v>
      </c>
      <c r="G348" s="705">
        <f t="shared" si="22"/>
        <v>0</v>
      </c>
      <c r="H348" s="688"/>
    </row>
    <row r="349" spans="1:8" hidden="1" x14ac:dyDescent="0.2">
      <c r="A349" s="653"/>
      <c r="B349" s="660" t="s">
        <v>4138</v>
      </c>
      <c r="C349" s="577" t="s">
        <v>4139</v>
      </c>
      <c r="D349" s="685">
        <f>SUMIF('ПО КОРИСНИЦИМА'!$G$7:$G$17281,"Свега за програмску активност 0901-0004:",'ПО КОРИСНИЦИМА'!$H$7:$H$17281)</f>
        <v>0</v>
      </c>
      <c r="E349" s="686">
        <f t="shared" si="21"/>
        <v>0</v>
      </c>
      <c r="F349" s="687">
        <f>SUMIF('ПО КОРИСНИЦИМА'!$G$7:$G$17281,"Свега за програмску активност 0901-0004:",'ПО КОРИСНИЦИМА'!$I$7:$I$17281)</f>
        <v>0</v>
      </c>
      <c r="G349" s="705">
        <f t="shared" si="22"/>
        <v>0</v>
      </c>
      <c r="H349" s="688"/>
    </row>
    <row r="350" spans="1:8" x14ac:dyDescent="0.2">
      <c r="A350" s="653"/>
      <c r="B350" s="660" t="s">
        <v>4140</v>
      </c>
      <c r="C350" s="577" t="s">
        <v>4141</v>
      </c>
      <c r="D350" s="685">
        <f>SUMIF('ПО КОРИСНИЦИМА'!$G$7:$G$17281,"Свега за програмску активност 0901-0005:",'ПО КОРИСНИЦИМА'!$H$7:$H$17281)</f>
        <v>546000</v>
      </c>
      <c r="E350" s="686">
        <f t="shared" si="21"/>
        <v>9.4643785751430062E-4</v>
      </c>
      <c r="F350" s="687">
        <f>SUMIF('ПО КОРИСНИЦИМА'!$G$7:$G$17281,"Свега за програмску активност 0901-0005:",'ПО КОРИСНИЦИМА'!$I$7:$I$17281)</f>
        <v>0</v>
      </c>
      <c r="G350" s="705">
        <f t="shared" si="22"/>
        <v>546000</v>
      </c>
      <c r="H350" s="688"/>
    </row>
    <row r="351" spans="1:8" x14ac:dyDescent="0.2">
      <c r="A351" s="653"/>
      <c r="B351" s="660" t="s">
        <v>4801</v>
      </c>
      <c r="C351" s="570" t="str">
        <f>IFERROR(VLOOKUP(B351,'ПО КОРИСНИЦИМА'!$C$7:$J$17281,5,FALSE),"")</f>
        <v>Пројекат Набавка опреме</v>
      </c>
      <c r="D351" s="689">
        <v>1500000</v>
      </c>
      <c r="E351" s="686">
        <f t="shared" si="21"/>
        <v>2.6001040041601664E-3</v>
      </c>
      <c r="F351" s="690">
        <f>SUMIF('ПО КОРИСНИЦИМА'!$G$7:$G$17281,"Свега за пројекат 0901-П1:",'ПО КОРИСНИЦИМА'!$I$7:$I$17281)</f>
        <v>0</v>
      </c>
      <c r="G351" s="705">
        <f t="shared" si="22"/>
        <v>1500000</v>
      </c>
      <c r="H351" s="688"/>
    </row>
    <row r="352" spans="1:8" x14ac:dyDescent="0.2">
      <c r="A352" s="653"/>
      <c r="B352" s="660" t="s">
        <v>4802</v>
      </c>
      <c r="C352" s="570" t="str">
        <f>IFERROR(VLOOKUP(B352,'ПО КОРИСНИЦИМА'!$C$7:$J$17281,5,FALSE),"")</f>
        <v>Пројекат "Помоћ у кући"</v>
      </c>
      <c r="D352" s="689">
        <f>SUMIF('ПО КОРИСНИЦИМА'!$G$7:$G$17281,"Свега за пројекат 0901-П2:",'ПО КОРИСНИЦИМА'!$H$7:$H$17281)</f>
        <v>1726000</v>
      </c>
      <c r="E352" s="686">
        <f t="shared" ref="E352:E380" si="23">IFERROR(D352/$D$601,"-")</f>
        <v>2.9918530074536315E-3</v>
      </c>
      <c r="F352" s="690">
        <f>SUMIF('ПО КОРИСНИЦИМА'!$G$7:$G$17281,"Свега за пројекат 0901-П2:",'ПО КОРИСНИЦИМА'!$I$7:$I$17281)</f>
        <v>0</v>
      </c>
      <c r="G352" s="705">
        <f t="shared" si="22"/>
        <v>1726000</v>
      </c>
      <c r="H352" s="688"/>
    </row>
    <row r="353" spans="1:8" x14ac:dyDescent="0.2">
      <c r="A353" s="653"/>
      <c r="B353" s="660" t="s">
        <v>4803</v>
      </c>
      <c r="C353" s="570" t="str">
        <f>IFERROR(VLOOKUP(B353,'ПО КОРИСНИЦИМА'!$C$7:$J$17281,5,FALSE),"")</f>
        <v>Пројекат "Дневни боравак"</v>
      </c>
      <c r="D353" s="689">
        <f>SUMIF('ПО КОРИСНИЦИМА'!$G$7:$G$17281,"Свега за пројекат 0901-П3:",'ПО КОРИСНИЦИМА'!$H$7:$H$17281)</f>
        <v>400000</v>
      </c>
      <c r="E353" s="686">
        <f t="shared" si="23"/>
        <v>6.9336106777604441E-4</v>
      </c>
      <c r="F353" s="690">
        <f>SUMIF('ПО КОРИСНИЦИМА'!$G$7:$G$17281,"Свега за пројекат 0901-П3:",'ПО КОРИСНИЦИМА'!$I$7:$I$17281)</f>
        <v>0</v>
      </c>
      <c r="G353" s="705">
        <f t="shared" si="22"/>
        <v>400000</v>
      </c>
      <c r="H353" s="691"/>
    </row>
    <row r="354" spans="1:8" hidden="1" x14ac:dyDescent="0.2">
      <c r="A354" s="653"/>
      <c r="B354" s="660" t="s">
        <v>4804</v>
      </c>
      <c r="C354" s="570" t="str">
        <f>IFERROR(VLOOKUP(B354,'ПО КОРИСНИЦИМА'!$C$7:$J$17281,5,FALSE),"")</f>
        <v/>
      </c>
      <c r="D354" s="689"/>
      <c r="E354" s="686">
        <f t="shared" si="23"/>
        <v>0</v>
      </c>
      <c r="F354" s="690">
        <f>SUMIF('ПО КОРИСНИЦИМА'!$G$7:$G$17281,"Свега за пројекат 0901-П4:",'ПО КОРИСНИЦИМА'!$I$7:$I$17281)</f>
        <v>0</v>
      </c>
      <c r="G354" s="705">
        <f t="shared" si="22"/>
        <v>0</v>
      </c>
      <c r="H354" s="691"/>
    </row>
    <row r="355" spans="1:8" hidden="1" x14ac:dyDescent="0.2">
      <c r="A355" s="653"/>
      <c r="B355" s="660" t="s">
        <v>4805</v>
      </c>
      <c r="C355" s="570" t="str">
        <f>IFERROR(VLOOKUP(B355,'ПО КОРИСНИЦИМА'!$C$7:$J$17281,5,FALSE),"")</f>
        <v/>
      </c>
      <c r="D355" s="689">
        <f>SUMIF('ПО КОРИСНИЦИМА'!$G$7:$G$17281,"Свега за пројекат 0901-П5:",'ПО КОРИСНИЦИМА'!$H$7:$H$17281)</f>
        <v>0</v>
      </c>
      <c r="E355" s="686">
        <f t="shared" si="23"/>
        <v>0</v>
      </c>
      <c r="F355" s="690">
        <f>SUMIF('ПО КОРИСНИЦИМА'!$G$7:$G$17281,"Свега за пројекат 0901-П5:",'ПО КОРИСНИЦИМА'!$I$7:$I$17281)</f>
        <v>0</v>
      </c>
      <c r="G355" s="705">
        <f t="shared" si="22"/>
        <v>0</v>
      </c>
      <c r="H355" s="691"/>
    </row>
    <row r="356" spans="1:8" hidden="1" x14ac:dyDescent="0.2">
      <c r="A356" s="653"/>
      <c r="B356" s="660" t="s">
        <v>4806</v>
      </c>
      <c r="C356" s="570" t="str">
        <f>IFERROR(VLOOKUP(B356,'ПО КОРИСНИЦИМА'!$C$7:$J$17281,5,FALSE),"")</f>
        <v/>
      </c>
      <c r="D356" s="689">
        <f>SUMIF('ПО КОРИСНИЦИМА'!$G$7:$G$17281,"Свега за пројекат 0901-П6:",'ПО КОРИСНИЦИМА'!$H$7:$H$17281)</f>
        <v>0</v>
      </c>
      <c r="E356" s="686">
        <f t="shared" si="23"/>
        <v>0</v>
      </c>
      <c r="F356" s="690">
        <f>SUMIF('ПО КОРИСНИЦИМА'!$G$7:$G$17281,"Свега за пројекат 0901-П6:",'ПО КОРИСНИЦИМА'!$I$7:$I$17281)</f>
        <v>0</v>
      </c>
      <c r="G356" s="705">
        <f t="shared" si="22"/>
        <v>0</v>
      </c>
      <c r="H356" s="691"/>
    </row>
    <row r="357" spans="1:8" hidden="1" x14ac:dyDescent="0.2">
      <c r="A357" s="653"/>
      <c r="B357" s="660" t="s">
        <v>4807</v>
      </c>
      <c r="C357" s="570" t="str">
        <f>IFERROR(VLOOKUP(B357,'ПО КОРИСНИЦИМА'!$C$7:$J$17281,5,FALSE),"")</f>
        <v/>
      </c>
      <c r="D357" s="689">
        <f>SUMIF('ПО КОРИСНИЦИМА'!$G$7:$G$17281,"Свега за пројекат 0901-П7:",'ПО КОРИСНИЦИМА'!$H$7:$H$17281)</f>
        <v>0</v>
      </c>
      <c r="E357" s="686">
        <f t="shared" si="23"/>
        <v>0</v>
      </c>
      <c r="F357" s="690">
        <f>SUMIF('ПО КОРИСНИЦИМА'!$G$7:$G$17281,"Свега за пројекат 0901-П7:",'ПО КОРИСНИЦИМА'!$I$7:$I$17281)</f>
        <v>0</v>
      </c>
      <c r="G357" s="705">
        <f t="shared" si="22"/>
        <v>0</v>
      </c>
      <c r="H357" s="691"/>
    </row>
    <row r="358" spans="1:8" hidden="1" x14ac:dyDescent="0.2">
      <c r="A358" s="653"/>
      <c r="B358" s="660" t="s">
        <v>4808</v>
      </c>
      <c r="C358" s="570" t="str">
        <f>IFERROR(VLOOKUP(B358,'ПО КОРИСНИЦИМА'!$C$7:$J$17281,5,FALSE),"")</f>
        <v/>
      </c>
      <c r="D358" s="689">
        <f>SUMIF('ПО КОРИСНИЦИМА'!$G$7:$G$17281,"Свега за пројекат 0901-П8:",'ПО КОРИСНИЦИМА'!$H$7:$H$17281)</f>
        <v>0</v>
      </c>
      <c r="E358" s="686">
        <f t="shared" si="23"/>
        <v>0</v>
      </c>
      <c r="F358" s="690">
        <f>SUMIF('ПО КОРИСНИЦИМА'!$G$7:$G$17281,"Свега за пројекат 0901-П8:",'ПО КОРИСНИЦИМА'!$I$7:$I$17281)</f>
        <v>0</v>
      </c>
      <c r="G358" s="705">
        <f t="shared" si="22"/>
        <v>0</v>
      </c>
      <c r="H358" s="691"/>
    </row>
    <row r="359" spans="1:8" hidden="1" x14ac:dyDescent="0.2">
      <c r="A359" s="653"/>
      <c r="B359" s="660" t="s">
        <v>4809</v>
      </c>
      <c r="C359" s="570" t="str">
        <f>IFERROR(VLOOKUP(B359,'ПО КОРИСНИЦИМА'!$C$7:$J$17281,5,FALSE),"")</f>
        <v/>
      </c>
      <c r="D359" s="689">
        <f>SUMIF('ПО КОРИСНИЦИМА'!$G$7:$G$17281,"Свега за пројекат 0901-П9:",'ПО КОРИСНИЦИМА'!$H$7:$H$17281)</f>
        <v>0</v>
      </c>
      <c r="E359" s="686">
        <f t="shared" si="23"/>
        <v>0</v>
      </c>
      <c r="F359" s="690">
        <f>SUMIF('ПО КОРИСНИЦИМА'!$G$7:$G$17281,"Свега за пројекат 0901-П9:",'ПО КОРИСНИЦИМА'!$I$7:$I$17281)</f>
        <v>0</v>
      </c>
      <c r="G359" s="705">
        <f t="shared" si="22"/>
        <v>0</v>
      </c>
      <c r="H359" s="691"/>
    </row>
    <row r="360" spans="1:8" hidden="1" x14ac:dyDescent="0.2">
      <c r="A360" s="653"/>
      <c r="B360" s="660" t="s">
        <v>4810</v>
      </c>
      <c r="C360" s="570" t="str">
        <f>IFERROR(VLOOKUP(B360,'ПО КОРИСНИЦИМА'!$C$7:$J$17281,5,FALSE),"")</f>
        <v/>
      </c>
      <c r="D360" s="689">
        <f>SUMIF('ПО КОРИСНИЦИМА'!$G$7:$G$17281,"Свега за пројекат 0901-П10:",'ПО КОРИСНИЦИМА'!$H$7:$H$17281)</f>
        <v>0</v>
      </c>
      <c r="E360" s="686">
        <f t="shared" si="23"/>
        <v>0</v>
      </c>
      <c r="F360" s="690">
        <f>SUMIF('ПО КОРИСНИЦИМА'!$G$7:$G$17281,"Свега за пројекат 0901-П10:",'ПО КОРИСНИЦИМА'!$I$7:$I$17281)</f>
        <v>0</v>
      </c>
      <c r="G360" s="705">
        <f t="shared" si="22"/>
        <v>0</v>
      </c>
      <c r="H360" s="691"/>
    </row>
    <row r="361" spans="1:8" hidden="1" x14ac:dyDescent="0.2">
      <c r="A361" s="653"/>
      <c r="B361" s="660" t="s">
        <v>4811</v>
      </c>
      <c r="C361" s="570" t="str">
        <f>IFERROR(VLOOKUP(B361,'ПО КОРИСНИЦИМА'!$C$7:$J$17281,5,FALSE),"")</f>
        <v/>
      </c>
      <c r="D361" s="689">
        <f>SUMIF('ПО КОРИСНИЦИМА'!$G$7:$G$17281,"Свега за пројекат 0901-П11:",'ПО КОРИСНИЦИМА'!$H$7:$H$17281)</f>
        <v>0</v>
      </c>
      <c r="E361" s="686">
        <f t="shared" si="23"/>
        <v>0</v>
      </c>
      <c r="F361" s="690">
        <f>SUMIF('ПО КОРИСНИЦИМА'!$G$7:$G$17281,"Свега за пројекат 0901-П11:",'ПО КОРИСНИЦИМА'!$I$7:$I$17281)</f>
        <v>0</v>
      </c>
      <c r="G361" s="705">
        <f t="shared" si="22"/>
        <v>0</v>
      </c>
      <c r="H361" s="691"/>
    </row>
    <row r="362" spans="1:8" hidden="1" x14ac:dyDescent="0.2">
      <c r="A362" s="653"/>
      <c r="B362" s="660" t="s">
        <v>4812</v>
      </c>
      <c r="C362" s="570" t="str">
        <f>IFERROR(VLOOKUP(B362,'ПО КОРИСНИЦИМА'!$C$7:$J$17281,5,FALSE),"")</f>
        <v/>
      </c>
      <c r="D362" s="689">
        <f>SUMIF('ПО КОРИСНИЦИМА'!$G$7:$G$17281,"Свега за пројекат 0901-П12:",'ПО КОРИСНИЦИМА'!$H$7:$H$17281)</f>
        <v>0</v>
      </c>
      <c r="E362" s="686">
        <f t="shared" si="23"/>
        <v>0</v>
      </c>
      <c r="F362" s="690">
        <f>SUMIF('ПО КОРИСНИЦИМА'!$G$7:$G$17281,"Свега за пројекат 0901-П12:",'ПО КОРИСНИЦИМА'!$I$7:$I$17281)</f>
        <v>0</v>
      </c>
      <c r="G362" s="705">
        <f t="shared" si="22"/>
        <v>0</v>
      </c>
      <c r="H362" s="691"/>
    </row>
    <row r="363" spans="1:8" hidden="1" x14ac:dyDescent="0.2">
      <c r="A363" s="653"/>
      <c r="B363" s="660" t="s">
        <v>4813</v>
      </c>
      <c r="C363" s="570" t="str">
        <f>IFERROR(VLOOKUP(B363,'ПО КОРИСНИЦИМА'!$C$7:$J$17281,5,FALSE),"")</f>
        <v/>
      </c>
      <c r="D363" s="689">
        <f>SUMIF('ПО КОРИСНИЦИМА'!$G$7:$G$17281,"Свега за пројекат 0901-П13:",'ПО КОРИСНИЦИМА'!$H$7:$H$17281)</f>
        <v>0</v>
      </c>
      <c r="E363" s="686">
        <f t="shared" si="23"/>
        <v>0</v>
      </c>
      <c r="F363" s="690">
        <f>SUMIF('ПО КОРИСНИЦИМА'!$G$7:$G$17281,"Свега за пројекат 0901-П13:",'ПО КОРИСНИЦИМА'!$I$7:$I$17281)</f>
        <v>0</v>
      </c>
      <c r="G363" s="705">
        <f t="shared" si="22"/>
        <v>0</v>
      </c>
      <c r="H363" s="691"/>
    </row>
    <row r="364" spans="1:8" hidden="1" x14ac:dyDescent="0.2">
      <c r="A364" s="653"/>
      <c r="B364" s="660" t="s">
        <v>4814</v>
      </c>
      <c r="C364" s="570" t="str">
        <f>IFERROR(VLOOKUP(B364,'ПО КОРИСНИЦИМА'!$C$7:$J$17281,5,FALSE),"")</f>
        <v/>
      </c>
      <c r="D364" s="689">
        <f>SUMIF('ПО КОРИСНИЦИМА'!$G$7:$G$17281,"Свега за пројекат 0901-П14:",'ПО КОРИСНИЦИМА'!$H$7:$H$17281)</f>
        <v>0</v>
      </c>
      <c r="E364" s="686">
        <f t="shared" si="23"/>
        <v>0</v>
      </c>
      <c r="F364" s="690">
        <f>SUMIF('ПО КОРИСНИЦИМА'!$G$7:$G$17281,"Свега за пројекат 0901-П14:",'ПО КОРИСНИЦИМА'!$I$7:$I$17281)</f>
        <v>0</v>
      </c>
      <c r="G364" s="705">
        <f t="shared" si="22"/>
        <v>0</v>
      </c>
      <c r="H364" s="691"/>
    </row>
    <row r="365" spans="1:8" hidden="1" x14ac:dyDescent="0.2">
      <c r="A365" s="653"/>
      <c r="B365" s="660" t="s">
        <v>4815</v>
      </c>
      <c r="C365" s="570" t="str">
        <f>IFERROR(VLOOKUP(B365,'ПО КОРИСНИЦИМА'!$C$7:$J$17281,5,FALSE),"")</f>
        <v/>
      </c>
      <c r="D365" s="689">
        <f>SUMIF('ПО КОРИСНИЦИМА'!$G$7:$G$17281,"Свега за пројекат 0901-П15:",'ПО КОРИСНИЦИМА'!$H$7:$H$17281)</f>
        <v>0</v>
      </c>
      <c r="E365" s="686">
        <f t="shared" si="23"/>
        <v>0</v>
      </c>
      <c r="F365" s="690">
        <f>SUMIF('ПО КОРИСНИЦИМА'!$G$7:$G$17281,"Свега за пројекат 0901-П15:",'ПО КОРИСНИЦИМА'!$I$7:$I$17281)</f>
        <v>0</v>
      </c>
      <c r="G365" s="705">
        <f t="shared" si="22"/>
        <v>0</v>
      </c>
      <c r="H365" s="691"/>
    </row>
    <row r="366" spans="1:8" hidden="1" x14ac:dyDescent="0.2">
      <c r="A366" s="653"/>
      <c r="B366" s="660" t="s">
        <v>4816</v>
      </c>
      <c r="C366" s="570" t="str">
        <f>IFERROR(VLOOKUP(B366,'ПО КОРИСНИЦИМА'!$C$7:$J$17281,5,FALSE),"")</f>
        <v/>
      </c>
      <c r="D366" s="689">
        <f>SUMIF('ПО КОРИСНИЦИМА'!$G$7:$G$17281,"Свега за пројекат 0901-П16:",'ПО КОРИСНИЦИМА'!$H$7:$H$17281)</f>
        <v>0</v>
      </c>
      <c r="E366" s="686">
        <f t="shared" si="23"/>
        <v>0</v>
      </c>
      <c r="F366" s="690">
        <f>SUMIF('ПО КОРИСНИЦИМА'!$G$7:$G$17281,"Свега за пројекат 0901-П16:",'ПО КОРИСНИЦИМА'!$I$7:$I$17281)</f>
        <v>0</v>
      </c>
      <c r="G366" s="705">
        <f t="shared" si="22"/>
        <v>0</v>
      </c>
      <c r="H366" s="691"/>
    </row>
    <row r="367" spans="1:8" hidden="1" x14ac:dyDescent="0.2">
      <c r="A367" s="653"/>
      <c r="B367" s="660" t="s">
        <v>4817</v>
      </c>
      <c r="C367" s="570" t="str">
        <f>IFERROR(VLOOKUP(B367,'ПО КОРИСНИЦИМА'!$C$7:$J$17281,5,FALSE),"")</f>
        <v/>
      </c>
      <c r="D367" s="689">
        <f>SUMIF('ПО КОРИСНИЦИМА'!$G$7:$G$17281,"Свега за пројекат 0901-П17:",'ПО КОРИСНИЦИМА'!$H$7:$H$17281)</f>
        <v>0</v>
      </c>
      <c r="E367" s="686">
        <f t="shared" si="23"/>
        <v>0</v>
      </c>
      <c r="F367" s="690">
        <f>SUMIF('ПО КОРИСНИЦИМА'!$G$7:$G$17281,"Свега за пројекат 0901-П17:",'ПО КОРИСНИЦИМА'!$I$7:$I$17281)</f>
        <v>0</v>
      </c>
      <c r="G367" s="705">
        <f t="shared" si="22"/>
        <v>0</v>
      </c>
      <c r="H367" s="691"/>
    </row>
    <row r="368" spans="1:8" hidden="1" x14ac:dyDescent="0.2">
      <c r="A368" s="653"/>
      <c r="B368" s="660" t="s">
        <v>4818</v>
      </c>
      <c r="C368" s="570" t="str">
        <f>IFERROR(VLOOKUP(B368,'ПО КОРИСНИЦИМА'!$C$7:$J$17281,5,FALSE),"")</f>
        <v/>
      </c>
      <c r="D368" s="689">
        <f>SUMIF('ПО КОРИСНИЦИМА'!$G$7:$G$17281,"Свега за пројекат 0901-П18:",'ПО КОРИСНИЦИМА'!$H$7:$H$17281)</f>
        <v>0</v>
      </c>
      <c r="E368" s="686">
        <f t="shared" si="23"/>
        <v>0</v>
      </c>
      <c r="F368" s="690">
        <f>SUMIF('ПО КОРИСНИЦИМА'!$G$7:$G$17281,"Свега за пројекат 0901-П18:",'ПО КОРИСНИЦИМА'!$I$7:$I$17281)</f>
        <v>0</v>
      </c>
      <c r="G368" s="705">
        <f t="shared" si="22"/>
        <v>0</v>
      </c>
      <c r="H368" s="691"/>
    </row>
    <row r="369" spans="1:8" hidden="1" x14ac:dyDescent="0.2">
      <c r="A369" s="653"/>
      <c r="B369" s="660" t="s">
        <v>4819</v>
      </c>
      <c r="C369" s="570" t="str">
        <f>IFERROR(VLOOKUP(B369,'ПО КОРИСНИЦИМА'!$C$7:$J$17281,5,FALSE),"")</f>
        <v/>
      </c>
      <c r="D369" s="689">
        <f>SUMIF('ПО КОРИСНИЦИМА'!$G$7:$G$17281,"Свега за пројекат 0901-П19:",'ПО КОРИСНИЦИМА'!$H$7:$H$17281)</f>
        <v>0</v>
      </c>
      <c r="E369" s="686">
        <f t="shared" si="23"/>
        <v>0</v>
      </c>
      <c r="F369" s="690">
        <f>SUMIF('ПО КОРИСНИЦИМА'!$G$7:$G$17281,"Свега за пројекат 0901-П19:",'ПО КОРИСНИЦИМА'!$I$7:$I$17281)</f>
        <v>0</v>
      </c>
      <c r="G369" s="705">
        <f t="shared" si="22"/>
        <v>0</v>
      </c>
      <c r="H369" s="691"/>
    </row>
    <row r="370" spans="1:8" hidden="1" x14ac:dyDescent="0.2">
      <c r="A370" s="653"/>
      <c r="B370" s="660" t="s">
        <v>4820</v>
      </c>
      <c r="C370" s="570" t="str">
        <f>IFERROR(VLOOKUP(B370,'ПО КОРИСНИЦИМА'!$C$7:$J$17281,5,FALSE),"")</f>
        <v/>
      </c>
      <c r="D370" s="689">
        <f>SUMIF('ПО КОРИСНИЦИМА'!$G$7:$G$17281,"Свега за пројекат 0901-П20:",'ПО КОРИСНИЦИМА'!$H$7:$H$17281)</f>
        <v>0</v>
      </c>
      <c r="E370" s="686">
        <f t="shared" si="23"/>
        <v>0</v>
      </c>
      <c r="F370" s="690">
        <f>SUMIF('ПО КОРИСНИЦИМА'!$G$7:$G$17281,"Свега за пројекат 0901-П20:",'ПО КОРИСНИЦИМА'!$I$7:$I$17281)</f>
        <v>0</v>
      </c>
      <c r="G370" s="705">
        <f t="shared" si="22"/>
        <v>0</v>
      </c>
      <c r="H370" s="691"/>
    </row>
    <row r="371" spans="1:8" hidden="1" x14ac:dyDescent="0.2">
      <c r="A371" s="653"/>
      <c r="B371" s="660" t="s">
        <v>4821</v>
      </c>
      <c r="C371" s="570" t="str">
        <f>IFERROR(VLOOKUP(B371,'ПО КОРИСНИЦИМА'!$C$7:$J$17281,5,FALSE),"")</f>
        <v/>
      </c>
      <c r="D371" s="689">
        <f>SUMIF('ПО КОРИСНИЦИМА'!$G$7:$G$17281,"Свега за пројекат 0901-П21:",'ПО КОРИСНИЦИМА'!$H$7:$H$17281)</f>
        <v>0</v>
      </c>
      <c r="E371" s="686">
        <f t="shared" si="23"/>
        <v>0</v>
      </c>
      <c r="F371" s="690">
        <f>SUMIF('ПО КОРИСНИЦИМА'!$G$7:$G$17281,"Свега за пројекат 0901-П21:",'ПО КОРИСНИЦИМА'!$I$7:$I$17281)</f>
        <v>0</v>
      </c>
      <c r="G371" s="705">
        <f t="shared" si="22"/>
        <v>0</v>
      </c>
      <c r="H371" s="691"/>
    </row>
    <row r="372" spans="1:8" hidden="1" x14ac:dyDescent="0.2">
      <c r="A372" s="653"/>
      <c r="B372" s="660" t="s">
        <v>4822</v>
      </c>
      <c r="C372" s="570" t="str">
        <f>IFERROR(VLOOKUP(B372,'ПО КОРИСНИЦИМА'!$C$7:$J$17281,5,FALSE),"")</f>
        <v/>
      </c>
      <c r="D372" s="689">
        <f>SUMIF('ПО КОРИСНИЦИМА'!$G$7:$G$17281,"Свега за пројекат 0901-П22:",'ПО КОРИСНИЦИМА'!$H$7:$H$17281)</f>
        <v>0</v>
      </c>
      <c r="E372" s="686">
        <f t="shared" si="23"/>
        <v>0</v>
      </c>
      <c r="F372" s="690">
        <f>SUMIF('ПО КОРИСНИЦИМА'!$G$7:$G$17281,"Свега за пројекат 0901-П22:",'ПО КОРИСНИЦИМА'!$I$7:$I$17281)</f>
        <v>0</v>
      </c>
      <c r="G372" s="705">
        <f t="shared" si="22"/>
        <v>0</v>
      </c>
      <c r="H372" s="691"/>
    </row>
    <row r="373" spans="1:8" hidden="1" x14ac:dyDescent="0.2">
      <c r="A373" s="653"/>
      <c r="B373" s="660" t="s">
        <v>4823</v>
      </c>
      <c r="C373" s="570" t="str">
        <f>IFERROR(VLOOKUP(B373,'ПО КОРИСНИЦИМА'!$C$7:$J$17281,5,FALSE),"")</f>
        <v/>
      </c>
      <c r="D373" s="689">
        <f>SUMIF('ПО КОРИСНИЦИМА'!$G$7:$G$17281,"Свега за пројекат 0901-П23:",'ПО КОРИСНИЦИМА'!$H$7:$H$17281)</f>
        <v>0</v>
      </c>
      <c r="E373" s="686">
        <f t="shared" si="23"/>
        <v>0</v>
      </c>
      <c r="F373" s="690">
        <f>SUMIF('ПО КОРИСНИЦИМА'!$G$7:$G$17281,"Свега за пројекат 0901-П23:",'ПО КОРИСНИЦИМА'!$I$7:$I$17281)</f>
        <v>0</v>
      </c>
      <c r="G373" s="705">
        <f t="shared" si="22"/>
        <v>0</v>
      </c>
      <c r="H373" s="691"/>
    </row>
    <row r="374" spans="1:8" hidden="1" x14ac:dyDescent="0.2">
      <c r="A374" s="653"/>
      <c r="B374" s="660" t="s">
        <v>4824</v>
      </c>
      <c r="C374" s="570" t="str">
        <f>IFERROR(VLOOKUP(B374,'ПО КОРИСНИЦИМА'!$C$7:$J$17281,5,FALSE),"")</f>
        <v/>
      </c>
      <c r="D374" s="689">
        <f>SUMIF('ПО КОРИСНИЦИМА'!$G$7:$G$17281,"Свега за пројекат 0901-П24:",'ПО КОРИСНИЦИМА'!$H$7:$H$17281)</f>
        <v>0</v>
      </c>
      <c r="E374" s="686">
        <f t="shared" si="23"/>
        <v>0</v>
      </c>
      <c r="F374" s="690">
        <f>SUMIF('ПО КОРИСНИЦИМА'!$G$7:$G$17281,"Свега за пројекат 0901-П24:",'ПО КОРИСНИЦИМА'!$I$7:$I$17281)</f>
        <v>0</v>
      </c>
      <c r="G374" s="705">
        <f t="shared" si="22"/>
        <v>0</v>
      </c>
      <c r="H374" s="691"/>
    </row>
    <row r="375" spans="1:8" hidden="1" x14ac:dyDescent="0.2">
      <c r="A375" s="653"/>
      <c r="B375" s="660" t="s">
        <v>4825</v>
      </c>
      <c r="C375" s="570" t="str">
        <f>IFERROR(VLOOKUP(B375,'ПО КОРИСНИЦИМА'!$C$7:$J$17281,5,FALSE),"")</f>
        <v/>
      </c>
      <c r="D375" s="689">
        <f>SUMIF('ПО КОРИСНИЦИМА'!$G$7:$G$17281,"Свега за пројекат 0901-П25:",'ПО КОРИСНИЦИМА'!$H$7:$H$17281)</f>
        <v>0</v>
      </c>
      <c r="E375" s="686">
        <f t="shared" si="23"/>
        <v>0</v>
      </c>
      <c r="F375" s="690">
        <f>SUMIF('ПО КОРИСНИЦИМА'!$G$7:$G$17281,"Свега за пројекат 0901-П25:",'ПО КОРИСНИЦИМА'!$I$7:$I$17281)</f>
        <v>0</v>
      </c>
      <c r="G375" s="705">
        <f t="shared" si="22"/>
        <v>0</v>
      </c>
      <c r="H375" s="691"/>
    </row>
    <row r="376" spans="1:8" hidden="1" x14ac:dyDescent="0.2">
      <c r="A376" s="653"/>
      <c r="B376" s="660" t="s">
        <v>4826</v>
      </c>
      <c r="C376" s="570" t="str">
        <f>IFERROR(VLOOKUP(B376,'ПО КОРИСНИЦИМА'!$C$7:$J$17281,5,FALSE),"")</f>
        <v/>
      </c>
      <c r="D376" s="689">
        <f>SUMIF('ПО КОРИСНИЦИМА'!$G$7:$G$17281,"Свега за пројекат 0901-П26:",'ПО КОРИСНИЦИМА'!$H$7:$H$17281)</f>
        <v>0</v>
      </c>
      <c r="E376" s="686">
        <f t="shared" si="23"/>
        <v>0</v>
      </c>
      <c r="F376" s="690">
        <f>SUMIF('ПО КОРИСНИЦИМА'!$G$7:$G$17281,"Свега за пројекат 0901-П26:",'ПО КОРИСНИЦИМА'!$I$7:$I$17281)</f>
        <v>0</v>
      </c>
      <c r="G376" s="705">
        <f t="shared" si="22"/>
        <v>0</v>
      </c>
      <c r="H376" s="691"/>
    </row>
    <row r="377" spans="1:8" hidden="1" x14ac:dyDescent="0.2">
      <c r="A377" s="653"/>
      <c r="B377" s="660" t="s">
        <v>4827</v>
      </c>
      <c r="C377" s="570" t="str">
        <f>IFERROR(VLOOKUP(B377,'ПО КОРИСНИЦИМА'!$C$7:$J$17281,5,FALSE),"")</f>
        <v/>
      </c>
      <c r="D377" s="689">
        <f>SUMIF('ПО КОРИСНИЦИМА'!$G$7:$G$17281,"Свега за пројекат 0901-П27:",'ПО КОРИСНИЦИМА'!$H$7:$H$17281)</f>
        <v>0</v>
      </c>
      <c r="E377" s="686">
        <f t="shared" si="23"/>
        <v>0</v>
      </c>
      <c r="F377" s="690">
        <f>SUMIF('ПО КОРИСНИЦИМА'!$G$7:$G$17281,"Свега за пројекат 0901-П27:",'ПО КОРИСНИЦИМА'!$I$7:$I$17281)</f>
        <v>0</v>
      </c>
      <c r="G377" s="705">
        <f t="shared" si="22"/>
        <v>0</v>
      </c>
      <c r="H377" s="691"/>
    </row>
    <row r="378" spans="1:8" hidden="1" x14ac:dyDescent="0.2">
      <c r="A378" s="653"/>
      <c r="B378" s="660" t="s">
        <v>4828</v>
      </c>
      <c r="C378" s="570" t="str">
        <f>IFERROR(VLOOKUP(B378,'ПО КОРИСНИЦИМА'!$C$7:$J$17281,5,FALSE),"")</f>
        <v/>
      </c>
      <c r="D378" s="689">
        <f>SUMIF('ПО КОРИСНИЦИМА'!$G$7:$G$17281,"Свега за пројекат 0901-П28:",'ПО КОРИСНИЦИМА'!$H$7:$H$17281)</f>
        <v>0</v>
      </c>
      <c r="E378" s="686">
        <f t="shared" si="23"/>
        <v>0</v>
      </c>
      <c r="F378" s="690">
        <f>SUMIF('ПО КОРИСНИЦИМА'!$G$7:$G$17281,"Свега за пројекат 0901-П28:",'ПО КОРИСНИЦИМА'!$I$7:$I$17281)</f>
        <v>0</v>
      </c>
      <c r="G378" s="705">
        <f t="shared" si="22"/>
        <v>0</v>
      </c>
      <c r="H378" s="691"/>
    </row>
    <row r="379" spans="1:8" hidden="1" x14ac:dyDescent="0.2">
      <c r="A379" s="653"/>
      <c r="B379" s="660" t="s">
        <v>4829</v>
      </c>
      <c r="C379" s="570" t="str">
        <f>IFERROR(VLOOKUP(B379,'ПО КОРИСНИЦИМА'!$C$7:$J$17281,5,FALSE),"")</f>
        <v/>
      </c>
      <c r="D379" s="689">
        <f>SUMIF('ПО КОРИСНИЦИМА'!$G$7:$G$17281,"Свега за пројекат 0901-П29:",'ПО КОРИСНИЦИМА'!$H$7:$H$17281)</f>
        <v>0</v>
      </c>
      <c r="E379" s="686">
        <f t="shared" si="23"/>
        <v>0</v>
      </c>
      <c r="F379" s="690">
        <f>SUMIF('ПО КОРИСНИЦИМА'!$G$7:$G$17281,"Свега за пројекат 0901-П29:",'ПО КОРИСНИЦИМА'!$I$7:$I$17281)</f>
        <v>0</v>
      </c>
      <c r="G379" s="705">
        <f t="shared" si="22"/>
        <v>0</v>
      </c>
      <c r="H379" s="691"/>
    </row>
    <row r="380" spans="1:8" hidden="1" x14ac:dyDescent="0.2">
      <c r="A380" s="653"/>
      <c r="B380" s="660" t="s">
        <v>4830</v>
      </c>
      <c r="C380" s="570" t="str">
        <f>IFERROR(VLOOKUP(B380,'ПО КОРИСНИЦИМА'!$C$7:$J$17281,5,FALSE),"")</f>
        <v/>
      </c>
      <c r="D380" s="689">
        <f>SUMIF('ПО КОРИСНИЦИМА'!$G$7:$G$17281,"Свега за пројекат 0901-П30:",'ПО КОРИСНИЦИМА'!$H$7:$H$17281)</f>
        <v>0</v>
      </c>
      <c r="E380" s="686">
        <f t="shared" si="23"/>
        <v>0</v>
      </c>
      <c r="F380" s="690">
        <f>SUMIF('ПО КОРИСНИЦИМА'!$G$7:$G$17281,"Свега за пројекат 0901-П30:",'ПО КОРИСНИЦИМА'!$I$7:$I$17281)</f>
        <v>0</v>
      </c>
      <c r="G380" s="705">
        <f t="shared" si="22"/>
        <v>0</v>
      </c>
      <c r="H380" s="691"/>
    </row>
    <row r="381" spans="1:8" s="655" customFormat="1" x14ac:dyDescent="0.2">
      <c r="A381" s="647" t="s">
        <v>3599</v>
      </c>
      <c r="B381" s="648"/>
      <c r="C381" s="568" t="s">
        <v>3685</v>
      </c>
      <c r="D381" s="677">
        <f>SUM(D382:D412)</f>
        <v>3150000</v>
      </c>
      <c r="E381" s="678">
        <f>IFERROR(D381/$D$601,"-")</f>
        <v>5.4602184087363496E-3</v>
      </c>
      <c r="F381" s="679">
        <f>SUM(F382:F412)</f>
        <v>0</v>
      </c>
      <c r="G381" s="677">
        <f t="shared" si="13"/>
        <v>3150000</v>
      </c>
      <c r="H381" s="698"/>
    </row>
    <row r="382" spans="1:8" x14ac:dyDescent="0.2">
      <c r="A382" s="651"/>
      <c r="B382" s="656" t="s">
        <v>4147</v>
      </c>
      <c r="C382" s="574" t="s">
        <v>4142</v>
      </c>
      <c r="D382" s="681">
        <f>SUMIF('ПО КОРИСНИЦИМА'!$G$7:$G$17281,"Свега за програмску активност 1801-0001:",'ПО КОРИСНИЦИМА'!$H$7:$H$17281)</f>
        <v>3150000</v>
      </c>
      <c r="E382" s="682">
        <f>IFERROR(D382/$D$601,"-")</f>
        <v>5.4602184087363496E-3</v>
      </c>
      <c r="F382" s="683">
        <f>SUMIF('ПО КОРИСНИЦИМА'!$G$7:$G$17281,"Свега за програмску активност 1801-0001:",'ПО КОРИСНИЦИМА'!$I$7:$I$17281)</f>
        <v>0</v>
      </c>
      <c r="G382" s="681">
        <f t="shared" si="13"/>
        <v>3150000</v>
      </c>
      <c r="H382" s="684"/>
    </row>
    <row r="383" spans="1:8" hidden="1" x14ac:dyDescent="0.2">
      <c r="A383" s="657"/>
      <c r="B383" s="657" t="s">
        <v>4831</v>
      </c>
      <c r="C383" s="570" t="str">
        <f>IFERROR(VLOOKUP(B383,'ПО КОРИСНИЦИМА'!$C$7:$J$17281,5,FALSE),"")</f>
        <v>Суфинансирање вештачке оплодње</v>
      </c>
      <c r="D383" s="689">
        <f>SUMIF('ПО КОРИСНИЦИМА'!$G$7:$G$17281,"Свега за пројекат 1801-П1:",'ПО КОРИСНИЦИМА'!$H$7:$H$17281)</f>
        <v>0</v>
      </c>
      <c r="E383" s="686">
        <f>IFERROR(D383/$D$601,"-")</f>
        <v>0</v>
      </c>
      <c r="F383" s="690">
        <f>SUMIF('ПО КОРИСНИЦИМА'!$G$7:$G$17281,"Свега за пројекат 1801-П1:",'ПО КОРИСНИЦИМА'!$I$7:$I$17281)</f>
        <v>0</v>
      </c>
      <c r="G383" s="685">
        <f t="shared" si="13"/>
        <v>0</v>
      </c>
      <c r="H383" s="688"/>
    </row>
    <row r="384" spans="1:8" hidden="1" x14ac:dyDescent="0.2">
      <c r="A384" s="657"/>
      <c r="B384" s="657" t="s">
        <v>4832</v>
      </c>
      <c r="C384" s="570" t="str">
        <f>IFERROR(VLOOKUP(B384,'ПО КОРИСНИЦИМА'!$C$7:$J$17281,5,FALSE),"")</f>
        <v/>
      </c>
      <c r="D384" s="689">
        <f>SUMIF('ПО КОРИСНИЦИМА'!$G$7:$G$17281,"Свега за пројекат 1801-П2:",'ПО КОРИСНИЦИМА'!$H$7:$H$17281)</f>
        <v>0</v>
      </c>
      <c r="E384" s="686">
        <f t="shared" ref="E384:E412" si="24">IFERROR(D384/$D$601,"-")</f>
        <v>0</v>
      </c>
      <c r="F384" s="690">
        <f>SUMIF('ПО КОРИСНИЦИМА'!$G$7:$G$17281,"Свега за пројекат 1801-П2:",'ПО КОРИСНИЦИМА'!$I$7:$I$17281)</f>
        <v>0</v>
      </c>
      <c r="G384" s="685">
        <f t="shared" si="13"/>
        <v>0</v>
      </c>
      <c r="H384" s="691"/>
    </row>
    <row r="385" spans="1:8" hidden="1" x14ac:dyDescent="0.2">
      <c r="A385" s="657"/>
      <c r="B385" s="657" t="s">
        <v>4833</v>
      </c>
      <c r="C385" s="570" t="str">
        <f>IFERROR(VLOOKUP(B385,'ПО КОРИСНИЦИМА'!$C$7:$J$17281,5,FALSE),"")</f>
        <v/>
      </c>
      <c r="D385" s="689">
        <f>SUMIF('ПО КОРИСНИЦИМА'!$G$7:$G$17281,"Свега за пројекат 1801-П3:",'ПО КОРИСНИЦИМА'!$H$7:$H$17281)</f>
        <v>0</v>
      </c>
      <c r="E385" s="686">
        <f t="shared" si="24"/>
        <v>0</v>
      </c>
      <c r="F385" s="690">
        <f>SUMIF('ПО КОРИСНИЦИМА'!$G$7:$G$17281,"Свега за пројекат 1801-П3:",'ПО КОРИСНИЦИМА'!$I$7:$I$17281)</f>
        <v>0</v>
      </c>
      <c r="G385" s="685">
        <f t="shared" si="13"/>
        <v>0</v>
      </c>
      <c r="H385" s="691"/>
    </row>
    <row r="386" spans="1:8" hidden="1" x14ac:dyDescent="0.2">
      <c r="A386" s="657"/>
      <c r="B386" s="657" t="s">
        <v>4834</v>
      </c>
      <c r="C386" s="570" t="str">
        <f>IFERROR(VLOOKUP(B386,'ПО КОРИСНИЦИМА'!$C$7:$J$17281,5,FALSE),"")</f>
        <v/>
      </c>
      <c r="D386" s="689">
        <f>SUMIF('ПО КОРИСНИЦИМА'!$G$7:$G$17281,"Свега за пројекат 1801-П4:",'ПО КОРИСНИЦИМА'!$H$7:$H$17281)</f>
        <v>0</v>
      </c>
      <c r="E386" s="686">
        <f t="shared" si="24"/>
        <v>0</v>
      </c>
      <c r="F386" s="690">
        <f>SUMIF('ПО КОРИСНИЦИМА'!$G$7:$G$17281,"Свега за пројекат 1801-П4:",'ПО КОРИСНИЦИМА'!$I$7:$I$17281)</f>
        <v>0</v>
      </c>
      <c r="G386" s="685">
        <f t="shared" si="13"/>
        <v>0</v>
      </c>
      <c r="H386" s="691"/>
    </row>
    <row r="387" spans="1:8" hidden="1" x14ac:dyDescent="0.2">
      <c r="A387" s="657"/>
      <c r="B387" s="657" t="s">
        <v>4835</v>
      </c>
      <c r="C387" s="570" t="str">
        <f>IFERROR(VLOOKUP(B387,'ПО КОРИСНИЦИМА'!$C$7:$J$17281,5,FALSE),"")</f>
        <v/>
      </c>
      <c r="D387" s="689">
        <f>SUMIF('ПО КОРИСНИЦИМА'!$G$7:$G$17281,"Свега за пројекат 1801-П5:",'ПО КОРИСНИЦИМА'!$H$7:$H$17281)</f>
        <v>0</v>
      </c>
      <c r="E387" s="686">
        <f t="shared" si="24"/>
        <v>0</v>
      </c>
      <c r="F387" s="690">
        <f>SUMIF('ПО КОРИСНИЦИМА'!$G$7:$G$17281,"Свега за пројекат 1801-П5:",'ПО КОРИСНИЦИМА'!$I$7:$I$17281)</f>
        <v>0</v>
      </c>
      <c r="G387" s="685">
        <f t="shared" si="13"/>
        <v>0</v>
      </c>
      <c r="H387" s="691"/>
    </row>
    <row r="388" spans="1:8" hidden="1" x14ac:dyDescent="0.2">
      <c r="A388" s="657"/>
      <c r="B388" s="657" t="s">
        <v>4836</v>
      </c>
      <c r="C388" s="570" t="str">
        <f>IFERROR(VLOOKUP(B388,'ПО КОРИСНИЦИМА'!$C$7:$J$17281,5,FALSE),"")</f>
        <v/>
      </c>
      <c r="D388" s="689">
        <f>SUMIF('ПО КОРИСНИЦИМА'!$G$7:$G$17281,"Свега за пројекат 1801-П6:",'ПО КОРИСНИЦИМА'!$H$7:$H$17281)</f>
        <v>0</v>
      </c>
      <c r="E388" s="686">
        <f t="shared" si="24"/>
        <v>0</v>
      </c>
      <c r="F388" s="690">
        <f>SUMIF('ПО КОРИСНИЦИМА'!$G$7:$G$17281,"Свега за пројекат 1801-П6:",'ПО КОРИСНИЦИМА'!$I$7:$I$17281)</f>
        <v>0</v>
      </c>
      <c r="G388" s="685">
        <f t="shared" si="13"/>
        <v>0</v>
      </c>
      <c r="H388" s="691"/>
    </row>
    <row r="389" spans="1:8" hidden="1" x14ac:dyDescent="0.2">
      <c r="A389" s="657"/>
      <c r="B389" s="657" t="s">
        <v>4837</v>
      </c>
      <c r="C389" s="570" t="str">
        <f>IFERROR(VLOOKUP(B389,'ПО КОРИСНИЦИМА'!$C$7:$J$17281,5,FALSE),"")</f>
        <v/>
      </c>
      <c r="D389" s="689">
        <f>SUMIF('ПО КОРИСНИЦИМА'!$G$7:$G$17281,"Свега за пројекат 1801-П7:",'ПО КОРИСНИЦИМА'!$H$7:$H$17281)</f>
        <v>0</v>
      </c>
      <c r="E389" s="686">
        <f t="shared" si="24"/>
        <v>0</v>
      </c>
      <c r="F389" s="690">
        <f>SUMIF('ПО КОРИСНИЦИМА'!$G$7:$G$17281,"Свега за пројекат 1801-П7:",'ПО КОРИСНИЦИМА'!$I$7:$I$17281)</f>
        <v>0</v>
      </c>
      <c r="G389" s="685">
        <f t="shared" si="13"/>
        <v>0</v>
      </c>
      <c r="H389" s="691"/>
    </row>
    <row r="390" spans="1:8" hidden="1" x14ac:dyDescent="0.2">
      <c r="A390" s="657"/>
      <c r="B390" s="657" t="s">
        <v>4838</v>
      </c>
      <c r="C390" s="570" t="str">
        <f>IFERROR(VLOOKUP(B390,'ПО КОРИСНИЦИМА'!$C$7:$J$17281,5,FALSE),"")</f>
        <v/>
      </c>
      <c r="D390" s="689">
        <f>SUMIF('ПО КОРИСНИЦИМА'!$G$7:$G$17281,"Свега за пројекат 1801-П8:",'ПО КОРИСНИЦИМА'!$H$7:$H$17281)</f>
        <v>0</v>
      </c>
      <c r="E390" s="686">
        <f t="shared" si="24"/>
        <v>0</v>
      </c>
      <c r="F390" s="690">
        <f>SUMIF('ПО КОРИСНИЦИМА'!$G$7:$G$17281,"Свега за пројекат 1801-П8:",'ПО КОРИСНИЦИМА'!$I$7:$I$17281)</f>
        <v>0</v>
      </c>
      <c r="G390" s="685">
        <f t="shared" si="13"/>
        <v>0</v>
      </c>
      <c r="H390" s="691"/>
    </row>
    <row r="391" spans="1:8" hidden="1" x14ac:dyDescent="0.2">
      <c r="A391" s="657"/>
      <c r="B391" s="657" t="s">
        <v>4839</v>
      </c>
      <c r="C391" s="570" t="str">
        <f>IFERROR(VLOOKUP(B391,'ПО КОРИСНИЦИМА'!$C$7:$J$17281,5,FALSE),"")</f>
        <v/>
      </c>
      <c r="D391" s="689">
        <f>SUMIF('ПО КОРИСНИЦИМА'!$G$7:$G$17281,"Свега за пројекат 1801-П9:",'ПО КОРИСНИЦИМА'!$H$7:$H$17281)</f>
        <v>0</v>
      </c>
      <c r="E391" s="686">
        <f t="shared" si="24"/>
        <v>0</v>
      </c>
      <c r="F391" s="690">
        <f>SUMIF('ПО КОРИСНИЦИМА'!$G$7:$G$17281,"Свега за пројекат 1801-П9:",'ПО КОРИСНИЦИМА'!$I$7:$I$17281)</f>
        <v>0</v>
      </c>
      <c r="G391" s="685">
        <f t="shared" si="13"/>
        <v>0</v>
      </c>
      <c r="H391" s="691"/>
    </row>
    <row r="392" spans="1:8" hidden="1" x14ac:dyDescent="0.2">
      <c r="A392" s="657"/>
      <c r="B392" s="657" t="s">
        <v>4840</v>
      </c>
      <c r="C392" s="570" t="str">
        <f>IFERROR(VLOOKUP(B392,'ПО КОРИСНИЦИМА'!$C$7:$J$17281,5,FALSE),"")</f>
        <v/>
      </c>
      <c r="D392" s="689">
        <f>SUMIF('ПО КОРИСНИЦИМА'!$G$7:$G$17281,"Свега за пројекат 1801-П10:",'ПО КОРИСНИЦИМА'!$H$7:$H$17281)</f>
        <v>0</v>
      </c>
      <c r="E392" s="686">
        <f t="shared" si="24"/>
        <v>0</v>
      </c>
      <c r="F392" s="690">
        <f>SUMIF('ПО КОРИСНИЦИМА'!$G$7:$G$17281,"Свега за пројекат 1801-П10:",'ПО КОРИСНИЦИМА'!$I$7:$I$17281)</f>
        <v>0</v>
      </c>
      <c r="G392" s="685">
        <f t="shared" si="13"/>
        <v>0</v>
      </c>
      <c r="H392" s="691"/>
    </row>
    <row r="393" spans="1:8" hidden="1" x14ac:dyDescent="0.2">
      <c r="A393" s="657"/>
      <c r="B393" s="657" t="s">
        <v>4841</v>
      </c>
      <c r="C393" s="570" t="str">
        <f>IFERROR(VLOOKUP(B393,'ПО КОРИСНИЦИМА'!$C$7:$J$17281,5,FALSE),"")</f>
        <v/>
      </c>
      <c r="D393" s="689">
        <f>SUMIF('ПО КОРИСНИЦИМА'!$G$7:$G$17281,"Свега за пројекат 1801-П11:",'ПО КОРИСНИЦИМА'!$H$7:$H$17281)</f>
        <v>0</v>
      </c>
      <c r="E393" s="686">
        <f t="shared" si="24"/>
        <v>0</v>
      </c>
      <c r="F393" s="690">
        <f>SUMIF('ПО КОРИСНИЦИМА'!$G$7:$G$17281,"Свега за пројекат 1801-П11:",'ПО КОРИСНИЦИМА'!$I$7:$I$17281)</f>
        <v>0</v>
      </c>
      <c r="G393" s="685">
        <f t="shared" si="13"/>
        <v>0</v>
      </c>
      <c r="H393" s="691"/>
    </row>
    <row r="394" spans="1:8" hidden="1" x14ac:dyDescent="0.2">
      <c r="A394" s="657"/>
      <c r="B394" s="657" t="s">
        <v>4842</v>
      </c>
      <c r="C394" s="570" t="str">
        <f>IFERROR(VLOOKUP(B394,'ПО КОРИСНИЦИМА'!$C$7:$J$17281,5,FALSE),"")</f>
        <v/>
      </c>
      <c r="D394" s="689">
        <f>SUMIF('ПО КОРИСНИЦИМА'!$G$7:$G$17281,"Свега за пројекат 1801-П12:",'ПО КОРИСНИЦИМА'!$H$7:$H$17281)</f>
        <v>0</v>
      </c>
      <c r="E394" s="686">
        <f t="shared" si="24"/>
        <v>0</v>
      </c>
      <c r="F394" s="690">
        <f>SUMIF('ПО КОРИСНИЦИМА'!$G$7:$G$17281,"Свега за пројекат 1801-П12:",'ПО КОРИСНИЦИМА'!$I$7:$I$17281)</f>
        <v>0</v>
      </c>
      <c r="G394" s="685">
        <f t="shared" si="13"/>
        <v>0</v>
      </c>
      <c r="H394" s="691"/>
    </row>
    <row r="395" spans="1:8" hidden="1" x14ac:dyDescent="0.2">
      <c r="A395" s="657"/>
      <c r="B395" s="657" t="s">
        <v>4843</v>
      </c>
      <c r="C395" s="570" t="str">
        <f>IFERROR(VLOOKUP(B395,'ПО КОРИСНИЦИМА'!$C$7:$J$17281,5,FALSE),"")</f>
        <v/>
      </c>
      <c r="D395" s="689">
        <f>SUMIF('ПО КОРИСНИЦИМА'!$G$7:$G$17281,"Свега за пројекат 1801-П13:",'ПО КОРИСНИЦИМА'!$H$7:$H$17281)</f>
        <v>0</v>
      </c>
      <c r="E395" s="686">
        <f t="shared" si="24"/>
        <v>0</v>
      </c>
      <c r="F395" s="690">
        <f>SUMIF('ПО КОРИСНИЦИМА'!$G$7:$G$17281,"Свега за пројекат 1801-П13:",'ПО КОРИСНИЦИМА'!$I$7:$I$17281)</f>
        <v>0</v>
      </c>
      <c r="G395" s="685">
        <f t="shared" si="13"/>
        <v>0</v>
      </c>
      <c r="H395" s="691"/>
    </row>
    <row r="396" spans="1:8" hidden="1" x14ac:dyDescent="0.2">
      <c r="A396" s="657"/>
      <c r="B396" s="657" t="s">
        <v>4844</v>
      </c>
      <c r="C396" s="570" t="str">
        <f>IFERROR(VLOOKUP(B396,'ПО КОРИСНИЦИМА'!$C$7:$J$17281,5,FALSE),"")</f>
        <v/>
      </c>
      <c r="D396" s="689">
        <f>SUMIF('ПО КОРИСНИЦИМА'!$G$7:$G$17281,"Свега за пројекат 1801-П14:",'ПО КОРИСНИЦИМА'!$H$7:$H$17281)</f>
        <v>0</v>
      </c>
      <c r="E396" s="686">
        <f t="shared" si="24"/>
        <v>0</v>
      </c>
      <c r="F396" s="690">
        <f>SUMIF('ПО КОРИСНИЦИМА'!$G$7:$G$17281,"Свега за пројекат 1801-П14:",'ПО КОРИСНИЦИМА'!$I$7:$I$17281)</f>
        <v>0</v>
      </c>
      <c r="G396" s="685">
        <f t="shared" si="13"/>
        <v>0</v>
      </c>
      <c r="H396" s="691"/>
    </row>
    <row r="397" spans="1:8" hidden="1" x14ac:dyDescent="0.2">
      <c r="A397" s="657"/>
      <c r="B397" s="657" t="s">
        <v>4845</v>
      </c>
      <c r="C397" s="570" t="str">
        <f>IFERROR(VLOOKUP(B397,'ПО КОРИСНИЦИМА'!$C$7:$J$17281,5,FALSE),"")</f>
        <v/>
      </c>
      <c r="D397" s="689">
        <f>SUMIF('ПО КОРИСНИЦИМА'!$G$7:$G$17281,"Свега за пројекат 1801-П15:",'ПО КОРИСНИЦИМА'!$H$7:$H$17281)</f>
        <v>0</v>
      </c>
      <c r="E397" s="686">
        <f t="shared" si="24"/>
        <v>0</v>
      </c>
      <c r="F397" s="690">
        <f>SUMIF('ПО КОРИСНИЦИМА'!$G$7:$G$17281,"Свега за пројекат 1801-П15:",'ПО КОРИСНИЦИМА'!$I$7:$I$17281)</f>
        <v>0</v>
      </c>
      <c r="G397" s="685">
        <f t="shared" si="13"/>
        <v>0</v>
      </c>
      <c r="H397" s="691"/>
    </row>
    <row r="398" spans="1:8" hidden="1" x14ac:dyDescent="0.2">
      <c r="A398" s="657"/>
      <c r="B398" s="657" t="s">
        <v>4846</v>
      </c>
      <c r="C398" s="570" t="str">
        <f>IFERROR(VLOOKUP(B398,'ПО КОРИСНИЦИМА'!$C$7:$J$17281,5,FALSE),"")</f>
        <v/>
      </c>
      <c r="D398" s="689">
        <f>SUMIF('ПО КОРИСНИЦИМА'!$G$7:$G$17281,"Свега за пројекат 1801-П16:",'ПО КОРИСНИЦИМА'!$H$7:$H$17281)</f>
        <v>0</v>
      </c>
      <c r="E398" s="686">
        <f t="shared" si="24"/>
        <v>0</v>
      </c>
      <c r="F398" s="690">
        <f>SUMIF('ПО КОРИСНИЦИМА'!$G$7:$G$17281,"Свега за пројекат 1801-П16:",'ПО КОРИСНИЦИМА'!$I$7:$I$17281)</f>
        <v>0</v>
      </c>
      <c r="G398" s="685">
        <f t="shared" si="13"/>
        <v>0</v>
      </c>
      <c r="H398" s="691"/>
    </row>
    <row r="399" spans="1:8" hidden="1" x14ac:dyDescent="0.2">
      <c r="A399" s="657"/>
      <c r="B399" s="657" t="s">
        <v>4847</v>
      </c>
      <c r="C399" s="570" t="str">
        <f>IFERROR(VLOOKUP(B399,'ПО КОРИСНИЦИМА'!$C$7:$J$17281,5,FALSE),"")</f>
        <v/>
      </c>
      <c r="D399" s="689">
        <f>SUMIF('ПО КОРИСНИЦИМА'!$G$7:$G$17281,"Свега за пројекат 1801-П17:",'ПО КОРИСНИЦИМА'!$H$7:$H$17281)</f>
        <v>0</v>
      </c>
      <c r="E399" s="686">
        <f t="shared" si="24"/>
        <v>0</v>
      </c>
      <c r="F399" s="690">
        <f>SUMIF('ПО КОРИСНИЦИМА'!$G$7:$G$17281,"Свега за пројекат 1801-П17:",'ПО КОРИСНИЦИМА'!$I$7:$I$17281)</f>
        <v>0</v>
      </c>
      <c r="G399" s="685">
        <f t="shared" si="13"/>
        <v>0</v>
      </c>
      <c r="H399" s="691"/>
    </row>
    <row r="400" spans="1:8" hidden="1" x14ac:dyDescent="0.2">
      <c r="A400" s="657"/>
      <c r="B400" s="657" t="s">
        <v>4848</v>
      </c>
      <c r="C400" s="570" t="str">
        <f>IFERROR(VLOOKUP(B400,'ПО КОРИСНИЦИМА'!$C$7:$J$17281,5,FALSE),"")</f>
        <v/>
      </c>
      <c r="D400" s="689">
        <f>SUMIF('ПО КОРИСНИЦИМА'!$G$7:$G$17281,"Свега за пројекат 1801-П18:",'ПО КОРИСНИЦИМА'!$H$7:$H$17281)</f>
        <v>0</v>
      </c>
      <c r="E400" s="686">
        <f t="shared" si="24"/>
        <v>0</v>
      </c>
      <c r="F400" s="690">
        <f>SUMIF('ПО КОРИСНИЦИМА'!$G$7:$G$17281,"Свега за пројекат 1801-П18:",'ПО КОРИСНИЦИМА'!$I$7:$I$17281)</f>
        <v>0</v>
      </c>
      <c r="G400" s="685">
        <f t="shared" si="13"/>
        <v>0</v>
      </c>
      <c r="H400" s="691"/>
    </row>
    <row r="401" spans="1:8" hidden="1" x14ac:dyDescent="0.2">
      <c r="A401" s="657"/>
      <c r="B401" s="657" t="s">
        <v>4849</v>
      </c>
      <c r="C401" s="570" t="str">
        <f>IFERROR(VLOOKUP(B401,'ПО КОРИСНИЦИМА'!$C$7:$J$17281,5,FALSE),"")</f>
        <v/>
      </c>
      <c r="D401" s="689">
        <f>SUMIF('ПО КОРИСНИЦИМА'!$G$7:$G$17281,"Свега за пројекат 1801-П19:",'ПО КОРИСНИЦИМА'!$H$7:$H$17281)</f>
        <v>0</v>
      </c>
      <c r="E401" s="686">
        <f t="shared" si="24"/>
        <v>0</v>
      </c>
      <c r="F401" s="690">
        <f>SUMIF('ПО КОРИСНИЦИМА'!$G$7:$G$17281,"Свега за пројекат 1801-П19:",'ПО КОРИСНИЦИМА'!$I$7:$I$17281)</f>
        <v>0</v>
      </c>
      <c r="G401" s="685">
        <f t="shared" si="13"/>
        <v>0</v>
      </c>
      <c r="H401" s="691"/>
    </row>
    <row r="402" spans="1:8" hidden="1" x14ac:dyDescent="0.2">
      <c r="A402" s="657"/>
      <c r="B402" s="657" t="s">
        <v>4850</v>
      </c>
      <c r="C402" s="570" t="str">
        <f>IFERROR(VLOOKUP(B402,'ПО КОРИСНИЦИМА'!$C$7:$J$17281,5,FALSE),"")</f>
        <v/>
      </c>
      <c r="D402" s="689">
        <f>SUMIF('ПО КОРИСНИЦИМА'!$G$7:$G$17281,"Свега за пројекат 1801-П20:",'ПО КОРИСНИЦИМА'!$H$7:$H$17281)</f>
        <v>0</v>
      </c>
      <c r="E402" s="686">
        <f t="shared" si="24"/>
        <v>0</v>
      </c>
      <c r="F402" s="690">
        <f>SUMIF('ПО КОРИСНИЦИМА'!$G$7:$G$17281,"Свега за пројекат 1801-П20:",'ПО КОРИСНИЦИМА'!$I$7:$I$17281)</f>
        <v>0</v>
      </c>
      <c r="G402" s="685">
        <f t="shared" si="13"/>
        <v>0</v>
      </c>
      <c r="H402" s="691"/>
    </row>
    <row r="403" spans="1:8" hidden="1" x14ac:dyDescent="0.2">
      <c r="A403" s="657"/>
      <c r="B403" s="657" t="s">
        <v>4851</v>
      </c>
      <c r="C403" s="570" t="str">
        <f>IFERROR(VLOOKUP(B403,'ПО КОРИСНИЦИМА'!$C$7:$J$17281,5,FALSE),"")</f>
        <v/>
      </c>
      <c r="D403" s="689">
        <f>SUMIF('ПО КОРИСНИЦИМА'!$G$7:$G$17281,"Свега за пројекат 1801-П21:",'ПО КОРИСНИЦИМА'!$H$7:$H$17281)</f>
        <v>0</v>
      </c>
      <c r="E403" s="686">
        <f t="shared" si="24"/>
        <v>0</v>
      </c>
      <c r="F403" s="690">
        <f>SUMIF('ПО КОРИСНИЦИМА'!$G$7:$G$17281,"Свега за пројекат 1801-П21:",'ПО КОРИСНИЦИМА'!$I$7:$I$17281)</f>
        <v>0</v>
      </c>
      <c r="G403" s="685">
        <f t="shared" si="13"/>
        <v>0</v>
      </c>
      <c r="H403" s="691"/>
    </row>
    <row r="404" spans="1:8" hidden="1" x14ac:dyDescent="0.2">
      <c r="A404" s="657"/>
      <c r="B404" s="657" t="s">
        <v>4852</v>
      </c>
      <c r="C404" s="570" t="str">
        <f>IFERROR(VLOOKUP(B404,'ПО КОРИСНИЦИМА'!$C$7:$J$17281,5,FALSE),"")</f>
        <v/>
      </c>
      <c r="D404" s="689">
        <f>SUMIF('ПО КОРИСНИЦИМА'!$G$7:$G$17281,"Свега за пројекат 1801-П22:",'ПО КОРИСНИЦИМА'!$H$7:$H$17281)</f>
        <v>0</v>
      </c>
      <c r="E404" s="686">
        <f t="shared" si="24"/>
        <v>0</v>
      </c>
      <c r="F404" s="690">
        <f>SUMIF('ПО КОРИСНИЦИМА'!$G$7:$G$17281,"Свега за пројекат 1801-П22:",'ПО КОРИСНИЦИМА'!$I$7:$I$17281)</f>
        <v>0</v>
      </c>
      <c r="G404" s="685">
        <f t="shared" si="13"/>
        <v>0</v>
      </c>
      <c r="H404" s="691"/>
    </row>
    <row r="405" spans="1:8" hidden="1" x14ac:dyDescent="0.2">
      <c r="A405" s="657"/>
      <c r="B405" s="657" t="s">
        <v>4853</v>
      </c>
      <c r="C405" s="570" t="str">
        <f>IFERROR(VLOOKUP(B405,'ПО КОРИСНИЦИМА'!$C$7:$J$17281,5,FALSE),"")</f>
        <v/>
      </c>
      <c r="D405" s="689">
        <f>SUMIF('ПО КОРИСНИЦИМА'!$G$7:$G$17281,"Свега за пројекат 1801-П23:",'ПО КОРИСНИЦИМА'!$H$7:$H$17281)</f>
        <v>0</v>
      </c>
      <c r="E405" s="686">
        <f t="shared" si="24"/>
        <v>0</v>
      </c>
      <c r="F405" s="690">
        <f>SUMIF('ПО КОРИСНИЦИМА'!$G$7:$G$17281,"Свега за пројекат 1801-П23:",'ПО КОРИСНИЦИМА'!$I$7:$I$17281)</f>
        <v>0</v>
      </c>
      <c r="G405" s="685">
        <f t="shared" si="13"/>
        <v>0</v>
      </c>
      <c r="H405" s="691"/>
    </row>
    <row r="406" spans="1:8" hidden="1" x14ac:dyDescent="0.2">
      <c r="A406" s="657"/>
      <c r="B406" s="657" t="s">
        <v>4854</v>
      </c>
      <c r="C406" s="570" t="str">
        <f>IFERROR(VLOOKUP(B406,'ПО КОРИСНИЦИМА'!$C$7:$J$17281,5,FALSE),"")</f>
        <v/>
      </c>
      <c r="D406" s="689">
        <f>SUMIF('ПО КОРИСНИЦИМА'!$G$7:$G$17281,"Свега за пројекат 1801-П24:",'ПО КОРИСНИЦИМА'!$H$7:$H$17281)</f>
        <v>0</v>
      </c>
      <c r="E406" s="686">
        <f t="shared" si="24"/>
        <v>0</v>
      </c>
      <c r="F406" s="690">
        <f>SUMIF('ПО КОРИСНИЦИМА'!$G$7:$G$17281,"Свега за пројекат 1801-П24:",'ПО КОРИСНИЦИМА'!$I$7:$I$17281)</f>
        <v>0</v>
      </c>
      <c r="G406" s="685">
        <f t="shared" si="13"/>
        <v>0</v>
      </c>
      <c r="H406" s="691"/>
    </row>
    <row r="407" spans="1:8" hidden="1" x14ac:dyDescent="0.2">
      <c r="A407" s="657"/>
      <c r="B407" s="657" t="s">
        <v>4855</v>
      </c>
      <c r="C407" s="570" t="str">
        <f>IFERROR(VLOOKUP(B407,'ПО КОРИСНИЦИМА'!$C$7:$J$17281,5,FALSE),"")</f>
        <v/>
      </c>
      <c r="D407" s="689">
        <f>SUMIF('ПО КОРИСНИЦИМА'!$G$7:$G$17281,"Свега за пројекат 1801-П25:",'ПО КОРИСНИЦИМА'!$H$7:$H$17281)</f>
        <v>0</v>
      </c>
      <c r="E407" s="686">
        <f t="shared" si="24"/>
        <v>0</v>
      </c>
      <c r="F407" s="690">
        <f>SUMIF('ПО КОРИСНИЦИМА'!$G$7:$G$17281,"Свега за пројекат 1801-П25:",'ПО КОРИСНИЦИМА'!$I$7:$I$17281)</f>
        <v>0</v>
      </c>
      <c r="G407" s="685">
        <f t="shared" si="13"/>
        <v>0</v>
      </c>
      <c r="H407" s="691"/>
    </row>
    <row r="408" spans="1:8" hidden="1" x14ac:dyDescent="0.2">
      <c r="A408" s="657"/>
      <c r="B408" s="657" t="s">
        <v>4856</v>
      </c>
      <c r="C408" s="570" t="str">
        <f>IFERROR(VLOOKUP(B408,'ПО КОРИСНИЦИМА'!$C$7:$J$17281,5,FALSE),"")</f>
        <v/>
      </c>
      <c r="D408" s="689">
        <f>SUMIF('ПО КОРИСНИЦИМА'!$G$7:$G$17281,"Свега за пројекат 1801-П26:",'ПО КОРИСНИЦИМА'!$H$7:$H$17281)</f>
        <v>0</v>
      </c>
      <c r="E408" s="686">
        <f t="shared" si="24"/>
        <v>0</v>
      </c>
      <c r="F408" s="690">
        <f>SUMIF('ПО КОРИСНИЦИМА'!$G$7:$G$17281,"Свега за пројекат 1801-П26:",'ПО КОРИСНИЦИМА'!$I$7:$I$17281)</f>
        <v>0</v>
      </c>
      <c r="G408" s="685">
        <f t="shared" si="13"/>
        <v>0</v>
      </c>
      <c r="H408" s="691"/>
    </row>
    <row r="409" spans="1:8" hidden="1" x14ac:dyDescent="0.2">
      <c r="A409" s="657"/>
      <c r="B409" s="657" t="s">
        <v>4857</v>
      </c>
      <c r="C409" s="570" t="str">
        <f>IFERROR(VLOOKUP(B409,'ПО КОРИСНИЦИМА'!$C$7:$J$17281,5,FALSE),"")</f>
        <v/>
      </c>
      <c r="D409" s="689">
        <f>SUMIF('ПО КОРИСНИЦИМА'!$G$7:$G$17281,"Свега за пројекат 1801-П27:",'ПО КОРИСНИЦИМА'!$H$7:$H$17281)</f>
        <v>0</v>
      </c>
      <c r="E409" s="686">
        <f t="shared" si="24"/>
        <v>0</v>
      </c>
      <c r="F409" s="690">
        <f>SUMIF('ПО КОРИСНИЦИМА'!$G$7:$G$17281,"Свега за пројекат 1801-П27:",'ПО КОРИСНИЦИМА'!$I$7:$I$17281)</f>
        <v>0</v>
      </c>
      <c r="G409" s="685">
        <f t="shared" si="13"/>
        <v>0</v>
      </c>
      <c r="H409" s="688"/>
    </row>
    <row r="410" spans="1:8" hidden="1" x14ac:dyDescent="0.2">
      <c r="A410" s="657"/>
      <c r="B410" s="657" t="s">
        <v>4858</v>
      </c>
      <c r="C410" s="570" t="str">
        <f>IFERROR(VLOOKUP(B410,'ПО КОРИСНИЦИМА'!$C$7:$J$17281,5,FALSE),"")</f>
        <v/>
      </c>
      <c r="D410" s="689">
        <f>SUMIF('ПО КОРИСНИЦИМА'!$G$7:$G$17281,"Свега за пројекат 1801-П28:",'ПО КОРИСНИЦИМА'!$H$7:$H$17281)</f>
        <v>0</v>
      </c>
      <c r="E410" s="686">
        <f t="shared" si="24"/>
        <v>0</v>
      </c>
      <c r="F410" s="690">
        <f>SUMIF('ПО КОРИСНИЦИМА'!$G$7:$G$17281,"Свега за пројекат 1801-П28:",'ПО КОРИСНИЦИМА'!$I$7:$I$17281)</f>
        <v>0</v>
      </c>
      <c r="G410" s="685">
        <f t="shared" si="13"/>
        <v>0</v>
      </c>
      <c r="H410" s="688"/>
    </row>
    <row r="411" spans="1:8" hidden="1" x14ac:dyDescent="0.2">
      <c r="A411" s="657"/>
      <c r="B411" s="657" t="s">
        <v>4859</v>
      </c>
      <c r="C411" s="570" t="str">
        <f>IFERROR(VLOOKUP(B411,'ПО КОРИСНИЦИМА'!$C$7:$J$17281,5,FALSE),"")</f>
        <v/>
      </c>
      <c r="D411" s="689">
        <f>SUMIF('ПО КОРИСНИЦИМА'!$G$7:$G$17281,"Свега за пројекат 1801-П29:",'ПО КОРИСНИЦИМА'!$H$7:$H$17281)</f>
        <v>0</v>
      </c>
      <c r="E411" s="686">
        <f t="shared" si="24"/>
        <v>0</v>
      </c>
      <c r="F411" s="690">
        <f>SUMIF('ПО КОРИСНИЦИМА'!$G$7:$G$17281,"Свега за пројекат 1801-П29:",'ПО КОРИСНИЦИМА'!$I$7:$I$17281)</f>
        <v>0</v>
      </c>
      <c r="G411" s="685">
        <f t="shared" si="13"/>
        <v>0</v>
      </c>
      <c r="H411" s="688"/>
    </row>
    <row r="412" spans="1:8" hidden="1" x14ac:dyDescent="0.2">
      <c r="A412" s="658"/>
      <c r="B412" s="657" t="s">
        <v>4860</v>
      </c>
      <c r="C412" s="570" t="str">
        <f>IFERROR(VLOOKUP(B412,'ПО КОРИСНИЦИМА'!$C$7:$J$17281,5,FALSE),"")</f>
        <v/>
      </c>
      <c r="D412" s="689">
        <f>SUMIF('ПО КОРИСНИЦИМА'!$G$7:$G$17281,"Свега за пројекат 1801-П30:",'ПО КОРИСНИЦИМА'!$H$7:$H$17281)</f>
        <v>0</v>
      </c>
      <c r="E412" s="686">
        <f t="shared" si="24"/>
        <v>0</v>
      </c>
      <c r="F412" s="690">
        <f>SUMIF('ПО КОРИСНИЦИМА'!$G$7:$G$17281,"Свега за пројекат 1801-П30:",'ПО КОРИСНИЦИМА'!$I$7:$I$17281)</f>
        <v>0</v>
      </c>
      <c r="G412" s="685">
        <f t="shared" si="13"/>
        <v>0</v>
      </c>
      <c r="H412" s="697"/>
    </row>
    <row r="413" spans="1:8" s="655" customFormat="1" x14ac:dyDescent="0.2">
      <c r="A413" s="647" t="s">
        <v>3602</v>
      </c>
      <c r="B413" s="648"/>
      <c r="C413" s="568" t="s">
        <v>3686</v>
      </c>
      <c r="D413" s="677">
        <f>SUM(D414:D465)</f>
        <v>13172000</v>
      </c>
      <c r="E413" s="678">
        <f>IFERROR(D413/$D$601,"-")</f>
        <v>2.2832379961865143E-2</v>
      </c>
      <c r="F413" s="679">
        <f>SUM(F414:F465)</f>
        <v>694000</v>
      </c>
      <c r="G413" s="677">
        <f t="shared" si="13"/>
        <v>13866000</v>
      </c>
      <c r="H413" s="698"/>
    </row>
    <row r="414" spans="1:8" x14ac:dyDescent="0.2">
      <c r="A414" s="651"/>
      <c r="B414" s="542" t="s">
        <v>4145</v>
      </c>
      <c r="C414" s="571" t="s">
        <v>4143</v>
      </c>
      <c r="D414" s="681">
        <f>SUMIF('ПО КОРИСНИЦИМА'!$G$7:$G$17281,"Свега за програмску активност 1201-0001:",'ПО КОРИСНИЦИМА'!$H$7:$H$17281)</f>
        <v>9172000</v>
      </c>
      <c r="E414" s="682">
        <f>IFERROR(D414/$D$601,"-")</f>
        <v>1.5898769284104698E-2</v>
      </c>
      <c r="F414" s="683">
        <f>SUMIF('ПО КОРИСНИЦИМА'!$G$7:$G$17281,"Свега за програмску активност 1201-0001:",'ПО КОРИСНИЦИМА'!$I$7:$I$17281)</f>
        <v>694000</v>
      </c>
      <c r="G414" s="681">
        <f t="shared" si="13"/>
        <v>9866000</v>
      </c>
      <c r="H414" s="684"/>
    </row>
    <row r="415" spans="1:8" x14ac:dyDescent="0.2">
      <c r="A415" s="653"/>
      <c r="B415" s="89" t="s">
        <v>4146</v>
      </c>
      <c r="C415" s="577" t="s">
        <v>4144</v>
      </c>
      <c r="D415" s="685">
        <f>SUMIF('ПО КОРИСНИЦИМА'!$G$7:$G$17281,"Свега за програмску активност 1201-0002:",'ПО КОРИСНИЦИМА'!$H$7:$H$17281)</f>
        <v>4000000</v>
      </c>
      <c r="E415" s="682">
        <f t="shared" ref="E415:E465" si="25">IFERROR(D415/$D$601,"-")</f>
        <v>6.9336106777604439E-3</v>
      </c>
      <c r="F415" s="687">
        <f>SUMIF('ПО КОРИСНИЦИМА'!$G$7:$G$17281,"Свега за програмску активност 1201-0002:",'ПО КОРИСНИЦИМА'!$I$7:$I$17281)</f>
        <v>0</v>
      </c>
      <c r="G415" s="685">
        <f t="shared" si="13"/>
        <v>4000000</v>
      </c>
      <c r="H415" s="688"/>
    </row>
    <row r="416" spans="1:8" hidden="1" x14ac:dyDescent="0.2">
      <c r="A416" s="657"/>
      <c r="B416" s="657" t="s">
        <v>4861</v>
      </c>
      <c r="C416" s="570" t="str">
        <f>IFERROR(VLOOKUP(B416,'ПО КОРИСНИЦИМА'!$C$7:$J$17281,5,FALSE),"")</f>
        <v>Публикација књиге ....</v>
      </c>
      <c r="D416" s="689">
        <f>SUMIF('ПО КОРИСНИЦИМА'!$G$7:$G$17281,"Свега за пројекат 1201-П1:",'ПО КОРИСНИЦИМА'!$H$7:$H$17281)</f>
        <v>0</v>
      </c>
      <c r="E416" s="686">
        <f>IFERROR(D416/$D$601,"-")</f>
        <v>0</v>
      </c>
      <c r="F416" s="690">
        <f>SUMIF('ПО КОРИСНИЦИМА'!$G$7:$G$17281,"Свега за пројекат 1201-П1:",'ПО КОРИСНИЦИМА'!$I$7:$I$17281)</f>
        <v>0</v>
      </c>
      <c r="G416" s="685">
        <f t="shared" si="13"/>
        <v>0</v>
      </c>
      <c r="H416" s="688"/>
    </row>
    <row r="417" spans="1:8" hidden="1" x14ac:dyDescent="0.2">
      <c r="A417" s="657"/>
      <c r="B417" s="657" t="s">
        <v>4862</v>
      </c>
      <c r="C417" s="570" t="str">
        <f>IFERROR(VLOOKUP(B417,'ПО КОРИСНИЦИМА'!$C$7:$J$17281,5,FALSE),"")</f>
        <v>Изградња и опремање зграде Позоришта</v>
      </c>
      <c r="D417" s="689">
        <f>SUMIF('ПО КОРИСНИЦИМА'!$G$7:$G$17281,"Свега за пројекат 1201-П2:",'ПО КОРИСНИЦИМА'!$H$7:$H$17281)</f>
        <v>0</v>
      </c>
      <c r="E417" s="682">
        <f t="shared" si="25"/>
        <v>0</v>
      </c>
      <c r="F417" s="690">
        <f>SUMIF('ПО КОРИСНИЦИМА'!$G$7:$G$17281,"Свега за пројекат 1201-П2:",'ПО КОРИСНИЦИМА'!$I$7:$I$17281)</f>
        <v>0</v>
      </c>
      <c r="G417" s="685">
        <f t="shared" si="13"/>
        <v>0</v>
      </c>
      <c r="H417" s="691"/>
    </row>
    <row r="418" spans="1:8" hidden="1" x14ac:dyDescent="0.2">
      <c r="A418" s="657"/>
      <c r="B418" s="657" t="s">
        <v>4863</v>
      </c>
      <c r="C418" s="570" t="str">
        <f>IFERROR(VLOOKUP(B418,'ПО КОРИСНИЦИМА'!$C$7:$J$17281,5,FALSE),"")</f>
        <v xml:space="preserve">Пројекат: </v>
      </c>
      <c r="D418" s="689">
        <f>SUMIF('ПО КОРИСНИЦИМА'!$G$7:$G$17281,"Свега за пројекат 1201-П3:",'ПО КОРИСНИЦИМА'!$H$7:$H$17281)</f>
        <v>0</v>
      </c>
      <c r="E418" s="682">
        <f t="shared" si="25"/>
        <v>0</v>
      </c>
      <c r="F418" s="690">
        <f>SUMIF('ПО КОРИСНИЦИМА'!$G$7:$G$17281,"Свега за пројекат 1201-П3:",'ПО КОРИСНИЦИМА'!$I$7:$I$17281)</f>
        <v>0</v>
      </c>
      <c r="G418" s="685">
        <f t="shared" si="13"/>
        <v>0</v>
      </c>
      <c r="H418" s="691"/>
    </row>
    <row r="419" spans="1:8" hidden="1" x14ac:dyDescent="0.2">
      <c r="A419" s="657"/>
      <c r="B419" s="657" t="s">
        <v>4864</v>
      </c>
      <c r="C419" s="570" t="str">
        <f>IFERROR(VLOOKUP(B419,'ПО КОРИСНИЦИМА'!$C$7:$J$17281,5,FALSE),"")</f>
        <v xml:space="preserve">Пројекат: </v>
      </c>
      <c r="D419" s="689">
        <f>SUMIF('ПО КОРИСНИЦИМА'!$G$7:$G$17281,"Свега за пројекат 1201-П4:",'ПО КОРИСНИЦИМА'!$H$7:$H$17281)</f>
        <v>0</v>
      </c>
      <c r="E419" s="682">
        <f t="shared" si="25"/>
        <v>0</v>
      </c>
      <c r="F419" s="690">
        <f>SUMIF('ПО КОРИСНИЦИМА'!$G$7:$G$17281,"Свега за пројекат 1201-П4:",'ПО КОРИСНИЦИМА'!$I$7:$I$17281)</f>
        <v>0</v>
      </c>
      <c r="G419" s="685">
        <f t="shared" si="13"/>
        <v>0</v>
      </c>
      <c r="H419" s="691"/>
    </row>
    <row r="420" spans="1:8" hidden="1" x14ac:dyDescent="0.2">
      <c r="A420" s="657"/>
      <c r="B420" s="657" t="s">
        <v>4865</v>
      </c>
      <c r="C420" s="570" t="str">
        <f>IFERROR(VLOOKUP(B420,'ПО КОРИСНИЦИМА'!$C$7:$J$17281,5,FALSE),"")</f>
        <v xml:space="preserve">Пројекат: </v>
      </c>
      <c r="D420" s="689">
        <f>SUMIF('ПО КОРИСНИЦИМА'!$G$7:$G$17281,"Свега за пројекат 1201-П5:",'ПО КОРИСНИЦИМА'!$H$7:$H$17281)</f>
        <v>0</v>
      </c>
      <c r="E420" s="682">
        <f t="shared" si="25"/>
        <v>0</v>
      </c>
      <c r="F420" s="690">
        <f>SUMIF('ПО КОРИСНИЦИМА'!$G$7:$G$17281,"Свега за пројекат 1201-П5:",'ПО КОРИСНИЦИМА'!$I$7:$I$17281)</f>
        <v>0</v>
      </c>
      <c r="G420" s="685">
        <f t="shared" si="13"/>
        <v>0</v>
      </c>
      <c r="H420" s="691"/>
    </row>
    <row r="421" spans="1:8" hidden="1" x14ac:dyDescent="0.2">
      <c r="A421" s="657"/>
      <c r="B421" s="657" t="s">
        <v>4866</v>
      </c>
      <c r="C421" s="570" t="str">
        <f>IFERROR(VLOOKUP(B421,'ПО КОРИСНИЦИМА'!$C$7:$J$17281,5,FALSE),"")</f>
        <v xml:space="preserve">Пројекат: </v>
      </c>
      <c r="D421" s="689">
        <f>SUMIF('ПО КОРИСНИЦИМА'!$G$7:$G$17281,"Свега за пројекат 1201-П6:",'ПО КОРИСНИЦИМА'!$H$7:$H$17281)</f>
        <v>0</v>
      </c>
      <c r="E421" s="682">
        <f t="shared" si="25"/>
        <v>0</v>
      </c>
      <c r="F421" s="690">
        <f>SUMIF('ПО КОРИСНИЦИМА'!$G$7:$G$17281,"Свега за пројекат 1201-П6:",'ПО КОРИСНИЦИМА'!$I$7:$I$17281)</f>
        <v>0</v>
      </c>
      <c r="G421" s="685">
        <f t="shared" si="13"/>
        <v>0</v>
      </c>
      <c r="H421" s="691"/>
    </row>
    <row r="422" spans="1:8" hidden="1" x14ac:dyDescent="0.2">
      <c r="A422" s="657"/>
      <c r="B422" s="657" t="s">
        <v>4867</v>
      </c>
      <c r="C422" s="570" t="str">
        <f>IFERROR(VLOOKUP(B422,'ПО КОРИСНИЦИМА'!$C$7:$J$17281,5,FALSE),"")</f>
        <v xml:space="preserve">Пројекат: </v>
      </c>
      <c r="D422" s="689">
        <f>SUMIF('ПО КОРИСНИЦИМА'!$G$7:$G$17281,"Свега за пројекат 1201-П7:",'ПО КОРИСНИЦИМА'!$H$7:$H$17281)</f>
        <v>0</v>
      </c>
      <c r="E422" s="682">
        <f t="shared" si="25"/>
        <v>0</v>
      </c>
      <c r="F422" s="690">
        <f>SUMIF('ПО КОРИСНИЦИМА'!$G$7:$G$17281,"Свега за пројекат 1201-П7:",'ПО КОРИСНИЦИМА'!$I$7:$I$17281)</f>
        <v>0</v>
      </c>
      <c r="G422" s="685">
        <f t="shared" si="13"/>
        <v>0</v>
      </c>
      <c r="H422" s="691"/>
    </row>
    <row r="423" spans="1:8" hidden="1" x14ac:dyDescent="0.2">
      <c r="A423" s="657"/>
      <c r="B423" s="657" t="s">
        <v>4868</v>
      </c>
      <c r="C423" s="570" t="str">
        <f>IFERROR(VLOOKUP(B423,'ПО КОРИСНИЦИМА'!$C$7:$J$17281,5,FALSE),"")</f>
        <v xml:space="preserve">Пројекат: </v>
      </c>
      <c r="D423" s="689">
        <f>SUMIF('ПО КОРИСНИЦИМА'!$G$7:$G$17281,"Свега за пројекат 1201-П8:",'ПО КОРИСНИЦИМА'!$H$7:$H$17281)</f>
        <v>0</v>
      </c>
      <c r="E423" s="682">
        <f t="shared" si="25"/>
        <v>0</v>
      </c>
      <c r="F423" s="690">
        <f>SUMIF('ПО КОРИСНИЦИМА'!$G$7:$G$17281,"Свега за пројекат 1201-П8:",'ПО КОРИСНИЦИМА'!$I$7:$I$17281)</f>
        <v>0</v>
      </c>
      <c r="G423" s="685">
        <f t="shared" si="13"/>
        <v>0</v>
      </c>
      <c r="H423" s="691"/>
    </row>
    <row r="424" spans="1:8" hidden="1" x14ac:dyDescent="0.2">
      <c r="A424" s="657"/>
      <c r="B424" s="657" t="s">
        <v>4869</v>
      </c>
      <c r="C424" s="570" t="str">
        <f>IFERROR(VLOOKUP(B424,'ПО КОРИСНИЦИМА'!$C$7:$J$17281,5,FALSE),"")</f>
        <v xml:space="preserve">Пројекат: </v>
      </c>
      <c r="D424" s="689">
        <f>SUMIF('ПО КОРИСНИЦИМА'!$G$7:$G$17281,"Свега за пројекат 1201-П9:",'ПО КОРИСНИЦИМА'!$H$7:$H$17281)</f>
        <v>0</v>
      </c>
      <c r="E424" s="682">
        <f t="shared" si="25"/>
        <v>0</v>
      </c>
      <c r="F424" s="690">
        <f>SUMIF('ПО КОРИСНИЦИМА'!$G$7:$G$17281,"Свега за пројекат 1201-П9:",'ПО КОРИСНИЦИМА'!$I$7:$I$17281)</f>
        <v>0</v>
      </c>
      <c r="G424" s="685">
        <f t="shared" si="13"/>
        <v>0</v>
      </c>
      <c r="H424" s="691"/>
    </row>
    <row r="425" spans="1:8" hidden="1" x14ac:dyDescent="0.2">
      <c r="A425" s="657"/>
      <c r="B425" s="657" t="s">
        <v>4870</v>
      </c>
      <c r="C425" s="570" t="str">
        <f>IFERROR(VLOOKUP(B425,'ПО КОРИСНИЦИМА'!$C$7:$J$17281,5,FALSE),"")</f>
        <v xml:space="preserve">Пројекат: </v>
      </c>
      <c r="D425" s="689">
        <f>SUMIF('ПО КОРИСНИЦИМА'!$G$7:$G$17281,"Свега за пројекат 1201-П10:",'ПО КОРИСНИЦИМА'!$H$7:$H$17281)</f>
        <v>0</v>
      </c>
      <c r="E425" s="682">
        <f t="shared" si="25"/>
        <v>0</v>
      </c>
      <c r="F425" s="690">
        <f>SUMIF('ПО КОРИСНИЦИМА'!$G$7:$G$17281,"Свега за пројекат 1201-П10:",'ПО КОРИСНИЦИМА'!$I$7:$I$17281)</f>
        <v>0</v>
      </c>
      <c r="G425" s="685">
        <f t="shared" si="13"/>
        <v>0</v>
      </c>
      <c r="H425" s="691"/>
    </row>
    <row r="426" spans="1:8" hidden="1" x14ac:dyDescent="0.2">
      <c r="A426" s="657"/>
      <c r="B426" s="657" t="s">
        <v>4871</v>
      </c>
      <c r="C426" s="570" t="str">
        <f>IFERROR(VLOOKUP(B426,'ПО КОРИСНИЦИМА'!$C$7:$J$17281,5,FALSE),"")</f>
        <v xml:space="preserve">Пројекат: </v>
      </c>
      <c r="D426" s="689">
        <f>SUMIF('ПО КОРИСНИЦИМА'!$G$7:$G$17281,"Свега за пројекат 1201-П11:",'ПО КОРИСНИЦИМА'!$H$7:$H$17281)</f>
        <v>0</v>
      </c>
      <c r="E426" s="682">
        <f t="shared" si="25"/>
        <v>0</v>
      </c>
      <c r="F426" s="690">
        <f>SUMIF('ПО КОРИСНИЦИМА'!$G$7:$G$17281,"Свега за пројекат 1201-П11:",'ПО КОРИСНИЦИМА'!$I$7:$I$17281)</f>
        <v>0</v>
      </c>
      <c r="G426" s="685">
        <f t="shared" si="13"/>
        <v>0</v>
      </c>
      <c r="H426" s="691"/>
    </row>
    <row r="427" spans="1:8" hidden="1" x14ac:dyDescent="0.2">
      <c r="A427" s="657"/>
      <c r="B427" s="657" t="s">
        <v>4872</v>
      </c>
      <c r="C427" s="570" t="str">
        <f>IFERROR(VLOOKUP(B427,'ПО КОРИСНИЦИМА'!$C$7:$J$17281,5,FALSE),"")</f>
        <v xml:space="preserve">Пројекат: </v>
      </c>
      <c r="D427" s="689">
        <f>SUMIF('ПО КОРИСНИЦИМА'!$G$7:$G$17281,"Свега за пројекат 1201-П12:",'ПО КОРИСНИЦИМА'!$H$7:$H$17281)</f>
        <v>0</v>
      </c>
      <c r="E427" s="682">
        <f t="shared" si="25"/>
        <v>0</v>
      </c>
      <c r="F427" s="690">
        <f>SUMIF('ПО КОРИСНИЦИМА'!$G$7:$G$17281,"Свега за пројекат 1201-П12:",'ПО КОРИСНИЦИМА'!$I$7:$I$17281)</f>
        <v>0</v>
      </c>
      <c r="G427" s="685">
        <f t="shared" si="13"/>
        <v>0</v>
      </c>
      <c r="H427" s="691"/>
    </row>
    <row r="428" spans="1:8" hidden="1" x14ac:dyDescent="0.2">
      <c r="A428" s="657"/>
      <c r="B428" s="657" t="s">
        <v>4873</v>
      </c>
      <c r="C428" s="570" t="str">
        <f>IFERROR(VLOOKUP(B428,'ПО КОРИСНИЦИМА'!$C$7:$J$17281,5,FALSE),"")</f>
        <v/>
      </c>
      <c r="D428" s="689">
        <f>SUMIF('ПО КОРИСНИЦИМА'!$G$7:$G$17281,"Свега за пројекат 1201-П13:",'ПО КОРИСНИЦИМА'!$H$7:$H$17281)</f>
        <v>0</v>
      </c>
      <c r="E428" s="682">
        <f t="shared" si="25"/>
        <v>0</v>
      </c>
      <c r="F428" s="690">
        <f>SUMIF('ПО КОРИСНИЦИМА'!$G$7:$G$17281,"Свега за пројекат 1201-П13:",'ПО КОРИСНИЦИМА'!$I$7:$I$17281)</f>
        <v>0</v>
      </c>
      <c r="G428" s="685">
        <f t="shared" si="13"/>
        <v>0</v>
      </c>
      <c r="H428" s="691"/>
    </row>
    <row r="429" spans="1:8" hidden="1" x14ac:dyDescent="0.2">
      <c r="A429" s="657"/>
      <c r="B429" s="657" t="s">
        <v>4874</v>
      </c>
      <c r="C429" s="570" t="str">
        <f>IFERROR(VLOOKUP(B429,'ПО КОРИСНИЦИМА'!$C$7:$J$17281,5,FALSE),"")</f>
        <v/>
      </c>
      <c r="D429" s="689">
        <f>SUMIF('ПО КОРИСНИЦИМА'!$G$7:$G$17281,"Свега за пројекат 1201-П14:",'ПО КОРИСНИЦИМА'!$H$7:$H$17281)</f>
        <v>0</v>
      </c>
      <c r="E429" s="682">
        <f t="shared" si="25"/>
        <v>0</v>
      </c>
      <c r="F429" s="690">
        <f>SUMIF('ПО КОРИСНИЦИМА'!$G$7:$G$17281,"Свега за пројекат 1201-П14:",'ПО КОРИСНИЦИМА'!$I$7:$I$17281)</f>
        <v>0</v>
      </c>
      <c r="G429" s="685">
        <f t="shared" si="13"/>
        <v>0</v>
      </c>
      <c r="H429" s="691"/>
    </row>
    <row r="430" spans="1:8" hidden="1" x14ac:dyDescent="0.2">
      <c r="A430" s="657"/>
      <c r="B430" s="657" t="s">
        <v>4875</v>
      </c>
      <c r="C430" s="570" t="str">
        <f>IFERROR(VLOOKUP(B430,'ПО КОРИСНИЦИМА'!$C$7:$J$17281,5,FALSE),"")</f>
        <v/>
      </c>
      <c r="D430" s="689">
        <f>SUMIF('ПО КОРИСНИЦИМА'!$G$7:$G$17281,"Свега за пројекат 1201-П15:",'ПО КОРИСНИЦИМА'!$H$7:$H$17281)</f>
        <v>0</v>
      </c>
      <c r="E430" s="682">
        <f t="shared" si="25"/>
        <v>0</v>
      </c>
      <c r="F430" s="690">
        <f>SUMIF('ПО КОРИСНИЦИМА'!$G$7:$G$17281,"Свега за пројекат 1201-П15:",'ПО КОРИСНИЦИМА'!$I$7:$I$17281)</f>
        <v>0</v>
      </c>
      <c r="G430" s="685">
        <f t="shared" si="13"/>
        <v>0</v>
      </c>
      <c r="H430" s="691"/>
    </row>
    <row r="431" spans="1:8" hidden="1" x14ac:dyDescent="0.2">
      <c r="A431" s="657"/>
      <c r="B431" s="657" t="s">
        <v>4876</v>
      </c>
      <c r="C431" s="570" t="str">
        <f>IFERROR(VLOOKUP(B431,'ПО КОРИСНИЦИМА'!$C$7:$J$17281,5,FALSE),"")</f>
        <v/>
      </c>
      <c r="D431" s="689">
        <f>SUMIF('ПО КОРИСНИЦИМА'!$G$7:$G$17281,"Свега за пројекат 1201-П16:",'ПО КОРИСНИЦИМА'!$H$7:$H$17281)</f>
        <v>0</v>
      </c>
      <c r="E431" s="682">
        <f t="shared" si="25"/>
        <v>0</v>
      </c>
      <c r="F431" s="690">
        <f>SUMIF('ПО КОРИСНИЦИМА'!$G$7:$G$17281,"Свега за пројекат 1201-П16:",'ПО КОРИСНИЦИМА'!$I$7:$I$17281)</f>
        <v>0</v>
      </c>
      <c r="G431" s="685">
        <f t="shared" si="13"/>
        <v>0</v>
      </c>
      <c r="H431" s="691"/>
    </row>
    <row r="432" spans="1:8" hidden="1" x14ac:dyDescent="0.2">
      <c r="A432" s="657"/>
      <c r="B432" s="657" t="s">
        <v>4877</v>
      </c>
      <c r="C432" s="570" t="str">
        <f>IFERROR(VLOOKUP(B432,'ПО КОРИСНИЦИМА'!$C$7:$J$17281,5,FALSE),"")</f>
        <v/>
      </c>
      <c r="D432" s="689">
        <f>SUMIF('ПО КОРИСНИЦИМА'!$G$7:$G$17281,"Свега за пројекат 1201-П17:",'ПО КОРИСНИЦИМА'!$H$7:$H$17281)</f>
        <v>0</v>
      </c>
      <c r="E432" s="682">
        <f t="shared" si="25"/>
        <v>0</v>
      </c>
      <c r="F432" s="690">
        <f>SUMIF('ПО КОРИСНИЦИМА'!$G$7:$G$17281,"Свега за пројекат 1201-П17:",'ПО КОРИСНИЦИМА'!$I$7:$I$17281)</f>
        <v>0</v>
      </c>
      <c r="G432" s="685">
        <f t="shared" si="13"/>
        <v>0</v>
      </c>
      <c r="H432" s="691"/>
    </row>
    <row r="433" spans="1:8" hidden="1" x14ac:dyDescent="0.2">
      <c r="A433" s="657"/>
      <c r="B433" s="657" t="s">
        <v>4878</v>
      </c>
      <c r="C433" s="570" t="str">
        <f>IFERROR(VLOOKUP(B433,'ПО КОРИСНИЦИМА'!$C$7:$J$17281,5,FALSE),"")</f>
        <v/>
      </c>
      <c r="D433" s="689">
        <f>SUMIF('ПО КОРИСНИЦИМА'!$G$7:$G$17281,"Свега за пројекат 1201-П18:",'ПО КОРИСНИЦИМА'!$H$7:$H$17281)</f>
        <v>0</v>
      </c>
      <c r="E433" s="682">
        <f t="shared" si="25"/>
        <v>0</v>
      </c>
      <c r="F433" s="690">
        <f>SUMIF('ПО КОРИСНИЦИМА'!$G$7:$G$17281,"Свега за пројекат 1201-П18:",'ПО КОРИСНИЦИМА'!$I$7:$I$17281)</f>
        <v>0</v>
      </c>
      <c r="G433" s="685">
        <f t="shared" si="13"/>
        <v>0</v>
      </c>
      <c r="H433" s="691"/>
    </row>
    <row r="434" spans="1:8" hidden="1" x14ac:dyDescent="0.2">
      <c r="A434" s="657"/>
      <c r="B434" s="657" t="s">
        <v>4879</v>
      </c>
      <c r="C434" s="570" t="str">
        <f>IFERROR(VLOOKUP(B434,'ПО КОРИСНИЦИМА'!$C$7:$J$17281,5,FALSE),"")</f>
        <v/>
      </c>
      <c r="D434" s="689">
        <f>SUMIF('ПО КОРИСНИЦИМА'!$G$7:$G$17281,"Свега за пројекат 1201-П19:",'ПО КОРИСНИЦИМА'!$H$7:$H$17281)</f>
        <v>0</v>
      </c>
      <c r="E434" s="682">
        <f t="shared" si="25"/>
        <v>0</v>
      </c>
      <c r="F434" s="690">
        <f>SUMIF('ПО КОРИСНИЦИМА'!$G$7:$G$17281,"Свега за пројекат 1201-П19:",'ПО КОРИСНИЦИМА'!$I$7:$I$17281)</f>
        <v>0</v>
      </c>
      <c r="G434" s="685">
        <f t="shared" si="13"/>
        <v>0</v>
      </c>
      <c r="H434" s="691"/>
    </row>
    <row r="435" spans="1:8" hidden="1" x14ac:dyDescent="0.2">
      <c r="A435" s="657"/>
      <c r="B435" s="657" t="s">
        <v>4880</v>
      </c>
      <c r="C435" s="570" t="str">
        <f>IFERROR(VLOOKUP(B435,'ПО КОРИСНИЦИМА'!$C$7:$J$17281,5,FALSE),"")</f>
        <v/>
      </c>
      <c r="D435" s="689">
        <f>SUMIF('ПО КОРИСНИЦИМА'!$G$7:$G$17281,"Свега за пројекат 1201-П20:",'ПО КОРИСНИЦИМА'!$H$7:$H$17281)</f>
        <v>0</v>
      </c>
      <c r="E435" s="682">
        <f t="shared" si="25"/>
        <v>0</v>
      </c>
      <c r="F435" s="690">
        <f>SUMIF('ПО КОРИСНИЦИМА'!$G$7:$G$17281,"Свега за пројекат 1201-П20:",'ПО КОРИСНИЦИМА'!$I$7:$I$17281)</f>
        <v>0</v>
      </c>
      <c r="G435" s="685">
        <f t="shared" si="13"/>
        <v>0</v>
      </c>
      <c r="H435" s="691"/>
    </row>
    <row r="436" spans="1:8" hidden="1" x14ac:dyDescent="0.2">
      <c r="A436" s="657"/>
      <c r="B436" s="657" t="s">
        <v>4881</v>
      </c>
      <c r="C436" s="570" t="str">
        <f>IFERROR(VLOOKUP(B436,'ПО КОРИСНИЦИМА'!$C$7:$J$17281,5,FALSE),"")</f>
        <v/>
      </c>
      <c r="D436" s="689">
        <f>SUMIF('ПО КОРИСНИЦИМА'!$G$7:$G$17281,"Свега за пројекат 1201-П21:",'ПО КОРИСНИЦИМА'!$H$7:$H$17281)</f>
        <v>0</v>
      </c>
      <c r="E436" s="682">
        <f t="shared" si="25"/>
        <v>0</v>
      </c>
      <c r="F436" s="690">
        <f>SUMIF('ПО КОРИСНИЦИМА'!$G$7:$G$17281,"Свега за пројекат 1201-П21:",'ПО КОРИСНИЦИМА'!$I$7:$I$17281)</f>
        <v>0</v>
      </c>
      <c r="G436" s="685">
        <f t="shared" si="13"/>
        <v>0</v>
      </c>
      <c r="H436" s="691"/>
    </row>
    <row r="437" spans="1:8" hidden="1" x14ac:dyDescent="0.2">
      <c r="A437" s="657"/>
      <c r="B437" s="657" t="s">
        <v>4882</v>
      </c>
      <c r="C437" s="570" t="str">
        <f>IFERROR(VLOOKUP(B437,'ПО КОРИСНИЦИМА'!$C$7:$J$17281,5,FALSE),"")</f>
        <v/>
      </c>
      <c r="D437" s="689">
        <f>SUMIF('ПО КОРИСНИЦИМА'!$G$7:$G$17281,"Свега за пројекат 1201-П22:",'ПО КОРИСНИЦИМА'!$H$7:$H$17281)</f>
        <v>0</v>
      </c>
      <c r="E437" s="682">
        <f t="shared" si="25"/>
        <v>0</v>
      </c>
      <c r="F437" s="690">
        <f>SUMIF('ПО КОРИСНИЦИМА'!$G$7:$G$17281,"Свега за пројекат 1201-П22:",'ПО КОРИСНИЦИМА'!$I$7:$I$17281)</f>
        <v>0</v>
      </c>
      <c r="G437" s="685">
        <f t="shared" si="13"/>
        <v>0</v>
      </c>
      <c r="H437" s="691"/>
    </row>
    <row r="438" spans="1:8" hidden="1" x14ac:dyDescent="0.2">
      <c r="A438" s="657"/>
      <c r="B438" s="657" t="s">
        <v>4883</v>
      </c>
      <c r="C438" s="570" t="str">
        <f>IFERROR(VLOOKUP(B438,'ПО КОРИСНИЦИМА'!$C$7:$J$17281,5,FALSE),"")</f>
        <v/>
      </c>
      <c r="D438" s="689">
        <f>SUMIF('ПО КОРИСНИЦИМА'!$G$7:$G$17281,"Свега за пројекат 1201-П23:",'ПО КОРИСНИЦИМА'!$H$7:$H$17281)</f>
        <v>0</v>
      </c>
      <c r="E438" s="682">
        <f t="shared" si="25"/>
        <v>0</v>
      </c>
      <c r="F438" s="690">
        <f>SUMIF('ПО КОРИСНИЦИМА'!$G$7:$G$17281,"Свега за пројекат 1201-П23:",'ПО КОРИСНИЦИМА'!$I$7:$I$17281)</f>
        <v>0</v>
      </c>
      <c r="G438" s="685">
        <f t="shared" si="13"/>
        <v>0</v>
      </c>
      <c r="H438" s="691"/>
    </row>
    <row r="439" spans="1:8" hidden="1" x14ac:dyDescent="0.2">
      <c r="A439" s="657"/>
      <c r="B439" s="657" t="s">
        <v>4884</v>
      </c>
      <c r="C439" s="570" t="str">
        <f>IFERROR(VLOOKUP(B439,'ПО КОРИСНИЦИМА'!$C$7:$J$17281,5,FALSE),"")</f>
        <v/>
      </c>
      <c r="D439" s="689">
        <f>SUMIF('ПО КОРИСНИЦИМА'!$G$7:$G$17281,"Свега за пројекат 1201-П24:",'ПО КОРИСНИЦИМА'!$H$7:$H$17281)</f>
        <v>0</v>
      </c>
      <c r="E439" s="682">
        <f t="shared" si="25"/>
        <v>0</v>
      </c>
      <c r="F439" s="690">
        <f>SUMIF('ПО КОРИСНИЦИМА'!$G$7:$G$17281,"Свега за пројекат 1201-П24:",'ПО КОРИСНИЦИМА'!$I$7:$I$17281)</f>
        <v>0</v>
      </c>
      <c r="G439" s="685">
        <f t="shared" si="13"/>
        <v>0</v>
      </c>
      <c r="H439" s="691"/>
    </row>
    <row r="440" spans="1:8" hidden="1" x14ac:dyDescent="0.2">
      <c r="A440" s="657"/>
      <c r="B440" s="657" t="s">
        <v>4885</v>
      </c>
      <c r="C440" s="570" t="str">
        <f>IFERROR(VLOOKUP(B440,'ПО КОРИСНИЦИМА'!$C$7:$J$17281,5,FALSE),"")</f>
        <v/>
      </c>
      <c r="D440" s="689">
        <f>SUMIF('ПО КОРИСНИЦИМА'!$G$7:$G$17281,"Свега за пројекат 1201-П25:",'ПО КОРИСНИЦИМА'!$H$7:$H$17281)</f>
        <v>0</v>
      </c>
      <c r="E440" s="682">
        <f t="shared" si="25"/>
        <v>0</v>
      </c>
      <c r="F440" s="690">
        <f>SUMIF('ПО КОРИСНИЦИМА'!$G$7:$G$17281,"Свега за пројекат 1201-П25:",'ПО КОРИСНИЦИМА'!$I$7:$I$17281)</f>
        <v>0</v>
      </c>
      <c r="G440" s="685">
        <f t="shared" si="13"/>
        <v>0</v>
      </c>
      <c r="H440" s="691"/>
    </row>
    <row r="441" spans="1:8" hidden="1" x14ac:dyDescent="0.2">
      <c r="A441" s="657"/>
      <c r="B441" s="657" t="s">
        <v>4886</v>
      </c>
      <c r="C441" s="570" t="str">
        <f>IFERROR(VLOOKUP(B441,'ПО КОРИСНИЦИМА'!$C$7:$J$17281,5,FALSE),"")</f>
        <v/>
      </c>
      <c r="D441" s="689">
        <f>SUMIF('ПО КОРИСНИЦИМА'!$G$7:$G$17281,"Свега за пројекат 1201-П26:",'ПО КОРИСНИЦИМА'!$H$7:$H$17281)</f>
        <v>0</v>
      </c>
      <c r="E441" s="682">
        <f t="shared" si="25"/>
        <v>0</v>
      </c>
      <c r="F441" s="690">
        <f>SUMIF('ПО КОРИСНИЦИМА'!$G$7:$G$17281,"Свега за пројекат 1201-П26:",'ПО КОРИСНИЦИМА'!$I$7:$I$17281)</f>
        <v>0</v>
      </c>
      <c r="G441" s="685">
        <f t="shared" si="13"/>
        <v>0</v>
      </c>
      <c r="H441" s="691"/>
    </row>
    <row r="442" spans="1:8" hidden="1" x14ac:dyDescent="0.2">
      <c r="A442" s="657"/>
      <c r="B442" s="657" t="s">
        <v>4887</v>
      </c>
      <c r="C442" s="570" t="str">
        <f>IFERROR(VLOOKUP(B442,'ПО КОРИСНИЦИМА'!$C$7:$J$17281,5,FALSE),"")</f>
        <v/>
      </c>
      <c r="D442" s="689">
        <f>SUMIF('ПО КОРИСНИЦИМА'!$G$7:$G$17281,"Свега за пројекат 1201-П27:",'ПО КОРИСНИЦИМА'!$H$7:$H$17281)</f>
        <v>0</v>
      </c>
      <c r="E442" s="682">
        <f t="shared" si="25"/>
        <v>0</v>
      </c>
      <c r="F442" s="690">
        <f>SUMIF('ПО КОРИСНИЦИМА'!$G$7:$G$17281,"Свега за пројекат 1201-П27:",'ПО КОРИСНИЦИМА'!$I$7:$I$17281)</f>
        <v>0</v>
      </c>
      <c r="G442" s="685">
        <f t="shared" si="13"/>
        <v>0</v>
      </c>
      <c r="H442" s="691"/>
    </row>
    <row r="443" spans="1:8" hidden="1" x14ac:dyDescent="0.2">
      <c r="A443" s="657"/>
      <c r="B443" s="657" t="s">
        <v>4888</v>
      </c>
      <c r="C443" s="570" t="str">
        <f>IFERROR(VLOOKUP(B443,'ПО КОРИСНИЦИМА'!$C$7:$J$17281,5,FALSE),"")</f>
        <v/>
      </c>
      <c r="D443" s="689">
        <f>SUMIF('ПО КОРИСНИЦИМА'!$G$7:$G$17281,"Свега за пројекат 1201-П28:",'ПО КОРИСНИЦИМА'!$H$7:$H$17281)</f>
        <v>0</v>
      </c>
      <c r="E443" s="682">
        <f t="shared" si="25"/>
        <v>0</v>
      </c>
      <c r="F443" s="690">
        <f>SUMIF('ПО КОРИСНИЦИМА'!$G$7:$G$17281,"Свега за пројекат 1201-П28:",'ПО КОРИСНИЦИМА'!$I$7:$I$17281)</f>
        <v>0</v>
      </c>
      <c r="G443" s="685">
        <f t="shared" si="13"/>
        <v>0</v>
      </c>
      <c r="H443" s="691"/>
    </row>
    <row r="444" spans="1:8" hidden="1" x14ac:dyDescent="0.2">
      <c r="A444" s="657"/>
      <c r="B444" s="657" t="s">
        <v>4889</v>
      </c>
      <c r="C444" s="570" t="str">
        <f>IFERROR(VLOOKUP(B444,'ПО КОРИСНИЦИМА'!$C$7:$J$17281,5,FALSE),"")</f>
        <v/>
      </c>
      <c r="D444" s="689">
        <f>SUMIF('ПО КОРИСНИЦИМА'!$G$7:$G$17281,"Свега за пројекат 1201-П29:",'ПО КОРИСНИЦИМА'!$H$7:$H$17281)</f>
        <v>0</v>
      </c>
      <c r="E444" s="682">
        <f t="shared" si="25"/>
        <v>0</v>
      </c>
      <c r="F444" s="690">
        <f>SUMIF('ПО КОРИСНИЦИМА'!$G$7:$G$17281,"Свега за пројекат 1201-П29:",'ПО КОРИСНИЦИМА'!$I$7:$I$17281)</f>
        <v>0</v>
      </c>
      <c r="G444" s="685">
        <f t="shared" si="13"/>
        <v>0</v>
      </c>
      <c r="H444" s="691"/>
    </row>
    <row r="445" spans="1:8" hidden="1" x14ac:dyDescent="0.2">
      <c r="A445" s="657"/>
      <c r="B445" s="657" t="s">
        <v>4890</v>
      </c>
      <c r="C445" s="570" t="str">
        <f>IFERROR(VLOOKUP(B445,'ПО КОРИСНИЦИМА'!$C$7:$J$17281,5,FALSE),"")</f>
        <v/>
      </c>
      <c r="D445" s="689">
        <f>SUMIF('ПО КОРИСНИЦИМА'!$G$7:$G$17281,"Свега за пројекат 1201-П30:",'ПО КОРИСНИЦИМА'!$H$7:$H$17281)</f>
        <v>0</v>
      </c>
      <c r="E445" s="682">
        <f t="shared" si="25"/>
        <v>0</v>
      </c>
      <c r="F445" s="690">
        <f>SUMIF('ПО КОРИСНИЦИМА'!$G$7:$G$17281,"Свега за пројекат 1201-П30:",'ПО КОРИСНИЦИМА'!$I$7:$I$17281)</f>
        <v>0</v>
      </c>
      <c r="G445" s="685">
        <f t="shared" si="13"/>
        <v>0</v>
      </c>
      <c r="H445" s="691"/>
    </row>
    <row r="446" spans="1:8" hidden="1" x14ac:dyDescent="0.2">
      <c r="A446" s="657"/>
      <c r="B446" s="657" t="s">
        <v>4891</v>
      </c>
      <c r="C446" s="570" t="str">
        <f>IFERROR(VLOOKUP(B446,'ПО КОРИСНИЦИМА'!$C$7:$J$17281,5,FALSE),"")</f>
        <v/>
      </c>
      <c r="D446" s="689">
        <f>SUMIF('ПО КОРИСНИЦИМА'!$G$7:$G$17281,"Свега за пројекат 1201-П31:",'ПО КОРИСНИЦИМА'!$H$7:$H$17281)</f>
        <v>0</v>
      </c>
      <c r="E446" s="682">
        <f t="shared" si="25"/>
        <v>0</v>
      </c>
      <c r="F446" s="690">
        <f>SUMIF('ПО КОРИСНИЦИМА'!$G$7:$G$17281,"Свега за пројекат 1201-П31:",'ПО КОРИСНИЦИМА'!$I$7:$I$17281)</f>
        <v>0</v>
      </c>
      <c r="G446" s="685">
        <f t="shared" si="13"/>
        <v>0</v>
      </c>
      <c r="H446" s="691"/>
    </row>
    <row r="447" spans="1:8" hidden="1" x14ac:dyDescent="0.2">
      <c r="A447" s="657"/>
      <c r="B447" s="657" t="s">
        <v>4892</v>
      </c>
      <c r="C447" s="570" t="str">
        <f>IFERROR(VLOOKUP(B447,'ПО КОРИСНИЦИМА'!$C$7:$J$17281,5,FALSE),"")</f>
        <v/>
      </c>
      <c r="D447" s="689">
        <f>SUMIF('ПО КОРИСНИЦИМА'!$G$7:$G$17281,"Свега за пројекат 1201-П32:",'ПО КОРИСНИЦИМА'!$H$7:$H$17281)</f>
        <v>0</v>
      </c>
      <c r="E447" s="682">
        <f t="shared" si="25"/>
        <v>0</v>
      </c>
      <c r="F447" s="690">
        <f>SUMIF('ПО КОРИСНИЦИМА'!$G$7:$G$17281,"Свега за пројекат 1201-П32:",'ПО КОРИСНИЦИМА'!$I$7:$I$17281)</f>
        <v>0</v>
      </c>
      <c r="G447" s="685">
        <f t="shared" si="13"/>
        <v>0</v>
      </c>
      <c r="H447" s="691"/>
    </row>
    <row r="448" spans="1:8" hidden="1" x14ac:dyDescent="0.2">
      <c r="A448" s="657"/>
      <c r="B448" s="657" t="s">
        <v>4893</v>
      </c>
      <c r="C448" s="570" t="str">
        <f>IFERROR(VLOOKUP(B448,'ПО КОРИСНИЦИМА'!$C$7:$J$17281,5,FALSE),"")</f>
        <v/>
      </c>
      <c r="D448" s="689">
        <f>SUMIF('ПО КОРИСНИЦИМА'!$G$7:$G$17281,"Свега за пројекат 1201-П33:",'ПО КОРИСНИЦИМА'!$H$7:$H$17281)</f>
        <v>0</v>
      </c>
      <c r="E448" s="682">
        <f t="shared" si="25"/>
        <v>0</v>
      </c>
      <c r="F448" s="690">
        <f>SUMIF('ПО КОРИСНИЦИМА'!$G$7:$G$17281,"Свега за пројекат 1201-П33:",'ПО КОРИСНИЦИМА'!$I$7:$I$17281)</f>
        <v>0</v>
      </c>
      <c r="G448" s="685">
        <f t="shared" si="13"/>
        <v>0</v>
      </c>
      <c r="H448" s="691"/>
    </row>
    <row r="449" spans="1:8" hidden="1" x14ac:dyDescent="0.2">
      <c r="A449" s="657"/>
      <c r="B449" s="657" t="s">
        <v>4894</v>
      </c>
      <c r="C449" s="570" t="str">
        <f>IFERROR(VLOOKUP(B449,'ПО КОРИСНИЦИМА'!$C$7:$J$17281,5,FALSE),"")</f>
        <v/>
      </c>
      <c r="D449" s="689">
        <f>SUMIF('ПО КОРИСНИЦИМА'!$G$7:$G$17281,"Свега за пројекат 1201-П34:",'ПО КОРИСНИЦИМА'!$H$7:$H$17281)</f>
        <v>0</v>
      </c>
      <c r="E449" s="682">
        <f t="shared" si="25"/>
        <v>0</v>
      </c>
      <c r="F449" s="690">
        <f>SUMIF('ПО КОРИСНИЦИМА'!$G$7:$G$17281,"Свега за пројекат 1201-П34:",'ПО КОРИСНИЦИМА'!$I$7:$I$17281)</f>
        <v>0</v>
      </c>
      <c r="G449" s="685">
        <f t="shared" si="13"/>
        <v>0</v>
      </c>
      <c r="H449" s="691"/>
    </row>
    <row r="450" spans="1:8" hidden="1" x14ac:dyDescent="0.2">
      <c r="A450" s="657"/>
      <c r="B450" s="657" t="s">
        <v>4895</v>
      </c>
      <c r="C450" s="570" t="str">
        <f>IFERROR(VLOOKUP(B450,'ПО КОРИСНИЦИМА'!$C$7:$J$17281,5,FALSE),"")</f>
        <v/>
      </c>
      <c r="D450" s="689">
        <f>SUMIF('ПО КОРИСНИЦИМА'!$G$7:$G$17281,"Свега за пројекат 1201-П35:",'ПО КОРИСНИЦИМА'!$H$7:$H$17281)</f>
        <v>0</v>
      </c>
      <c r="E450" s="682">
        <f t="shared" si="25"/>
        <v>0</v>
      </c>
      <c r="F450" s="690">
        <f>SUMIF('ПО КОРИСНИЦИМА'!$G$7:$G$17281,"Свега за пројекат 1201-П35:",'ПО КОРИСНИЦИМА'!$I$7:$I$17281)</f>
        <v>0</v>
      </c>
      <c r="G450" s="685">
        <f t="shared" si="13"/>
        <v>0</v>
      </c>
      <c r="H450" s="691"/>
    </row>
    <row r="451" spans="1:8" hidden="1" x14ac:dyDescent="0.2">
      <c r="A451" s="657"/>
      <c r="B451" s="657" t="s">
        <v>4896</v>
      </c>
      <c r="C451" s="570" t="str">
        <f>IFERROR(VLOOKUP(B451,'ПО КОРИСНИЦИМА'!$C$7:$J$17281,5,FALSE),"")</f>
        <v/>
      </c>
      <c r="D451" s="689">
        <f>SUMIF('ПО КОРИСНИЦИМА'!$G$7:$G$17281,"Свега за пројекат 1201-П36:",'ПО КОРИСНИЦИМА'!$H$7:$H$17281)</f>
        <v>0</v>
      </c>
      <c r="E451" s="682">
        <f t="shared" si="25"/>
        <v>0</v>
      </c>
      <c r="F451" s="690">
        <f>SUMIF('ПО КОРИСНИЦИМА'!$G$7:$G$17281,"Свега за пројекат 1201-П36:",'ПО КОРИСНИЦИМА'!$I$7:$I$17281)</f>
        <v>0</v>
      </c>
      <c r="G451" s="685">
        <f t="shared" si="13"/>
        <v>0</v>
      </c>
      <c r="H451" s="691"/>
    </row>
    <row r="452" spans="1:8" hidden="1" x14ac:dyDescent="0.2">
      <c r="A452" s="657"/>
      <c r="B452" s="657" t="s">
        <v>4897</v>
      </c>
      <c r="C452" s="570" t="str">
        <f>IFERROR(VLOOKUP(B452,'ПО КОРИСНИЦИМА'!$C$7:$J$17281,5,FALSE),"")</f>
        <v/>
      </c>
      <c r="D452" s="689">
        <f>SUMIF('ПО КОРИСНИЦИМА'!$G$7:$G$17281,"Свега за пројекат 1201-П37:",'ПО КОРИСНИЦИМА'!$H$7:$H$17281)</f>
        <v>0</v>
      </c>
      <c r="E452" s="682">
        <f t="shared" si="25"/>
        <v>0</v>
      </c>
      <c r="F452" s="690">
        <f>SUMIF('ПО КОРИСНИЦИМА'!$G$7:$G$17281,"Свега за пројекат 1201-П37:",'ПО КОРИСНИЦИМА'!$I$7:$I$17281)</f>
        <v>0</v>
      </c>
      <c r="G452" s="685">
        <f t="shared" si="13"/>
        <v>0</v>
      </c>
      <c r="H452" s="691"/>
    </row>
    <row r="453" spans="1:8" hidden="1" x14ac:dyDescent="0.2">
      <c r="A453" s="657"/>
      <c r="B453" s="657" t="s">
        <v>4898</v>
      </c>
      <c r="C453" s="570" t="str">
        <f>IFERROR(VLOOKUP(B453,'ПО КОРИСНИЦИМА'!$C$7:$J$17281,5,FALSE),"")</f>
        <v/>
      </c>
      <c r="D453" s="689">
        <f>SUMIF('ПО КОРИСНИЦИМА'!$G$7:$G$17281,"Свега за пројекат 1201-П38:",'ПО КОРИСНИЦИМА'!$H$7:$H$17281)</f>
        <v>0</v>
      </c>
      <c r="E453" s="682">
        <f t="shared" si="25"/>
        <v>0</v>
      </c>
      <c r="F453" s="690">
        <f>SUMIF('ПО КОРИСНИЦИМА'!$G$7:$G$17281,"Свега за пројекат 1201-П38:",'ПО КОРИСНИЦИМА'!$I$7:$I$17281)</f>
        <v>0</v>
      </c>
      <c r="G453" s="685">
        <f t="shared" si="13"/>
        <v>0</v>
      </c>
      <c r="H453" s="691"/>
    </row>
    <row r="454" spans="1:8" hidden="1" x14ac:dyDescent="0.2">
      <c r="A454" s="657"/>
      <c r="B454" s="657" t="s">
        <v>4899</v>
      </c>
      <c r="C454" s="570" t="str">
        <f>IFERROR(VLOOKUP(B454,'ПО КОРИСНИЦИМА'!$C$7:$J$17281,5,FALSE),"")</f>
        <v/>
      </c>
      <c r="D454" s="689">
        <f>SUMIF('ПО КОРИСНИЦИМА'!$G$7:$G$17281,"Свега за пројекат 1201-П39:",'ПО КОРИСНИЦИМА'!$H$7:$H$17281)</f>
        <v>0</v>
      </c>
      <c r="E454" s="682">
        <f t="shared" si="25"/>
        <v>0</v>
      </c>
      <c r="F454" s="690">
        <f>SUMIF('ПО КОРИСНИЦИМА'!$G$7:$G$17281,"Свега за пројекат 1201-П39:",'ПО КОРИСНИЦИМА'!$I$7:$I$17281)</f>
        <v>0</v>
      </c>
      <c r="G454" s="685">
        <f t="shared" si="13"/>
        <v>0</v>
      </c>
      <c r="H454" s="691"/>
    </row>
    <row r="455" spans="1:8" hidden="1" x14ac:dyDescent="0.2">
      <c r="A455" s="657"/>
      <c r="B455" s="657" t="s">
        <v>4900</v>
      </c>
      <c r="C455" s="570" t="str">
        <f>IFERROR(VLOOKUP(B455,'ПО КОРИСНИЦИМА'!$C$7:$J$17281,5,FALSE),"")</f>
        <v/>
      </c>
      <c r="D455" s="689">
        <f>SUMIF('ПО КОРИСНИЦИМА'!$G$7:$G$17281,"Свега за пројекат 1201-П40:",'ПО КОРИСНИЦИМА'!$H$7:$H$17281)</f>
        <v>0</v>
      </c>
      <c r="E455" s="682">
        <f t="shared" si="25"/>
        <v>0</v>
      </c>
      <c r="F455" s="690">
        <f>SUMIF('ПО КОРИСНИЦИМА'!$G$7:$G$17281,"Свега за пројекат 1201-П40:",'ПО КОРИСНИЦИМА'!$I$7:$I$17281)</f>
        <v>0</v>
      </c>
      <c r="G455" s="685">
        <f t="shared" si="13"/>
        <v>0</v>
      </c>
      <c r="H455" s="691"/>
    </row>
    <row r="456" spans="1:8" hidden="1" x14ac:dyDescent="0.2">
      <c r="A456" s="657"/>
      <c r="B456" s="657" t="s">
        <v>4901</v>
      </c>
      <c r="C456" s="570" t="str">
        <f>IFERROR(VLOOKUP(B456,'ПО КОРИСНИЦИМА'!$C$7:$J$17281,5,FALSE),"")</f>
        <v/>
      </c>
      <c r="D456" s="689">
        <f>SUMIF('ПО КОРИСНИЦИМА'!$G$7:$G$17281,"Свега за пројекат 1201-П41:",'ПО КОРИСНИЦИМА'!$H$7:$H$17281)</f>
        <v>0</v>
      </c>
      <c r="E456" s="682">
        <f t="shared" si="25"/>
        <v>0</v>
      </c>
      <c r="F456" s="690">
        <f>SUMIF('ПО КОРИСНИЦИМА'!$G$7:$G$17281,"Свега за пројекат 1201-П41:",'ПО КОРИСНИЦИМА'!$I$7:$I$17281)</f>
        <v>0</v>
      </c>
      <c r="G456" s="685">
        <f t="shared" si="13"/>
        <v>0</v>
      </c>
      <c r="H456" s="691"/>
    </row>
    <row r="457" spans="1:8" hidden="1" x14ac:dyDescent="0.2">
      <c r="A457" s="657"/>
      <c r="B457" s="657" t="s">
        <v>4902</v>
      </c>
      <c r="C457" s="570" t="str">
        <f>IFERROR(VLOOKUP(B457,'ПО КОРИСНИЦИМА'!$C$7:$J$17281,5,FALSE),"")</f>
        <v/>
      </c>
      <c r="D457" s="689">
        <f>SUMIF('ПО КОРИСНИЦИМА'!$G$7:$G$17281,"Свега за пројекат 1201-П42:",'ПО КОРИСНИЦИМА'!$H$7:$H$17281)</f>
        <v>0</v>
      </c>
      <c r="E457" s="682">
        <f t="shared" si="25"/>
        <v>0</v>
      </c>
      <c r="F457" s="690">
        <f>SUMIF('ПО КОРИСНИЦИМА'!$G$7:$G$17281,"Свега за пројекат 1201-П42:",'ПО КОРИСНИЦИМА'!$I$7:$I$17281)</f>
        <v>0</v>
      </c>
      <c r="G457" s="685">
        <f t="shared" si="13"/>
        <v>0</v>
      </c>
      <c r="H457" s="691"/>
    </row>
    <row r="458" spans="1:8" hidden="1" x14ac:dyDescent="0.2">
      <c r="A458" s="657"/>
      <c r="B458" s="657" t="s">
        <v>4903</v>
      </c>
      <c r="C458" s="570" t="str">
        <f>IFERROR(VLOOKUP(B458,'ПО КОРИСНИЦИМА'!$C$7:$J$17281,5,FALSE),"")</f>
        <v/>
      </c>
      <c r="D458" s="689">
        <f>SUMIF('ПО КОРИСНИЦИМА'!$G$7:$G$17281,"Свега за пројекат 1201-П43:",'ПО КОРИСНИЦИМА'!$H$7:$H$17281)</f>
        <v>0</v>
      </c>
      <c r="E458" s="682">
        <f t="shared" si="25"/>
        <v>0</v>
      </c>
      <c r="F458" s="690">
        <f>SUMIF('ПО КОРИСНИЦИМА'!$G$7:$G$17281,"Свега за пројекат 1201-П43:",'ПО КОРИСНИЦИМА'!$I$7:$I$17281)</f>
        <v>0</v>
      </c>
      <c r="G458" s="685">
        <f t="shared" si="13"/>
        <v>0</v>
      </c>
      <c r="H458" s="691"/>
    </row>
    <row r="459" spans="1:8" hidden="1" x14ac:dyDescent="0.2">
      <c r="A459" s="657"/>
      <c r="B459" s="657" t="s">
        <v>4904</v>
      </c>
      <c r="C459" s="570" t="str">
        <f>IFERROR(VLOOKUP(B459,'ПО КОРИСНИЦИМА'!$C$7:$J$17281,5,FALSE),"")</f>
        <v/>
      </c>
      <c r="D459" s="689">
        <f>SUMIF('ПО КОРИСНИЦИМА'!$G$7:$G$17281,"Свега за пројекат 1201-П44:",'ПО КОРИСНИЦИМА'!$H$7:$H$17281)</f>
        <v>0</v>
      </c>
      <c r="E459" s="682">
        <f t="shared" si="25"/>
        <v>0</v>
      </c>
      <c r="F459" s="690">
        <f>SUMIF('ПО КОРИСНИЦИМА'!$G$7:$G$17281,"Свега за пројекат 1201-П44:",'ПО КОРИСНИЦИМА'!$I$7:$I$17281)</f>
        <v>0</v>
      </c>
      <c r="G459" s="685">
        <f t="shared" si="13"/>
        <v>0</v>
      </c>
      <c r="H459" s="691"/>
    </row>
    <row r="460" spans="1:8" hidden="1" x14ac:dyDescent="0.2">
      <c r="A460" s="657"/>
      <c r="B460" s="657" t="s">
        <v>4905</v>
      </c>
      <c r="C460" s="570" t="str">
        <f>IFERROR(VLOOKUP(B460,'ПО КОРИСНИЦИМА'!$C$7:$J$17281,5,FALSE),"")</f>
        <v/>
      </c>
      <c r="D460" s="689">
        <f>SUMIF('ПО КОРИСНИЦИМА'!$G$7:$G$17281,"Свега за пројекат 1201-П45:",'ПО КОРИСНИЦИМА'!$H$7:$H$17281)</f>
        <v>0</v>
      </c>
      <c r="E460" s="682">
        <f t="shared" si="25"/>
        <v>0</v>
      </c>
      <c r="F460" s="690">
        <f>SUMIF('ПО КОРИСНИЦИМА'!$G$7:$G$17281,"Свега за пројекат 1201-П45:",'ПО КОРИСНИЦИМА'!$I$7:$I$17281)</f>
        <v>0</v>
      </c>
      <c r="G460" s="685">
        <f t="shared" si="13"/>
        <v>0</v>
      </c>
      <c r="H460" s="691"/>
    </row>
    <row r="461" spans="1:8" hidden="1" x14ac:dyDescent="0.2">
      <c r="A461" s="657"/>
      <c r="B461" s="657" t="s">
        <v>4906</v>
      </c>
      <c r="C461" s="570" t="str">
        <f>IFERROR(VLOOKUP(B461,'ПО КОРИСНИЦИМА'!$C$7:$J$17281,5,FALSE),"")</f>
        <v/>
      </c>
      <c r="D461" s="689">
        <f>SUMIF('ПО КОРИСНИЦИМА'!$G$7:$G$17281,"Свега за пројекат 1201-П46:",'ПО КОРИСНИЦИМА'!$H$7:$H$17281)</f>
        <v>0</v>
      </c>
      <c r="E461" s="682">
        <f t="shared" si="25"/>
        <v>0</v>
      </c>
      <c r="F461" s="690">
        <f>SUMIF('ПО КОРИСНИЦИМА'!$G$7:$G$17281,"Свега за пројекат 1201-П46:",'ПО КОРИСНИЦИМА'!$I$7:$I$17281)</f>
        <v>0</v>
      </c>
      <c r="G461" s="685">
        <f t="shared" si="13"/>
        <v>0</v>
      </c>
      <c r="H461" s="691"/>
    </row>
    <row r="462" spans="1:8" hidden="1" x14ac:dyDescent="0.2">
      <c r="A462" s="657"/>
      <c r="B462" s="657" t="s">
        <v>4907</v>
      </c>
      <c r="C462" s="570" t="str">
        <f>IFERROR(VLOOKUP(B462,'ПО КОРИСНИЦИМА'!$C$7:$J$17281,5,FALSE),"")</f>
        <v/>
      </c>
      <c r="D462" s="689">
        <f>SUMIF('ПО КОРИСНИЦИМА'!$G$7:$G$17281,"Свега за пројекат 1201-П47:",'ПО КОРИСНИЦИМА'!$H$7:$H$17281)</f>
        <v>0</v>
      </c>
      <c r="E462" s="682">
        <f t="shared" si="25"/>
        <v>0</v>
      </c>
      <c r="F462" s="690">
        <f>SUMIF('ПО КОРИСНИЦИМА'!$G$7:$G$17281,"Свега за пројекат 1201-П47:",'ПО КОРИСНИЦИМА'!$I$7:$I$17281)</f>
        <v>0</v>
      </c>
      <c r="G462" s="685">
        <f t="shared" si="13"/>
        <v>0</v>
      </c>
      <c r="H462" s="691"/>
    </row>
    <row r="463" spans="1:8" hidden="1" x14ac:dyDescent="0.2">
      <c r="A463" s="657"/>
      <c r="B463" s="657" t="s">
        <v>4908</v>
      </c>
      <c r="C463" s="570" t="str">
        <f>IFERROR(VLOOKUP(B463,'ПО КОРИСНИЦИМА'!$C$7:$J$17281,5,FALSE),"")</f>
        <v/>
      </c>
      <c r="D463" s="689">
        <f>SUMIF('ПО КОРИСНИЦИМА'!$G$7:$G$17281,"Свега за пројекат 1201-П48:",'ПО КОРИСНИЦИМА'!$H$7:$H$17281)</f>
        <v>0</v>
      </c>
      <c r="E463" s="682">
        <f t="shared" si="25"/>
        <v>0</v>
      </c>
      <c r="F463" s="690">
        <f>SUMIF('ПО КОРИСНИЦИМА'!$G$7:$G$17281,"Свега за пројекат 1201-П48:",'ПО КОРИСНИЦИМА'!$I$7:$I$17281)</f>
        <v>0</v>
      </c>
      <c r="G463" s="685">
        <f t="shared" si="13"/>
        <v>0</v>
      </c>
      <c r="H463" s="688"/>
    </row>
    <row r="464" spans="1:8" hidden="1" x14ac:dyDescent="0.2">
      <c r="A464" s="657"/>
      <c r="B464" s="657" t="s">
        <v>4909</v>
      </c>
      <c r="C464" s="570" t="str">
        <f>IFERROR(VLOOKUP(B464,'ПО КОРИСНИЦИМА'!$C$7:$J$17281,5,FALSE),"")</f>
        <v/>
      </c>
      <c r="D464" s="689">
        <f>SUMIF('ПО КОРИСНИЦИМА'!$G$7:$G$17281,"Свега за пројекат 1201-П49:",'ПО КОРИСНИЦИМА'!$H$7:$H$17281)</f>
        <v>0</v>
      </c>
      <c r="E464" s="682">
        <f t="shared" si="25"/>
        <v>0</v>
      </c>
      <c r="F464" s="690">
        <f>SUMIF('ПО КОРИСНИЦИМА'!$G$7:$G$17281,"Свега за пројекат 1201-П49:",'ПО КОРИСНИЦИМА'!$I$7:$I$17281)</f>
        <v>0</v>
      </c>
      <c r="G464" s="685">
        <f t="shared" si="13"/>
        <v>0</v>
      </c>
      <c r="H464" s="688"/>
    </row>
    <row r="465" spans="1:8" hidden="1" x14ac:dyDescent="0.2">
      <c r="A465" s="658"/>
      <c r="B465" s="657" t="s">
        <v>4910</v>
      </c>
      <c r="C465" s="570" t="str">
        <f>IFERROR(VLOOKUP(B465,'ПО КОРИСНИЦИМА'!$C$7:$J$17281,5,FALSE),"")</f>
        <v/>
      </c>
      <c r="D465" s="689">
        <f>SUMIF('ПО КОРИСНИЦИМА'!$G$7:$G$17281,"Свега за пројекат 1201-П50:",'ПО КОРИСНИЦИМА'!$H$7:$H$17281)</f>
        <v>0</v>
      </c>
      <c r="E465" s="682">
        <f t="shared" si="25"/>
        <v>0</v>
      </c>
      <c r="F465" s="690">
        <f>SUMIF('ПО КОРИСНИЦИМА'!$G$7:$G$17281,"Свега за пројекат 1201-П50:",'ПО КОРИСНИЦИМА'!$I$7:$I$17281)</f>
        <v>0</v>
      </c>
      <c r="G465" s="685">
        <f t="shared" si="13"/>
        <v>0</v>
      </c>
      <c r="H465" s="697"/>
    </row>
    <row r="466" spans="1:8" s="655" customFormat="1" x14ac:dyDescent="0.2">
      <c r="A466" s="647" t="s">
        <v>3605</v>
      </c>
      <c r="B466" s="648"/>
      <c r="C466" s="568" t="s">
        <v>3687</v>
      </c>
      <c r="D466" s="677">
        <f>SUM(D467:D519)</f>
        <v>8000000</v>
      </c>
      <c r="E466" s="678">
        <f>IFERROR(D466/$D$601,"-")</f>
        <v>1.3867221355520888E-2</v>
      </c>
      <c r="F466" s="679">
        <f>SUM(F467:F519)</f>
        <v>0</v>
      </c>
      <c r="G466" s="677">
        <f t="shared" si="13"/>
        <v>8000000</v>
      </c>
      <c r="H466" s="698"/>
    </row>
    <row r="467" spans="1:8" x14ac:dyDescent="0.2">
      <c r="A467" s="651"/>
      <c r="B467" s="659" t="s">
        <v>4148</v>
      </c>
      <c r="C467" s="576" t="s">
        <v>4149</v>
      </c>
      <c r="D467" s="681">
        <f>SUMIF('ПО КОРИСНИЦИМА'!$G$7:$G$17281,"Свега за програмску активност 1301-0001:",'ПО КОРИСНИЦИМА'!$H$7:$H$17281)</f>
        <v>8000000</v>
      </c>
      <c r="E467" s="682">
        <f>IFERROR(D467/$D$601,"-")</f>
        <v>1.3867221355520888E-2</v>
      </c>
      <c r="F467" s="683">
        <f>SUMIF('ПО КОРИСНИЦИМА'!$G$7:$G$17281,"Свега за програмску активност 1301-0001:",'ПО КОРИСНИЦИМА'!$I$7:$I$17281)</f>
        <v>0</v>
      </c>
      <c r="G467" s="705">
        <f t="shared" si="13"/>
        <v>8000000</v>
      </c>
      <c r="H467" s="684"/>
    </row>
    <row r="468" spans="1:8" hidden="1" x14ac:dyDescent="0.2">
      <c r="A468" s="653"/>
      <c r="B468" s="657" t="s">
        <v>4150</v>
      </c>
      <c r="C468" s="577" t="s">
        <v>4151</v>
      </c>
      <c r="D468" s="685">
        <f>SUMIF('ПО КОРИСНИЦИМА'!$G$7:$G$17281,"Свега за програмску активност 1301-0002:",'ПО КОРИСНИЦИМА'!$H$7:$H$17281)</f>
        <v>0</v>
      </c>
      <c r="E468" s="682">
        <f t="shared" ref="E468:E519" si="26">IFERROR(D468/$D$601,"-")</f>
        <v>0</v>
      </c>
      <c r="F468" s="687">
        <f>SUMIF('ПО КОРИСНИЦИМА'!$G$7:$G$17281,"Свега за програмску активност 1301-0002:",'ПО КОРИСНИЦИМА'!$I$7:$I$17281)</f>
        <v>0</v>
      </c>
      <c r="G468" s="706">
        <f t="shared" si="13"/>
        <v>0</v>
      </c>
      <c r="H468" s="688"/>
    </row>
    <row r="469" spans="1:8" hidden="1" x14ac:dyDescent="0.2">
      <c r="A469" s="653"/>
      <c r="B469" s="657" t="s">
        <v>4152</v>
      </c>
      <c r="C469" s="577" t="s">
        <v>4153</v>
      </c>
      <c r="D469" s="685">
        <f>SUMIF('ПО КОРИСНИЦИМА'!$G$7:$G$17281,"Свега за програмску активност 1301-0003:",'ПО КОРИСНИЦИМА'!$H$7:$H$17281)</f>
        <v>0</v>
      </c>
      <c r="E469" s="682">
        <f t="shared" si="26"/>
        <v>0</v>
      </c>
      <c r="F469" s="687">
        <f>SUMIF('ПО КОРИСНИЦИМА'!$G$7:$G$17281,"Свега за програмску активност 1301-0003:",'ПО КОРИСНИЦИМА'!$I$7:$I$17281)</f>
        <v>0</v>
      </c>
      <c r="G469" s="706">
        <f t="shared" si="13"/>
        <v>0</v>
      </c>
      <c r="H469" s="688"/>
    </row>
    <row r="470" spans="1:8" hidden="1" x14ac:dyDescent="0.2">
      <c r="A470" s="657"/>
      <c r="B470" s="657" t="s">
        <v>4911</v>
      </c>
      <c r="C470" s="570" t="str">
        <f>IFERROR(VLOOKUP(B470,'ПО КОРИСНИЦИМА'!$C$7:$J$17281,5,FALSE),"")</f>
        <v/>
      </c>
      <c r="D470" s="689">
        <f>SUMIF('ПО КОРИСНИЦИМА'!$G$7:$G$17281,"Свега за пројекат 1301-П1:",'ПО КОРИСНИЦИМА'!$H$7:$H$17281)</f>
        <v>0</v>
      </c>
      <c r="E470" s="686">
        <f>IFERROR(D470/$D$601,"-")</f>
        <v>0</v>
      </c>
      <c r="F470" s="690">
        <f>SUMIF('ПО КОРИСНИЦИМА'!$G$7:$G$17281,"Свега за пројекат 1301-П1:",'ПО КОРИСНИЦИМА'!$I$7:$I$17281)</f>
        <v>0</v>
      </c>
      <c r="G470" s="706">
        <f t="shared" si="13"/>
        <v>0</v>
      </c>
      <c r="H470" s="688"/>
    </row>
    <row r="471" spans="1:8" hidden="1" x14ac:dyDescent="0.2">
      <c r="A471" s="657"/>
      <c r="B471" s="657" t="s">
        <v>4912</v>
      </c>
      <c r="C471" s="570" t="str">
        <f>IFERROR(VLOOKUP(B471,'ПО КОРИСНИЦИМА'!$C$7:$J$17281,5,FALSE),"")</f>
        <v/>
      </c>
      <c r="D471" s="689">
        <f>SUMIF('ПО КОРИСНИЦИМА'!$G$7:$G$17281,"Свега за пројекат 1301-П2:",'ПО КОРИСНИЦИМА'!$H$7:$H$17281)</f>
        <v>0</v>
      </c>
      <c r="E471" s="682">
        <f t="shared" si="26"/>
        <v>0</v>
      </c>
      <c r="F471" s="690">
        <f>SUMIF('ПО КОРИСНИЦИМА'!$G$7:$G$17281,"Свега за пројекат 1301-П2:",'ПО КОРИСНИЦИМА'!$I$7:$I$17281)</f>
        <v>0</v>
      </c>
      <c r="G471" s="685">
        <f t="shared" si="13"/>
        <v>0</v>
      </c>
      <c r="H471" s="688"/>
    </row>
    <row r="472" spans="1:8" hidden="1" x14ac:dyDescent="0.2">
      <c r="A472" s="657"/>
      <c r="B472" s="657" t="s">
        <v>4913</v>
      </c>
      <c r="C472" s="570" t="str">
        <f>IFERROR(VLOOKUP(B472,'ПО КОРИСНИЦИМА'!$C$7:$J$17281,5,FALSE),"")</f>
        <v/>
      </c>
      <c r="D472" s="689">
        <f>SUMIF('ПО КОРИСНИЦИМА'!$G$7:$G$17281,"Свега за пројекат 1301-П3:",'ПО КОРИСНИЦИМА'!$H$7:$H$17281)</f>
        <v>0</v>
      </c>
      <c r="E472" s="682">
        <f t="shared" si="26"/>
        <v>0</v>
      </c>
      <c r="F472" s="690">
        <f>SUMIF('ПО КОРИСНИЦИМА'!$G$7:$G$17281,"Свега за пројекат 1301-П3:",'ПО КОРИСНИЦИМА'!$I$7:$I$17281)</f>
        <v>0</v>
      </c>
      <c r="G472" s="685">
        <f t="shared" si="13"/>
        <v>0</v>
      </c>
      <c r="H472" s="691"/>
    </row>
    <row r="473" spans="1:8" hidden="1" x14ac:dyDescent="0.2">
      <c r="A473" s="657"/>
      <c r="B473" s="657" t="s">
        <v>4914</v>
      </c>
      <c r="C473" s="570" t="str">
        <f>IFERROR(VLOOKUP(B473,'ПО КОРИСНИЦИМА'!$C$7:$J$17281,5,FALSE),"")</f>
        <v/>
      </c>
      <c r="D473" s="689">
        <f>SUMIF('ПО КОРИСНИЦИМА'!$G$7:$G$17281,"Свега за пројекат 1301-П4:",'ПО КОРИСНИЦИМА'!$H$7:$H$17281)</f>
        <v>0</v>
      </c>
      <c r="E473" s="682">
        <f t="shared" si="26"/>
        <v>0</v>
      </c>
      <c r="F473" s="690">
        <f>SUMIF('ПО КОРИСНИЦИМА'!$G$7:$G$17281,"Свега за пројекат 1301-П4:",'ПО КОРИСНИЦИМА'!$I$7:$I$17281)</f>
        <v>0</v>
      </c>
      <c r="G473" s="685">
        <f t="shared" si="13"/>
        <v>0</v>
      </c>
      <c r="H473" s="691"/>
    </row>
    <row r="474" spans="1:8" hidden="1" x14ac:dyDescent="0.2">
      <c r="A474" s="657"/>
      <c r="B474" s="657" t="s">
        <v>4915</v>
      </c>
      <c r="C474" s="570" t="str">
        <f>IFERROR(VLOOKUP(B474,'ПО КОРИСНИЦИМА'!$C$7:$J$17281,5,FALSE),"")</f>
        <v/>
      </c>
      <c r="D474" s="689">
        <f>SUMIF('ПО КОРИСНИЦИМА'!$G$7:$G$17281,"Свега за пројекат 1301-П5:",'ПО КОРИСНИЦИМА'!$H$7:$H$17281)</f>
        <v>0</v>
      </c>
      <c r="E474" s="682">
        <f t="shared" si="26"/>
        <v>0</v>
      </c>
      <c r="F474" s="690">
        <f>SUMIF('ПО КОРИСНИЦИМА'!$G$7:$G$17281,"Свега за пројекат 1301-П5:",'ПО КОРИСНИЦИМА'!$I$7:$I$17281)</f>
        <v>0</v>
      </c>
      <c r="G474" s="685">
        <f t="shared" si="13"/>
        <v>0</v>
      </c>
      <c r="H474" s="691"/>
    </row>
    <row r="475" spans="1:8" hidden="1" x14ac:dyDescent="0.2">
      <c r="A475" s="657"/>
      <c r="B475" s="657" t="s">
        <v>4916</v>
      </c>
      <c r="C475" s="570" t="str">
        <f>IFERROR(VLOOKUP(B475,'ПО КОРИСНИЦИМА'!$C$7:$J$17281,5,FALSE),"")</f>
        <v/>
      </c>
      <c r="D475" s="689">
        <f>SUMIF('ПО КОРИСНИЦИМА'!$G$7:$G$17281,"Свега за пројекат 1301-П6:",'ПО КОРИСНИЦИМА'!$H$7:$H$17281)</f>
        <v>0</v>
      </c>
      <c r="E475" s="682">
        <f t="shared" si="26"/>
        <v>0</v>
      </c>
      <c r="F475" s="690">
        <f>SUMIF('ПО КОРИСНИЦИМА'!$G$7:$G$17281,"Свега за пројекат 1301-П6:",'ПО КОРИСНИЦИМА'!$I$7:$I$17281)</f>
        <v>0</v>
      </c>
      <c r="G475" s="685">
        <f t="shared" si="13"/>
        <v>0</v>
      </c>
      <c r="H475" s="691"/>
    </row>
    <row r="476" spans="1:8" hidden="1" x14ac:dyDescent="0.2">
      <c r="A476" s="657"/>
      <c r="B476" s="657" t="s">
        <v>4917</v>
      </c>
      <c r="C476" s="570" t="str">
        <f>IFERROR(VLOOKUP(B476,'ПО КОРИСНИЦИМА'!$C$7:$J$17281,5,FALSE),"")</f>
        <v/>
      </c>
      <c r="D476" s="689">
        <f>SUMIF('ПО КОРИСНИЦИМА'!$G$7:$G$17281,"Свега за пројекат 1301-П7:",'ПО КОРИСНИЦИМА'!$H$7:$H$17281)</f>
        <v>0</v>
      </c>
      <c r="E476" s="682">
        <f t="shared" si="26"/>
        <v>0</v>
      </c>
      <c r="F476" s="690">
        <f>SUMIF('ПО КОРИСНИЦИМА'!$G$7:$G$17281,"Свега за пројекат 1301-П7:",'ПО КОРИСНИЦИМА'!$I$7:$I$17281)</f>
        <v>0</v>
      </c>
      <c r="G476" s="685">
        <f t="shared" si="13"/>
        <v>0</v>
      </c>
      <c r="H476" s="691"/>
    </row>
    <row r="477" spans="1:8" hidden="1" x14ac:dyDescent="0.2">
      <c r="A477" s="657"/>
      <c r="B477" s="657" t="s">
        <v>4918</v>
      </c>
      <c r="C477" s="570" t="str">
        <f>IFERROR(VLOOKUP(B477,'ПО КОРИСНИЦИМА'!$C$7:$J$17281,5,FALSE),"")</f>
        <v/>
      </c>
      <c r="D477" s="689">
        <f>SUMIF('ПО КОРИСНИЦИМА'!$G$7:$G$17281,"Свега за пројекат 1301-П8:",'ПО КОРИСНИЦИМА'!$H$7:$H$17281)</f>
        <v>0</v>
      </c>
      <c r="E477" s="682">
        <f t="shared" si="26"/>
        <v>0</v>
      </c>
      <c r="F477" s="690">
        <f>SUMIF('ПО КОРИСНИЦИМА'!$G$7:$G$17281,"Свега за пројекат 1301-П8:",'ПО КОРИСНИЦИМА'!$I$7:$I$17281)</f>
        <v>0</v>
      </c>
      <c r="G477" s="685">
        <f t="shared" si="13"/>
        <v>0</v>
      </c>
      <c r="H477" s="691"/>
    </row>
    <row r="478" spans="1:8" hidden="1" x14ac:dyDescent="0.2">
      <c r="A478" s="657"/>
      <c r="B478" s="657" t="s">
        <v>4919</v>
      </c>
      <c r="C478" s="570" t="str">
        <f>IFERROR(VLOOKUP(B478,'ПО КОРИСНИЦИМА'!$C$7:$J$17281,5,FALSE),"")</f>
        <v/>
      </c>
      <c r="D478" s="689">
        <f>SUMIF('ПО КОРИСНИЦИМА'!$G$7:$G$17281,"Свега за пројекат 1301-П9:",'ПО КОРИСНИЦИМА'!$H$7:$H$17281)</f>
        <v>0</v>
      </c>
      <c r="E478" s="682">
        <f t="shared" si="26"/>
        <v>0</v>
      </c>
      <c r="F478" s="690">
        <f>SUMIF('ПО КОРИСНИЦИМА'!$G$7:$G$17281,"Свега за пројекат 1301-П9:",'ПО КОРИСНИЦИМА'!$I$7:$I$17281)</f>
        <v>0</v>
      </c>
      <c r="G478" s="685">
        <f t="shared" si="13"/>
        <v>0</v>
      </c>
      <c r="H478" s="691"/>
    </row>
    <row r="479" spans="1:8" hidden="1" x14ac:dyDescent="0.2">
      <c r="A479" s="657"/>
      <c r="B479" s="657" t="s">
        <v>4920</v>
      </c>
      <c r="C479" s="570" t="str">
        <f>IFERROR(VLOOKUP(B479,'ПО КОРИСНИЦИМА'!$C$7:$J$17281,5,FALSE),"")</f>
        <v/>
      </c>
      <c r="D479" s="689">
        <f>SUMIF('ПО КОРИСНИЦИМА'!$G$7:$G$17281,"Свега за пројекат 1301-П10:",'ПО КОРИСНИЦИМА'!$H$7:$H$17281)</f>
        <v>0</v>
      </c>
      <c r="E479" s="682">
        <f t="shared" si="26"/>
        <v>0</v>
      </c>
      <c r="F479" s="690">
        <f>SUMIF('ПО КОРИСНИЦИМА'!$G$7:$G$17281,"Свега за пројекат 1301-П10:",'ПО КОРИСНИЦИМА'!$I$7:$I$17281)</f>
        <v>0</v>
      </c>
      <c r="G479" s="685">
        <f t="shared" si="13"/>
        <v>0</v>
      </c>
      <c r="H479" s="691"/>
    </row>
    <row r="480" spans="1:8" hidden="1" x14ac:dyDescent="0.2">
      <c r="A480" s="657"/>
      <c r="B480" s="657" t="s">
        <v>4921</v>
      </c>
      <c r="C480" s="570" t="str">
        <f>IFERROR(VLOOKUP(B480,'ПО КОРИСНИЦИМА'!$C$7:$J$17281,5,FALSE),"")</f>
        <v/>
      </c>
      <c r="D480" s="689">
        <f>SUMIF('ПО КОРИСНИЦИМА'!$G$7:$G$17281,"Свега за пројекат 1301-П11:",'ПО КОРИСНИЦИМА'!$H$7:$H$17281)</f>
        <v>0</v>
      </c>
      <c r="E480" s="682">
        <f t="shared" si="26"/>
        <v>0</v>
      </c>
      <c r="F480" s="690">
        <f>SUMIF('ПО КОРИСНИЦИМА'!$G$7:$G$17281,"Свега за пројекат 1301-П11:",'ПО КОРИСНИЦИМА'!$I$7:$I$17281)</f>
        <v>0</v>
      </c>
      <c r="G480" s="685">
        <f t="shared" si="13"/>
        <v>0</v>
      </c>
      <c r="H480" s="691"/>
    </row>
    <row r="481" spans="1:8" hidden="1" x14ac:dyDescent="0.2">
      <c r="A481" s="657"/>
      <c r="B481" s="657" t="s">
        <v>4922</v>
      </c>
      <c r="C481" s="570" t="str">
        <f>IFERROR(VLOOKUP(B481,'ПО КОРИСНИЦИМА'!$C$7:$J$17281,5,FALSE),"")</f>
        <v/>
      </c>
      <c r="D481" s="689">
        <f>SUMIF('ПО КОРИСНИЦИМА'!$G$7:$G$17281,"Свега за пројекат 1301-П12:",'ПО КОРИСНИЦИМА'!$H$7:$H$17281)</f>
        <v>0</v>
      </c>
      <c r="E481" s="682">
        <f t="shared" si="26"/>
        <v>0</v>
      </c>
      <c r="F481" s="690">
        <f>SUMIF('ПО КОРИСНИЦИМА'!$G$7:$G$17281,"Свега за пројекат 1301-П12:",'ПО КОРИСНИЦИМА'!$I$7:$I$17281)</f>
        <v>0</v>
      </c>
      <c r="G481" s="685">
        <f t="shared" si="13"/>
        <v>0</v>
      </c>
      <c r="H481" s="691"/>
    </row>
    <row r="482" spans="1:8" hidden="1" x14ac:dyDescent="0.2">
      <c r="A482" s="657"/>
      <c r="B482" s="657" t="s">
        <v>4923</v>
      </c>
      <c r="C482" s="570" t="str">
        <f>IFERROR(VLOOKUP(B482,'ПО КОРИСНИЦИМА'!$C$7:$J$17281,5,FALSE),"")</f>
        <v/>
      </c>
      <c r="D482" s="689">
        <f>SUMIF('ПО КОРИСНИЦИМА'!$G$7:$G$17281,"Свега за пројекат 1301-П13:",'ПО КОРИСНИЦИМА'!$H$7:$H$17281)</f>
        <v>0</v>
      </c>
      <c r="E482" s="682">
        <f t="shared" si="26"/>
        <v>0</v>
      </c>
      <c r="F482" s="690">
        <f>SUMIF('ПО КОРИСНИЦИМА'!$G$7:$G$17281,"Свега за пројекат 1301-П13:",'ПО КОРИСНИЦИМА'!$I$7:$I$17281)</f>
        <v>0</v>
      </c>
      <c r="G482" s="685">
        <f t="shared" si="13"/>
        <v>0</v>
      </c>
      <c r="H482" s="691"/>
    </row>
    <row r="483" spans="1:8" hidden="1" x14ac:dyDescent="0.2">
      <c r="A483" s="657"/>
      <c r="B483" s="657" t="s">
        <v>4924</v>
      </c>
      <c r="C483" s="570" t="str">
        <f>IFERROR(VLOOKUP(B483,'ПО КОРИСНИЦИМА'!$C$7:$J$17281,5,FALSE),"")</f>
        <v/>
      </c>
      <c r="D483" s="689">
        <f>SUMIF('ПО КОРИСНИЦИМА'!$G$7:$G$17281,"Свега за пројекат 1301-П14:",'ПО КОРИСНИЦИМА'!$H$7:$H$17281)</f>
        <v>0</v>
      </c>
      <c r="E483" s="682">
        <f t="shared" si="26"/>
        <v>0</v>
      </c>
      <c r="F483" s="690">
        <f>SUMIF('ПО КОРИСНИЦИМА'!$G$7:$G$17281,"Свега за пројекат 1301-П14:",'ПО КОРИСНИЦИМА'!$I$7:$I$17281)</f>
        <v>0</v>
      </c>
      <c r="G483" s="685">
        <f t="shared" si="13"/>
        <v>0</v>
      </c>
      <c r="H483" s="691"/>
    </row>
    <row r="484" spans="1:8" hidden="1" x14ac:dyDescent="0.2">
      <c r="A484" s="657"/>
      <c r="B484" s="657" t="s">
        <v>4925</v>
      </c>
      <c r="C484" s="570" t="str">
        <f>IFERROR(VLOOKUP(B484,'ПО КОРИСНИЦИМА'!$C$7:$J$17281,5,FALSE),"")</f>
        <v/>
      </c>
      <c r="D484" s="689">
        <f>SUMIF('ПО КОРИСНИЦИМА'!$G$7:$G$17281,"Свега за пројекат 1301-П15:",'ПО КОРИСНИЦИМА'!$H$7:$H$17281)</f>
        <v>0</v>
      </c>
      <c r="E484" s="682">
        <f t="shared" si="26"/>
        <v>0</v>
      </c>
      <c r="F484" s="690">
        <f>SUMIF('ПО КОРИСНИЦИМА'!$G$7:$G$17281,"Свега за пројекат 1301-П15:",'ПО КОРИСНИЦИМА'!$I$7:$I$17281)</f>
        <v>0</v>
      </c>
      <c r="G484" s="685">
        <f t="shared" si="13"/>
        <v>0</v>
      </c>
      <c r="H484" s="691"/>
    </row>
    <row r="485" spans="1:8" hidden="1" x14ac:dyDescent="0.2">
      <c r="A485" s="657"/>
      <c r="B485" s="657" t="s">
        <v>4926</v>
      </c>
      <c r="C485" s="570" t="str">
        <f>IFERROR(VLOOKUP(B485,'ПО КОРИСНИЦИМА'!$C$7:$J$17281,5,FALSE),"")</f>
        <v/>
      </c>
      <c r="D485" s="689">
        <f>SUMIF('ПО КОРИСНИЦИМА'!$G$7:$G$17281,"Свега за пројекат 1301-П16:",'ПО КОРИСНИЦИМА'!$H$7:$H$17281)</f>
        <v>0</v>
      </c>
      <c r="E485" s="682">
        <f t="shared" si="26"/>
        <v>0</v>
      </c>
      <c r="F485" s="690">
        <f>SUMIF('ПО КОРИСНИЦИМА'!$G$7:$G$17281,"Свега за пројекат 1301-П16:",'ПО КОРИСНИЦИМА'!$I$7:$I$17281)</f>
        <v>0</v>
      </c>
      <c r="G485" s="685">
        <f t="shared" si="13"/>
        <v>0</v>
      </c>
      <c r="H485" s="691"/>
    </row>
    <row r="486" spans="1:8" hidden="1" x14ac:dyDescent="0.2">
      <c r="A486" s="657"/>
      <c r="B486" s="657" t="s">
        <v>4927</v>
      </c>
      <c r="C486" s="570" t="str">
        <f>IFERROR(VLOOKUP(B486,'ПО КОРИСНИЦИМА'!$C$7:$J$17281,5,FALSE),"")</f>
        <v/>
      </c>
      <c r="D486" s="689">
        <f>SUMIF('ПО КОРИСНИЦИМА'!$G$7:$G$17281,"Свега за пројекат 1301-П17:",'ПО КОРИСНИЦИМА'!$H$7:$H$17281)</f>
        <v>0</v>
      </c>
      <c r="E486" s="682">
        <f t="shared" si="26"/>
        <v>0</v>
      </c>
      <c r="F486" s="690">
        <f>SUMIF('ПО КОРИСНИЦИМА'!$G$7:$G$17281,"Свега за пројекат 1301-П17:",'ПО КОРИСНИЦИМА'!$I$7:$I$17281)</f>
        <v>0</v>
      </c>
      <c r="G486" s="685">
        <f t="shared" si="13"/>
        <v>0</v>
      </c>
      <c r="H486" s="691"/>
    </row>
    <row r="487" spans="1:8" hidden="1" x14ac:dyDescent="0.2">
      <c r="A487" s="657"/>
      <c r="B487" s="657" t="s">
        <v>4928</v>
      </c>
      <c r="C487" s="570" t="str">
        <f>IFERROR(VLOOKUP(B487,'ПО КОРИСНИЦИМА'!$C$7:$J$17281,5,FALSE),"")</f>
        <v/>
      </c>
      <c r="D487" s="689">
        <f>SUMIF('ПО КОРИСНИЦИМА'!$G$7:$G$17281,"Свега за пројекат 1301-П18:",'ПО КОРИСНИЦИМА'!$H$7:$H$17281)</f>
        <v>0</v>
      </c>
      <c r="E487" s="682">
        <f t="shared" si="26"/>
        <v>0</v>
      </c>
      <c r="F487" s="690">
        <f>SUMIF('ПО КОРИСНИЦИМА'!$G$7:$G$17281,"Свега за пројекат 1301-П18:",'ПО КОРИСНИЦИМА'!$I$7:$I$17281)</f>
        <v>0</v>
      </c>
      <c r="G487" s="685">
        <f t="shared" si="13"/>
        <v>0</v>
      </c>
      <c r="H487" s="691"/>
    </row>
    <row r="488" spans="1:8" hidden="1" x14ac:dyDescent="0.2">
      <c r="A488" s="657"/>
      <c r="B488" s="657" t="s">
        <v>4929</v>
      </c>
      <c r="C488" s="570" t="str">
        <f>IFERROR(VLOOKUP(B488,'ПО КОРИСНИЦИМА'!$C$7:$J$17281,5,FALSE),"")</f>
        <v/>
      </c>
      <c r="D488" s="689">
        <f>SUMIF('ПО КОРИСНИЦИМА'!$G$7:$G$17281,"Свега за пројекат 1301-П19:",'ПО КОРИСНИЦИМА'!$H$7:$H$17281)</f>
        <v>0</v>
      </c>
      <c r="E488" s="682">
        <f t="shared" si="26"/>
        <v>0</v>
      </c>
      <c r="F488" s="690">
        <f>SUMIF('ПО КОРИСНИЦИМА'!$G$7:$G$17281,"Свега за пројекат 1301-П19:",'ПО КОРИСНИЦИМА'!$I$7:$I$17281)</f>
        <v>0</v>
      </c>
      <c r="G488" s="685">
        <f t="shared" si="13"/>
        <v>0</v>
      </c>
      <c r="H488" s="691"/>
    </row>
    <row r="489" spans="1:8" hidden="1" x14ac:dyDescent="0.2">
      <c r="A489" s="657"/>
      <c r="B489" s="657" t="s">
        <v>4930</v>
      </c>
      <c r="C489" s="570" t="str">
        <f>IFERROR(VLOOKUP(B489,'ПО КОРИСНИЦИМА'!$C$7:$J$17281,5,FALSE),"")</f>
        <v/>
      </c>
      <c r="D489" s="689">
        <f>SUMIF('ПО КОРИСНИЦИМА'!$G$7:$G$17281,"Свега за пројекат 1301-П20:",'ПО КОРИСНИЦИМА'!$H$7:$H$17281)</f>
        <v>0</v>
      </c>
      <c r="E489" s="682">
        <f t="shared" si="26"/>
        <v>0</v>
      </c>
      <c r="F489" s="690">
        <f>SUMIF('ПО КОРИСНИЦИМА'!$G$7:$G$17281,"Свега за пројекат 1301-П20:",'ПО КОРИСНИЦИМА'!$I$7:$I$17281)</f>
        <v>0</v>
      </c>
      <c r="G489" s="685">
        <f t="shared" si="13"/>
        <v>0</v>
      </c>
      <c r="H489" s="691"/>
    </row>
    <row r="490" spans="1:8" hidden="1" x14ac:dyDescent="0.2">
      <c r="A490" s="657"/>
      <c r="B490" s="657" t="s">
        <v>4931</v>
      </c>
      <c r="C490" s="570" t="str">
        <f>IFERROR(VLOOKUP(B490,'ПО КОРИСНИЦИМА'!$C$7:$J$17281,5,FALSE),"")</f>
        <v/>
      </c>
      <c r="D490" s="689">
        <f>SUMIF('ПО КОРИСНИЦИМА'!$G$7:$G$17281,"Свега за пројекат 1301-П21:",'ПО КОРИСНИЦИМА'!$H$7:$H$17281)</f>
        <v>0</v>
      </c>
      <c r="E490" s="682">
        <f t="shared" si="26"/>
        <v>0</v>
      </c>
      <c r="F490" s="690">
        <f>SUMIF('ПО КОРИСНИЦИМА'!$G$7:$G$17281,"Свега за пројекат 1301-П21:",'ПО КОРИСНИЦИМА'!$I$7:$I$17281)</f>
        <v>0</v>
      </c>
      <c r="G490" s="685">
        <f t="shared" si="13"/>
        <v>0</v>
      </c>
      <c r="H490" s="691"/>
    </row>
    <row r="491" spans="1:8" hidden="1" x14ac:dyDescent="0.2">
      <c r="A491" s="657"/>
      <c r="B491" s="657" t="s">
        <v>4932</v>
      </c>
      <c r="C491" s="570" t="str">
        <f>IFERROR(VLOOKUP(B491,'ПО КОРИСНИЦИМА'!$C$7:$J$17281,5,FALSE),"")</f>
        <v/>
      </c>
      <c r="D491" s="689">
        <f>SUMIF('ПО КОРИСНИЦИМА'!$G$7:$G$17281,"Свега за пројекат 1301-П22:",'ПО КОРИСНИЦИМА'!$H$7:$H$17281)</f>
        <v>0</v>
      </c>
      <c r="E491" s="682">
        <f t="shared" si="26"/>
        <v>0</v>
      </c>
      <c r="F491" s="690">
        <f>SUMIF('ПО КОРИСНИЦИМА'!$G$7:$G$17281,"Свега за пројекат 1301-П22:",'ПО КОРИСНИЦИМА'!$I$7:$I$17281)</f>
        <v>0</v>
      </c>
      <c r="G491" s="685">
        <f t="shared" si="13"/>
        <v>0</v>
      </c>
      <c r="H491" s="691"/>
    </row>
    <row r="492" spans="1:8" hidden="1" x14ac:dyDescent="0.2">
      <c r="A492" s="657"/>
      <c r="B492" s="657" t="s">
        <v>4933</v>
      </c>
      <c r="C492" s="570" t="str">
        <f>IFERROR(VLOOKUP(B492,'ПО КОРИСНИЦИМА'!$C$7:$J$17281,5,FALSE),"")</f>
        <v/>
      </c>
      <c r="D492" s="689">
        <f>SUMIF('ПО КОРИСНИЦИМА'!$G$7:$G$17281,"Свега за пројекат 1301-П23:",'ПО КОРИСНИЦИМА'!$H$7:$H$17281)</f>
        <v>0</v>
      </c>
      <c r="E492" s="682">
        <f t="shared" si="26"/>
        <v>0</v>
      </c>
      <c r="F492" s="690">
        <f>SUMIF('ПО КОРИСНИЦИМА'!$G$7:$G$17281,"Свега за пројекат 1301-П23:",'ПО КОРИСНИЦИМА'!$I$7:$I$17281)</f>
        <v>0</v>
      </c>
      <c r="G492" s="685">
        <f t="shared" si="13"/>
        <v>0</v>
      </c>
      <c r="H492" s="691"/>
    </row>
    <row r="493" spans="1:8" hidden="1" x14ac:dyDescent="0.2">
      <c r="A493" s="657"/>
      <c r="B493" s="657" t="s">
        <v>4934</v>
      </c>
      <c r="C493" s="570" t="str">
        <f>IFERROR(VLOOKUP(B493,'ПО КОРИСНИЦИМА'!$C$7:$J$17281,5,FALSE),"")</f>
        <v/>
      </c>
      <c r="D493" s="689">
        <f>SUMIF('ПО КОРИСНИЦИМА'!$G$7:$G$17281,"Свега за пројекат 1301-П24:",'ПО КОРИСНИЦИМА'!$H$7:$H$17281)</f>
        <v>0</v>
      </c>
      <c r="E493" s="682">
        <f t="shared" si="26"/>
        <v>0</v>
      </c>
      <c r="F493" s="690">
        <f>SUMIF('ПО КОРИСНИЦИМА'!$G$7:$G$17281,"Свега за пројекат 1301-П24:",'ПО КОРИСНИЦИМА'!$I$7:$I$17281)</f>
        <v>0</v>
      </c>
      <c r="G493" s="685">
        <f t="shared" si="13"/>
        <v>0</v>
      </c>
      <c r="H493" s="691"/>
    </row>
    <row r="494" spans="1:8" hidden="1" x14ac:dyDescent="0.2">
      <c r="A494" s="657"/>
      <c r="B494" s="657" t="s">
        <v>4935</v>
      </c>
      <c r="C494" s="570" t="str">
        <f>IFERROR(VLOOKUP(B494,'ПО КОРИСНИЦИМА'!$C$7:$J$17281,5,FALSE),"")</f>
        <v/>
      </c>
      <c r="D494" s="689">
        <f>SUMIF('ПО КОРИСНИЦИМА'!$G$7:$G$17281,"Свега за пројекат 1301-П25:",'ПО КОРИСНИЦИМА'!$H$7:$H$17281)</f>
        <v>0</v>
      </c>
      <c r="E494" s="682">
        <f t="shared" si="26"/>
        <v>0</v>
      </c>
      <c r="F494" s="690">
        <f>SUMIF('ПО КОРИСНИЦИМА'!$G$7:$G$17281,"Свега за пројекат 1301-П25:",'ПО КОРИСНИЦИМА'!$I$7:$I$17281)</f>
        <v>0</v>
      </c>
      <c r="G494" s="685">
        <f t="shared" si="13"/>
        <v>0</v>
      </c>
      <c r="H494" s="691"/>
    </row>
    <row r="495" spans="1:8" hidden="1" x14ac:dyDescent="0.2">
      <c r="A495" s="657"/>
      <c r="B495" s="657" t="s">
        <v>4936</v>
      </c>
      <c r="C495" s="570" t="str">
        <f>IFERROR(VLOOKUP(B495,'ПО КОРИСНИЦИМА'!$C$7:$J$17281,5,FALSE),"")</f>
        <v/>
      </c>
      <c r="D495" s="689">
        <f>SUMIF('ПО КОРИСНИЦИМА'!$G$7:$G$17281,"Свега за пројекат 1301-П26:",'ПО КОРИСНИЦИМА'!$H$7:$H$17281)</f>
        <v>0</v>
      </c>
      <c r="E495" s="682">
        <f t="shared" si="26"/>
        <v>0</v>
      </c>
      <c r="F495" s="690">
        <f>SUMIF('ПО КОРИСНИЦИМА'!$G$7:$G$17281,"Свега за пројекат 1301-П26:",'ПО КОРИСНИЦИМА'!$I$7:$I$17281)</f>
        <v>0</v>
      </c>
      <c r="G495" s="685">
        <f t="shared" si="13"/>
        <v>0</v>
      </c>
      <c r="H495" s="691"/>
    </row>
    <row r="496" spans="1:8" hidden="1" x14ac:dyDescent="0.2">
      <c r="A496" s="657"/>
      <c r="B496" s="657" t="s">
        <v>4937</v>
      </c>
      <c r="C496" s="570" t="str">
        <f>IFERROR(VLOOKUP(B496,'ПО КОРИСНИЦИМА'!$C$7:$J$17281,5,FALSE),"")</f>
        <v/>
      </c>
      <c r="D496" s="689">
        <f>SUMIF('ПО КОРИСНИЦИМА'!$G$7:$G$17281,"Свега за пројекат 1301-П27:",'ПО КОРИСНИЦИМА'!$H$7:$H$17281)</f>
        <v>0</v>
      </c>
      <c r="E496" s="682">
        <f t="shared" si="26"/>
        <v>0</v>
      </c>
      <c r="F496" s="690">
        <f>SUMIF('ПО КОРИСНИЦИМА'!$G$7:$G$17281,"Свега за пројекат 1301-П27:",'ПО КОРИСНИЦИМА'!$I$7:$I$17281)</f>
        <v>0</v>
      </c>
      <c r="G496" s="685">
        <f t="shared" si="13"/>
        <v>0</v>
      </c>
      <c r="H496" s="691"/>
    </row>
    <row r="497" spans="1:8" hidden="1" x14ac:dyDescent="0.2">
      <c r="A497" s="657"/>
      <c r="B497" s="657" t="s">
        <v>4938</v>
      </c>
      <c r="C497" s="570" t="str">
        <f>IFERROR(VLOOKUP(B497,'ПО КОРИСНИЦИМА'!$C$7:$J$17281,5,FALSE),"")</f>
        <v/>
      </c>
      <c r="D497" s="689">
        <f>SUMIF('ПО КОРИСНИЦИМА'!$G$7:$G$17281,"Свега за пројекат 1301-П28:",'ПО КОРИСНИЦИМА'!$H$7:$H$17281)</f>
        <v>0</v>
      </c>
      <c r="E497" s="682">
        <f t="shared" si="26"/>
        <v>0</v>
      </c>
      <c r="F497" s="690">
        <f>SUMIF('ПО КОРИСНИЦИМА'!$G$7:$G$17281,"Свега за пројекат 1301-П28:",'ПО КОРИСНИЦИМА'!$I$7:$I$17281)</f>
        <v>0</v>
      </c>
      <c r="G497" s="685">
        <f t="shared" si="13"/>
        <v>0</v>
      </c>
      <c r="H497" s="691"/>
    </row>
    <row r="498" spans="1:8" hidden="1" x14ac:dyDescent="0.2">
      <c r="A498" s="657"/>
      <c r="B498" s="657" t="s">
        <v>4939</v>
      </c>
      <c r="C498" s="570" t="str">
        <f>IFERROR(VLOOKUP(B498,'ПО КОРИСНИЦИМА'!$C$7:$J$17281,5,FALSE),"")</f>
        <v/>
      </c>
      <c r="D498" s="689">
        <f>SUMIF('ПО КОРИСНИЦИМА'!$G$7:$G$17281,"Свега за пројекат 1301-П29:",'ПО КОРИСНИЦИМА'!$H$7:$H$17281)</f>
        <v>0</v>
      </c>
      <c r="E498" s="682">
        <f t="shared" si="26"/>
        <v>0</v>
      </c>
      <c r="F498" s="690">
        <f>SUMIF('ПО КОРИСНИЦИМА'!$G$7:$G$17281,"Свега за пројекат 1301-П29:",'ПО КОРИСНИЦИМА'!$I$7:$I$17281)</f>
        <v>0</v>
      </c>
      <c r="G498" s="685">
        <f t="shared" si="13"/>
        <v>0</v>
      </c>
      <c r="H498" s="691"/>
    </row>
    <row r="499" spans="1:8" hidden="1" x14ac:dyDescent="0.2">
      <c r="A499" s="657"/>
      <c r="B499" s="657" t="s">
        <v>4940</v>
      </c>
      <c r="C499" s="570" t="str">
        <f>IFERROR(VLOOKUP(B499,'ПО КОРИСНИЦИМА'!$C$7:$J$17281,5,FALSE),"")</f>
        <v/>
      </c>
      <c r="D499" s="689">
        <f>SUMIF('ПО КОРИСНИЦИМА'!$G$7:$G$17281,"Свега за пројекат 1301-П30:",'ПО КОРИСНИЦИМА'!$H$7:$H$17281)</f>
        <v>0</v>
      </c>
      <c r="E499" s="682">
        <f t="shared" si="26"/>
        <v>0</v>
      </c>
      <c r="F499" s="690">
        <f>SUMIF('ПО КОРИСНИЦИМА'!$G$7:$G$17281,"Свега за пројекат 1301-П30:",'ПО КОРИСНИЦИМА'!$I$7:$I$17281)</f>
        <v>0</v>
      </c>
      <c r="G499" s="685">
        <f t="shared" si="13"/>
        <v>0</v>
      </c>
      <c r="H499" s="691"/>
    </row>
    <row r="500" spans="1:8" hidden="1" x14ac:dyDescent="0.2">
      <c r="A500" s="657"/>
      <c r="B500" s="657" t="s">
        <v>4941</v>
      </c>
      <c r="C500" s="570" t="str">
        <f>IFERROR(VLOOKUP(B500,'ПО КОРИСНИЦИМА'!$C$7:$J$17281,5,FALSE),"")</f>
        <v/>
      </c>
      <c r="D500" s="689">
        <f>SUMIF('ПО КОРИСНИЦИМА'!$G$7:$G$17281,"Свега за пројекат 1301-П31:",'ПО КОРИСНИЦИМА'!$H$7:$H$17281)</f>
        <v>0</v>
      </c>
      <c r="E500" s="682">
        <f t="shared" si="26"/>
        <v>0</v>
      </c>
      <c r="F500" s="690">
        <f>SUMIF('ПО КОРИСНИЦИМА'!$G$7:$G$17281,"Свега за пројекат 1301-П31:",'ПО КОРИСНИЦИМА'!$I$7:$I$17281)</f>
        <v>0</v>
      </c>
      <c r="G500" s="685">
        <f t="shared" si="13"/>
        <v>0</v>
      </c>
      <c r="H500" s="691"/>
    </row>
    <row r="501" spans="1:8" hidden="1" x14ac:dyDescent="0.2">
      <c r="A501" s="657"/>
      <c r="B501" s="657" t="s">
        <v>4942</v>
      </c>
      <c r="C501" s="570" t="str">
        <f>IFERROR(VLOOKUP(B501,'ПО КОРИСНИЦИМА'!$C$7:$J$17281,5,FALSE),"")</f>
        <v/>
      </c>
      <c r="D501" s="689">
        <f>SUMIF('ПО КОРИСНИЦИМА'!$G$7:$G$17281,"Свега за пројекат 1301-П32:",'ПО КОРИСНИЦИМА'!$H$7:$H$17281)</f>
        <v>0</v>
      </c>
      <c r="E501" s="682">
        <f t="shared" si="26"/>
        <v>0</v>
      </c>
      <c r="F501" s="690">
        <f>SUMIF('ПО КОРИСНИЦИМА'!$G$7:$G$17281,"Свега за пројекат 1301-П32:",'ПО КОРИСНИЦИМА'!$I$7:$I$17281)</f>
        <v>0</v>
      </c>
      <c r="G501" s="685">
        <f t="shared" si="13"/>
        <v>0</v>
      </c>
      <c r="H501" s="691"/>
    </row>
    <row r="502" spans="1:8" hidden="1" x14ac:dyDescent="0.2">
      <c r="A502" s="657"/>
      <c r="B502" s="657" t="s">
        <v>4943</v>
      </c>
      <c r="C502" s="570" t="str">
        <f>IFERROR(VLOOKUP(B502,'ПО КОРИСНИЦИМА'!$C$7:$J$17281,5,FALSE),"")</f>
        <v/>
      </c>
      <c r="D502" s="689">
        <f>SUMIF('ПО КОРИСНИЦИМА'!$G$7:$G$17281,"Свега за пројекат 1301-П33:",'ПО КОРИСНИЦИМА'!$H$7:$H$17281)</f>
        <v>0</v>
      </c>
      <c r="E502" s="682">
        <f t="shared" si="26"/>
        <v>0</v>
      </c>
      <c r="F502" s="690">
        <f>SUMIF('ПО КОРИСНИЦИМА'!$G$7:$G$17281,"Свега за пројекат 1301-П33:",'ПО КОРИСНИЦИМА'!$I$7:$I$17281)</f>
        <v>0</v>
      </c>
      <c r="G502" s="685">
        <f t="shared" si="13"/>
        <v>0</v>
      </c>
      <c r="H502" s="691"/>
    </row>
    <row r="503" spans="1:8" hidden="1" x14ac:dyDescent="0.2">
      <c r="A503" s="657"/>
      <c r="B503" s="657" t="s">
        <v>4944</v>
      </c>
      <c r="C503" s="570" t="str">
        <f>IFERROR(VLOOKUP(B503,'ПО КОРИСНИЦИМА'!$C$7:$J$17281,5,FALSE),"")</f>
        <v/>
      </c>
      <c r="D503" s="689">
        <f>SUMIF('ПО КОРИСНИЦИМА'!$G$7:$G$17281,"Свега за пројекат 1301-П34:",'ПО КОРИСНИЦИМА'!$H$7:$H$17281)</f>
        <v>0</v>
      </c>
      <c r="E503" s="682">
        <f t="shared" si="26"/>
        <v>0</v>
      </c>
      <c r="F503" s="690">
        <f>SUMIF('ПО КОРИСНИЦИМА'!$G$7:$G$17281,"Свега за пројекат 1301-П34:",'ПО КОРИСНИЦИМА'!$I$7:$I$17281)</f>
        <v>0</v>
      </c>
      <c r="G503" s="685">
        <f t="shared" si="13"/>
        <v>0</v>
      </c>
      <c r="H503" s="691"/>
    </row>
    <row r="504" spans="1:8" hidden="1" x14ac:dyDescent="0.2">
      <c r="A504" s="657"/>
      <c r="B504" s="657" t="s">
        <v>4945</v>
      </c>
      <c r="C504" s="570" t="str">
        <f>IFERROR(VLOOKUP(B504,'ПО КОРИСНИЦИМА'!$C$7:$J$17281,5,FALSE),"")</f>
        <v/>
      </c>
      <c r="D504" s="689">
        <f>SUMIF('ПО КОРИСНИЦИМА'!$G$7:$G$17281,"Свега за пројекат 1301-П35:",'ПО КОРИСНИЦИМА'!$H$7:$H$17281)</f>
        <v>0</v>
      </c>
      <c r="E504" s="682">
        <f t="shared" si="26"/>
        <v>0</v>
      </c>
      <c r="F504" s="690">
        <f>SUMIF('ПО КОРИСНИЦИМА'!$G$7:$G$17281,"Свега за пројекат 1301-П35:",'ПО КОРИСНИЦИМА'!$I$7:$I$17281)</f>
        <v>0</v>
      </c>
      <c r="G504" s="685">
        <f t="shared" si="13"/>
        <v>0</v>
      </c>
      <c r="H504" s="691"/>
    </row>
    <row r="505" spans="1:8" hidden="1" x14ac:dyDescent="0.2">
      <c r="A505" s="657"/>
      <c r="B505" s="657" t="s">
        <v>4946</v>
      </c>
      <c r="C505" s="570" t="str">
        <f>IFERROR(VLOOKUP(B505,'ПО КОРИСНИЦИМА'!$C$7:$J$17281,5,FALSE),"")</f>
        <v/>
      </c>
      <c r="D505" s="689">
        <f>SUMIF('ПО КОРИСНИЦИМА'!$G$7:$G$17281,"Свега за пројекат 1301-П36:",'ПО КОРИСНИЦИМА'!$H$7:$H$17281)</f>
        <v>0</v>
      </c>
      <c r="E505" s="682">
        <f t="shared" si="26"/>
        <v>0</v>
      </c>
      <c r="F505" s="690">
        <f>SUMIF('ПО КОРИСНИЦИМА'!$G$7:$G$17281,"Свега за пројекат 1301-П36:",'ПО КОРИСНИЦИМА'!$I$7:$I$17281)</f>
        <v>0</v>
      </c>
      <c r="G505" s="685">
        <f t="shared" si="13"/>
        <v>0</v>
      </c>
      <c r="H505" s="691"/>
    </row>
    <row r="506" spans="1:8" hidden="1" x14ac:dyDescent="0.2">
      <c r="A506" s="657"/>
      <c r="B506" s="657" t="s">
        <v>4947</v>
      </c>
      <c r="C506" s="570" t="str">
        <f>IFERROR(VLOOKUP(B506,'ПО КОРИСНИЦИМА'!$C$7:$J$17281,5,FALSE),"")</f>
        <v/>
      </c>
      <c r="D506" s="689">
        <f>SUMIF('ПО КОРИСНИЦИМА'!$G$7:$G$17281,"Свега за пројекат 1301-П37:",'ПО КОРИСНИЦИМА'!$H$7:$H$17281)</f>
        <v>0</v>
      </c>
      <c r="E506" s="682">
        <f t="shared" si="26"/>
        <v>0</v>
      </c>
      <c r="F506" s="690">
        <f>SUMIF('ПО КОРИСНИЦИМА'!$G$7:$G$17281,"Свега за пројекат 1301-П37:",'ПО КОРИСНИЦИМА'!$I$7:$I$17281)</f>
        <v>0</v>
      </c>
      <c r="G506" s="685">
        <f t="shared" si="13"/>
        <v>0</v>
      </c>
      <c r="H506" s="691"/>
    </row>
    <row r="507" spans="1:8" hidden="1" x14ac:dyDescent="0.2">
      <c r="A507" s="657"/>
      <c r="B507" s="657" t="s">
        <v>4948</v>
      </c>
      <c r="C507" s="570" t="str">
        <f>IFERROR(VLOOKUP(B507,'ПО КОРИСНИЦИМА'!$C$7:$J$17281,5,FALSE),"")</f>
        <v/>
      </c>
      <c r="D507" s="689">
        <f>SUMIF('ПО КОРИСНИЦИМА'!$G$7:$G$17281,"Свега за пројекат 1301-П38:",'ПО КОРИСНИЦИМА'!$H$7:$H$17281)</f>
        <v>0</v>
      </c>
      <c r="E507" s="682">
        <f t="shared" si="26"/>
        <v>0</v>
      </c>
      <c r="F507" s="690">
        <f>SUMIF('ПО КОРИСНИЦИМА'!$G$7:$G$17281,"Свега за пројекат 1301-П38:",'ПО КОРИСНИЦИМА'!$I$7:$I$17281)</f>
        <v>0</v>
      </c>
      <c r="G507" s="685">
        <f t="shared" si="13"/>
        <v>0</v>
      </c>
      <c r="H507" s="691"/>
    </row>
    <row r="508" spans="1:8" hidden="1" x14ac:dyDescent="0.2">
      <c r="A508" s="657"/>
      <c r="B508" s="657" t="s">
        <v>4949</v>
      </c>
      <c r="C508" s="570" t="str">
        <f>IFERROR(VLOOKUP(B508,'ПО КОРИСНИЦИМА'!$C$7:$J$17281,5,FALSE),"")</f>
        <v/>
      </c>
      <c r="D508" s="689">
        <f>SUMIF('ПО КОРИСНИЦИМА'!$G$7:$G$17281,"Свега за пројекат 1301-П39:",'ПО КОРИСНИЦИМА'!$H$7:$H$17281)</f>
        <v>0</v>
      </c>
      <c r="E508" s="682">
        <f t="shared" si="26"/>
        <v>0</v>
      </c>
      <c r="F508" s="690">
        <f>SUMIF('ПО КОРИСНИЦИМА'!$G$7:$G$17281,"Свега за пројекат 1301-П39:",'ПО КОРИСНИЦИМА'!$I$7:$I$17281)</f>
        <v>0</v>
      </c>
      <c r="G508" s="685">
        <f t="shared" si="13"/>
        <v>0</v>
      </c>
      <c r="H508" s="691"/>
    </row>
    <row r="509" spans="1:8" hidden="1" x14ac:dyDescent="0.2">
      <c r="A509" s="657"/>
      <c r="B509" s="657" t="s">
        <v>4950</v>
      </c>
      <c r="C509" s="570" t="str">
        <f>IFERROR(VLOOKUP(B509,'ПО КОРИСНИЦИМА'!$C$7:$J$17281,5,FALSE),"")</f>
        <v/>
      </c>
      <c r="D509" s="689">
        <f>SUMIF('ПО КОРИСНИЦИМА'!$G$7:$G$17281,"Свега за пројекат 1301-П40:",'ПО КОРИСНИЦИМА'!$H$7:$H$17281)</f>
        <v>0</v>
      </c>
      <c r="E509" s="682">
        <f t="shared" si="26"/>
        <v>0</v>
      </c>
      <c r="F509" s="690">
        <f>SUMIF('ПО КОРИСНИЦИМА'!$G$7:$G$17281,"Свега за пројекат 1301-П40:",'ПО КОРИСНИЦИМА'!$I$7:$I$17281)</f>
        <v>0</v>
      </c>
      <c r="G509" s="685">
        <f t="shared" si="13"/>
        <v>0</v>
      </c>
      <c r="H509" s="691"/>
    </row>
    <row r="510" spans="1:8" hidden="1" x14ac:dyDescent="0.2">
      <c r="A510" s="657"/>
      <c r="B510" s="657" t="s">
        <v>4951</v>
      </c>
      <c r="C510" s="570" t="str">
        <f>IFERROR(VLOOKUP(B510,'ПО КОРИСНИЦИМА'!$C$7:$J$17281,5,FALSE),"")</f>
        <v/>
      </c>
      <c r="D510" s="689">
        <f>SUMIF('ПО КОРИСНИЦИМА'!$G$7:$G$17281,"Свега за пројекат 1301-П41:",'ПО КОРИСНИЦИМА'!$H$7:$H$17281)</f>
        <v>0</v>
      </c>
      <c r="E510" s="682">
        <f t="shared" si="26"/>
        <v>0</v>
      </c>
      <c r="F510" s="690">
        <f>SUMIF('ПО КОРИСНИЦИМА'!$G$7:$G$17281,"Свега за пројекат 1301-П41:",'ПО КОРИСНИЦИМА'!$I$7:$I$17281)</f>
        <v>0</v>
      </c>
      <c r="G510" s="685">
        <f t="shared" si="13"/>
        <v>0</v>
      </c>
      <c r="H510" s="691"/>
    </row>
    <row r="511" spans="1:8" hidden="1" x14ac:dyDescent="0.2">
      <c r="A511" s="657"/>
      <c r="B511" s="657" t="s">
        <v>4952</v>
      </c>
      <c r="C511" s="570" t="str">
        <f>IFERROR(VLOOKUP(B511,'ПО КОРИСНИЦИМА'!$C$7:$J$17281,5,FALSE),"")</f>
        <v/>
      </c>
      <c r="D511" s="689">
        <f>SUMIF('ПО КОРИСНИЦИМА'!$G$7:$G$17281,"Свега за пројекат 1301-П42:",'ПО КОРИСНИЦИМА'!$H$7:$H$17281)</f>
        <v>0</v>
      </c>
      <c r="E511" s="682">
        <f t="shared" si="26"/>
        <v>0</v>
      </c>
      <c r="F511" s="690">
        <f>SUMIF('ПО КОРИСНИЦИМА'!$G$7:$G$17281,"Свега за пројекат 1301-П42:",'ПО КОРИСНИЦИМА'!$I$7:$I$17281)</f>
        <v>0</v>
      </c>
      <c r="G511" s="685">
        <f t="shared" si="13"/>
        <v>0</v>
      </c>
      <c r="H511" s="691"/>
    </row>
    <row r="512" spans="1:8" hidden="1" x14ac:dyDescent="0.2">
      <c r="A512" s="657"/>
      <c r="B512" s="657" t="s">
        <v>4953</v>
      </c>
      <c r="C512" s="570" t="str">
        <f>IFERROR(VLOOKUP(B512,'ПО КОРИСНИЦИМА'!$C$7:$J$17281,5,FALSE),"")</f>
        <v/>
      </c>
      <c r="D512" s="689">
        <f>SUMIF('ПО КОРИСНИЦИМА'!$G$7:$G$17281,"Свега за пројекат 1301-П43:",'ПО КОРИСНИЦИМА'!$H$7:$H$17281)</f>
        <v>0</v>
      </c>
      <c r="E512" s="682">
        <f t="shared" si="26"/>
        <v>0</v>
      </c>
      <c r="F512" s="690">
        <f>SUMIF('ПО КОРИСНИЦИМА'!$G$7:$G$17281,"Свега за пројекат 1301-П43:",'ПО КОРИСНИЦИМА'!$I$7:$I$17281)</f>
        <v>0</v>
      </c>
      <c r="G512" s="685">
        <f t="shared" si="13"/>
        <v>0</v>
      </c>
      <c r="H512" s="691"/>
    </row>
    <row r="513" spans="1:8" hidden="1" x14ac:dyDescent="0.2">
      <c r="A513" s="657"/>
      <c r="B513" s="657" t="s">
        <v>4954</v>
      </c>
      <c r="C513" s="570" t="str">
        <f>IFERROR(VLOOKUP(B513,'ПО КОРИСНИЦИМА'!$C$7:$J$17281,5,FALSE),"")</f>
        <v/>
      </c>
      <c r="D513" s="689">
        <f>SUMIF('ПО КОРИСНИЦИМА'!$G$7:$G$17281,"Свега за пројекат 1301-П44:",'ПО КОРИСНИЦИМА'!$H$7:$H$17281)</f>
        <v>0</v>
      </c>
      <c r="E513" s="682">
        <f t="shared" si="26"/>
        <v>0</v>
      </c>
      <c r="F513" s="690">
        <f>SUMIF('ПО КОРИСНИЦИМА'!$G$7:$G$17281,"Свега за пројекат 1301-П44:",'ПО КОРИСНИЦИМА'!$I$7:$I$17281)</f>
        <v>0</v>
      </c>
      <c r="G513" s="685">
        <f t="shared" si="13"/>
        <v>0</v>
      </c>
      <c r="H513" s="691"/>
    </row>
    <row r="514" spans="1:8" hidden="1" x14ac:dyDescent="0.2">
      <c r="A514" s="657"/>
      <c r="B514" s="657" t="s">
        <v>4955</v>
      </c>
      <c r="C514" s="570" t="str">
        <f>IFERROR(VLOOKUP(B514,'ПО КОРИСНИЦИМА'!$C$7:$J$17281,5,FALSE),"")</f>
        <v/>
      </c>
      <c r="D514" s="689">
        <f>SUMIF('ПО КОРИСНИЦИМА'!$G$7:$G$17281,"Свега за пројекат 1301-П45:",'ПО КОРИСНИЦИМА'!$H$7:$H$17281)</f>
        <v>0</v>
      </c>
      <c r="E514" s="682">
        <f t="shared" si="26"/>
        <v>0</v>
      </c>
      <c r="F514" s="690">
        <f>SUMIF('ПО КОРИСНИЦИМА'!$G$7:$G$17281,"Свега за пројекат 1301-П45:",'ПО КОРИСНИЦИМА'!$I$7:$I$17281)</f>
        <v>0</v>
      </c>
      <c r="G514" s="685">
        <f t="shared" si="13"/>
        <v>0</v>
      </c>
      <c r="H514" s="691"/>
    </row>
    <row r="515" spans="1:8" hidden="1" x14ac:dyDescent="0.2">
      <c r="A515" s="657"/>
      <c r="B515" s="657" t="s">
        <v>4956</v>
      </c>
      <c r="C515" s="570" t="str">
        <f>IFERROR(VLOOKUP(B515,'ПО КОРИСНИЦИМА'!$C$7:$J$17281,5,FALSE),"")</f>
        <v/>
      </c>
      <c r="D515" s="689">
        <f>SUMIF('ПО КОРИСНИЦИМА'!$G$7:$G$17281,"Свега за пројекат 1301-П46:",'ПО КОРИСНИЦИМА'!$H$7:$H$17281)</f>
        <v>0</v>
      </c>
      <c r="E515" s="682">
        <f t="shared" si="26"/>
        <v>0</v>
      </c>
      <c r="F515" s="690">
        <f>SUMIF('ПО КОРИСНИЦИМА'!$G$7:$G$17281,"Свега за пројекат 1301-П46:",'ПО КОРИСНИЦИМА'!$I$7:$I$17281)</f>
        <v>0</v>
      </c>
      <c r="G515" s="685">
        <f t="shared" si="13"/>
        <v>0</v>
      </c>
      <c r="H515" s="691"/>
    </row>
    <row r="516" spans="1:8" hidden="1" x14ac:dyDescent="0.2">
      <c r="A516" s="657"/>
      <c r="B516" s="657" t="s">
        <v>4957</v>
      </c>
      <c r="C516" s="570" t="str">
        <f>IFERROR(VLOOKUP(B516,'ПО КОРИСНИЦИМА'!$C$7:$J$17281,5,FALSE),"")</f>
        <v/>
      </c>
      <c r="D516" s="689">
        <f>SUMIF('ПО КОРИСНИЦИМА'!$G$7:$G$17281,"Свега за пројекат 1301-П47:",'ПО КОРИСНИЦИМА'!$H$7:$H$17281)</f>
        <v>0</v>
      </c>
      <c r="E516" s="682">
        <f t="shared" si="26"/>
        <v>0</v>
      </c>
      <c r="F516" s="690">
        <f>SUMIF('ПО КОРИСНИЦИМА'!$G$7:$G$17281,"Свега за пројекат 1301-П47:",'ПО КОРИСНИЦИМА'!$I$7:$I$17281)</f>
        <v>0</v>
      </c>
      <c r="G516" s="685">
        <f t="shared" si="13"/>
        <v>0</v>
      </c>
      <c r="H516" s="691"/>
    </row>
    <row r="517" spans="1:8" hidden="1" x14ac:dyDescent="0.2">
      <c r="A517" s="657"/>
      <c r="B517" s="657" t="s">
        <v>4958</v>
      </c>
      <c r="C517" s="570" t="str">
        <f>IFERROR(VLOOKUP(B517,'ПО КОРИСНИЦИМА'!$C$7:$J$17281,5,FALSE),"")</f>
        <v/>
      </c>
      <c r="D517" s="689">
        <f>SUMIF('ПО КОРИСНИЦИМА'!$G$7:$G$17281,"Свега за пројекат 1301-П48:",'ПО КОРИСНИЦИМА'!$H$7:$H$17281)</f>
        <v>0</v>
      </c>
      <c r="E517" s="682">
        <f t="shared" si="26"/>
        <v>0</v>
      </c>
      <c r="F517" s="690">
        <f>SUMIF('ПО КОРИСНИЦИМА'!$G$7:$G$17281,"Свега за пројекат 1301-П48:",'ПО КОРИСНИЦИМА'!$I$7:$I$17281)</f>
        <v>0</v>
      </c>
      <c r="G517" s="685">
        <f t="shared" si="13"/>
        <v>0</v>
      </c>
      <c r="H517" s="688"/>
    </row>
    <row r="518" spans="1:8" hidden="1" x14ac:dyDescent="0.2">
      <c r="A518" s="657"/>
      <c r="B518" s="657" t="s">
        <v>4959</v>
      </c>
      <c r="C518" s="570" t="str">
        <f>IFERROR(VLOOKUP(B518,'ПО КОРИСНИЦИМА'!$C$7:$J$17281,5,FALSE),"")</f>
        <v/>
      </c>
      <c r="D518" s="689">
        <f>SUMIF('ПО КОРИСНИЦИМА'!$G$7:$G$17281,"Свега за пројекат 1301-П49:",'ПО КОРИСНИЦИМА'!$H$7:$H$17281)</f>
        <v>0</v>
      </c>
      <c r="E518" s="682">
        <f t="shared" si="26"/>
        <v>0</v>
      </c>
      <c r="F518" s="690">
        <f>SUMIF('ПО КОРИСНИЦИМА'!$G$7:$G$17281,"Свега за пројекат 1301-П49:",'ПО КОРИСНИЦИМА'!$I$7:$I$17281)</f>
        <v>0</v>
      </c>
      <c r="G518" s="685">
        <f t="shared" si="13"/>
        <v>0</v>
      </c>
      <c r="H518" s="688"/>
    </row>
    <row r="519" spans="1:8" hidden="1" x14ac:dyDescent="0.2">
      <c r="A519" s="658"/>
      <c r="B519" s="657" t="s">
        <v>4960</v>
      </c>
      <c r="C519" s="570" t="str">
        <f>IFERROR(VLOOKUP(B519,'ПО КОРИСНИЦИМА'!$C$7:$J$17281,5,FALSE),"")</f>
        <v/>
      </c>
      <c r="D519" s="689">
        <f>SUMIF('ПО КОРИСНИЦИМА'!$G$7:$G$17281,"Свега за пројекат 1301-П50:",'ПО КОРИСНИЦИМА'!$H$7:$H$17281)</f>
        <v>0</v>
      </c>
      <c r="E519" s="682">
        <f t="shared" si="26"/>
        <v>0</v>
      </c>
      <c r="F519" s="690">
        <f>SUMIF('ПО КОРИСНИЦИМА'!$G$7:$G$17281,"Свега за пројекат 1301-П50:",'ПО КОРИСНИЦИМА'!$I$7:$I$17281)</f>
        <v>0</v>
      </c>
      <c r="G519" s="685">
        <f t="shared" si="13"/>
        <v>0</v>
      </c>
      <c r="H519" s="697"/>
    </row>
    <row r="520" spans="1:8" s="655" customFormat="1" x14ac:dyDescent="0.2">
      <c r="A520" s="647" t="s">
        <v>3608</v>
      </c>
      <c r="B520" s="648"/>
      <c r="C520" s="568" t="s">
        <v>3688</v>
      </c>
      <c r="D520" s="677">
        <f>SUM(D521:D600)</f>
        <v>124393794</v>
      </c>
      <c r="E520" s="678">
        <f>IFERROR(D520/$D$601,"-")</f>
        <v>0.21562453458138325</v>
      </c>
      <c r="F520" s="679">
        <f>SUM(F521:F600)</f>
        <v>0</v>
      </c>
      <c r="G520" s="677">
        <f t="shared" si="13"/>
        <v>124393794</v>
      </c>
      <c r="H520" s="698"/>
    </row>
    <row r="521" spans="1:8" x14ac:dyDescent="0.2">
      <c r="A521" s="651"/>
      <c r="B521" s="543" t="s">
        <v>4154</v>
      </c>
      <c r="C521" s="571" t="s">
        <v>4155</v>
      </c>
      <c r="D521" s="681">
        <f>SUMIF('ПО КОРИСНИЦИМА'!$G$7:$G$17281,"Свега за програмску активност 0602-0001:",'ПО КОРИСНИЦИМА'!$H$7:$H$17281)</f>
        <v>119398794</v>
      </c>
      <c r="E521" s="682">
        <f>IFERROR(D521/$D$601,"-")</f>
        <v>0.20696618824752991</v>
      </c>
      <c r="F521" s="683">
        <f>SUMIF('ПО КОРИСНИЦИМА'!$G$7:$G$17281,"Свега за програмску активност 0602-0001:",'ПО КОРИСНИЦИМА'!$I$7:$I$17281)</f>
        <v>0</v>
      </c>
      <c r="G521" s="705">
        <f t="shared" ref="G521:G601" si="27">D521+F521</f>
        <v>119398794</v>
      </c>
      <c r="H521" s="684"/>
    </row>
    <row r="522" spans="1:8" x14ac:dyDescent="0.2">
      <c r="A522" s="653"/>
      <c r="B522" s="90" t="s">
        <v>4156</v>
      </c>
      <c r="C522" s="572" t="s">
        <v>3671</v>
      </c>
      <c r="D522" s="685">
        <f>SUMIF('ПО КОРИСНИЦИМА'!$G$7:$G$17281,"Свега за програмску активност 0602-0002:",'ПО КОРИСНИЦИМА'!$H$7:$H$17281)</f>
        <v>100000</v>
      </c>
      <c r="E522" s="682">
        <f t="shared" ref="E522:E585" si="28">IFERROR(D522/$D$601,"-")</f>
        <v>1.733402669440111E-4</v>
      </c>
      <c r="F522" s="687">
        <f>SUMIF('ПО КОРИСНИЦИМА'!$G$7:$G$17281,"Свега за програмску активност 0602-0002:",'ПО КОРИСНИЦИМА'!$I$7:$I$17281)</f>
        <v>0</v>
      </c>
      <c r="G522" s="706">
        <f t="shared" si="27"/>
        <v>100000</v>
      </c>
      <c r="H522" s="688"/>
    </row>
    <row r="523" spans="1:8" hidden="1" x14ac:dyDescent="0.2">
      <c r="A523" s="653"/>
      <c r="B523" s="90" t="s">
        <v>4157</v>
      </c>
      <c r="C523" s="572" t="s">
        <v>4158</v>
      </c>
      <c r="D523" s="685">
        <f>SUMIF('ПО КОРИСНИЦИМА'!$G$7:$G$17281,"Свега за програмску активност 0602-0003:",'ПО КОРИСНИЦИМА'!$H$7:$H$17281)</f>
        <v>0</v>
      </c>
      <c r="E523" s="682">
        <f t="shared" si="28"/>
        <v>0</v>
      </c>
      <c r="F523" s="687">
        <f>SUMIF('ПО КОРИСНИЦИМА'!$G$7:$G$17281,"Свега за програмску активност 0602-0003:",'ПО КОРИСНИЦИМА'!$I$7:$I$17281)</f>
        <v>0</v>
      </c>
      <c r="G523" s="706">
        <f t="shared" si="27"/>
        <v>0</v>
      </c>
      <c r="H523" s="688"/>
    </row>
    <row r="524" spans="1:8" hidden="1" x14ac:dyDescent="0.2">
      <c r="A524" s="653"/>
      <c r="B524" s="90" t="s">
        <v>4159</v>
      </c>
      <c r="C524" s="572" t="s">
        <v>4160</v>
      </c>
      <c r="D524" s="685">
        <f>SUMIF('ПО КОРИСНИЦИМА'!$G$7:$G$17281,"Свега за програмску активност 0602-0004:",'ПО КОРИСНИЦИМА'!$H$7:$H$17281)</f>
        <v>0</v>
      </c>
      <c r="E524" s="682">
        <f t="shared" si="28"/>
        <v>0</v>
      </c>
      <c r="F524" s="687">
        <f>SUMIF('ПО КОРИСНИЦИМА'!$G$7:$G$17281,"Свега за програмску активност 0602-0004:",'ПО КОРИСНИЦИМА'!$I$7:$I$17281)</f>
        <v>0</v>
      </c>
      <c r="G524" s="706">
        <f t="shared" si="27"/>
        <v>0</v>
      </c>
      <c r="H524" s="688"/>
    </row>
    <row r="525" spans="1:8" hidden="1" x14ac:dyDescent="0.2">
      <c r="A525" s="653"/>
      <c r="B525" s="90" t="s">
        <v>4161</v>
      </c>
      <c r="C525" s="572" t="s">
        <v>3673</v>
      </c>
      <c r="D525" s="685">
        <f>SUMIF('ПО КОРИСНИЦИМА'!$G$7:$G$17281,"Свега за програмску активност 0602-0005:",'ПО КОРИСНИЦИМА'!$H$7:$H$17281)</f>
        <v>0</v>
      </c>
      <c r="E525" s="682">
        <f t="shared" si="28"/>
        <v>0</v>
      </c>
      <c r="F525" s="687">
        <f>SUMIF('ПО КОРИСНИЦИМА'!$G$7:$G$17281,"Свега за програмску активност 0602-0005:",'ПО КОРИСНИЦИМА'!$I$7:$I$17281)</f>
        <v>0</v>
      </c>
      <c r="G525" s="706">
        <f t="shared" si="27"/>
        <v>0</v>
      </c>
      <c r="H525" s="688"/>
    </row>
    <row r="526" spans="1:8" hidden="1" x14ac:dyDescent="0.2">
      <c r="A526" s="653"/>
      <c r="B526" s="90" t="s">
        <v>4162</v>
      </c>
      <c r="C526" s="572" t="s">
        <v>4163</v>
      </c>
      <c r="D526" s="685">
        <f>SUMIF('ПО КОРИСНИЦИМА'!$G$7:$G$17281,"Свега за програмску активност 0602-0006:",'ПО КОРИСНИЦИМА'!$H$7:$H$17281)</f>
        <v>0</v>
      </c>
      <c r="E526" s="682">
        <f t="shared" si="28"/>
        <v>0</v>
      </c>
      <c r="F526" s="687">
        <f>SUMIF('ПО КОРИСНИЦИМА'!$G$7:$G$17281,"Свега за програмску активност 0602-0006:",'ПО КОРИСНИЦИМА'!$I$7:$I$17281)</f>
        <v>0</v>
      </c>
      <c r="G526" s="706">
        <f t="shared" si="27"/>
        <v>0</v>
      </c>
      <c r="H526" s="688"/>
    </row>
    <row r="527" spans="1:8" x14ac:dyDescent="0.2">
      <c r="A527" s="653"/>
      <c r="B527" s="90" t="s">
        <v>4164</v>
      </c>
      <c r="C527" s="572" t="s">
        <v>3672</v>
      </c>
      <c r="D527" s="685">
        <f>SUMIF('ПО КОРИСНИЦИМА'!$G$7:$G$17281,"Свега за програмску активност 0602-0007:",'ПО КОРИСНИЦИМА'!$H$7:$H$17281)</f>
        <v>395000</v>
      </c>
      <c r="E527" s="682">
        <f t="shared" si="28"/>
        <v>6.8469405442884382E-4</v>
      </c>
      <c r="F527" s="687">
        <f>SUMIF('ПО КОРИСНИЦИМА'!$G$7:$G$17281,"Свега за програмску активност 0602-0007:",'ПО КОРИСНИЦИМА'!$I$7:$I$17281)</f>
        <v>0</v>
      </c>
      <c r="G527" s="706">
        <f t="shared" si="27"/>
        <v>395000</v>
      </c>
      <c r="H527" s="688"/>
    </row>
    <row r="528" spans="1:8" hidden="1" x14ac:dyDescent="0.2">
      <c r="A528" s="653"/>
      <c r="B528" s="90" t="s">
        <v>4165</v>
      </c>
      <c r="C528" s="572" t="s">
        <v>4166</v>
      </c>
      <c r="D528" s="685">
        <f>SUMIF('ПО КОРИСНИЦИМА'!$G$7:$G$17281,"Свега за програмску активност 0602-0008:",'ПО КОРИСНИЦИМА'!$H$7:$H$17281)</f>
        <v>0</v>
      </c>
      <c r="E528" s="682">
        <f t="shared" si="28"/>
        <v>0</v>
      </c>
      <c r="F528" s="687">
        <f>SUMIF('ПО КОРИСНИЦИМА'!$G$7:$G$17281,"Свега за програмску активност 0602-0008:",'ПО КОРИСНИЦИМА'!$I$7:$I$17281)</f>
        <v>0</v>
      </c>
      <c r="G528" s="706">
        <f t="shared" si="27"/>
        <v>0</v>
      </c>
      <c r="H528" s="688"/>
    </row>
    <row r="529" spans="1:8" hidden="1" x14ac:dyDescent="0.2">
      <c r="A529" s="653"/>
      <c r="B529" s="90" t="s">
        <v>4167</v>
      </c>
      <c r="C529" s="572" t="s">
        <v>4168</v>
      </c>
      <c r="D529" s="685">
        <f>SUMIF('ПО КОРИСНИЦИМА'!$G$7:$G$17281,"Свега за програмску активност 0602-0009:",'ПО КОРИСНИЦИМА'!$H$7:$H$17281)</f>
        <v>0</v>
      </c>
      <c r="E529" s="682">
        <f t="shared" si="28"/>
        <v>0</v>
      </c>
      <c r="F529" s="687">
        <f>SUMIF('ПО КОРИСНИЦИМА'!$G$7:$G$17281,"Свега за програмску активност 0602-0009:",'ПО КОРИСНИЦИМА'!$I$7:$I$17281)</f>
        <v>0</v>
      </c>
      <c r="G529" s="706">
        <f t="shared" si="27"/>
        <v>0</v>
      </c>
      <c r="H529" s="688"/>
    </row>
    <row r="530" spans="1:8" x14ac:dyDescent="0.2">
      <c r="A530" s="653"/>
      <c r="B530" s="90" t="s">
        <v>4169</v>
      </c>
      <c r="C530" s="572" t="s">
        <v>4170</v>
      </c>
      <c r="D530" s="685">
        <f>SUMIF('ПО КОРИСНИЦИМА'!$G$7:$G$17281,"Свега за програмску активност 0602-0010:",'ПО КОРИСНИЦИМА'!$H$7:$H$17281)</f>
        <v>4500000</v>
      </c>
      <c r="E530" s="682">
        <f t="shared" si="28"/>
        <v>7.8003120124804995E-3</v>
      </c>
      <c r="F530" s="687">
        <f>SUMIF('ПО КОРИСНИЦИМА'!$G$7:$G$17281,"Свега за програмску активност 0602-0010:",'ПО КОРИСНИЦИМА'!$I$7:$I$17281)</f>
        <v>0</v>
      </c>
      <c r="G530" s="706">
        <f t="shared" si="27"/>
        <v>4500000</v>
      </c>
      <c r="H530" s="688"/>
    </row>
    <row r="531" spans="1:8" hidden="1" x14ac:dyDescent="0.2">
      <c r="A531" s="653"/>
      <c r="B531" s="90" t="s">
        <v>4961</v>
      </c>
      <c r="C531" s="570" t="str">
        <f>IFERROR(VLOOKUP(B531,'ПО КОРИСНИЦИМА'!$C$7:$J$17281,5,FALSE),"")</f>
        <v xml:space="preserve">Прослава Дана особођења Града </v>
      </c>
      <c r="D531" s="689">
        <f>SUMIF('ПО КОРИСНИЦИМА'!$G$7:$G$17281,"Свега за пројекат 0602-П1:",'ПО КОРИСНИЦИМА'!$H$7:$H$17281)</f>
        <v>0</v>
      </c>
      <c r="E531" s="686">
        <f>IFERROR(D531/$D$601,"-")</f>
        <v>0</v>
      </c>
      <c r="F531" s="690">
        <f>SUMIF('ПО КОРИСНИЦИМА'!$G$7:$G$17281,"Свега за пројекат 0602-П1:",'ПО КОРИСНИЦИМА'!$I$7:$I$17281)</f>
        <v>0</v>
      </c>
      <c r="G531" s="706">
        <f t="shared" si="27"/>
        <v>0</v>
      </c>
      <c r="H531" s="688"/>
    </row>
    <row r="532" spans="1:8" hidden="1" x14ac:dyDescent="0.2">
      <c r="A532" s="653"/>
      <c r="B532" s="90" t="s">
        <v>4962</v>
      </c>
      <c r="C532" s="570" t="str">
        <f>IFERROR(VLOOKUP(B532,'ПО КОРИСНИЦИМА'!$C$7:$J$17281,5,FALSE),"")</f>
        <v>Прослава Градске славе - Света Тројица</v>
      </c>
      <c r="D532" s="689">
        <f>SUMIF('ПО КОРИСНИЦИМА'!$G$7:$G$17281,"Свега за пројекат 0602-П2:",'ПО КОРИСНИЦИМА'!$H$7:$H$17281)</f>
        <v>0</v>
      </c>
      <c r="E532" s="682">
        <f t="shared" si="28"/>
        <v>0</v>
      </c>
      <c r="F532" s="690">
        <f>SUMIF('ПО КОРИСНИЦИМА'!$G$7:$G$17281,"Свега за пројекат 0602-П2:",'ПО КОРИСНИЦИМА'!$I$7:$I$17281)</f>
        <v>0</v>
      </c>
      <c r="G532" s="706">
        <f t="shared" si="27"/>
        <v>0</v>
      </c>
      <c r="H532" s="688"/>
    </row>
    <row r="533" spans="1:8" hidden="1" x14ac:dyDescent="0.2">
      <c r="A533" s="653"/>
      <c r="B533" s="90" t="s">
        <v>4963</v>
      </c>
      <c r="C533" s="570">
        <f>IFERROR(VLOOKUP(B533,'ПО КОРИСНИЦИМА'!$C$7:$J$17281,5,FALSE),"")</f>
        <v>0</v>
      </c>
      <c r="D533" s="689">
        <f>SUMIF('ПО КОРИСНИЦИМА'!$G$7:$G$17281,"Свега за пројекат 0602-П3:",'ПО КОРИСНИЦИМА'!$H$7:$H$17281)</f>
        <v>0</v>
      </c>
      <c r="E533" s="682">
        <f t="shared" si="28"/>
        <v>0</v>
      </c>
      <c r="F533" s="690">
        <f>SUMIF('ПО КОРИСНИЦИМА'!$G$7:$G$17281,"Свега за пројекат 0602-П3:",'ПО КОРИСНИЦИМА'!$I$7:$I$17281)</f>
        <v>0</v>
      </c>
      <c r="G533" s="706">
        <f t="shared" si="27"/>
        <v>0</v>
      </c>
      <c r="H533" s="691"/>
    </row>
    <row r="534" spans="1:8" hidden="1" x14ac:dyDescent="0.2">
      <c r="A534" s="653"/>
      <c r="B534" s="90" t="s">
        <v>4964</v>
      </c>
      <c r="C534" s="570" t="str">
        <f>IFERROR(VLOOKUP(B534,'ПО КОРИСНИЦИМА'!$C$7:$J$17281,5,FALSE),"")</f>
        <v/>
      </c>
      <c r="D534" s="689">
        <f>SUMIF('ПО КОРИСНИЦИМА'!$G$7:$G$17281,"Свега за пројекат 0602-П4:",'ПО КОРИСНИЦИМА'!$H$7:$H$17281)</f>
        <v>0</v>
      </c>
      <c r="E534" s="682">
        <f t="shared" si="28"/>
        <v>0</v>
      </c>
      <c r="F534" s="690">
        <f>SUMIF('ПО КОРИСНИЦИМА'!$G$7:$G$17281,"Свега за пројекат 0602-П4:",'ПО КОРИСНИЦИМА'!$I$7:$I$17281)</f>
        <v>0</v>
      </c>
      <c r="G534" s="706">
        <f t="shared" si="27"/>
        <v>0</v>
      </c>
      <c r="H534" s="691"/>
    </row>
    <row r="535" spans="1:8" hidden="1" x14ac:dyDescent="0.2">
      <c r="A535" s="653"/>
      <c r="B535" s="90" t="s">
        <v>4965</v>
      </c>
      <c r="C535" s="570" t="str">
        <f>IFERROR(VLOOKUP(B535,'ПО КОРИСНИЦИМА'!$C$7:$J$17281,5,FALSE),"")</f>
        <v/>
      </c>
      <c r="D535" s="689">
        <f>SUMIF('ПО КОРИСНИЦИМА'!$G$7:$G$17281,"Свега за пројекат 0602-П5:",'ПО КОРИСНИЦИМА'!$H$7:$H$17281)</f>
        <v>0</v>
      </c>
      <c r="E535" s="682">
        <f t="shared" si="28"/>
        <v>0</v>
      </c>
      <c r="F535" s="690">
        <f>SUMIF('ПО КОРИСНИЦИМА'!$G$7:$G$17281,"Свега за пројекат 0602-П5:",'ПО КОРИСНИЦИМА'!$I$7:$I$17281)</f>
        <v>0</v>
      </c>
      <c r="G535" s="706">
        <f t="shared" si="27"/>
        <v>0</v>
      </c>
      <c r="H535" s="691"/>
    </row>
    <row r="536" spans="1:8" hidden="1" x14ac:dyDescent="0.2">
      <c r="A536" s="653"/>
      <c r="B536" s="90" t="s">
        <v>4966</v>
      </c>
      <c r="C536" s="570" t="str">
        <f>IFERROR(VLOOKUP(B536,'ПО КОРИСНИЦИМА'!$C$7:$J$17281,5,FALSE),"")</f>
        <v/>
      </c>
      <c r="D536" s="689">
        <f>SUMIF('ПО КОРИСНИЦИМА'!$G$7:$G$17281,"Свега за пројекат 0602-П6:",'ПО КОРИСНИЦИМА'!$H$7:$H$17281)</f>
        <v>0</v>
      </c>
      <c r="E536" s="682">
        <f t="shared" si="28"/>
        <v>0</v>
      </c>
      <c r="F536" s="690">
        <f>SUMIF('ПО КОРИСНИЦИМА'!$G$7:$G$17281,"Свега за пројекат 0602-П6:",'ПО КОРИСНИЦИМА'!$I$7:$I$17281)</f>
        <v>0</v>
      </c>
      <c r="G536" s="706">
        <f t="shared" si="27"/>
        <v>0</v>
      </c>
      <c r="H536" s="691"/>
    </row>
    <row r="537" spans="1:8" hidden="1" x14ac:dyDescent="0.2">
      <c r="A537" s="653"/>
      <c r="B537" s="90" t="s">
        <v>4967</v>
      </c>
      <c r="C537" s="570" t="str">
        <f>IFERROR(VLOOKUP(B537,'ПО КОРИСНИЦИМА'!$C$7:$J$17281,5,FALSE),"")</f>
        <v/>
      </c>
      <c r="D537" s="689">
        <f>SUMIF('ПО КОРИСНИЦИМА'!$G$7:$G$17281,"Свега за пројекат 0602-П7:",'ПО КОРИСНИЦИМА'!$H$7:$H$17281)</f>
        <v>0</v>
      </c>
      <c r="E537" s="682">
        <f t="shared" si="28"/>
        <v>0</v>
      </c>
      <c r="F537" s="690">
        <f>SUMIF('ПО КОРИСНИЦИМА'!$G$7:$G$17281,"Свега за пројекат 0602-П7:",'ПО КОРИСНИЦИМА'!$I$7:$I$17281)</f>
        <v>0</v>
      </c>
      <c r="G537" s="706">
        <f t="shared" si="27"/>
        <v>0</v>
      </c>
      <c r="H537" s="691"/>
    </row>
    <row r="538" spans="1:8" hidden="1" x14ac:dyDescent="0.2">
      <c r="A538" s="653"/>
      <c r="B538" s="90" t="s">
        <v>4968</v>
      </c>
      <c r="C538" s="570" t="str">
        <f>IFERROR(VLOOKUP(B538,'ПО КОРИСНИЦИМА'!$C$7:$J$17281,5,FALSE),"")</f>
        <v/>
      </c>
      <c r="D538" s="689">
        <f>SUMIF('ПО КОРИСНИЦИМА'!$G$7:$G$17281,"Свега за пројекат 0602-П8:",'ПО КОРИСНИЦИМА'!$H$7:$H$17281)</f>
        <v>0</v>
      </c>
      <c r="E538" s="682">
        <f t="shared" si="28"/>
        <v>0</v>
      </c>
      <c r="F538" s="690">
        <f>SUMIF('ПО КОРИСНИЦИМА'!$G$7:$G$17281,"Свега за пројекат 0602-П8:",'ПО КОРИСНИЦИМА'!$I$7:$I$17281)</f>
        <v>0</v>
      </c>
      <c r="G538" s="706">
        <f t="shared" si="27"/>
        <v>0</v>
      </c>
      <c r="H538" s="691"/>
    </row>
    <row r="539" spans="1:8" hidden="1" x14ac:dyDescent="0.2">
      <c r="A539" s="653"/>
      <c r="B539" s="90" t="s">
        <v>4969</v>
      </c>
      <c r="C539" s="570" t="str">
        <f>IFERROR(VLOOKUP(B539,'ПО КОРИСНИЦИМА'!$C$7:$J$17281,5,FALSE),"")</f>
        <v/>
      </c>
      <c r="D539" s="689">
        <f>SUMIF('ПО КОРИСНИЦИМА'!$G$7:$G$17281,"Свега за пројекат 0602-П9:",'ПО КОРИСНИЦИМА'!$H$7:$H$17281)</f>
        <v>0</v>
      </c>
      <c r="E539" s="682">
        <f t="shared" si="28"/>
        <v>0</v>
      </c>
      <c r="F539" s="690">
        <f>SUMIF('ПО КОРИСНИЦИМА'!$G$7:$G$17281,"Свега за пројекат 0602-П9:",'ПО КОРИСНИЦИМА'!$I$7:$I$17281)</f>
        <v>0</v>
      </c>
      <c r="G539" s="706">
        <f t="shared" si="27"/>
        <v>0</v>
      </c>
      <c r="H539" s="691"/>
    </row>
    <row r="540" spans="1:8" hidden="1" x14ac:dyDescent="0.2">
      <c r="A540" s="653"/>
      <c r="B540" s="90" t="s">
        <v>4970</v>
      </c>
      <c r="C540" s="570" t="str">
        <f>IFERROR(VLOOKUP(B540,'ПО КОРИСНИЦИМА'!$C$7:$J$17281,5,FALSE),"")</f>
        <v/>
      </c>
      <c r="D540" s="689">
        <f>SUMIF('ПО КОРИСНИЦИМА'!$G$7:$G$17281,"Свега за пројекат 0602-П10:",'ПО КОРИСНИЦИМА'!$H$7:$H$17281)</f>
        <v>0</v>
      </c>
      <c r="E540" s="682">
        <f t="shared" si="28"/>
        <v>0</v>
      </c>
      <c r="F540" s="690">
        <f>SUMIF('ПО КОРИСНИЦИМА'!$G$7:$G$17281,"Свега за пројекат 0602-П10:",'ПО КОРИСНИЦИМА'!$I$7:$I$17281)</f>
        <v>0</v>
      </c>
      <c r="G540" s="707">
        <f t="shared" si="27"/>
        <v>0</v>
      </c>
      <c r="H540" s="691"/>
    </row>
    <row r="541" spans="1:8" hidden="1" x14ac:dyDescent="0.2">
      <c r="A541" s="653"/>
      <c r="B541" s="90" t="s">
        <v>4971</v>
      </c>
      <c r="C541" s="570" t="str">
        <f>IFERROR(VLOOKUP(B541,'ПО КОРИСНИЦИМА'!$C$7:$J$17281,5,FALSE),"")</f>
        <v/>
      </c>
      <c r="D541" s="689">
        <f>SUMIF('ПО КОРИСНИЦИМА'!$G$7:$G$17281,"Свега за пројекат 0602-П11:",'ПО КОРИСНИЦИМА'!$H$7:$H$17281)</f>
        <v>0</v>
      </c>
      <c r="E541" s="682">
        <f t="shared" si="28"/>
        <v>0</v>
      </c>
      <c r="F541" s="690">
        <f>SUMIF('ПО КОРИСНИЦИМА'!$G$7:$G$17281,"Свега за пројекат 0602-П11:",'ПО КОРИСНИЦИМА'!$I$7:$I$17281)</f>
        <v>0</v>
      </c>
      <c r="G541" s="707">
        <f t="shared" si="27"/>
        <v>0</v>
      </c>
      <c r="H541" s="691"/>
    </row>
    <row r="542" spans="1:8" hidden="1" x14ac:dyDescent="0.2">
      <c r="A542" s="653"/>
      <c r="B542" s="90" t="s">
        <v>4972</v>
      </c>
      <c r="C542" s="570" t="str">
        <f>IFERROR(VLOOKUP(B542,'ПО КОРИСНИЦИМА'!$C$7:$J$17281,5,FALSE),"")</f>
        <v/>
      </c>
      <c r="D542" s="689">
        <f>SUMIF('ПО КОРИСНИЦИМА'!$G$7:$G$17281,"Свега за пројекат 0602-П12:",'ПО КОРИСНИЦИМА'!$H$7:$H$17281)</f>
        <v>0</v>
      </c>
      <c r="E542" s="682">
        <f t="shared" si="28"/>
        <v>0</v>
      </c>
      <c r="F542" s="690">
        <f>SUMIF('ПО КОРИСНИЦИМА'!$G$7:$G$17281,"Свега за пројекат 0602-П12:",'ПО КОРИСНИЦИМА'!$I$7:$I$17281)</f>
        <v>0</v>
      </c>
      <c r="G542" s="707">
        <f t="shared" si="27"/>
        <v>0</v>
      </c>
      <c r="H542" s="691"/>
    </row>
    <row r="543" spans="1:8" hidden="1" x14ac:dyDescent="0.2">
      <c r="A543" s="653"/>
      <c r="B543" s="90" t="s">
        <v>4973</v>
      </c>
      <c r="C543" s="570" t="str">
        <f>IFERROR(VLOOKUP(B543,'ПО КОРИСНИЦИМА'!$C$7:$J$17281,5,FALSE),"")</f>
        <v/>
      </c>
      <c r="D543" s="689">
        <f>SUMIF('ПО КОРИСНИЦИМА'!$G$7:$G$17281,"Свега за пројекат 0602-П13:",'ПО КОРИСНИЦИМА'!$H$7:$H$17281)</f>
        <v>0</v>
      </c>
      <c r="E543" s="682">
        <f t="shared" si="28"/>
        <v>0</v>
      </c>
      <c r="F543" s="690">
        <f>SUMIF('ПО КОРИСНИЦИМА'!$G$7:$G$17281,"Свега за пројекат 0602-П13:",'ПО КОРИСНИЦИМА'!$I$7:$I$17281)</f>
        <v>0</v>
      </c>
      <c r="G543" s="707">
        <f t="shared" si="27"/>
        <v>0</v>
      </c>
      <c r="H543" s="691"/>
    </row>
    <row r="544" spans="1:8" hidden="1" x14ac:dyDescent="0.2">
      <c r="A544" s="653"/>
      <c r="B544" s="90" t="s">
        <v>4974</v>
      </c>
      <c r="C544" s="570" t="str">
        <f>IFERROR(VLOOKUP(B544,'ПО КОРИСНИЦИМА'!$C$7:$J$17281,5,FALSE),"")</f>
        <v/>
      </c>
      <c r="D544" s="689">
        <f>SUMIF('ПО КОРИСНИЦИМА'!$G$7:$G$17281,"Свега за пројекат 0602-П14:",'ПО КОРИСНИЦИМА'!$H$7:$H$17281)</f>
        <v>0</v>
      </c>
      <c r="E544" s="682">
        <f t="shared" si="28"/>
        <v>0</v>
      </c>
      <c r="F544" s="690">
        <f>SUMIF('ПО КОРИСНИЦИМА'!$G$7:$G$17281,"Свега за пројекат 0602-П14:",'ПО КОРИСНИЦИМА'!$I$7:$I$17281)</f>
        <v>0</v>
      </c>
      <c r="G544" s="707">
        <f t="shared" si="27"/>
        <v>0</v>
      </c>
      <c r="H544" s="691"/>
    </row>
    <row r="545" spans="1:8" hidden="1" x14ac:dyDescent="0.2">
      <c r="A545" s="653"/>
      <c r="B545" s="90" t="s">
        <v>4975</v>
      </c>
      <c r="C545" s="570" t="str">
        <f>IFERROR(VLOOKUP(B545,'ПО КОРИСНИЦИМА'!$C$7:$J$17281,5,FALSE),"")</f>
        <v/>
      </c>
      <c r="D545" s="689">
        <f>SUMIF('ПО КОРИСНИЦИМА'!$G$7:$G$17281,"Свега за пројекат 0602-П15:",'ПО КОРИСНИЦИМА'!$H$7:$H$17281)</f>
        <v>0</v>
      </c>
      <c r="E545" s="682">
        <f t="shared" si="28"/>
        <v>0</v>
      </c>
      <c r="F545" s="690">
        <f>SUMIF('ПО КОРИСНИЦИМА'!$G$7:$G$17281,"Свега за пројекат 0602-П15:",'ПО КОРИСНИЦИМА'!$I$7:$I$17281)</f>
        <v>0</v>
      </c>
      <c r="G545" s="707">
        <f t="shared" si="27"/>
        <v>0</v>
      </c>
      <c r="H545" s="691"/>
    </row>
    <row r="546" spans="1:8" hidden="1" x14ac:dyDescent="0.2">
      <c r="A546" s="653"/>
      <c r="B546" s="90" t="s">
        <v>4976</v>
      </c>
      <c r="C546" s="570" t="str">
        <f>IFERROR(VLOOKUP(B546,'ПО КОРИСНИЦИМА'!$C$7:$J$17281,5,FALSE),"")</f>
        <v/>
      </c>
      <c r="D546" s="689">
        <f>SUMIF('ПО КОРИСНИЦИМА'!$G$7:$G$17281,"Свега за пројекат 0602-П16:",'ПО КОРИСНИЦИМА'!$H$7:$H$17281)</f>
        <v>0</v>
      </c>
      <c r="E546" s="682">
        <f t="shared" si="28"/>
        <v>0</v>
      </c>
      <c r="F546" s="690">
        <f>SUMIF('ПО КОРИСНИЦИМА'!$G$7:$G$17281,"Свега за пројекат 0602-П16:",'ПО КОРИСНИЦИМА'!$I$7:$I$17281)</f>
        <v>0</v>
      </c>
      <c r="G546" s="707">
        <f t="shared" si="27"/>
        <v>0</v>
      </c>
      <c r="H546" s="691"/>
    </row>
    <row r="547" spans="1:8" hidden="1" x14ac:dyDescent="0.2">
      <c r="A547" s="653"/>
      <c r="B547" s="90" t="s">
        <v>4977</v>
      </c>
      <c r="C547" s="570" t="str">
        <f>IFERROR(VLOOKUP(B547,'ПО КОРИСНИЦИМА'!$C$7:$J$17281,5,FALSE),"")</f>
        <v/>
      </c>
      <c r="D547" s="689">
        <f>SUMIF('ПО КОРИСНИЦИМА'!$G$7:$G$17281,"Свега за пројекат 0602-П17:",'ПО КОРИСНИЦИМА'!$H$7:$H$17281)</f>
        <v>0</v>
      </c>
      <c r="E547" s="682">
        <f t="shared" si="28"/>
        <v>0</v>
      </c>
      <c r="F547" s="690">
        <f>SUMIF('ПО КОРИСНИЦИМА'!$G$7:$G$17281,"Свега за пројекат 0602-П17:",'ПО КОРИСНИЦИМА'!$I$7:$I$17281)</f>
        <v>0</v>
      </c>
      <c r="G547" s="707">
        <f t="shared" si="27"/>
        <v>0</v>
      </c>
      <c r="H547" s="691"/>
    </row>
    <row r="548" spans="1:8" hidden="1" x14ac:dyDescent="0.2">
      <c r="A548" s="653"/>
      <c r="B548" s="90" t="s">
        <v>4978</v>
      </c>
      <c r="C548" s="570" t="str">
        <f>IFERROR(VLOOKUP(B548,'ПО КОРИСНИЦИМА'!$C$7:$J$17281,5,FALSE),"")</f>
        <v/>
      </c>
      <c r="D548" s="689">
        <f>SUMIF('ПО КОРИСНИЦИМА'!$G$7:$G$17281,"Свега за пројекат 0602-П18:",'ПО КОРИСНИЦИМА'!$H$7:$H$17281)</f>
        <v>0</v>
      </c>
      <c r="E548" s="682">
        <f t="shared" si="28"/>
        <v>0</v>
      </c>
      <c r="F548" s="690">
        <f>SUMIF('ПО КОРИСНИЦИМА'!$G$7:$G$17281,"Свега за пројекат 0602-П18:",'ПО КОРИСНИЦИМА'!$I$7:$I$17281)</f>
        <v>0</v>
      </c>
      <c r="G548" s="707">
        <f t="shared" si="27"/>
        <v>0</v>
      </c>
      <c r="H548" s="691"/>
    </row>
    <row r="549" spans="1:8" hidden="1" x14ac:dyDescent="0.2">
      <c r="A549" s="653"/>
      <c r="B549" s="90" t="s">
        <v>4979</v>
      </c>
      <c r="C549" s="570" t="str">
        <f>IFERROR(VLOOKUP(B549,'ПО КОРИСНИЦИМА'!$C$7:$J$17281,5,FALSE),"")</f>
        <v/>
      </c>
      <c r="D549" s="689">
        <f>SUMIF('ПО КОРИСНИЦИМА'!$G$7:$G$17281,"Свега за пројекат 0602-П19:",'ПО КОРИСНИЦИМА'!$H$7:$H$17281)</f>
        <v>0</v>
      </c>
      <c r="E549" s="682">
        <f t="shared" si="28"/>
        <v>0</v>
      </c>
      <c r="F549" s="690">
        <f>SUMIF('ПО КОРИСНИЦИМА'!$G$7:$G$17281,"Свега за пројекат 0602-П19:",'ПО КОРИСНИЦИМА'!$I$7:$I$17281)</f>
        <v>0</v>
      </c>
      <c r="G549" s="707">
        <f t="shared" si="27"/>
        <v>0</v>
      </c>
      <c r="H549" s="691"/>
    </row>
    <row r="550" spans="1:8" hidden="1" x14ac:dyDescent="0.2">
      <c r="A550" s="653"/>
      <c r="B550" s="90" t="s">
        <v>4980</v>
      </c>
      <c r="C550" s="570" t="str">
        <f>IFERROR(VLOOKUP(B550,'ПО КОРИСНИЦИМА'!$C$7:$J$17281,5,FALSE),"")</f>
        <v/>
      </c>
      <c r="D550" s="689">
        <f>SUMIF('ПО КОРИСНИЦИМА'!$G$7:$G$17281,"Свега за пројекат 0602-П20:",'ПО КОРИСНИЦИМА'!$H$7:$H$17281)</f>
        <v>0</v>
      </c>
      <c r="E550" s="682">
        <f t="shared" si="28"/>
        <v>0</v>
      </c>
      <c r="F550" s="690">
        <f>SUMIF('ПО КОРИСНИЦИМА'!$G$7:$G$17281,"Свега за пројекат 0602-П20:",'ПО КОРИСНИЦИМА'!$I$7:$I$17281)</f>
        <v>0</v>
      </c>
      <c r="G550" s="707">
        <f t="shared" si="27"/>
        <v>0</v>
      </c>
      <c r="H550" s="691"/>
    </row>
    <row r="551" spans="1:8" hidden="1" x14ac:dyDescent="0.2">
      <c r="A551" s="653"/>
      <c r="B551" s="90" t="s">
        <v>4981</v>
      </c>
      <c r="C551" s="570" t="str">
        <f>IFERROR(VLOOKUP(B551,'ПО КОРИСНИЦИМА'!$C$7:$J$17281,5,FALSE),"")</f>
        <v/>
      </c>
      <c r="D551" s="689">
        <f>SUMIF('ПО КОРИСНИЦИМА'!$G$7:$G$17281,"Свега за пројекат 0602-П21:",'ПО КОРИСНИЦИМА'!$H$7:$H$17281)</f>
        <v>0</v>
      </c>
      <c r="E551" s="682">
        <f t="shared" si="28"/>
        <v>0</v>
      </c>
      <c r="F551" s="690">
        <f>SUMIF('ПО КОРИСНИЦИМА'!$G$7:$G$17281,"Свега за пројекат 0602-П21:",'ПО КОРИСНИЦИМА'!$I$7:$I$17281)</f>
        <v>0</v>
      </c>
      <c r="G551" s="707">
        <f t="shared" si="27"/>
        <v>0</v>
      </c>
      <c r="H551" s="691"/>
    </row>
    <row r="552" spans="1:8" hidden="1" x14ac:dyDescent="0.2">
      <c r="A552" s="653"/>
      <c r="B552" s="90" t="s">
        <v>4982</v>
      </c>
      <c r="C552" s="570" t="str">
        <f>IFERROR(VLOOKUP(B552,'ПО КОРИСНИЦИМА'!$C$7:$J$17281,5,FALSE),"")</f>
        <v/>
      </c>
      <c r="D552" s="689">
        <f>SUMIF('ПО КОРИСНИЦИМА'!$G$7:$G$17281,"Свега за пројекат 0602-П22:",'ПО КОРИСНИЦИМА'!$H$7:$H$17281)</f>
        <v>0</v>
      </c>
      <c r="E552" s="682">
        <f t="shared" si="28"/>
        <v>0</v>
      </c>
      <c r="F552" s="690">
        <f>SUMIF('ПО КОРИСНИЦИМА'!$G$7:$G$17281,"Свега за пројекат 0602-П22:",'ПО КОРИСНИЦИМА'!$I$7:$I$17281)</f>
        <v>0</v>
      </c>
      <c r="G552" s="707">
        <f t="shared" si="27"/>
        <v>0</v>
      </c>
      <c r="H552" s="691"/>
    </row>
    <row r="553" spans="1:8" hidden="1" x14ac:dyDescent="0.2">
      <c r="A553" s="653"/>
      <c r="B553" s="90" t="s">
        <v>4983</v>
      </c>
      <c r="C553" s="570" t="str">
        <f>IFERROR(VLOOKUP(B553,'ПО КОРИСНИЦИМА'!$C$7:$J$17281,5,FALSE),"")</f>
        <v/>
      </c>
      <c r="D553" s="689">
        <f>SUMIF('ПО КОРИСНИЦИМА'!$G$7:$G$17281,"Свега за пројекат 0602-П23:",'ПО КОРИСНИЦИМА'!$H$7:$H$17281)</f>
        <v>0</v>
      </c>
      <c r="E553" s="682">
        <f t="shared" si="28"/>
        <v>0</v>
      </c>
      <c r="F553" s="690">
        <f>SUMIF('ПО КОРИСНИЦИМА'!$G$7:$G$17281,"Свега за пројекат 0602-П23:",'ПО КОРИСНИЦИМА'!$I$7:$I$17281)</f>
        <v>0</v>
      </c>
      <c r="G553" s="707">
        <f t="shared" si="27"/>
        <v>0</v>
      </c>
      <c r="H553" s="691"/>
    </row>
    <row r="554" spans="1:8" hidden="1" x14ac:dyDescent="0.2">
      <c r="A554" s="653"/>
      <c r="B554" s="90" t="s">
        <v>4984</v>
      </c>
      <c r="C554" s="570" t="str">
        <f>IFERROR(VLOOKUP(B554,'ПО КОРИСНИЦИМА'!$C$7:$J$17281,5,FALSE),"")</f>
        <v/>
      </c>
      <c r="D554" s="689">
        <f>SUMIF('ПО КОРИСНИЦИМА'!$G$7:$G$17281,"Свега за пројекат 0602-П24:",'ПО КОРИСНИЦИМА'!$H$7:$H$17281)</f>
        <v>0</v>
      </c>
      <c r="E554" s="682">
        <f t="shared" si="28"/>
        <v>0</v>
      </c>
      <c r="F554" s="690">
        <f>SUMIF('ПО КОРИСНИЦИМА'!$G$7:$G$17281,"Свега за пројекат 0602-П24:",'ПО КОРИСНИЦИМА'!$I$7:$I$17281)</f>
        <v>0</v>
      </c>
      <c r="G554" s="707">
        <f t="shared" si="27"/>
        <v>0</v>
      </c>
      <c r="H554" s="691"/>
    </row>
    <row r="555" spans="1:8" hidden="1" x14ac:dyDescent="0.2">
      <c r="A555" s="653"/>
      <c r="B555" s="90" t="s">
        <v>4985</v>
      </c>
      <c r="C555" s="570" t="str">
        <f>IFERROR(VLOOKUP(B555,'ПО КОРИСНИЦИМА'!$C$7:$J$17281,5,FALSE),"")</f>
        <v/>
      </c>
      <c r="D555" s="689">
        <f>SUMIF('ПО КОРИСНИЦИМА'!$G$7:$G$17281,"Свега за пројекат 0602-П25:",'ПО КОРИСНИЦИМА'!$H$7:$H$17281)</f>
        <v>0</v>
      </c>
      <c r="E555" s="682">
        <f t="shared" si="28"/>
        <v>0</v>
      </c>
      <c r="F555" s="690">
        <f>SUMIF('ПО КОРИСНИЦИМА'!$G$7:$G$17281,"Свега за пројекат 0602-П25:",'ПО КОРИСНИЦИМА'!$I$7:$I$17281)</f>
        <v>0</v>
      </c>
      <c r="G555" s="707">
        <f t="shared" si="27"/>
        <v>0</v>
      </c>
      <c r="H555" s="691"/>
    </row>
    <row r="556" spans="1:8" hidden="1" x14ac:dyDescent="0.2">
      <c r="A556" s="653"/>
      <c r="B556" s="90" t="s">
        <v>4986</v>
      </c>
      <c r="C556" s="570" t="str">
        <f>IFERROR(VLOOKUP(B556,'ПО КОРИСНИЦИМА'!$C$7:$J$17281,5,FALSE),"")</f>
        <v/>
      </c>
      <c r="D556" s="689">
        <f>SUMIF('ПО КОРИСНИЦИМА'!$G$7:$G$17281,"Свега за пројекат 0602-П26:",'ПО КОРИСНИЦИМА'!$H$7:$H$17281)</f>
        <v>0</v>
      </c>
      <c r="E556" s="682">
        <f t="shared" si="28"/>
        <v>0</v>
      </c>
      <c r="F556" s="690">
        <f>SUMIF('ПО КОРИСНИЦИМА'!$G$7:$G$17281,"Свега за пројекат 0602-П26:",'ПО КОРИСНИЦИМА'!$I$7:$I$17281)</f>
        <v>0</v>
      </c>
      <c r="G556" s="707">
        <f t="shared" si="27"/>
        <v>0</v>
      </c>
      <c r="H556" s="691"/>
    </row>
    <row r="557" spans="1:8" hidden="1" x14ac:dyDescent="0.2">
      <c r="A557" s="653"/>
      <c r="B557" s="90" t="s">
        <v>4987</v>
      </c>
      <c r="C557" s="570" t="str">
        <f>IFERROR(VLOOKUP(B557,'ПО КОРИСНИЦИМА'!$C$7:$J$17281,5,FALSE),"")</f>
        <v/>
      </c>
      <c r="D557" s="689">
        <f>SUMIF('ПО КОРИСНИЦИМА'!$G$7:$G$17281,"Свега за пројекат 0602-П27:",'ПО КОРИСНИЦИМА'!$H$7:$H$17281)</f>
        <v>0</v>
      </c>
      <c r="E557" s="682">
        <f t="shared" si="28"/>
        <v>0</v>
      </c>
      <c r="F557" s="690">
        <f>SUMIF('ПО КОРИСНИЦИМА'!$G$7:$G$17281,"Свега за пројекат 0602-П27:",'ПО КОРИСНИЦИМА'!$I$7:$I$17281)</f>
        <v>0</v>
      </c>
      <c r="G557" s="707">
        <f t="shared" si="27"/>
        <v>0</v>
      </c>
      <c r="H557" s="691"/>
    </row>
    <row r="558" spans="1:8" hidden="1" x14ac:dyDescent="0.2">
      <c r="A558" s="653"/>
      <c r="B558" s="90" t="s">
        <v>4988</v>
      </c>
      <c r="C558" s="570" t="str">
        <f>IFERROR(VLOOKUP(B558,'ПО КОРИСНИЦИМА'!$C$7:$J$17281,5,FALSE),"")</f>
        <v/>
      </c>
      <c r="D558" s="689">
        <f>SUMIF('ПО КОРИСНИЦИМА'!$G$7:$G$17281,"Свега за пројекат 0602-П28:",'ПО КОРИСНИЦИМА'!$H$7:$H$17281)</f>
        <v>0</v>
      </c>
      <c r="E558" s="682">
        <f t="shared" si="28"/>
        <v>0</v>
      </c>
      <c r="F558" s="690">
        <f>SUMIF('ПО КОРИСНИЦИМА'!$G$7:$G$17281,"Свега за пројекат 0602-П28:",'ПО КОРИСНИЦИМА'!$I$7:$I$17281)</f>
        <v>0</v>
      </c>
      <c r="G558" s="707">
        <f t="shared" si="27"/>
        <v>0</v>
      </c>
      <c r="H558" s="691"/>
    </row>
    <row r="559" spans="1:8" hidden="1" x14ac:dyDescent="0.2">
      <c r="A559" s="653"/>
      <c r="B559" s="90" t="s">
        <v>4989</v>
      </c>
      <c r="C559" s="570" t="str">
        <f>IFERROR(VLOOKUP(B559,'ПО КОРИСНИЦИМА'!$C$7:$J$17281,5,FALSE),"")</f>
        <v/>
      </c>
      <c r="D559" s="689">
        <f>SUMIF('ПО КОРИСНИЦИМА'!$G$7:$G$17281,"Свега за пројекат 0602-П29:",'ПО КОРИСНИЦИМА'!$H$7:$H$17281)</f>
        <v>0</v>
      </c>
      <c r="E559" s="682">
        <f t="shared" si="28"/>
        <v>0</v>
      </c>
      <c r="F559" s="690">
        <f>SUMIF('ПО КОРИСНИЦИМА'!$G$7:$G$17281,"Свега за пројекат 0602-П29:",'ПО КОРИСНИЦИМА'!$I$7:$I$17281)</f>
        <v>0</v>
      </c>
      <c r="G559" s="707">
        <f t="shared" si="27"/>
        <v>0</v>
      </c>
      <c r="H559" s="691"/>
    </row>
    <row r="560" spans="1:8" hidden="1" x14ac:dyDescent="0.2">
      <c r="A560" s="653"/>
      <c r="B560" s="90" t="s">
        <v>4990</v>
      </c>
      <c r="C560" s="570" t="str">
        <f>IFERROR(VLOOKUP(B560,'ПО КОРИСНИЦИМА'!$C$7:$J$17281,5,FALSE),"")</f>
        <v/>
      </c>
      <c r="D560" s="689">
        <f>SUMIF('ПО КОРИСНИЦИМА'!$G$7:$G$17281,"Свега за пројекат 0602-П30:",'ПО КОРИСНИЦИМА'!$H$7:$H$17281)</f>
        <v>0</v>
      </c>
      <c r="E560" s="682">
        <f t="shared" si="28"/>
        <v>0</v>
      </c>
      <c r="F560" s="690">
        <f>SUMIF('ПО КОРИСНИЦИМА'!$G$7:$G$17281,"Свега за пројекат 0602-П30:",'ПО КОРИСНИЦИМА'!$I$7:$I$17281)</f>
        <v>0</v>
      </c>
      <c r="G560" s="707">
        <f t="shared" si="27"/>
        <v>0</v>
      </c>
      <c r="H560" s="691"/>
    </row>
    <row r="561" spans="1:8" hidden="1" x14ac:dyDescent="0.2">
      <c r="A561" s="653"/>
      <c r="B561" s="90" t="s">
        <v>4991</v>
      </c>
      <c r="C561" s="570" t="str">
        <f>IFERROR(VLOOKUP(B561,'ПО КОРИСНИЦИМА'!$C$7:$J$17281,5,FALSE),"")</f>
        <v/>
      </c>
      <c r="D561" s="689">
        <f>SUMIF('ПО КОРИСНИЦИМА'!$G$7:$G$17281,"Свега за пројекат 0602-П31:",'ПО КОРИСНИЦИМА'!$H$7:$H$17281)</f>
        <v>0</v>
      </c>
      <c r="E561" s="682">
        <f t="shared" si="28"/>
        <v>0</v>
      </c>
      <c r="F561" s="690">
        <f>SUMIF('ПО КОРИСНИЦИМА'!$G$7:$G$17281,"Свега за пројекат 0602-П31:",'ПО КОРИСНИЦИМА'!$I$7:$I$17281)</f>
        <v>0</v>
      </c>
      <c r="G561" s="707">
        <f t="shared" si="27"/>
        <v>0</v>
      </c>
      <c r="H561" s="691"/>
    </row>
    <row r="562" spans="1:8" hidden="1" x14ac:dyDescent="0.2">
      <c r="A562" s="653"/>
      <c r="B562" s="90" t="s">
        <v>4992</v>
      </c>
      <c r="C562" s="570" t="str">
        <f>IFERROR(VLOOKUP(B562,'ПО КОРИСНИЦИМА'!$C$7:$J$17281,5,FALSE),"")</f>
        <v/>
      </c>
      <c r="D562" s="689">
        <f>SUMIF('ПО КОРИСНИЦИМА'!$G$7:$G$17281,"Свега за пројекат 0602-П32:",'ПО КОРИСНИЦИМА'!$H$7:$H$17281)</f>
        <v>0</v>
      </c>
      <c r="E562" s="682">
        <f t="shared" si="28"/>
        <v>0</v>
      </c>
      <c r="F562" s="690">
        <f>SUMIF('ПО КОРИСНИЦИМА'!$G$7:$G$17281,"Свега за пројекат 0602-П32:",'ПО КОРИСНИЦИМА'!$I$7:$I$17281)</f>
        <v>0</v>
      </c>
      <c r="G562" s="707">
        <f t="shared" si="27"/>
        <v>0</v>
      </c>
      <c r="H562" s="691"/>
    </row>
    <row r="563" spans="1:8" hidden="1" x14ac:dyDescent="0.2">
      <c r="A563" s="653"/>
      <c r="B563" s="90" t="s">
        <v>4993</v>
      </c>
      <c r="C563" s="570" t="str">
        <f>IFERROR(VLOOKUP(B563,'ПО КОРИСНИЦИМА'!$C$7:$J$17281,5,FALSE),"")</f>
        <v/>
      </c>
      <c r="D563" s="689">
        <f>SUMIF('ПО КОРИСНИЦИМА'!$G$7:$G$17281,"Свега за пројекат 0602-П33:",'ПО КОРИСНИЦИМА'!$H$7:$H$17281)</f>
        <v>0</v>
      </c>
      <c r="E563" s="682">
        <f t="shared" si="28"/>
        <v>0</v>
      </c>
      <c r="F563" s="690">
        <f>SUMIF('ПО КОРИСНИЦИМА'!$G$7:$G$17281,"Свега за пројекат 0602-П33:",'ПО КОРИСНИЦИМА'!$I$7:$I$17281)</f>
        <v>0</v>
      </c>
      <c r="G563" s="707">
        <f t="shared" si="27"/>
        <v>0</v>
      </c>
      <c r="H563" s="691"/>
    </row>
    <row r="564" spans="1:8" hidden="1" x14ac:dyDescent="0.2">
      <c r="A564" s="653"/>
      <c r="B564" s="90" t="s">
        <v>4994</v>
      </c>
      <c r="C564" s="570" t="str">
        <f>IFERROR(VLOOKUP(B564,'ПО КОРИСНИЦИМА'!$C$7:$J$17281,5,FALSE),"")</f>
        <v/>
      </c>
      <c r="D564" s="689">
        <f>SUMIF('ПО КОРИСНИЦИМА'!$G$7:$G$17281,"Свега за пројекат 0602-П34:",'ПО КОРИСНИЦИМА'!$H$7:$H$17281)</f>
        <v>0</v>
      </c>
      <c r="E564" s="682">
        <f t="shared" si="28"/>
        <v>0</v>
      </c>
      <c r="F564" s="690">
        <f>SUMIF('ПО КОРИСНИЦИМА'!$G$7:$G$17281,"Свега за пројекат 0602-П34:",'ПО КОРИСНИЦИМА'!$I$7:$I$17281)</f>
        <v>0</v>
      </c>
      <c r="G564" s="707">
        <f t="shared" si="27"/>
        <v>0</v>
      </c>
      <c r="H564" s="691"/>
    </row>
    <row r="565" spans="1:8" hidden="1" x14ac:dyDescent="0.2">
      <c r="A565" s="653"/>
      <c r="B565" s="90" t="s">
        <v>4995</v>
      </c>
      <c r="C565" s="570" t="str">
        <f>IFERROR(VLOOKUP(B565,'ПО КОРИСНИЦИМА'!$C$7:$J$17281,5,FALSE),"")</f>
        <v/>
      </c>
      <c r="D565" s="689">
        <f>SUMIF('ПО КОРИСНИЦИМА'!$G$7:$G$17281,"Свега за пројекат 0602-П35:",'ПО КОРИСНИЦИМА'!$H$7:$H$17281)</f>
        <v>0</v>
      </c>
      <c r="E565" s="682">
        <f t="shared" si="28"/>
        <v>0</v>
      </c>
      <c r="F565" s="690">
        <f>SUMIF('ПО КОРИСНИЦИМА'!$G$7:$G$17281,"Свега за пројекат 0602-П35:",'ПО КОРИСНИЦИМА'!$I$7:$I$17281)</f>
        <v>0</v>
      </c>
      <c r="G565" s="707">
        <f t="shared" si="27"/>
        <v>0</v>
      </c>
      <c r="H565" s="691"/>
    </row>
    <row r="566" spans="1:8" hidden="1" x14ac:dyDescent="0.2">
      <c r="A566" s="653"/>
      <c r="B566" s="90" t="s">
        <v>4996</v>
      </c>
      <c r="C566" s="570" t="str">
        <f>IFERROR(VLOOKUP(B566,'ПО КОРИСНИЦИМА'!$C$7:$J$17281,5,FALSE),"")</f>
        <v/>
      </c>
      <c r="D566" s="689">
        <f>SUMIF('ПО КОРИСНИЦИМА'!$G$7:$G$17281,"Свега за пројекат 0602-П36:",'ПО КОРИСНИЦИМА'!$H$7:$H$17281)</f>
        <v>0</v>
      </c>
      <c r="E566" s="682">
        <f t="shared" si="28"/>
        <v>0</v>
      </c>
      <c r="F566" s="690">
        <f>SUMIF('ПО КОРИСНИЦИМА'!$G$7:$G$17281,"Свега за пројекат 0602-П36:",'ПО КОРИСНИЦИМА'!$I$7:$I$17281)</f>
        <v>0</v>
      </c>
      <c r="G566" s="707">
        <f t="shared" si="27"/>
        <v>0</v>
      </c>
      <c r="H566" s="691"/>
    </row>
    <row r="567" spans="1:8" hidden="1" x14ac:dyDescent="0.2">
      <c r="A567" s="653"/>
      <c r="B567" s="90" t="s">
        <v>4997</v>
      </c>
      <c r="C567" s="570" t="str">
        <f>IFERROR(VLOOKUP(B567,'ПО КОРИСНИЦИМА'!$C$7:$J$17281,5,FALSE),"")</f>
        <v/>
      </c>
      <c r="D567" s="689">
        <f>SUMIF('ПО КОРИСНИЦИМА'!$G$7:$G$17281,"Свега за пројекат 0602-П37:",'ПО КОРИСНИЦИМА'!$H$7:$H$17281)</f>
        <v>0</v>
      </c>
      <c r="E567" s="682">
        <f t="shared" si="28"/>
        <v>0</v>
      </c>
      <c r="F567" s="690">
        <f>SUMIF('ПО КОРИСНИЦИМА'!$G$7:$G$17281,"Свега за пројекат 0602-П37:",'ПО КОРИСНИЦИМА'!$I$7:$I$17281)</f>
        <v>0</v>
      </c>
      <c r="G567" s="707">
        <f t="shared" si="27"/>
        <v>0</v>
      </c>
      <c r="H567" s="691"/>
    </row>
    <row r="568" spans="1:8" hidden="1" x14ac:dyDescent="0.2">
      <c r="A568" s="653"/>
      <c r="B568" s="90" t="s">
        <v>4998</v>
      </c>
      <c r="C568" s="570" t="str">
        <f>IFERROR(VLOOKUP(B568,'ПО КОРИСНИЦИМА'!$C$7:$J$17281,5,FALSE),"")</f>
        <v/>
      </c>
      <c r="D568" s="689">
        <f>SUMIF('ПО КОРИСНИЦИМА'!$G$7:$G$17281,"Свега за пројекат 0602-П38:",'ПО КОРИСНИЦИМА'!$H$7:$H$17281)</f>
        <v>0</v>
      </c>
      <c r="E568" s="682">
        <f t="shared" si="28"/>
        <v>0</v>
      </c>
      <c r="F568" s="690">
        <f>SUMIF('ПО КОРИСНИЦИМА'!$G$7:$G$17281,"Свега за пројекат 0602-П38:",'ПО КОРИСНИЦИМА'!$I$7:$I$17281)</f>
        <v>0</v>
      </c>
      <c r="G568" s="707">
        <f t="shared" si="27"/>
        <v>0</v>
      </c>
      <c r="H568" s="691"/>
    </row>
    <row r="569" spans="1:8" hidden="1" x14ac:dyDescent="0.2">
      <c r="A569" s="653"/>
      <c r="B569" s="90" t="s">
        <v>4999</v>
      </c>
      <c r="C569" s="570" t="str">
        <f>IFERROR(VLOOKUP(B569,'ПО КОРИСНИЦИМА'!$C$7:$J$17281,5,FALSE),"")</f>
        <v/>
      </c>
      <c r="D569" s="689">
        <f>SUMIF('ПО КОРИСНИЦИМА'!$G$7:$G$17281,"Свега за пројекат 0602-П39:",'ПО КОРИСНИЦИМА'!$H$7:$H$17281)</f>
        <v>0</v>
      </c>
      <c r="E569" s="682">
        <f t="shared" si="28"/>
        <v>0</v>
      </c>
      <c r="F569" s="690">
        <f>SUMIF('ПО КОРИСНИЦИМА'!$G$7:$G$17281,"Свега за пројекат 0602-П39:",'ПО КОРИСНИЦИМА'!$I$7:$I$17281)</f>
        <v>0</v>
      </c>
      <c r="G569" s="707">
        <f t="shared" si="27"/>
        <v>0</v>
      </c>
      <c r="H569" s="691"/>
    </row>
    <row r="570" spans="1:8" hidden="1" x14ac:dyDescent="0.2">
      <c r="A570" s="653"/>
      <c r="B570" s="90" t="s">
        <v>5000</v>
      </c>
      <c r="C570" s="570" t="str">
        <f>IFERROR(VLOOKUP(B570,'ПО КОРИСНИЦИМА'!$C$7:$J$17281,5,FALSE),"")</f>
        <v/>
      </c>
      <c r="D570" s="689">
        <f>SUMIF('ПО КОРИСНИЦИМА'!$G$7:$G$17281,"Свега за пројекат 0602-П40:",'ПО КОРИСНИЦИМА'!$H$7:$H$17281)</f>
        <v>0</v>
      </c>
      <c r="E570" s="682">
        <f t="shared" si="28"/>
        <v>0</v>
      </c>
      <c r="F570" s="690">
        <f>SUMIF('ПО КОРИСНИЦИМА'!$G$7:$G$17281,"Свега за пројекат 0602-П40:",'ПО КОРИСНИЦИМА'!$I$7:$I$17281)</f>
        <v>0</v>
      </c>
      <c r="G570" s="707">
        <f t="shared" si="27"/>
        <v>0</v>
      </c>
      <c r="H570" s="691"/>
    </row>
    <row r="571" spans="1:8" hidden="1" x14ac:dyDescent="0.2">
      <c r="A571" s="653"/>
      <c r="B571" s="90" t="s">
        <v>5001</v>
      </c>
      <c r="C571" s="570" t="str">
        <f>IFERROR(VLOOKUP(B571,'ПО КОРИСНИЦИМА'!$C$7:$J$17281,5,FALSE),"")</f>
        <v/>
      </c>
      <c r="D571" s="689">
        <f>SUMIF('ПО КОРИСНИЦИМА'!$G$7:$G$17281,"Свега за пројекат 0602-П41:",'ПО КОРИСНИЦИМА'!$H$7:$H$17281)</f>
        <v>0</v>
      </c>
      <c r="E571" s="682">
        <f t="shared" si="28"/>
        <v>0</v>
      </c>
      <c r="F571" s="690">
        <f>SUMIF('ПО КОРИСНИЦИМА'!$G$7:$G$17281,"Свега за пројекат 0602-П41:",'ПО КОРИСНИЦИМА'!$I$7:$I$17281)</f>
        <v>0</v>
      </c>
      <c r="G571" s="707">
        <f t="shared" si="27"/>
        <v>0</v>
      </c>
      <c r="H571" s="691"/>
    </row>
    <row r="572" spans="1:8" hidden="1" x14ac:dyDescent="0.2">
      <c r="A572" s="653"/>
      <c r="B572" s="90" t="s">
        <v>5002</v>
      </c>
      <c r="C572" s="570" t="str">
        <f>IFERROR(VLOOKUP(B572,'ПО КОРИСНИЦИМА'!$C$7:$J$17281,5,FALSE),"")</f>
        <v/>
      </c>
      <c r="D572" s="689">
        <f>SUMIF('ПО КОРИСНИЦИМА'!$G$7:$G$17281,"Свега за пројекат 0602-П42:",'ПО КОРИСНИЦИМА'!$H$7:$H$17281)</f>
        <v>0</v>
      </c>
      <c r="E572" s="682">
        <f t="shared" si="28"/>
        <v>0</v>
      </c>
      <c r="F572" s="690">
        <f>SUMIF('ПО КОРИСНИЦИМА'!$G$7:$G$17281,"Свега за пројекат 0602-П42:",'ПО КОРИСНИЦИМА'!$I$7:$I$17281)</f>
        <v>0</v>
      </c>
      <c r="G572" s="707">
        <f t="shared" si="27"/>
        <v>0</v>
      </c>
      <c r="H572" s="691"/>
    </row>
    <row r="573" spans="1:8" hidden="1" x14ac:dyDescent="0.2">
      <c r="A573" s="653"/>
      <c r="B573" s="90" t="s">
        <v>5003</v>
      </c>
      <c r="C573" s="570" t="str">
        <f>IFERROR(VLOOKUP(B573,'ПО КОРИСНИЦИМА'!$C$7:$J$17281,5,FALSE),"")</f>
        <v/>
      </c>
      <c r="D573" s="689">
        <f>SUMIF('ПО КОРИСНИЦИМА'!$G$7:$G$17281,"Свега за пројекат 0602-П43:",'ПО КОРИСНИЦИМА'!$H$7:$H$17281)</f>
        <v>0</v>
      </c>
      <c r="E573" s="682">
        <f t="shared" si="28"/>
        <v>0</v>
      </c>
      <c r="F573" s="690">
        <f>SUMIF('ПО КОРИСНИЦИМА'!$G$7:$G$17281,"Свега за пројекат 0602-П43:",'ПО КОРИСНИЦИМА'!$I$7:$I$17281)</f>
        <v>0</v>
      </c>
      <c r="G573" s="707">
        <f t="shared" si="27"/>
        <v>0</v>
      </c>
      <c r="H573" s="691"/>
    </row>
    <row r="574" spans="1:8" hidden="1" x14ac:dyDescent="0.2">
      <c r="A574" s="653"/>
      <c r="B574" s="90" t="s">
        <v>5004</v>
      </c>
      <c r="C574" s="570" t="str">
        <f>IFERROR(VLOOKUP(B574,'ПО КОРИСНИЦИМА'!$C$7:$J$17281,5,FALSE),"")</f>
        <v/>
      </c>
      <c r="D574" s="689">
        <f>SUMIF('ПО КОРИСНИЦИМА'!$G$7:$G$17281,"Свега за пројекат 0602-П44:",'ПО КОРИСНИЦИМА'!$H$7:$H$17281)</f>
        <v>0</v>
      </c>
      <c r="E574" s="682">
        <f t="shared" si="28"/>
        <v>0</v>
      </c>
      <c r="F574" s="690">
        <f>SUMIF('ПО КОРИСНИЦИМА'!$G$7:$G$17281,"Свега за пројекат 0602-П44:",'ПО КОРИСНИЦИМА'!$I$7:$I$17281)</f>
        <v>0</v>
      </c>
      <c r="G574" s="707">
        <f t="shared" si="27"/>
        <v>0</v>
      </c>
      <c r="H574" s="691"/>
    </row>
    <row r="575" spans="1:8" hidden="1" x14ac:dyDescent="0.2">
      <c r="A575" s="653"/>
      <c r="B575" s="90" t="s">
        <v>5005</v>
      </c>
      <c r="C575" s="570" t="str">
        <f>IFERROR(VLOOKUP(B575,'ПО КОРИСНИЦИМА'!$C$7:$J$17281,5,FALSE),"")</f>
        <v/>
      </c>
      <c r="D575" s="689">
        <f>SUMIF('ПО КОРИСНИЦИМА'!$G$7:$G$17281,"Свега за пројекат 0602-П45:",'ПО КОРИСНИЦИМА'!$H$7:$H$17281)</f>
        <v>0</v>
      </c>
      <c r="E575" s="682">
        <f t="shared" si="28"/>
        <v>0</v>
      </c>
      <c r="F575" s="690">
        <f>SUMIF('ПО КОРИСНИЦИМА'!$G$7:$G$17281,"Свега за пројекат 0602-П45:",'ПО КОРИСНИЦИМА'!$I$7:$I$17281)</f>
        <v>0</v>
      </c>
      <c r="G575" s="707">
        <f t="shared" si="27"/>
        <v>0</v>
      </c>
      <c r="H575" s="691"/>
    </row>
    <row r="576" spans="1:8" hidden="1" x14ac:dyDescent="0.2">
      <c r="A576" s="653"/>
      <c r="B576" s="90" t="s">
        <v>5006</v>
      </c>
      <c r="C576" s="570" t="str">
        <f>IFERROR(VLOOKUP(B576,'ПО КОРИСНИЦИМА'!$C$7:$J$17281,5,FALSE),"")</f>
        <v/>
      </c>
      <c r="D576" s="689">
        <f>SUMIF('ПО КОРИСНИЦИМА'!$G$7:$G$17281,"Свега за пројекат 0602-П46:",'ПО КОРИСНИЦИМА'!$H$7:$H$17281)</f>
        <v>0</v>
      </c>
      <c r="E576" s="682">
        <f t="shared" si="28"/>
        <v>0</v>
      </c>
      <c r="F576" s="690">
        <f>SUMIF('ПО КОРИСНИЦИМА'!$G$7:$G$17281,"Свега за пројекат 0602-П46:",'ПО КОРИСНИЦИМА'!$I$7:$I$17281)</f>
        <v>0</v>
      </c>
      <c r="G576" s="707">
        <f t="shared" si="27"/>
        <v>0</v>
      </c>
      <c r="H576" s="691"/>
    </row>
    <row r="577" spans="1:8" hidden="1" x14ac:dyDescent="0.2">
      <c r="A577" s="653"/>
      <c r="B577" s="90" t="s">
        <v>5007</v>
      </c>
      <c r="C577" s="570" t="str">
        <f>IFERROR(VLOOKUP(B577,'ПО КОРИСНИЦИМА'!$C$7:$J$17281,5,FALSE),"")</f>
        <v/>
      </c>
      <c r="D577" s="689">
        <f>SUMIF('ПО КОРИСНИЦИМА'!$G$7:$G$17281,"Свега за пројекат 0602-П47:",'ПО КОРИСНИЦИМА'!$H$7:$H$17281)</f>
        <v>0</v>
      </c>
      <c r="E577" s="682">
        <f t="shared" si="28"/>
        <v>0</v>
      </c>
      <c r="F577" s="690">
        <f>SUMIF('ПО КОРИСНИЦИМА'!$G$7:$G$17281,"Свега за пројекат 0602-П47:",'ПО КОРИСНИЦИМА'!$I$7:$I$17281)</f>
        <v>0</v>
      </c>
      <c r="G577" s="707">
        <f t="shared" si="27"/>
        <v>0</v>
      </c>
      <c r="H577" s="691"/>
    </row>
    <row r="578" spans="1:8" hidden="1" x14ac:dyDescent="0.2">
      <c r="A578" s="653"/>
      <c r="B578" s="90" t="s">
        <v>5008</v>
      </c>
      <c r="C578" s="570" t="str">
        <f>IFERROR(VLOOKUP(B578,'ПО КОРИСНИЦИМА'!$C$7:$J$17281,5,FALSE),"")</f>
        <v/>
      </c>
      <c r="D578" s="689">
        <f>SUMIF('ПО КОРИСНИЦИМА'!$G$7:$G$17281,"Свега за пројекат 0602-П48:",'ПО КОРИСНИЦИМА'!$H$7:$H$17281)</f>
        <v>0</v>
      </c>
      <c r="E578" s="682">
        <f t="shared" si="28"/>
        <v>0</v>
      </c>
      <c r="F578" s="690">
        <f>SUMIF('ПО КОРИСНИЦИМА'!$G$7:$G$17281,"Свега за пројекат 0602-П48:",'ПО КОРИСНИЦИМА'!$I$7:$I$17281)</f>
        <v>0</v>
      </c>
      <c r="G578" s="707">
        <f t="shared" si="27"/>
        <v>0</v>
      </c>
      <c r="H578" s="691"/>
    </row>
    <row r="579" spans="1:8" hidden="1" x14ac:dyDescent="0.2">
      <c r="A579" s="653"/>
      <c r="B579" s="90" t="s">
        <v>5009</v>
      </c>
      <c r="C579" s="570" t="str">
        <f>IFERROR(VLOOKUP(B579,'ПО КОРИСНИЦИМА'!$C$7:$J$17281,5,FALSE),"")</f>
        <v/>
      </c>
      <c r="D579" s="689">
        <f>SUMIF('ПО КОРИСНИЦИМА'!$G$7:$G$17281,"Свега за пројекат 0602-П49:",'ПО КОРИСНИЦИМА'!$H$7:$H$17281)</f>
        <v>0</v>
      </c>
      <c r="E579" s="682">
        <f t="shared" si="28"/>
        <v>0</v>
      </c>
      <c r="F579" s="690">
        <f>SUMIF('ПО КОРИСНИЦИМА'!$G$7:$G$17281,"Свега за пројекат 0602-П49:",'ПО КОРИСНИЦИМА'!$I$7:$I$17281)</f>
        <v>0</v>
      </c>
      <c r="G579" s="707">
        <f t="shared" si="27"/>
        <v>0</v>
      </c>
      <c r="H579" s="691"/>
    </row>
    <row r="580" spans="1:8" hidden="1" x14ac:dyDescent="0.2">
      <c r="A580" s="653"/>
      <c r="B580" s="90" t="s">
        <v>5010</v>
      </c>
      <c r="C580" s="570" t="str">
        <f>IFERROR(VLOOKUP(B580,'ПО КОРИСНИЦИМА'!$C$7:$J$17281,5,FALSE),"")</f>
        <v/>
      </c>
      <c r="D580" s="689">
        <f>SUMIF('ПО КОРИСНИЦИМА'!$G$7:$G$17281,"Свега за пројекат 0602-П50:",'ПО КОРИСНИЦИМА'!$H$7:$H$17281)</f>
        <v>0</v>
      </c>
      <c r="E580" s="682">
        <f t="shared" si="28"/>
        <v>0</v>
      </c>
      <c r="F580" s="690">
        <f>SUMIF('ПО КОРИСНИЦИМА'!$G$7:$G$17281,"Свега за пројекат 0602-П50:",'ПО КОРИСНИЦИМА'!$I$7:$I$17281)</f>
        <v>0</v>
      </c>
      <c r="G580" s="707">
        <f t="shared" si="27"/>
        <v>0</v>
      </c>
      <c r="H580" s="691"/>
    </row>
    <row r="581" spans="1:8" hidden="1" x14ac:dyDescent="0.2">
      <c r="A581" s="653"/>
      <c r="B581" s="90" t="s">
        <v>5011</v>
      </c>
      <c r="C581" s="570" t="str">
        <f>IFERROR(VLOOKUP(B581,'ПО КОРИСНИЦИМА'!$C$7:$J$17281,5,FALSE),"")</f>
        <v/>
      </c>
      <c r="D581" s="689">
        <f>SUMIF('ПО КОРИСНИЦИМА'!$G$7:$G$17281,"Свега за пројекат 0602-П51:",'ПО КОРИСНИЦИМА'!$H$7:$H$17281)</f>
        <v>0</v>
      </c>
      <c r="E581" s="682">
        <f t="shared" si="28"/>
        <v>0</v>
      </c>
      <c r="F581" s="690">
        <f>SUMIF('ПО КОРИСНИЦИМА'!$G$7:$G$17281,"Свега за пројекат 0602-П51:",'ПО КОРИСНИЦИМА'!$I$7:$I$17281)</f>
        <v>0</v>
      </c>
      <c r="G581" s="707">
        <f t="shared" si="27"/>
        <v>0</v>
      </c>
      <c r="H581" s="691"/>
    </row>
    <row r="582" spans="1:8" hidden="1" x14ac:dyDescent="0.2">
      <c r="A582" s="653"/>
      <c r="B582" s="90" t="s">
        <v>5012</v>
      </c>
      <c r="C582" s="570" t="str">
        <f>IFERROR(VLOOKUP(B582,'ПО КОРИСНИЦИМА'!$C$7:$J$17281,5,FALSE),"")</f>
        <v/>
      </c>
      <c r="D582" s="689">
        <f>SUMIF('ПО КОРИСНИЦИМА'!$G$7:$G$17281,"Свега за пројекат 0602-П52:",'ПО КОРИСНИЦИМА'!$H$7:$H$17281)</f>
        <v>0</v>
      </c>
      <c r="E582" s="682">
        <f t="shared" si="28"/>
        <v>0</v>
      </c>
      <c r="F582" s="690">
        <f>SUMIF('ПО КОРИСНИЦИМА'!$G$7:$G$17281,"Свега за пројекат 0602-П52:",'ПО КОРИСНИЦИМА'!$I$7:$I$17281)</f>
        <v>0</v>
      </c>
      <c r="G582" s="707">
        <f t="shared" si="27"/>
        <v>0</v>
      </c>
      <c r="H582" s="691"/>
    </row>
    <row r="583" spans="1:8" hidden="1" x14ac:dyDescent="0.2">
      <c r="A583" s="653"/>
      <c r="B583" s="90" t="s">
        <v>5013</v>
      </c>
      <c r="C583" s="570" t="str">
        <f>IFERROR(VLOOKUP(B583,'ПО КОРИСНИЦИМА'!$C$7:$J$17281,5,FALSE),"")</f>
        <v/>
      </c>
      <c r="D583" s="689">
        <f>SUMIF('ПО КОРИСНИЦИМА'!$G$7:$G$17281,"Свега за пројекат 0602-П53:",'ПО КОРИСНИЦИМА'!$H$7:$H$17281)</f>
        <v>0</v>
      </c>
      <c r="E583" s="682">
        <f t="shared" si="28"/>
        <v>0</v>
      </c>
      <c r="F583" s="690">
        <f>SUMIF('ПО КОРИСНИЦИМА'!$G$7:$G$17281,"Свега за пројекат 0602-П53:",'ПО КОРИСНИЦИМА'!$I$7:$I$17281)</f>
        <v>0</v>
      </c>
      <c r="G583" s="707">
        <f t="shared" si="27"/>
        <v>0</v>
      </c>
      <c r="H583" s="691"/>
    </row>
    <row r="584" spans="1:8" hidden="1" x14ac:dyDescent="0.2">
      <c r="A584" s="653"/>
      <c r="B584" s="90" t="s">
        <v>5014</v>
      </c>
      <c r="C584" s="570" t="str">
        <f>IFERROR(VLOOKUP(B584,'ПО КОРИСНИЦИМА'!$C$7:$J$17281,5,FALSE),"")</f>
        <v/>
      </c>
      <c r="D584" s="689">
        <f>SUMIF('ПО КОРИСНИЦИМА'!$G$7:$G$17281,"Свега за пројекат 0602-П54:",'ПО КОРИСНИЦИМА'!$H$7:$H$17281)</f>
        <v>0</v>
      </c>
      <c r="E584" s="682">
        <f t="shared" si="28"/>
        <v>0</v>
      </c>
      <c r="F584" s="690">
        <f>SUMIF('ПО КОРИСНИЦИМА'!$G$7:$G$17281,"Свега за пројекат 0602-П54:",'ПО КОРИСНИЦИМА'!$I$7:$I$17281)</f>
        <v>0</v>
      </c>
      <c r="G584" s="707">
        <f t="shared" si="27"/>
        <v>0</v>
      </c>
      <c r="H584" s="691"/>
    </row>
    <row r="585" spans="1:8" hidden="1" x14ac:dyDescent="0.2">
      <c r="A585" s="653"/>
      <c r="B585" s="90" t="s">
        <v>5015</v>
      </c>
      <c r="C585" s="570" t="str">
        <f>IFERROR(VLOOKUP(B585,'ПО КОРИСНИЦИМА'!$C$7:$J$17281,5,FALSE),"")</f>
        <v/>
      </c>
      <c r="D585" s="689">
        <f>SUMIF('ПО КОРИСНИЦИМА'!$G$7:$G$17281,"Свега за пројекат 0602-П55:",'ПО КОРИСНИЦИМА'!$H$7:$H$17281)</f>
        <v>0</v>
      </c>
      <c r="E585" s="682">
        <f t="shared" si="28"/>
        <v>0</v>
      </c>
      <c r="F585" s="690">
        <f>SUMIF('ПО КОРИСНИЦИМА'!$G$7:$G$17281,"Свега за пројекат 0602-П55:",'ПО КОРИСНИЦИМА'!$I$7:$I$17281)</f>
        <v>0</v>
      </c>
      <c r="G585" s="707">
        <f t="shared" si="27"/>
        <v>0</v>
      </c>
      <c r="H585" s="691"/>
    </row>
    <row r="586" spans="1:8" hidden="1" x14ac:dyDescent="0.2">
      <c r="A586" s="653"/>
      <c r="B586" s="90" t="s">
        <v>5016</v>
      </c>
      <c r="C586" s="570" t="str">
        <f>IFERROR(VLOOKUP(B586,'ПО КОРИСНИЦИМА'!$C$7:$J$17281,5,FALSE),"")</f>
        <v/>
      </c>
      <c r="D586" s="689">
        <f>SUMIF('ПО КОРИСНИЦИМА'!$G$7:$G$17281,"Свега за пројекат 0602-П56:",'ПО КОРИСНИЦИМА'!$H$7:$H$17281)</f>
        <v>0</v>
      </c>
      <c r="E586" s="682">
        <f t="shared" ref="E586:E600" si="29">IFERROR(D586/$D$601,"-")</f>
        <v>0</v>
      </c>
      <c r="F586" s="690">
        <f>SUMIF('ПО КОРИСНИЦИМА'!$G$7:$G$17281,"Свега за пројекат 0602-П56:",'ПО КОРИСНИЦИМА'!$I$7:$I$17281)</f>
        <v>0</v>
      </c>
      <c r="G586" s="707">
        <f t="shared" si="27"/>
        <v>0</v>
      </c>
      <c r="H586" s="691"/>
    </row>
    <row r="587" spans="1:8" hidden="1" x14ac:dyDescent="0.2">
      <c r="A587" s="653"/>
      <c r="B587" s="90" t="s">
        <v>5017</v>
      </c>
      <c r="C587" s="570" t="str">
        <f>IFERROR(VLOOKUP(B587,'ПО КОРИСНИЦИМА'!$C$7:$J$17281,5,FALSE),"")</f>
        <v/>
      </c>
      <c r="D587" s="689">
        <f>SUMIF('ПО КОРИСНИЦИМА'!$G$7:$G$17281,"Свега за пројекат 0602-П57:",'ПО КОРИСНИЦИМА'!$H$7:$H$17281)</f>
        <v>0</v>
      </c>
      <c r="E587" s="682">
        <f t="shared" si="29"/>
        <v>0</v>
      </c>
      <c r="F587" s="690">
        <f>SUMIF('ПО КОРИСНИЦИМА'!$G$7:$G$17281,"Свега за пројекат 0602-П57:",'ПО КОРИСНИЦИМА'!$I$7:$I$17281)</f>
        <v>0</v>
      </c>
      <c r="G587" s="707">
        <f t="shared" si="27"/>
        <v>0</v>
      </c>
      <c r="H587" s="691"/>
    </row>
    <row r="588" spans="1:8" hidden="1" x14ac:dyDescent="0.2">
      <c r="A588" s="653"/>
      <c r="B588" s="90" t="s">
        <v>5018</v>
      </c>
      <c r="C588" s="570" t="str">
        <f>IFERROR(VLOOKUP(B588,'ПО КОРИСНИЦИМА'!$C$7:$J$17281,5,FALSE),"")</f>
        <v/>
      </c>
      <c r="D588" s="689">
        <f>SUMIF('ПО КОРИСНИЦИМА'!$G$7:$G$17281,"Свега за пројекат 0602-П58:",'ПО КОРИСНИЦИМА'!$H$7:$H$17281)</f>
        <v>0</v>
      </c>
      <c r="E588" s="682">
        <f t="shared" si="29"/>
        <v>0</v>
      </c>
      <c r="F588" s="690">
        <f>SUMIF('ПО КОРИСНИЦИМА'!$G$7:$G$17281,"Свега за пројекат 0602-П58:",'ПО КОРИСНИЦИМА'!$I$7:$I$17281)</f>
        <v>0</v>
      </c>
      <c r="G588" s="707">
        <f t="shared" si="27"/>
        <v>0</v>
      </c>
      <c r="H588" s="691"/>
    </row>
    <row r="589" spans="1:8" hidden="1" x14ac:dyDescent="0.2">
      <c r="A589" s="653"/>
      <c r="B589" s="90" t="s">
        <v>5019</v>
      </c>
      <c r="C589" s="570" t="str">
        <f>IFERROR(VLOOKUP(B589,'ПО КОРИСНИЦИМА'!$C$7:$J$17281,5,FALSE),"")</f>
        <v/>
      </c>
      <c r="D589" s="689">
        <f>SUMIF('ПО КОРИСНИЦИМА'!$G$7:$G$17281,"Свега за пројекат 0602-П59:",'ПО КОРИСНИЦИМА'!$H$7:$H$17281)</f>
        <v>0</v>
      </c>
      <c r="E589" s="682">
        <f t="shared" si="29"/>
        <v>0</v>
      </c>
      <c r="F589" s="690">
        <f>SUMIF('ПО КОРИСНИЦИМА'!$G$7:$G$17281,"Свега за пројекат 0602-П59:",'ПО КОРИСНИЦИМА'!$I$7:$I$17281)</f>
        <v>0</v>
      </c>
      <c r="G589" s="707">
        <f t="shared" si="27"/>
        <v>0</v>
      </c>
      <c r="H589" s="691"/>
    </row>
    <row r="590" spans="1:8" hidden="1" x14ac:dyDescent="0.2">
      <c r="A590" s="653"/>
      <c r="B590" s="90" t="s">
        <v>5020</v>
      </c>
      <c r="C590" s="570" t="str">
        <f>IFERROR(VLOOKUP(B590,'ПО КОРИСНИЦИМА'!$C$7:$J$17281,5,FALSE),"")</f>
        <v/>
      </c>
      <c r="D590" s="689">
        <f>SUMIF('ПО КОРИСНИЦИМА'!$G$7:$G$17281,"Свега за пројекат 0602-П60:",'ПО КОРИСНИЦИМА'!$H$7:$H$17281)</f>
        <v>0</v>
      </c>
      <c r="E590" s="682">
        <f t="shared" si="29"/>
        <v>0</v>
      </c>
      <c r="F590" s="690">
        <f>SUMIF('ПО КОРИСНИЦИМА'!$G$7:$G$17281,"Свега за пројекат 0602-П60:",'ПО КОРИСНИЦИМА'!$I$7:$I$17281)</f>
        <v>0</v>
      </c>
      <c r="G590" s="707">
        <f t="shared" si="27"/>
        <v>0</v>
      </c>
      <c r="H590" s="691"/>
    </row>
    <row r="591" spans="1:8" hidden="1" x14ac:dyDescent="0.2">
      <c r="A591" s="653"/>
      <c r="B591" s="90" t="s">
        <v>5021</v>
      </c>
      <c r="C591" s="570" t="str">
        <f>IFERROR(VLOOKUP(B591,'ПО КОРИСНИЦИМА'!$C$7:$J$17281,5,FALSE),"")</f>
        <v/>
      </c>
      <c r="D591" s="689">
        <f>SUMIF('ПО КОРИСНИЦИМА'!$G$7:$G$17281,"Свега за пројекат 0602-П61:",'ПО КОРИСНИЦИМА'!$H$7:$H$17281)</f>
        <v>0</v>
      </c>
      <c r="E591" s="682">
        <f t="shared" si="29"/>
        <v>0</v>
      </c>
      <c r="F591" s="690">
        <f>SUMIF('ПО КОРИСНИЦИМА'!$G$7:$G$17281,"Свега за пројекат 0602-П61:",'ПО КОРИСНИЦИМА'!$I$7:$I$17281)</f>
        <v>0</v>
      </c>
      <c r="G591" s="707">
        <f t="shared" si="27"/>
        <v>0</v>
      </c>
      <c r="H591" s="691"/>
    </row>
    <row r="592" spans="1:8" hidden="1" x14ac:dyDescent="0.2">
      <c r="A592" s="653"/>
      <c r="B592" s="90" t="s">
        <v>5022</v>
      </c>
      <c r="C592" s="570" t="str">
        <f>IFERROR(VLOOKUP(B592,'ПО КОРИСНИЦИМА'!$C$7:$J$17281,5,FALSE),"")</f>
        <v/>
      </c>
      <c r="D592" s="689">
        <f>SUMIF('ПО КОРИСНИЦИМА'!$G$7:$G$17281,"Свега за пројекат 0602-П62:",'ПО КОРИСНИЦИМА'!$H$7:$H$17281)</f>
        <v>0</v>
      </c>
      <c r="E592" s="682">
        <f t="shared" si="29"/>
        <v>0</v>
      </c>
      <c r="F592" s="690">
        <f>SUMIF('ПО КОРИСНИЦИМА'!$G$7:$G$17281,"Свега за пројекат 0602-П62:",'ПО КОРИСНИЦИМА'!$I$7:$I$17281)</f>
        <v>0</v>
      </c>
      <c r="G592" s="707">
        <f t="shared" si="27"/>
        <v>0</v>
      </c>
      <c r="H592" s="691"/>
    </row>
    <row r="593" spans="1:8" hidden="1" x14ac:dyDescent="0.2">
      <c r="A593" s="653"/>
      <c r="B593" s="90" t="s">
        <v>5023</v>
      </c>
      <c r="C593" s="570" t="str">
        <f>IFERROR(VLOOKUP(B593,'ПО КОРИСНИЦИМА'!$C$7:$J$17281,5,FALSE),"")</f>
        <v/>
      </c>
      <c r="D593" s="689">
        <f>SUMIF('ПО КОРИСНИЦИМА'!$G$7:$G$17281,"Свега за пројекат 0602-П63:",'ПО КОРИСНИЦИМА'!$H$7:$H$17281)</f>
        <v>0</v>
      </c>
      <c r="E593" s="682">
        <f t="shared" si="29"/>
        <v>0</v>
      </c>
      <c r="F593" s="690">
        <f>SUMIF('ПО КОРИСНИЦИМА'!$G$7:$G$17281,"Свега за пројекат 0602-П63:",'ПО КОРИСНИЦИМА'!$I$7:$I$17281)</f>
        <v>0</v>
      </c>
      <c r="G593" s="707">
        <f t="shared" si="27"/>
        <v>0</v>
      </c>
      <c r="H593" s="691"/>
    </row>
    <row r="594" spans="1:8" hidden="1" x14ac:dyDescent="0.2">
      <c r="A594" s="653"/>
      <c r="B594" s="90" t="s">
        <v>5024</v>
      </c>
      <c r="C594" s="570" t="str">
        <f>IFERROR(VLOOKUP(B594,'ПО КОРИСНИЦИМА'!$C$7:$J$17281,5,FALSE),"")</f>
        <v/>
      </c>
      <c r="D594" s="689">
        <f>SUMIF('ПО КОРИСНИЦИМА'!$G$7:$G$17281,"Свега за пројекат 0602-П64:",'ПО КОРИСНИЦИМА'!$H$7:$H$17281)</f>
        <v>0</v>
      </c>
      <c r="E594" s="682">
        <f t="shared" si="29"/>
        <v>0</v>
      </c>
      <c r="F594" s="690">
        <f>SUMIF('ПО КОРИСНИЦИМА'!$G$7:$G$17281,"Свега за пројекат 0602-П64:",'ПО КОРИСНИЦИМА'!$I$7:$I$17281)</f>
        <v>0</v>
      </c>
      <c r="G594" s="707">
        <f t="shared" si="27"/>
        <v>0</v>
      </c>
      <c r="H594" s="691"/>
    </row>
    <row r="595" spans="1:8" hidden="1" x14ac:dyDescent="0.2">
      <c r="A595" s="653"/>
      <c r="B595" s="90" t="s">
        <v>5025</v>
      </c>
      <c r="C595" s="570" t="str">
        <f>IFERROR(VLOOKUP(B595,'ПО КОРИСНИЦИМА'!$C$7:$J$17281,5,FALSE),"")</f>
        <v/>
      </c>
      <c r="D595" s="689">
        <f>SUMIF('ПО КОРИСНИЦИМА'!$G$7:$G$17281,"Свега за пројекат 0602-П65:",'ПО КОРИСНИЦИМА'!$H$7:$H$17281)</f>
        <v>0</v>
      </c>
      <c r="E595" s="682">
        <f t="shared" si="29"/>
        <v>0</v>
      </c>
      <c r="F595" s="690">
        <f>SUMIF('ПО КОРИСНИЦИМА'!$G$7:$G$17281,"Свега за пројекат 0602-П65:",'ПО КОРИСНИЦИМА'!$I$7:$I$17281)</f>
        <v>0</v>
      </c>
      <c r="G595" s="707">
        <f t="shared" si="27"/>
        <v>0</v>
      </c>
      <c r="H595" s="691"/>
    </row>
    <row r="596" spans="1:8" hidden="1" x14ac:dyDescent="0.2">
      <c r="A596" s="653"/>
      <c r="B596" s="90" t="s">
        <v>5026</v>
      </c>
      <c r="C596" s="570" t="str">
        <f>IFERROR(VLOOKUP(B596,'ПО КОРИСНИЦИМА'!$C$7:$J$17281,5,FALSE),"")</f>
        <v/>
      </c>
      <c r="D596" s="689">
        <f>SUMIF('ПО КОРИСНИЦИМА'!$G$7:$G$17281,"Свега за пројекат 0602-П66:",'ПО КОРИСНИЦИМА'!$H$7:$H$17281)</f>
        <v>0</v>
      </c>
      <c r="E596" s="682">
        <f t="shared" si="29"/>
        <v>0</v>
      </c>
      <c r="F596" s="690">
        <f>SUMIF('ПО КОРИСНИЦИМА'!$G$7:$G$17281,"Свега за пројекат 0602-П66:",'ПО КОРИСНИЦИМА'!$I$7:$I$17281)</f>
        <v>0</v>
      </c>
      <c r="G596" s="707">
        <f t="shared" si="27"/>
        <v>0</v>
      </c>
      <c r="H596" s="691"/>
    </row>
    <row r="597" spans="1:8" hidden="1" x14ac:dyDescent="0.2">
      <c r="A597" s="653"/>
      <c r="B597" s="90" t="s">
        <v>5027</v>
      </c>
      <c r="C597" s="570" t="str">
        <f>IFERROR(VLOOKUP(B597,'ПО КОРИСНИЦИМА'!$C$7:$J$17281,5,FALSE),"")</f>
        <v/>
      </c>
      <c r="D597" s="689">
        <f>SUMIF('ПО КОРИСНИЦИМА'!$G$7:$G$17281,"Свега за пројекат 0602-П67:",'ПО КОРИСНИЦИМА'!$H$7:$H$17281)</f>
        <v>0</v>
      </c>
      <c r="E597" s="682">
        <f t="shared" si="29"/>
        <v>0</v>
      </c>
      <c r="F597" s="690">
        <f>SUMIF('ПО КОРИСНИЦИМА'!$G$7:$G$17281,"Свега за пројекат 0602-П67:",'ПО КОРИСНИЦИМА'!$I$7:$I$17281)</f>
        <v>0</v>
      </c>
      <c r="G597" s="707">
        <f t="shared" si="27"/>
        <v>0</v>
      </c>
      <c r="H597" s="688"/>
    </row>
    <row r="598" spans="1:8" hidden="1" x14ac:dyDescent="0.2">
      <c r="A598" s="653"/>
      <c r="B598" s="90" t="s">
        <v>5028</v>
      </c>
      <c r="C598" s="570" t="str">
        <f>IFERROR(VLOOKUP(B598,'ПО КОРИСНИЦИМА'!$C$7:$J$17281,5,FALSE),"")</f>
        <v/>
      </c>
      <c r="D598" s="689">
        <f>SUMIF('ПО КОРИСНИЦИМА'!$G$7:$G$17281,"Свега за пројекат 0602-П68:",'ПО КОРИСНИЦИМА'!$H$7:$H$17281)</f>
        <v>0</v>
      </c>
      <c r="E598" s="682">
        <f t="shared" si="29"/>
        <v>0</v>
      </c>
      <c r="F598" s="690">
        <f>SUMIF('ПО КОРИСНИЦИМА'!$G$7:$G$17281,"Свега за пројекат 0602-П68:",'ПО КОРИСНИЦИМА'!$I$7:$I$17281)</f>
        <v>0</v>
      </c>
      <c r="G598" s="707">
        <f t="shared" si="27"/>
        <v>0</v>
      </c>
      <c r="H598" s="688"/>
    </row>
    <row r="599" spans="1:8" hidden="1" x14ac:dyDescent="0.2">
      <c r="A599" s="653"/>
      <c r="B599" s="90" t="s">
        <v>5029</v>
      </c>
      <c r="C599" s="570" t="str">
        <f>IFERROR(VLOOKUP(B599,'ПО КОРИСНИЦИМА'!$C$7:$J$17281,5,FALSE),"")</f>
        <v/>
      </c>
      <c r="D599" s="689">
        <f>SUMIF('ПО КОРИСНИЦИМА'!$G$7:$G$17281,"Свега за пројекат 0602-П69:",'ПО КОРИСНИЦИМА'!$H$7:$H$17281)</f>
        <v>0</v>
      </c>
      <c r="E599" s="682">
        <f t="shared" si="29"/>
        <v>0</v>
      </c>
      <c r="F599" s="690">
        <f>SUMIF('ПО КОРИСНИЦИМА'!$G$7:$G$17281,"Свега за пројекат 0602-П69:",'ПО КОРИСНИЦИМА'!$I$7:$I$17281)</f>
        <v>0</v>
      </c>
      <c r="G599" s="707">
        <f t="shared" si="27"/>
        <v>0</v>
      </c>
      <c r="H599" s="688"/>
    </row>
    <row r="600" spans="1:8" hidden="1" x14ac:dyDescent="0.2">
      <c r="A600" s="661"/>
      <c r="B600" s="90" t="s">
        <v>5030</v>
      </c>
      <c r="C600" s="570" t="str">
        <f>IFERROR(VLOOKUP(B600,'ПО КОРИСНИЦИМА'!$C$7:$J$17281,5,FALSE),"")</f>
        <v/>
      </c>
      <c r="D600" s="689">
        <f>SUMIF('ПО КОРИСНИЦИМА'!$G$7:$G$17281,"Свега за пројекат 0602-П70:",'ПО КОРИСНИЦИМА'!$H$7:$H$17281)</f>
        <v>0</v>
      </c>
      <c r="E600" s="682">
        <f t="shared" si="29"/>
        <v>0</v>
      </c>
      <c r="F600" s="690">
        <f>SUMIF('ПО КОРИСНИЦИМА'!$G$7:$G$17281,"Свега за пројекат 0602-П70:",'ПО КОРИСНИЦИМА'!$I$7:$I$17281)</f>
        <v>0</v>
      </c>
      <c r="G600" s="707">
        <f t="shared" si="27"/>
        <v>0</v>
      </c>
      <c r="H600" s="697"/>
    </row>
    <row r="601" spans="1:8" ht="27.75" customHeight="1" x14ac:dyDescent="0.2">
      <c r="A601" s="932"/>
      <c r="B601" s="933"/>
      <c r="C601" s="662" t="s">
        <v>4174</v>
      </c>
      <c r="D601" s="708">
        <f>SUM(D520,D466,D413,D381,D345,D313,D281,D249,D196,D176,D157,D130,D100,D35,D8)</f>
        <v>576900000</v>
      </c>
      <c r="E601" s="709">
        <f>IFERROR(D601/$D$601,"-")</f>
        <v>1</v>
      </c>
      <c r="F601" s="710">
        <f>SUM(F520,F466,F413,F381,F345,F313,F281,F249,F196,F176,F157,F130,F100,F35,F8)</f>
        <v>15845100</v>
      </c>
      <c r="G601" s="708">
        <f t="shared" si="27"/>
        <v>592745100</v>
      </c>
      <c r="H601" s="711"/>
    </row>
    <row r="602" spans="1:8" x14ac:dyDescent="0.2">
      <c r="D602" s="673"/>
      <c r="E602" s="664"/>
      <c r="F602" s="664"/>
      <c r="G602" s="674"/>
    </row>
    <row r="606" spans="1:8" ht="70.5" customHeight="1" x14ac:dyDescent="0.2"/>
    <row r="607" spans="1:8" x14ac:dyDescent="0.2">
      <c r="A607" s="540" t="s">
        <v>3674</v>
      </c>
      <c r="B607" s="649">
        <f>D8</f>
        <v>0</v>
      </c>
    </row>
    <row r="608" spans="1:8" x14ac:dyDescent="0.2">
      <c r="A608" s="540" t="s">
        <v>3675</v>
      </c>
      <c r="B608" s="649">
        <f>D35</f>
        <v>122282000</v>
      </c>
    </row>
    <row r="609" spans="1:2" x14ac:dyDescent="0.2">
      <c r="A609" s="540" t="s">
        <v>3676</v>
      </c>
      <c r="B609" s="649">
        <f>D100</f>
        <v>0</v>
      </c>
    </row>
    <row r="610" spans="1:2" x14ac:dyDescent="0.2">
      <c r="A610" s="540" t="s">
        <v>3677</v>
      </c>
      <c r="B610" s="649">
        <f>D130</f>
        <v>10846000</v>
      </c>
    </row>
    <row r="611" spans="1:2" x14ac:dyDescent="0.2">
      <c r="A611" s="540" t="s">
        <v>3678</v>
      </c>
      <c r="B611" s="649">
        <f>D157</f>
        <v>30500000</v>
      </c>
    </row>
    <row r="612" spans="1:2" x14ac:dyDescent="0.2">
      <c r="A612" s="540" t="s">
        <v>3679</v>
      </c>
      <c r="B612" s="649">
        <f>D176</f>
        <v>3800000</v>
      </c>
    </row>
    <row r="613" spans="1:2" x14ac:dyDescent="0.2">
      <c r="A613" s="540" t="s">
        <v>3680</v>
      </c>
      <c r="B613" s="649">
        <f>D196</f>
        <v>197983206</v>
      </c>
    </row>
    <row r="614" spans="1:2" x14ac:dyDescent="0.2">
      <c r="A614" s="540" t="s">
        <v>3681</v>
      </c>
      <c r="B614" s="649">
        <f>D249</f>
        <v>21499000</v>
      </c>
    </row>
    <row r="615" spans="1:2" x14ac:dyDescent="0.2">
      <c r="A615" s="540" t="s">
        <v>3682</v>
      </c>
      <c r="B615" s="649">
        <f>D281</f>
        <v>27000000</v>
      </c>
    </row>
    <row r="616" spans="1:2" x14ac:dyDescent="0.2">
      <c r="A616" s="540" t="s">
        <v>3683</v>
      </c>
      <c r="B616" s="649">
        <f>D313</f>
        <v>4845000</v>
      </c>
    </row>
    <row r="617" spans="1:2" x14ac:dyDescent="0.2">
      <c r="A617" s="540" t="s">
        <v>3684</v>
      </c>
      <c r="B617" s="649">
        <f>D345</f>
        <v>9429000</v>
      </c>
    </row>
    <row r="618" spans="1:2" x14ac:dyDescent="0.2">
      <c r="A618" s="540" t="s">
        <v>3685</v>
      </c>
      <c r="B618" s="649">
        <f>D381</f>
        <v>3150000</v>
      </c>
    </row>
    <row r="619" spans="1:2" x14ac:dyDescent="0.2">
      <c r="A619" s="540" t="s">
        <v>3686</v>
      </c>
      <c r="B619" s="649">
        <f>D413</f>
        <v>13172000</v>
      </c>
    </row>
    <row r="620" spans="1:2" x14ac:dyDescent="0.2">
      <c r="A620" s="540" t="s">
        <v>3687</v>
      </c>
      <c r="B620" s="649">
        <f>D466</f>
        <v>8000000</v>
      </c>
    </row>
    <row r="621" spans="1:2" x14ac:dyDescent="0.2">
      <c r="A621" s="540" t="s">
        <v>3688</v>
      </c>
      <c r="B621" s="649">
        <f>D520</f>
        <v>124393794</v>
      </c>
    </row>
  </sheetData>
  <sheetProtection password="C85D" sheet="1" objects="1" scenarios="1"/>
  <mergeCells count="12">
    <mergeCell ref="H5:H6"/>
    <mergeCell ref="A4:H4"/>
    <mergeCell ref="A601:B601"/>
    <mergeCell ref="A5:B5"/>
    <mergeCell ref="C5:C6"/>
    <mergeCell ref="D5:D6"/>
    <mergeCell ref="E5:E6"/>
    <mergeCell ref="C1:F1"/>
    <mergeCell ref="A2:G2"/>
    <mergeCell ref="A3:G3"/>
    <mergeCell ref="F5:F6"/>
    <mergeCell ref="G5:G6"/>
  </mergeCells>
  <conditionalFormatting sqref="D602:G602">
    <cfRule type="cellIs" dxfId="1" priority="1" operator="notEqual">
      <formula>0</formula>
    </cfRule>
  </conditionalFormatting>
  <dataValidations count="1">
    <dataValidation type="whole" operator="equal" showInputMessage="1" showErrorMessage="1" errorTitle="gjkgkjgjh" error="jklhlglkjhkjhlk" sqref="D602">
      <formula1>0</formula1>
    </dataValidation>
  </dataValidations>
  <pageMargins left="0.70866141732283472" right="0.70866141732283472" top="0.74803149606299213" bottom="0.74803149606299213" header="0.31496062992125984" footer="0.31496062992125984"/>
  <pageSetup orientation="landscape" r:id="rId1"/>
  <cellWatches>
    <cellWatch r="D602"/>
  </cellWatche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0"/>
  </sheetPr>
  <dimension ref="A1:F142"/>
  <sheetViews>
    <sheetView topLeftCell="A33" workbookViewId="0">
      <selection activeCell="H119" sqref="H119"/>
    </sheetView>
  </sheetViews>
  <sheetFormatPr defaultRowHeight="15" x14ac:dyDescent="0.25"/>
  <cols>
    <col min="1" max="1" width="8.7109375" style="84" customWidth="1"/>
    <col min="2" max="2" width="46.5703125" style="84" customWidth="1"/>
    <col min="3" max="3" width="15.85546875" style="84" customWidth="1"/>
    <col min="4" max="4" width="9.140625" style="84"/>
    <col min="5" max="5" width="14.85546875" style="84" customWidth="1"/>
    <col min="6" max="6" width="13.28515625" style="84" customWidth="1"/>
    <col min="7" max="16384" width="9.140625" style="84"/>
  </cols>
  <sheetData>
    <row r="1" spans="1:6" x14ac:dyDescent="0.25">
      <c r="B1" s="914" t="s">
        <v>5474</v>
      </c>
      <c r="C1" s="914"/>
      <c r="D1" s="914"/>
      <c r="E1" s="914"/>
    </row>
    <row r="2" spans="1:6" x14ac:dyDescent="0.25">
      <c r="A2" s="914" t="s">
        <v>5375</v>
      </c>
      <c r="B2" s="914"/>
      <c r="C2" s="914"/>
      <c r="D2" s="914"/>
      <c r="E2" s="914"/>
      <c r="F2" s="914"/>
    </row>
    <row r="3" spans="1:6" ht="15" customHeight="1" x14ac:dyDescent="0.25">
      <c r="A3" s="934" t="s">
        <v>5376</v>
      </c>
      <c r="B3" s="934"/>
      <c r="C3" s="934"/>
      <c r="D3" s="934"/>
      <c r="E3" s="934"/>
      <c r="F3" s="934"/>
    </row>
    <row r="4" spans="1:6" ht="29.25" customHeight="1" x14ac:dyDescent="0.25">
      <c r="A4" s="564" t="s">
        <v>3889</v>
      </c>
      <c r="B4" s="564" t="s">
        <v>3890</v>
      </c>
      <c r="C4" s="565" t="s">
        <v>24</v>
      </c>
      <c r="D4" s="565" t="s">
        <v>3777</v>
      </c>
      <c r="E4" s="565" t="s">
        <v>3774</v>
      </c>
      <c r="F4" s="565" t="s">
        <v>4179</v>
      </c>
    </row>
    <row r="5" spans="1:6" x14ac:dyDescent="0.25">
      <c r="A5" s="562" t="s">
        <v>3780</v>
      </c>
      <c r="B5" s="563">
        <v>2</v>
      </c>
      <c r="C5" s="209">
        <v>3</v>
      </c>
      <c r="D5" s="209">
        <v>4</v>
      </c>
      <c r="E5" s="209">
        <v>5</v>
      </c>
      <c r="F5" s="209">
        <v>6</v>
      </c>
    </row>
    <row r="6" spans="1:6" x14ac:dyDescent="0.25">
      <c r="A6" s="92" t="s">
        <v>3891</v>
      </c>
      <c r="B6" s="93" t="s">
        <v>94</v>
      </c>
      <c r="C6" s="94">
        <f>SUM(C7:C15)</f>
        <v>9429000</v>
      </c>
      <c r="D6" s="566">
        <f>IFERROR(C6/$C$141,"-")</f>
        <v>1.6344253770150807E-2</v>
      </c>
      <c r="E6" s="94">
        <f>SUM(E7:E15)</f>
        <v>0</v>
      </c>
      <c r="F6" s="94">
        <f>SUM(F7:F15)</f>
        <v>9429000</v>
      </c>
    </row>
    <row r="7" spans="1:6" hidden="1" x14ac:dyDescent="0.25">
      <c r="A7" s="91" t="s">
        <v>3892</v>
      </c>
      <c r="B7" s="95" t="s">
        <v>3893</v>
      </c>
      <c r="C7" s="96">
        <f>SUMIF('ПО КОРИСНИЦИМА'!$G$7:$G$17281,"Функција 010:",'ПО КОРИСНИЦИМА'!$H$7:$H$17281)</f>
        <v>0</v>
      </c>
      <c r="D7" s="97">
        <f t="shared" ref="D7:D70" si="0">IFERROR(C7/$C$141,"-")</f>
        <v>0</v>
      </c>
      <c r="E7" s="96">
        <f>SUMIF('ПО КОРИСНИЦИМА'!$G$7:$G$17281,"Функција 010:",'ПО КОРИСНИЦИМА'!$I$7:$I$17281)</f>
        <v>0</v>
      </c>
      <c r="F7" s="96">
        <f>SUM(E7,C7)</f>
        <v>0</v>
      </c>
    </row>
    <row r="8" spans="1:6" hidden="1" x14ac:dyDescent="0.25">
      <c r="A8" s="91" t="s">
        <v>3894</v>
      </c>
      <c r="B8" s="95" t="s">
        <v>3895</v>
      </c>
      <c r="C8" s="96">
        <f>SUMIF('ПО КОРИСНИЦИМА'!$G$7:$G$17281,"Функција 020:",'ПО КОРИСНИЦИМА'!$H$7:$H$17281)</f>
        <v>0</v>
      </c>
      <c r="D8" s="97">
        <f t="shared" si="0"/>
        <v>0</v>
      </c>
      <c r="E8" s="96">
        <f>SUMIF('ПО КОРИСНИЦИМА'!$G$7:$G$17281,"Функција 020:",'ПО КОРИСНИЦИМА'!$I$7:$I$17281)</f>
        <v>0</v>
      </c>
      <c r="F8" s="96">
        <f t="shared" ref="F8:F71" si="1">SUM(E8,C8)</f>
        <v>0</v>
      </c>
    </row>
    <row r="9" spans="1:6" hidden="1" x14ac:dyDescent="0.25">
      <c r="A9" s="91" t="s">
        <v>3896</v>
      </c>
      <c r="B9" s="95" t="s">
        <v>3897</v>
      </c>
      <c r="C9" s="96">
        <f>SUMIF('ПО КОРИСНИЦИМА'!$G$7:$G$17281,"Функција 030:",'ПО КОРИСНИЦИМА'!$H$7:$H$17281)</f>
        <v>0</v>
      </c>
      <c r="D9" s="97">
        <f t="shared" si="0"/>
        <v>0</v>
      </c>
      <c r="E9" s="96">
        <f>SUMIF('ПО КОРИСНИЦИМА'!$G$7:$G$17281,"Функција 030:",'ПО КОРИСНИЦИМА'!$I$7:$I$17281)</f>
        <v>0</v>
      </c>
      <c r="F9" s="96">
        <f t="shared" si="1"/>
        <v>0</v>
      </c>
    </row>
    <row r="10" spans="1:6" hidden="1" x14ac:dyDescent="0.25">
      <c r="A10" s="91" t="s">
        <v>3898</v>
      </c>
      <c r="B10" s="95" t="s">
        <v>3899</v>
      </c>
      <c r="C10" s="96">
        <f>SUMIF('ПО КОРИСНИЦИМА'!$G$7:$G$17281,"Функција 040:",'ПО КОРИСНИЦИМА'!$H$7:$H$17281)</f>
        <v>0</v>
      </c>
      <c r="D10" s="97">
        <f t="shared" si="0"/>
        <v>0</v>
      </c>
      <c r="E10" s="96">
        <f>SUMIF('ПО КОРИСНИЦИМА'!$G$7:$G$17281,"Функција 040:",'ПО КОРИСНИЦИМА'!$I$7:$I$17281)</f>
        <v>0</v>
      </c>
      <c r="F10" s="96">
        <f t="shared" si="1"/>
        <v>0</v>
      </c>
    </row>
    <row r="11" spans="1:6" hidden="1" x14ac:dyDescent="0.25">
      <c r="A11" s="91" t="s">
        <v>3900</v>
      </c>
      <c r="B11" s="95" t="s">
        <v>3901</v>
      </c>
      <c r="C11" s="96">
        <f>SUMIF('ПО КОРИСНИЦИМА'!$G$7:$G$17281,"Функција 050:",'ПО КОРИСНИЦИМА'!$H$7:$H$17281)</f>
        <v>0</v>
      </c>
      <c r="D11" s="97">
        <f t="shared" si="0"/>
        <v>0</v>
      </c>
      <c r="E11" s="96">
        <f>SUMIF('ПО КОРИСНИЦИМА'!$G$7:$G$17281,"Функција 050:",'ПО КОРИСНИЦИМА'!$I$7:$I$17281)</f>
        <v>0</v>
      </c>
      <c r="F11" s="96">
        <f t="shared" si="1"/>
        <v>0</v>
      </c>
    </row>
    <row r="12" spans="1:6" hidden="1" x14ac:dyDescent="0.25">
      <c r="A12" s="91" t="s">
        <v>3902</v>
      </c>
      <c r="B12" s="95" t="s">
        <v>3903</v>
      </c>
      <c r="C12" s="96">
        <f>SUMIF('ПО КОРИСНИЦИМА'!$G$7:$G$17281,"Функција 060:",'ПО КОРИСНИЦИМА'!$H$7:$H$17281)</f>
        <v>0</v>
      </c>
      <c r="D12" s="97">
        <f t="shared" si="0"/>
        <v>0</v>
      </c>
      <c r="E12" s="96">
        <f>SUMIF('ПО КОРИСНИЦИМА'!$G$7:$G$17281,"Функција 060:",'ПО КОРИСНИЦИМА'!$I$7:$I$17281)</f>
        <v>0</v>
      </c>
      <c r="F12" s="96">
        <f t="shared" si="1"/>
        <v>0</v>
      </c>
    </row>
    <row r="13" spans="1:6" ht="22.5" hidden="1" x14ac:dyDescent="0.25">
      <c r="A13" s="91" t="s">
        <v>3904</v>
      </c>
      <c r="B13" s="95" t="s">
        <v>3905</v>
      </c>
      <c r="C13" s="96">
        <f>SUMIF('ПО КОРИСНИЦИМА'!$G$7:$G$17281,"Функција 070:",'ПО КОРИСНИЦИМА'!$H$7:$H$17281)</f>
        <v>0</v>
      </c>
      <c r="D13" s="97">
        <f t="shared" si="0"/>
        <v>0</v>
      </c>
      <c r="E13" s="96">
        <f>SUMIF('ПО КОРИСНИЦИМА'!$G$7:$G$17281,"Функција 070:",'ПО КОРИСНИЦИМА'!$I$7:$I$17281)</f>
        <v>0</v>
      </c>
      <c r="F13" s="96">
        <f t="shared" si="1"/>
        <v>0</v>
      </c>
    </row>
    <row r="14" spans="1:6" hidden="1" x14ac:dyDescent="0.25">
      <c r="A14" s="91" t="s">
        <v>3906</v>
      </c>
      <c r="B14" s="95" t="s">
        <v>3907</v>
      </c>
      <c r="C14" s="96">
        <f>SUMIF('ПО КОРИСНИЦИМА'!$G$7:$G$17281,"Функција 080:",'ПО КОРИСНИЦИМА'!$H$7:$H$17281)</f>
        <v>0</v>
      </c>
      <c r="D14" s="97">
        <f t="shared" si="0"/>
        <v>0</v>
      </c>
      <c r="E14" s="96">
        <f>SUMIF('ПО КОРИСНИЦИМА'!$G$7:$G$17281,"Функција 080:",'ПО КОРИСНИЦИМА'!$I$7:$I$17281)</f>
        <v>0</v>
      </c>
      <c r="F14" s="96">
        <f t="shared" si="1"/>
        <v>0</v>
      </c>
    </row>
    <row r="15" spans="1:6" x14ac:dyDescent="0.25">
      <c r="A15" s="91" t="s">
        <v>3908</v>
      </c>
      <c r="B15" s="95" t="s">
        <v>103</v>
      </c>
      <c r="C15" s="96">
        <f>SUMIF('ПО КОРИСНИЦИМА'!$G$7:$G$17281,"Функција 090:",'ПО КОРИСНИЦИМА'!$H$7:$H$17281)</f>
        <v>9429000</v>
      </c>
      <c r="D15" s="97">
        <f t="shared" si="0"/>
        <v>1.6344253770150807E-2</v>
      </c>
      <c r="E15" s="96">
        <f>SUMIF('ПО КОРИСНИЦИМА'!$G$7:$G$17281,"Функција 090:",'ПО КОРИСНИЦИМА'!$I$7:$I$17281)</f>
        <v>0</v>
      </c>
      <c r="F15" s="96">
        <f t="shared" si="1"/>
        <v>9429000</v>
      </c>
    </row>
    <row r="16" spans="1:6" x14ac:dyDescent="0.25">
      <c r="A16" s="98" t="s">
        <v>3909</v>
      </c>
      <c r="B16" s="99" t="s">
        <v>104</v>
      </c>
      <c r="C16" s="94">
        <f>SUM(C17:C32)</f>
        <v>111793794</v>
      </c>
      <c r="D16" s="100">
        <f t="shared" si="0"/>
        <v>0.19378366094643787</v>
      </c>
      <c r="E16" s="94">
        <f>SUM(E17:E32)</f>
        <v>0</v>
      </c>
      <c r="F16" s="94">
        <f t="shared" ref="F16:F40" si="2">C16+E16</f>
        <v>111793794</v>
      </c>
    </row>
    <row r="17" spans="1:6" ht="23.25" x14ac:dyDescent="0.25">
      <c r="A17" s="101" t="s">
        <v>3910</v>
      </c>
      <c r="B17" s="102" t="s">
        <v>3911</v>
      </c>
      <c r="C17" s="96">
        <f>SUMIF('ПО КОРИСНИЦИМА'!$G$7:$G$17281,"Функција 110:",'ПО КОРИСНИЦИМА'!$H$7:$H$17281)</f>
        <v>2898794</v>
      </c>
      <c r="D17" s="97">
        <f t="shared" si="0"/>
        <v>5.0247772577569766E-3</v>
      </c>
      <c r="E17" s="96">
        <f>SUMIF('ПО КОРИСНИЦИМА'!$G$7:$G$17281,"Функција 110:",'ПО КОРИСНИЦИМА'!$I$7:$I$17281)</f>
        <v>0</v>
      </c>
      <c r="F17" s="96">
        <f t="shared" si="1"/>
        <v>2898794</v>
      </c>
    </row>
    <row r="18" spans="1:6" x14ac:dyDescent="0.25">
      <c r="A18" s="103" t="s">
        <v>3912</v>
      </c>
      <c r="B18" s="102" t="s">
        <v>106</v>
      </c>
      <c r="C18" s="96">
        <f>SUMIF('ПО КОРИСНИЦИМА'!$G$7:$G$17281,"Функција 111:",'ПО КОРИСНИЦИМА'!$H$7:$H$17281)</f>
        <v>17900000</v>
      </c>
      <c r="D18" s="97">
        <f t="shared" si="0"/>
        <v>3.1027907782977985E-2</v>
      </c>
      <c r="E18" s="96">
        <f>SUMIF('ПО КОРИСНИЦИМА'!$G$7:$G$17281,"Функција 111:",'ПО КОРИСНИЦИМА'!$I$7:$I$17281)</f>
        <v>0</v>
      </c>
      <c r="F18" s="96">
        <f t="shared" si="1"/>
        <v>17900000</v>
      </c>
    </row>
    <row r="19" spans="1:6" x14ac:dyDescent="0.25">
      <c r="A19" s="103" t="s">
        <v>3913</v>
      </c>
      <c r="B19" s="102" t="s">
        <v>107</v>
      </c>
      <c r="C19" s="96">
        <f>SUMIF('ПО КОРИСНИЦИМА'!$G$7:$G$17281,"Функција 112:",'ПО КОРИСНИЦИМА'!$H$7:$H$17281)</f>
        <v>4500000</v>
      </c>
      <c r="D19" s="97">
        <f t="shared" si="0"/>
        <v>7.8003120124804995E-3</v>
      </c>
      <c r="E19" s="96">
        <f>SUMIF('ПО КОРИСНИЦИМА'!$G$7:$G$17281,"Функција 112:",'ПО КОРИСНИЦИМА'!$I$7:$I$17281)</f>
        <v>0</v>
      </c>
      <c r="F19" s="96">
        <f t="shared" si="1"/>
        <v>4500000</v>
      </c>
    </row>
    <row r="20" spans="1:6" hidden="1" x14ac:dyDescent="0.25">
      <c r="A20" s="103" t="s">
        <v>3914</v>
      </c>
      <c r="B20" s="102" t="s">
        <v>108</v>
      </c>
      <c r="C20" s="96">
        <f>SUMIF('ПО КОРИСНИЦИМА'!$G$7:$G$17281,"Функција 113:",'ПО КОРИСНИЦИМА'!$H$7:$H$17281)</f>
        <v>0</v>
      </c>
      <c r="D20" s="97">
        <f t="shared" si="0"/>
        <v>0</v>
      </c>
      <c r="E20" s="96">
        <f>SUMIF('ПО КОРИСНИЦИМА'!$G$7:$G$17281,"Функција 113:",'ПО КОРИСНИЦИМА'!$I$7:$I$17281)</f>
        <v>0</v>
      </c>
      <c r="F20" s="96">
        <f t="shared" si="1"/>
        <v>0</v>
      </c>
    </row>
    <row r="21" spans="1:6" hidden="1" x14ac:dyDescent="0.25">
      <c r="A21" s="101" t="s">
        <v>3915</v>
      </c>
      <c r="B21" s="102" t="s">
        <v>3916</v>
      </c>
      <c r="C21" s="96">
        <f>SUMIF('ПО КОРИСНИЦИМА'!$G$7:$G$17281,"Функција 120:",'ПО КОРИСНИЦИМА'!$H$7:$H$17281)</f>
        <v>0</v>
      </c>
      <c r="D21" s="97">
        <f t="shared" si="0"/>
        <v>0</v>
      </c>
      <c r="E21" s="96">
        <f>SUMIF('ПО КОРИСНИЦИМА'!$G$7:$G$17281,"Функција 120:",'ПО КОРИСНИЦИМА'!$I$7:$I$17281)</f>
        <v>0</v>
      </c>
      <c r="F21" s="96">
        <f t="shared" si="1"/>
        <v>0</v>
      </c>
    </row>
    <row r="22" spans="1:6" hidden="1" x14ac:dyDescent="0.25">
      <c r="A22" s="103" t="s">
        <v>3917</v>
      </c>
      <c r="B22" s="102" t="s">
        <v>110</v>
      </c>
      <c r="C22" s="96">
        <f>SUMIF('ПО КОРИСНИЦИМА'!$G$7:$G$17281,"Функција 121:",'ПО КОРИСНИЦИМА'!$H$7:$H$17281)</f>
        <v>0</v>
      </c>
      <c r="D22" s="97">
        <f t="shared" si="0"/>
        <v>0</v>
      </c>
      <c r="E22" s="96">
        <f>SUMIF('ПО КОРИСНИЦИМА'!$G$7:$G$17281,"Функција 121:",'ПО КОРИСНИЦИМА'!$I$7:$I$17281)</f>
        <v>0</v>
      </c>
      <c r="F22" s="96">
        <f t="shared" si="1"/>
        <v>0</v>
      </c>
    </row>
    <row r="23" spans="1:6" ht="0.75" customHeight="1" x14ac:dyDescent="0.25">
      <c r="A23" s="103" t="s">
        <v>3918</v>
      </c>
      <c r="B23" s="102" t="s">
        <v>111</v>
      </c>
      <c r="C23" s="96">
        <f>SUMIF('ПО КОРИСНИЦИМА'!$G$7:$G$17281,"Функција 122:",'ПО КОРИСНИЦИМА'!$H$7:$H$17281)</f>
        <v>0</v>
      </c>
      <c r="D23" s="97">
        <f t="shared" si="0"/>
        <v>0</v>
      </c>
      <c r="E23" s="96">
        <f>SUMIF('ПО КОРИСНИЦИМА'!$G$7:$G$17281,"Функција 122:",'ПО КОРИСНИЦИМА'!$I$7:$I$17281)</f>
        <v>0</v>
      </c>
      <c r="F23" s="96">
        <f t="shared" si="1"/>
        <v>0</v>
      </c>
    </row>
    <row r="24" spans="1:6" x14ac:dyDescent="0.25">
      <c r="A24" s="101" t="s">
        <v>3919</v>
      </c>
      <c r="B24" s="102" t="s">
        <v>3920</v>
      </c>
      <c r="C24" s="96">
        <f>SUMIF('ПО КОРИСНИЦИМА'!$G$7:$G$17281,"Функција 130:",'ПО КОРИСНИЦИМА'!$H$7:$H$17281)</f>
        <v>86000000</v>
      </c>
      <c r="D24" s="97">
        <f t="shared" si="0"/>
        <v>0.14907262957184955</v>
      </c>
      <c r="E24" s="96">
        <f>SUMIF('ПО КОРИСНИЦИМА'!$G$7:$G$17281,"Функција 130:",'ПО КОРИСНИЦИМА'!$I$7:$I$17281)</f>
        <v>0</v>
      </c>
      <c r="F24" s="96">
        <f t="shared" si="1"/>
        <v>86000000</v>
      </c>
    </row>
    <row r="25" spans="1:6" hidden="1" x14ac:dyDescent="0.25">
      <c r="A25" s="103" t="s">
        <v>3921</v>
      </c>
      <c r="B25" s="102" t="s">
        <v>113</v>
      </c>
      <c r="C25" s="96">
        <f>SUMIF('ПО КОРИСНИЦИМА'!$G$7:$G$17281,"Функција 131:",'ПО КОРИСНИЦИМА'!$H$7:$H$17281)</f>
        <v>0</v>
      </c>
      <c r="D25" s="97">
        <f t="shared" si="0"/>
        <v>0</v>
      </c>
      <c r="E25" s="96">
        <f>SUMIF('ПО КОРИСНИЦИМА'!$G$7:$G$17281,"Функција 131:",'ПО КОРИСНИЦИМА'!$I$7:$I$17281)</f>
        <v>0</v>
      </c>
      <c r="F25" s="96">
        <f t="shared" si="1"/>
        <v>0</v>
      </c>
    </row>
    <row r="26" spans="1:6" hidden="1" x14ac:dyDescent="0.25">
      <c r="A26" s="103" t="s">
        <v>3922</v>
      </c>
      <c r="B26" s="102" t="s">
        <v>114</v>
      </c>
      <c r="C26" s="96">
        <f>SUMIF('ПО КОРИСНИЦИМА'!$G$7:$G$17281,"Функција 132:",'ПО КОРИСНИЦИМА'!$H$7:$H$17281)</f>
        <v>0</v>
      </c>
      <c r="D26" s="97">
        <f t="shared" si="0"/>
        <v>0</v>
      </c>
      <c r="E26" s="96">
        <f>SUMIF('ПО КОРИСНИЦИМА'!$G$7:$G$17281,"Функција 132:",'ПО КОРИСНИЦИМА'!$I$7:$I$17281)</f>
        <v>0</v>
      </c>
      <c r="F26" s="96">
        <f t="shared" si="1"/>
        <v>0</v>
      </c>
    </row>
    <row r="27" spans="1:6" hidden="1" x14ac:dyDescent="0.25">
      <c r="A27" s="103" t="s">
        <v>3923</v>
      </c>
      <c r="B27" s="102" t="s">
        <v>115</v>
      </c>
      <c r="C27" s="96">
        <f>SUMIF('ПО КОРИСНИЦИМА'!$G$7:$G$17281,"Функција 133:",'ПО КОРИСНИЦИМА'!$H$7:$H$17281)</f>
        <v>0</v>
      </c>
      <c r="D27" s="97">
        <f t="shared" si="0"/>
        <v>0</v>
      </c>
      <c r="E27" s="96">
        <f>SUMIF('ПО КОРИСНИЦИМА'!$G$7:$G$17281,"Функција 133:",'ПО КОРИСНИЦИМА'!$I$7:$I$17281)</f>
        <v>0</v>
      </c>
      <c r="F27" s="96">
        <f t="shared" si="1"/>
        <v>0</v>
      </c>
    </row>
    <row r="28" spans="1:6" hidden="1" x14ac:dyDescent="0.25">
      <c r="A28" s="101" t="s">
        <v>3924</v>
      </c>
      <c r="B28" s="102" t="s">
        <v>3925</v>
      </c>
      <c r="C28" s="96">
        <f>SUMIF('ПО КОРИСНИЦИМА'!$G$7:$G$17281,"Функција 140:",'ПО КОРИСНИЦИМА'!$H$7:$H$17281)</f>
        <v>0</v>
      </c>
      <c r="D28" s="97">
        <f t="shared" si="0"/>
        <v>0</v>
      </c>
      <c r="E28" s="96">
        <f>SUMIF('ПО КОРИСНИЦИМА'!$G$7:$G$17281,"Функција 140:",'ПО КОРИСНИЦИМА'!$I$7:$I$17281)</f>
        <v>0</v>
      </c>
      <c r="F28" s="96">
        <f t="shared" si="1"/>
        <v>0</v>
      </c>
    </row>
    <row r="29" spans="1:6" x14ac:dyDescent="0.25">
      <c r="A29" s="101" t="s">
        <v>3926</v>
      </c>
      <c r="B29" s="102" t="s">
        <v>3927</v>
      </c>
      <c r="C29" s="96">
        <f>SUMIF('ПО КОРИСНИЦИМА'!$G$7:$G$17281,"Функција 150:",'ПО КОРИСНИЦИМА'!$H$7:$H$17281)</f>
        <v>395000</v>
      </c>
      <c r="D29" s="97">
        <f t="shared" si="0"/>
        <v>6.8469405442884382E-4</v>
      </c>
      <c r="E29" s="96">
        <f>SUMIF('ПО КОРИСНИЦИМА'!$G$7:$G$17281,"Функција 150:",'ПО КОРИСНИЦИМА'!$I$7:$I$17281)</f>
        <v>0</v>
      </c>
      <c r="F29" s="96">
        <f t="shared" si="1"/>
        <v>395000</v>
      </c>
    </row>
    <row r="30" spans="1:6" x14ac:dyDescent="0.25">
      <c r="A30" s="101" t="s">
        <v>3928</v>
      </c>
      <c r="B30" s="102" t="s">
        <v>3929</v>
      </c>
      <c r="C30" s="96">
        <f>SUMIF('ПО КОРИСНИЦИМА'!$G$7:$G$17281,"Функција 160:",'ПО КОРИСНИЦИМА'!$H$7:$H$17281)</f>
        <v>100000</v>
      </c>
      <c r="D30" s="97">
        <f t="shared" si="0"/>
        <v>1.733402669440111E-4</v>
      </c>
      <c r="E30" s="96">
        <f>SUMIF('ПО КОРИСНИЦИМА'!$G$7:$G$17281,"Функција 160:",'ПО КОРИСНИЦИМА'!$I$7:$I$17281)</f>
        <v>0</v>
      </c>
      <c r="F30" s="96">
        <f t="shared" si="1"/>
        <v>100000</v>
      </c>
    </row>
    <row r="31" spans="1:6" hidden="1" x14ac:dyDescent="0.25">
      <c r="A31" s="101" t="s">
        <v>3930</v>
      </c>
      <c r="B31" s="102" t="s">
        <v>3931</v>
      </c>
      <c r="C31" s="96">
        <f>SUMIF('ПО КОРИСНИЦИМА'!$G$7:$G$17281,"Функција 170:",'ПО КОРИСНИЦИМА'!$H$7:$H$17281)</f>
        <v>0</v>
      </c>
      <c r="D31" s="97">
        <f t="shared" si="0"/>
        <v>0</v>
      </c>
      <c r="E31" s="96">
        <f>SUMIF('ПО КОРИСНИЦИМА'!$G$7:$G$17281,"Функција 170:",'ПО КОРИСНИЦИМА'!$I$7:$I$17281)</f>
        <v>0</v>
      </c>
      <c r="F31" s="96">
        <f t="shared" si="1"/>
        <v>0</v>
      </c>
    </row>
    <row r="32" spans="1:6" hidden="1" x14ac:dyDescent="0.25">
      <c r="A32" s="101" t="s">
        <v>3932</v>
      </c>
      <c r="B32" s="102" t="s">
        <v>120</v>
      </c>
      <c r="C32" s="96">
        <f>SUMIF('ПО КОРИСНИЦИМА'!$G$7:$G$17281,"Функција 180:",'ПО КОРИСНИЦИМА'!$H$7:$H$17281)</f>
        <v>0</v>
      </c>
      <c r="D32" s="97">
        <f t="shared" si="0"/>
        <v>0</v>
      </c>
      <c r="E32" s="96">
        <f>SUMIF('ПО КОРИСНИЦИМА'!$G$7:$G$17281,"Функција 180:",'ПО КОРИСНИЦИМА'!$I$7:$I$17281)</f>
        <v>0</v>
      </c>
      <c r="F32" s="96">
        <f t="shared" si="1"/>
        <v>0</v>
      </c>
    </row>
    <row r="33" spans="1:6" x14ac:dyDescent="0.25">
      <c r="A33" s="98" t="s">
        <v>3933</v>
      </c>
      <c r="B33" s="104" t="s">
        <v>127</v>
      </c>
      <c r="C33" s="94">
        <f>SUM(C34:C39)</f>
        <v>14900000</v>
      </c>
      <c r="D33" s="100">
        <f t="shared" si="0"/>
        <v>2.5827699774657653E-2</v>
      </c>
      <c r="E33" s="94">
        <f>SUM(E34:E39)</f>
        <v>0</v>
      </c>
      <c r="F33" s="94">
        <f t="shared" si="2"/>
        <v>14900000</v>
      </c>
    </row>
    <row r="34" spans="1:6" hidden="1" x14ac:dyDescent="0.25">
      <c r="A34" s="101" t="s">
        <v>3934</v>
      </c>
      <c r="B34" s="102" t="s">
        <v>3935</v>
      </c>
      <c r="C34" s="96">
        <f>SUMIF('ПО КОРИСНИЦИМА'!$G$7:$G$17281,"Функција 310:",'ПО КОРИСНИЦИМА'!$H$7:$H$17281)</f>
        <v>0</v>
      </c>
      <c r="D34" s="97">
        <f t="shared" si="0"/>
        <v>0</v>
      </c>
      <c r="E34" s="96">
        <f>SUMIF('ПО КОРИСНИЦИМА'!$G$7:$G$17281,"Функција 310:",'ПО КОРИСНИЦИМА'!$I$7:$I$17281)</f>
        <v>0</v>
      </c>
      <c r="F34" s="96">
        <f t="shared" si="1"/>
        <v>0</v>
      </c>
    </row>
    <row r="35" spans="1:6" hidden="1" x14ac:dyDescent="0.25">
      <c r="A35" s="101" t="s">
        <v>3936</v>
      </c>
      <c r="B35" s="102" t="s">
        <v>3937</v>
      </c>
      <c r="C35" s="96">
        <f>SUMIF('ПО КОРИСНИЦИМА'!$G$7:$G$17281,"Функција 320:",'ПО КОРИСНИЦИМА'!$H$7:$H$17281)</f>
        <v>0</v>
      </c>
      <c r="D35" s="97">
        <f t="shared" si="0"/>
        <v>0</v>
      </c>
      <c r="E35" s="96">
        <f>SUMIF('ПО КОРИСНИЦИМА'!$G$7:$G$17281,"Функција 320:",'ПО КОРИСНИЦИМА'!$I$7:$I$17281)</f>
        <v>0</v>
      </c>
      <c r="F35" s="96">
        <f t="shared" si="1"/>
        <v>0</v>
      </c>
    </row>
    <row r="36" spans="1:6" hidden="1" x14ac:dyDescent="0.25">
      <c r="A36" s="101" t="s">
        <v>3938</v>
      </c>
      <c r="B36" s="102" t="s">
        <v>3939</v>
      </c>
      <c r="C36" s="96">
        <f>SUMIF('ПО КОРИСНИЦИМА'!$G$7:$G$17281,"Функција 330:",'ПО КОРИСНИЦИМА'!$H$7:$H$17281)</f>
        <v>0</v>
      </c>
      <c r="D36" s="97">
        <f t="shared" si="0"/>
        <v>0</v>
      </c>
      <c r="E36" s="96">
        <f>SUMIF('ПО КОРИСНИЦИМА'!$G$7:$G$17281,"Функција 330:",'ПО КОРИСНИЦИМА'!$I$7:$I$17281)</f>
        <v>0</v>
      </c>
      <c r="F36" s="96">
        <f t="shared" si="1"/>
        <v>0</v>
      </c>
    </row>
    <row r="37" spans="1:6" hidden="1" x14ac:dyDescent="0.25">
      <c r="A37" s="101" t="s">
        <v>3940</v>
      </c>
      <c r="B37" s="102" t="s">
        <v>3941</v>
      </c>
      <c r="C37" s="96">
        <f>SUMIF('ПО КОРИСНИЦИМА'!$G$7:$G$17281,"Функција 340:",'ПО КОРИСНИЦИМА'!$H$7:$H$17281)</f>
        <v>0</v>
      </c>
      <c r="D37" s="97">
        <f t="shared" si="0"/>
        <v>0</v>
      </c>
      <c r="E37" s="96">
        <f>SUMIF('ПО КОРИСНИЦИМА'!$G$7:$G$17281,"Функција 340:",'ПО КОРИСНИЦИМА'!$I$7:$I$17281)</f>
        <v>0</v>
      </c>
      <c r="F37" s="96">
        <f t="shared" si="1"/>
        <v>0</v>
      </c>
    </row>
    <row r="38" spans="1:6" hidden="1" x14ac:dyDescent="0.25">
      <c r="A38" s="101" t="s">
        <v>3942</v>
      </c>
      <c r="B38" s="102" t="s">
        <v>3943</v>
      </c>
      <c r="C38" s="96">
        <f>SUMIF('ПО КОРИСНИЦИМА'!$G$7:$G$17281,"Функција 350:",'ПО КОРИСНИЦИМА'!$H$7:$H$17281)</f>
        <v>0</v>
      </c>
      <c r="D38" s="97">
        <f t="shared" si="0"/>
        <v>0</v>
      </c>
      <c r="E38" s="96">
        <f>SUMIF('ПО КОРИСНИЦИМА'!$G$7:$G$17281,"Функција 350:",'ПО КОРИСНИЦИМА'!$I$7:$I$17281)</f>
        <v>0</v>
      </c>
      <c r="F38" s="96">
        <f t="shared" si="1"/>
        <v>0</v>
      </c>
    </row>
    <row r="39" spans="1:6" x14ac:dyDescent="0.25">
      <c r="A39" s="101" t="s">
        <v>3944</v>
      </c>
      <c r="B39" s="102" t="s">
        <v>3945</v>
      </c>
      <c r="C39" s="96">
        <f>SUMIF('ПО КОРИСНИЦИМА'!$G$7:$G$17281,"Функција 360:",'ПО КОРИСНИЦИМА'!$H$7:$H$17281)</f>
        <v>14900000</v>
      </c>
      <c r="D39" s="97">
        <f t="shared" si="0"/>
        <v>2.5827699774657653E-2</v>
      </c>
      <c r="E39" s="96">
        <f>SUMIF('ПО КОРИСНИЦИМА'!$G$7:$G$17281,"Функција 360:",'ПО КОРИСНИЦИМА'!$I$7:$I$17281)</f>
        <v>0</v>
      </c>
      <c r="F39" s="96">
        <f t="shared" si="1"/>
        <v>14900000</v>
      </c>
    </row>
    <row r="40" spans="1:6" x14ac:dyDescent="0.25">
      <c r="A40" s="98" t="s">
        <v>3946</v>
      </c>
      <c r="B40" s="99" t="s">
        <v>133</v>
      </c>
      <c r="C40" s="94">
        <f>SUM(C41:C79)</f>
        <v>41346000</v>
      </c>
      <c r="D40" s="100">
        <f t="shared" si="0"/>
        <v>7.1669266770670828E-2</v>
      </c>
      <c r="E40" s="94">
        <f>SUM(E41:E79)</f>
        <v>500000</v>
      </c>
      <c r="F40" s="94">
        <f t="shared" si="2"/>
        <v>41846000</v>
      </c>
    </row>
    <row r="41" spans="1:6" ht="23.25" hidden="1" x14ac:dyDescent="0.25">
      <c r="A41" s="101" t="s">
        <v>3781</v>
      </c>
      <c r="B41" s="105" t="s">
        <v>3947</v>
      </c>
      <c r="C41" s="96">
        <f>SUMIF('ПО КОРИСНИЦИМА'!$G$7:$G$17281,"Функција 410:",'ПО КОРИСНИЦИМА'!$H$7:$H$17281)</f>
        <v>0</v>
      </c>
      <c r="D41" s="97">
        <f t="shared" si="0"/>
        <v>0</v>
      </c>
      <c r="E41" s="96">
        <f>SUMIF('ПО КОРИСНИЦИМА'!$G$7:$G$17281,"Функција 410:",'ПО КОРИСНИЦИМА'!$I$7:$I$17281)</f>
        <v>0</v>
      </c>
      <c r="F41" s="96">
        <f t="shared" si="1"/>
        <v>0</v>
      </c>
    </row>
    <row r="42" spans="1:6" hidden="1" x14ac:dyDescent="0.25">
      <c r="A42" s="103" t="s">
        <v>3948</v>
      </c>
      <c r="B42" s="105" t="s">
        <v>135</v>
      </c>
      <c r="C42" s="96">
        <f>SUMIF('ПО КОРИСНИЦИМА'!$G$7:$G$17281,"Функција 411:",'ПО КОРИСНИЦИМА'!$H$7:$H$17281)</f>
        <v>0</v>
      </c>
      <c r="D42" s="97">
        <f t="shared" si="0"/>
        <v>0</v>
      </c>
      <c r="E42" s="96">
        <f>SUMIF('ПО КОРИСНИЦИМА'!$G$7:$G$17281,"Функција 411:",'ПО КОРИСНИЦИМА'!$I$7:$I$17281)</f>
        <v>0</v>
      </c>
      <c r="F42" s="96">
        <f t="shared" si="1"/>
        <v>0</v>
      </c>
    </row>
    <row r="43" spans="1:6" hidden="1" x14ac:dyDescent="0.25">
      <c r="A43" s="103" t="s">
        <v>3949</v>
      </c>
      <c r="B43" s="105" t="s">
        <v>136</v>
      </c>
      <c r="C43" s="96">
        <f>SUMIF('ПО КОРИСНИЦИМА'!$G$7:$G$17281,"Функција 412:",'ПО КОРИСНИЦИМА'!$H$7:$H$17281)</f>
        <v>0</v>
      </c>
      <c r="D43" s="97">
        <f t="shared" si="0"/>
        <v>0</v>
      </c>
      <c r="E43" s="96">
        <f>SUMIF('ПО КОРИСНИЦИМА'!$G$7:$G$17281,"Функција 412:",'ПО КОРИСНИЦИМА'!$I$7:$I$17281)</f>
        <v>0</v>
      </c>
      <c r="F43" s="96">
        <f t="shared" si="1"/>
        <v>0</v>
      </c>
    </row>
    <row r="44" spans="1:6" hidden="1" x14ac:dyDescent="0.25">
      <c r="A44" s="101" t="s">
        <v>3794</v>
      </c>
      <c r="B44" s="102" t="s">
        <v>3950</v>
      </c>
      <c r="C44" s="96">
        <f>SUMIF('ПО КОРИСНИЦИМА'!$G$7:$G$17281,"Функција 420:",'ПО КОРИСНИЦИМА'!$H$7:$H$17281)</f>
        <v>0</v>
      </c>
      <c r="D44" s="97">
        <f t="shared" si="0"/>
        <v>0</v>
      </c>
      <c r="E44" s="96">
        <f>SUMIF('ПО КОРИСНИЦИМА'!$G$7:$G$17281,"Функција 420:",'ПО КОРИСНИЦИМА'!$I$7:$I$17281)</f>
        <v>0</v>
      </c>
      <c r="F44" s="96">
        <f t="shared" si="1"/>
        <v>0</v>
      </c>
    </row>
    <row r="45" spans="1:6" x14ac:dyDescent="0.25">
      <c r="A45" s="103" t="s">
        <v>3796</v>
      </c>
      <c r="B45" s="102" t="s">
        <v>138</v>
      </c>
      <c r="C45" s="96">
        <f>SUMIF('ПО КОРИСНИЦИМА'!$G$7:$G$17281,"Функција 421:",'ПО КОРИСНИЦИМА'!$H$7:$H$17281)</f>
        <v>30500000</v>
      </c>
      <c r="D45" s="97">
        <f t="shared" si="0"/>
        <v>5.2868781417923387E-2</v>
      </c>
      <c r="E45" s="96">
        <f>SUMIF('ПО КОРИСНИЦИМА'!$G$7:$G$17281,"Функција 421:",'ПО КОРИСНИЦИМА'!$I$7:$I$17281)</f>
        <v>0</v>
      </c>
      <c r="F45" s="96">
        <f t="shared" si="1"/>
        <v>30500000</v>
      </c>
    </row>
    <row r="46" spans="1:6" hidden="1" x14ac:dyDescent="0.25">
      <c r="A46" s="103" t="s">
        <v>3951</v>
      </c>
      <c r="B46" s="102" t="s">
        <v>139</v>
      </c>
      <c r="C46" s="96">
        <f>SUMIF('ПО КОРИСНИЦИМА'!$G$7:$G$17281,"Функција 422:",'ПО КОРИСНИЦИМА'!$H$7:$H$17281)</f>
        <v>0</v>
      </c>
      <c r="D46" s="97">
        <f t="shared" si="0"/>
        <v>0</v>
      </c>
      <c r="E46" s="96">
        <f>SUMIF('ПО КОРИСНИЦИМА'!$G$7:$G$17281,"Функција 422:",'ПО КОРИСНИЦИМА'!$I$7:$I$17281)</f>
        <v>0</v>
      </c>
      <c r="F46" s="96">
        <f t="shared" si="1"/>
        <v>0</v>
      </c>
    </row>
    <row r="47" spans="1:6" hidden="1" x14ac:dyDescent="0.25">
      <c r="A47" s="103" t="s">
        <v>3952</v>
      </c>
      <c r="B47" s="102" t="s">
        <v>140</v>
      </c>
      <c r="C47" s="96">
        <f>SUMIF('ПО КОРИСНИЦИМА'!$G$7:$G$17281,"Функција 423:",'ПО КОРИСНИЦИМА'!$H$7:$H$17281)</f>
        <v>0</v>
      </c>
      <c r="D47" s="97">
        <f t="shared" si="0"/>
        <v>0</v>
      </c>
      <c r="E47" s="96">
        <f>SUMIF('ПО КОРИСНИЦИМА'!$G$7:$G$17281,"Функција 423:",'ПО КОРИСНИЦИМА'!$I$7:$I$17281)</f>
        <v>0</v>
      </c>
      <c r="F47" s="96">
        <f t="shared" si="1"/>
        <v>0</v>
      </c>
    </row>
    <row r="48" spans="1:6" hidden="1" x14ac:dyDescent="0.25">
      <c r="A48" s="101" t="s">
        <v>3806</v>
      </c>
      <c r="B48" s="102" t="s">
        <v>3953</v>
      </c>
      <c r="C48" s="96">
        <f>SUMIF('ПО КОРИСНИЦИМА'!$G$7:$G$17281,"Функција 430:",'ПО КОРИСНИЦИМА'!$H$7:$H$17281)</f>
        <v>0</v>
      </c>
      <c r="D48" s="97">
        <f t="shared" si="0"/>
        <v>0</v>
      </c>
      <c r="E48" s="96">
        <f>SUMIF('ПО КОРИСНИЦИМА'!$G$7:$G$17281,"Функција 430:",'ПО КОРИСНИЦИМА'!$I$7:$I$17281)</f>
        <v>0</v>
      </c>
      <c r="F48" s="96">
        <f t="shared" si="1"/>
        <v>0</v>
      </c>
    </row>
    <row r="49" spans="1:6" hidden="1" x14ac:dyDescent="0.25">
      <c r="A49" s="103" t="s">
        <v>3954</v>
      </c>
      <c r="B49" s="102" t="s">
        <v>142</v>
      </c>
      <c r="C49" s="96">
        <f>SUMIF('ПО КОРИСНИЦИМА'!$G$7:$G$17281,"Функција 431:",'ПО КОРИСНИЦИМА'!$H$7:$H$17281)</f>
        <v>0</v>
      </c>
      <c r="D49" s="97">
        <f t="shared" si="0"/>
        <v>0</v>
      </c>
      <c r="E49" s="96">
        <f>SUMIF('ПО КОРИСНИЦИМА'!$G$7:$G$17281,"Функција 431:",'ПО КОРИСНИЦИМА'!$I$7:$I$17281)</f>
        <v>0</v>
      </c>
      <c r="F49" s="96">
        <f t="shared" si="1"/>
        <v>0</v>
      </c>
    </row>
    <row r="50" spans="1:6" hidden="1" x14ac:dyDescent="0.25">
      <c r="A50" s="103" t="s">
        <v>3955</v>
      </c>
      <c r="B50" s="102" t="s">
        <v>143</v>
      </c>
      <c r="C50" s="96">
        <f>SUMIF('ПО КОРИСНИЦИМА'!$G$7:$G$17281,"Функција 432:",'ПО КОРИСНИЦИМА'!$H$7:$H$17281)</f>
        <v>0</v>
      </c>
      <c r="D50" s="97">
        <f t="shared" si="0"/>
        <v>0</v>
      </c>
      <c r="E50" s="96">
        <f>SUMIF('ПО КОРИСНИЦИМА'!$G$7:$G$17281,"Функција 432:",'ПО КОРИСНИЦИМА'!$I$7:$I$17281)</f>
        <v>0</v>
      </c>
      <c r="F50" s="96">
        <f t="shared" si="1"/>
        <v>0</v>
      </c>
    </row>
    <row r="51" spans="1:6" hidden="1" x14ac:dyDescent="0.25">
      <c r="A51" s="103" t="s">
        <v>3956</v>
      </c>
      <c r="B51" s="102" t="s">
        <v>144</v>
      </c>
      <c r="C51" s="96">
        <f>SUMIF('ПО КОРИСНИЦИМА'!$G$7:$G$17281,"Функција 433:",'ПО КОРИСНИЦИМА'!$H$7:$H$17281)</f>
        <v>0</v>
      </c>
      <c r="D51" s="97">
        <f t="shared" si="0"/>
        <v>0</v>
      </c>
      <c r="E51" s="96">
        <f>SUMIF('ПО КОРИСНИЦИМА'!$G$7:$G$17281,"Функција 433:",'ПО КОРИСНИЦИМА'!$I$7:$I$17281)</f>
        <v>0</v>
      </c>
      <c r="F51" s="96">
        <f t="shared" si="1"/>
        <v>0</v>
      </c>
    </row>
    <row r="52" spans="1:6" hidden="1" x14ac:dyDescent="0.25">
      <c r="A52" s="103" t="s">
        <v>3957</v>
      </c>
      <c r="B52" s="102" t="s">
        <v>145</v>
      </c>
      <c r="C52" s="96">
        <f>SUMIF('ПО КОРИСНИЦИМА'!$G$7:$G$17281,"Функција 434:",'ПО КОРИСНИЦИМА'!$H$7:$H$17281)</f>
        <v>0</v>
      </c>
      <c r="D52" s="97">
        <f t="shared" si="0"/>
        <v>0</v>
      </c>
      <c r="E52" s="96">
        <f>SUMIF('ПО КОРИСНИЦИМА'!$G$7:$G$17281,"Функција 434:",'ПО КОРИСНИЦИМА'!$I$7:$I$17281)</f>
        <v>0</v>
      </c>
      <c r="F52" s="96">
        <f t="shared" si="1"/>
        <v>0</v>
      </c>
    </row>
    <row r="53" spans="1:6" hidden="1" x14ac:dyDescent="0.25">
      <c r="A53" s="103" t="s">
        <v>3958</v>
      </c>
      <c r="B53" s="102" t="s">
        <v>146</v>
      </c>
      <c r="C53" s="96">
        <f>SUMIF('ПО КОРИСНИЦИМА'!$G$7:$G$17281,"Функција 435:",'ПО КОРИСНИЦИМА'!$H$7:$H$17281)</f>
        <v>0</v>
      </c>
      <c r="D53" s="97">
        <f t="shared" si="0"/>
        <v>0</v>
      </c>
      <c r="E53" s="96">
        <f>SUMIF('ПО КОРИСНИЦИМА'!$G$7:$G$17281,"Функција 435:",'ПО КОРИСНИЦИМА'!$I$7:$I$17281)</f>
        <v>0</v>
      </c>
      <c r="F53" s="96">
        <f t="shared" si="1"/>
        <v>0</v>
      </c>
    </row>
    <row r="54" spans="1:6" hidden="1" x14ac:dyDescent="0.25">
      <c r="A54" s="103" t="s">
        <v>3959</v>
      </c>
      <c r="B54" s="102" t="s">
        <v>147</v>
      </c>
      <c r="C54" s="96">
        <f>SUMIF('ПО КОРИСНИЦИМА'!$G$7:$G$17281,"Функција 436:",'ПО КОРИСНИЦИМА'!$H$7:$H$17281)</f>
        <v>0</v>
      </c>
      <c r="D54" s="97">
        <f t="shared" si="0"/>
        <v>0</v>
      </c>
      <c r="E54" s="96">
        <f>SUMIF('ПО КОРИСНИЦИМА'!$G$7:$G$17281,"Функција 436:",'ПО КОРИСНИЦИМА'!$I$7:$I$17281)</f>
        <v>0</v>
      </c>
      <c r="F54" s="96">
        <f t="shared" si="1"/>
        <v>0</v>
      </c>
    </row>
    <row r="55" spans="1:6" hidden="1" x14ac:dyDescent="0.25">
      <c r="A55" s="101" t="s">
        <v>3813</v>
      </c>
      <c r="B55" s="102" t="s">
        <v>3960</v>
      </c>
      <c r="C55" s="96">
        <f>SUMIF('ПО КОРИСНИЦИМА'!$G$7:$G$17281,"Функција 440:",'ПО КОРИСНИЦИМА'!$H$7:$H$17281)</f>
        <v>0</v>
      </c>
      <c r="D55" s="97">
        <f t="shared" si="0"/>
        <v>0</v>
      </c>
      <c r="E55" s="96">
        <f>SUMIF('ПО КОРИСНИЦИМА'!$G$7:$G$17281,"Функција 440:",'ПО КОРИСНИЦИМА'!$I$7:$I$17281)</f>
        <v>0</v>
      </c>
      <c r="F55" s="96">
        <f t="shared" si="1"/>
        <v>0</v>
      </c>
    </row>
    <row r="56" spans="1:6" hidden="1" x14ac:dyDescent="0.25">
      <c r="A56" s="103" t="s">
        <v>3961</v>
      </c>
      <c r="B56" s="102" t="s">
        <v>149</v>
      </c>
      <c r="C56" s="96">
        <f>SUMIF('ПО КОРИСНИЦИМА'!$G$7:$G$17281,"Функција 441:",'ПО КОРИСНИЦИМА'!$H$7:$H$17281)</f>
        <v>0</v>
      </c>
      <c r="D56" s="97">
        <f t="shared" si="0"/>
        <v>0</v>
      </c>
      <c r="E56" s="96">
        <f>SUMIF('ПО КОРИСНИЦИМА'!$G$7:$G$17281,"Функција 441:",'ПО КОРИСНИЦИМА'!$I$7:$I$17281)</f>
        <v>0</v>
      </c>
      <c r="F56" s="96">
        <f t="shared" si="1"/>
        <v>0</v>
      </c>
    </row>
    <row r="57" spans="1:6" hidden="1" x14ac:dyDescent="0.25">
      <c r="A57" s="103" t="s">
        <v>3962</v>
      </c>
      <c r="B57" s="102" t="s">
        <v>150</v>
      </c>
      <c r="C57" s="96">
        <f>SUMIF('ПО КОРИСНИЦИМА'!$G$7:$G$17281,"Функција 442:",'ПО КОРИСНИЦИМА'!$H$7:$H$17281)</f>
        <v>0</v>
      </c>
      <c r="D57" s="97">
        <f t="shared" si="0"/>
        <v>0</v>
      </c>
      <c r="E57" s="96">
        <f>SUMIF('ПО КОРИСНИЦИМА'!$G$7:$G$17281,"Функција 442:",'ПО КОРИСНИЦИМА'!$I$7:$I$17281)</f>
        <v>0</v>
      </c>
      <c r="F57" s="96">
        <f t="shared" si="1"/>
        <v>0</v>
      </c>
    </row>
    <row r="58" spans="1:6" hidden="1" x14ac:dyDescent="0.25">
      <c r="A58" s="103" t="s">
        <v>3963</v>
      </c>
      <c r="B58" s="102" t="s">
        <v>151</v>
      </c>
      <c r="C58" s="96">
        <f>SUMIF('ПО КОРИСНИЦИМА'!$G$7:$G$17281,"Функција 443:",'ПО КОРИСНИЦИМА'!$H$7:$H$17281)</f>
        <v>0</v>
      </c>
      <c r="D58" s="97">
        <f t="shared" si="0"/>
        <v>0</v>
      </c>
      <c r="E58" s="96">
        <f>SUMIF('ПО КОРИСНИЦИМА'!$G$7:$G$17281,"Функција 443:",'ПО КОРИСНИЦИМА'!$I$7:$I$17281)</f>
        <v>0</v>
      </c>
      <c r="F58" s="96">
        <f t="shared" si="1"/>
        <v>0</v>
      </c>
    </row>
    <row r="59" spans="1:6" hidden="1" x14ac:dyDescent="0.25">
      <c r="A59" s="101" t="s">
        <v>3819</v>
      </c>
      <c r="B59" s="102" t="s">
        <v>3964</v>
      </c>
      <c r="C59" s="96">
        <f>SUMIF('ПО КОРИСНИЦИМА'!$G$7:$G$17281,"Функција 450:",'ПО КОРИСНИЦИМА'!$H$7:$H$17281)</f>
        <v>0</v>
      </c>
      <c r="D59" s="97">
        <f t="shared" si="0"/>
        <v>0</v>
      </c>
      <c r="E59" s="96">
        <f>SUMIF('ПО КОРИСНИЦИМА'!$G$7:$G$17281,"Функција 450:",'ПО КОРИСНИЦИМА'!$I$7:$I$17281)</f>
        <v>0</v>
      </c>
      <c r="F59" s="96">
        <f t="shared" si="1"/>
        <v>0</v>
      </c>
    </row>
    <row r="60" spans="1:6" hidden="1" x14ac:dyDescent="0.25">
      <c r="A60" s="106" t="s">
        <v>3965</v>
      </c>
      <c r="B60" s="102" t="s">
        <v>153</v>
      </c>
      <c r="C60" s="96">
        <f>SUMIF('ПО КОРИСНИЦИМА'!$G$7:$G$17281,"Функција 451:",'ПО КОРИСНИЦИМА'!$H$7:$H$17281)</f>
        <v>0</v>
      </c>
      <c r="D60" s="97">
        <f t="shared" si="0"/>
        <v>0</v>
      </c>
      <c r="E60" s="96">
        <f>SUMIF('ПО КОРИСНИЦИМА'!$G$7:$G$17281,"Функција 451:",'ПО КОРИСНИЦИМА'!$I$7:$I$17281)</f>
        <v>0</v>
      </c>
      <c r="F60" s="96">
        <f t="shared" si="1"/>
        <v>0</v>
      </c>
    </row>
    <row r="61" spans="1:6" hidden="1" x14ac:dyDescent="0.25">
      <c r="A61" s="106" t="s">
        <v>3878</v>
      </c>
      <c r="B61" s="102" t="s">
        <v>154</v>
      </c>
      <c r="C61" s="96">
        <f>SUMIF('ПО КОРИСНИЦИМА'!$G$7:$G$17281,"Функција 452:",'ПО КОРИСНИЦИМА'!$H$7:$H$17281)</f>
        <v>0</v>
      </c>
      <c r="D61" s="97">
        <f t="shared" si="0"/>
        <v>0</v>
      </c>
      <c r="E61" s="96">
        <f>SUMIF('ПО КОРИСНИЦИМА'!$G$7:$G$17281,"Функција 452:",'ПО КОРИСНИЦИМА'!$I$7:$I$17281)</f>
        <v>0</v>
      </c>
      <c r="F61" s="96">
        <f t="shared" si="1"/>
        <v>0</v>
      </c>
    </row>
    <row r="62" spans="1:6" hidden="1" x14ac:dyDescent="0.25">
      <c r="A62" s="106" t="s">
        <v>3966</v>
      </c>
      <c r="B62" s="102" t="s">
        <v>155</v>
      </c>
      <c r="C62" s="96">
        <f>SUMIF('ПО КОРИСНИЦИМА'!$G$7:$G$17281,"Функција 453:",'ПО КОРИСНИЦИМА'!$H$7:$H$17281)</f>
        <v>0</v>
      </c>
      <c r="D62" s="97">
        <f t="shared" si="0"/>
        <v>0</v>
      </c>
      <c r="E62" s="96">
        <f>SUMIF('ПО КОРИСНИЦИМА'!$G$7:$G$17281,"Функција 453:",'ПО КОРИСНИЦИМА'!$I$7:$I$17281)</f>
        <v>0</v>
      </c>
      <c r="F62" s="96">
        <f t="shared" si="1"/>
        <v>0</v>
      </c>
    </row>
    <row r="63" spans="1:6" hidden="1" x14ac:dyDescent="0.25">
      <c r="A63" s="106" t="s">
        <v>3967</v>
      </c>
      <c r="B63" s="102" t="s">
        <v>156</v>
      </c>
      <c r="C63" s="96">
        <f>SUMIF('ПО КОРИСНИЦИМА'!$G$7:$G$17281,"Функција 454:",'ПО КОРИСНИЦИМА'!$H$7:$H$17281)</f>
        <v>0</v>
      </c>
      <c r="D63" s="97">
        <f t="shared" si="0"/>
        <v>0</v>
      </c>
      <c r="E63" s="96">
        <f>SUMIF('ПО КОРИСНИЦИМА'!$G$7:$G$17281,"Функција 454:",'ПО КОРИСНИЦИМА'!$I$7:$I$17281)</f>
        <v>0</v>
      </c>
      <c r="F63" s="96">
        <f t="shared" si="1"/>
        <v>0</v>
      </c>
    </row>
    <row r="64" spans="1:6" hidden="1" x14ac:dyDescent="0.25">
      <c r="A64" s="106" t="s">
        <v>3968</v>
      </c>
      <c r="B64" s="102" t="s">
        <v>157</v>
      </c>
      <c r="C64" s="96">
        <f>SUMIF('ПО КОРИСНИЦИМА'!$G$7:$G$17281,"Функција 455:",'ПО КОРИСНИЦИМА'!$H$7:$H$17281)</f>
        <v>0</v>
      </c>
      <c r="D64" s="97">
        <f t="shared" si="0"/>
        <v>0</v>
      </c>
      <c r="E64" s="96">
        <f>SUMIF('ПО КОРИСНИЦИМА'!$G$7:$G$17281,"Функција 455:",'ПО КОРИСНИЦИМА'!$I$7:$I$17281)</f>
        <v>0</v>
      </c>
      <c r="F64" s="96">
        <f t="shared" si="1"/>
        <v>0</v>
      </c>
    </row>
    <row r="65" spans="1:6" hidden="1" x14ac:dyDescent="0.25">
      <c r="A65" s="101" t="s">
        <v>3824</v>
      </c>
      <c r="B65" s="102" t="s">
        <v>3969</v>
      </c>
      <c r="C65" s="96">
        <f>SUMIF('ПО КОРИСНИЦИМА'!$G$7:$G$17281,"Функција 460:",'ПО КОРИСНИЦИМА'!$H$7:$H$17281)</f>
        <v>0</v>
      </c>
      <c r="D65" s="97">
        <f t="shared" si="0"/>
        <v>0</v>
      </c>
      <c r="E65" s="96">
        <f>SUMIF('ПО КОРИСНИЦИМА'!$G$7:$G$17281,"Функција 460:",'ПО КОРИСНИЦИМА'!$I$7:$I$17281)</f>
        <v>0</v>
      </c>
      <c r="F65" s="96">
        <f t="shared" si="1"/>
        <v>0</v>
      </c>
    </row>
    <row r="66" spans="1:6" hidden="1" x14ac:dyDescent="0.25">
      <c r="A66" s="101" t="s">
        <v>3831</v>
      </c>
      <c r="B66" s="102" t="s">
        <v>3970</v>
      </c>
      <c r="C66" s="96">
        <f>SUMIF('ПО КОРИСНИЦИМА'!$G$7:$G$17281,"Функција 470:",'ПО КОРИСНИЦИМА'!$H$7:$H$17281)</f>
        <v>0</v>
      </c>
      <c r="D66" s="97">
        <f t="shared" si="0"/>
        <v>0</v>
      </c>
      <c r="E66" s="96">
        <f>SUMIF('ПО КОРИСНИЦИМА'!$G$7:$G$17281,"Функција 470:",'ПО КОРИСНИЦИМА'!$I$7:$I$17281)</f>
        <v>0</v>
      </c>
      <c r="F66" s="96">
        <f t="shared" si="1"/>
        <v>0</v>
      </c>
    </row>
    <row r="67" spans="1:6" hidden="1" x14ac:dyDescent="0.25">
      <c r="A67" s="103" t="s">
        <v>3971</v>
      </c>
      <c r="B67" s="102" t="s">
        <v>160</v>
      </c>
      <c r="C67" s="96">
        <f>SUMIF('ПО КОРИСНИЦИМА'!$G$7:$G$17281,"Функција 471:",'ПО КОРИСНИЦИМА'!$H$7:$H$17281)</f>
        <v>0</v>
      </c>
      <c r="D67" s="97">
        <f t="shared" si="0"/>
        <v>0</v>
      </c>
      <c r="E67" s="96">
        <f>SUMIF('ПО КОРИСНИЦИМА'!$G$7:$G$17281,"Функција 471:",'ПО КОРИСНИЦИМА'!$I$7:$I$17281)</f>
        <v>0</v>
      </c>
      <c r="F67" s="96">
        <f t="shared" si="1"/>
        <v>0</v>
      </c>
    </row>
    <row r="68" spans="1:6" hidden="1" x14ac:dyDescent="0.25">
      <c r="A68" s="103" t="s">
        <v>3972</v>
      </c>
      <c r="B68" s="102" t="s">
        <v>161</v>
      </c>
      <c r="C68" s="96">
        <f>SUMIF('ПО КОРИСНИЦИМА'!$G$7:$G$17281,"Функција 472:",'ПО КОРИСНИЦИМА'!$H$7:$H$17281)</f>
        <v>0</v>
      </c>
      <c r="D68" s="97">
        <f t="shared" si="0"/>
        <v>0</v>
      </c>
      <c r="E68" s="96">
        <f>SUMIF('ПО КОРИСНИЦИМА'!$G$7:$G$17281,"Функција 472:",'ПО КОРИСНИЦИМА'!$I$7:$I$17281)</f>
        <v>0</v>
      </c>
      <c r="F68" s="96">
        <f t="shared" si="1"/>
        <v>0</v>
      </c>
    </row>
    <row r="69" spans="1:6" x14ac:dyDescent="0.25">
      <c r="A69" s="103" t="s">
        <v>3973</v>
      </c>
      <c r="B69" s="102" t="s">
        <v>162</v>
      </c>
      <c r="C69" s="96">
        <f>SUMIF('ПО КОРИСНИЦИМА'!$G$7:$G$17281,"Функција 473:",'ПО КОРИСНИЦИМА'!$H$7:$H$17281)</f>
        <v>10846000</v>
      </c>
      <c r="D69" s="97">
        <f t="shared" si="0"/>
        <v>1.8800485352747445E-2</v>
      </c>
      <c r="E69" s="96">
        <f>SUMIF('ПО КОРИСНИЦИМА'!$G$7:$G$17281,"Функција 473:",'ПО КОРИСНИЦИМА'!$I$7:$I$17281)</f>
        <v>500000</v>
      </c>
      <c r="F69" s="96">
        <f t="shared" si="1"/>
        <v>11346000</v>
      </c>
    </row>
    <row r="70" spans="1:6" hidden="1" x14ac:dyDescent="0.25">
      <c r="A70" s="103" t="s">
        <v>3974</v>
      </c>
      <c r="B70" s="102" t="s">
        <v>163</v>
      </c>
      <c r="C70" s="96">
        <f>SUMIF('ПО КОРИСНИЦИМА'!$G$7:$G$17281,"Функција 474:",'ПО КОРИСНИЦИМА'!$H$7:$H$17281)</f>
        <v>0</v>
      </c>
      <c r="D70" s="97">
        <f t="shared" si="0"/>
        <v>0</v>
      </c>
      <c r="E70" s="96">
        <f>SUMIF('ПО КОРИСНИЦИМА'!$G$7:$G$17281,"Функција 474:",'ПО КОРИСНИЦИМА'!$I$7:$I$17281)</f>
        <v>0</v>
      </c>
      <c r="F70" s="96">
        <f t="shared" si="1"/>
        <v>0</v>
      </c>
    </row>
    <row r="71" spans="1:6" hidden="1" x14ac:dyDescent="0.25">
      <c r="A71" s="101" t="s">
        <v>3834</v>
      </c>
      <c r="B71" s="102" t="s">
        <v>3975</v>
      </c>
      <c r="C71" s="96">
        <f>SUMIF('ПО КОРИСНИЦИМА'!$G$7:$G$17281,"Функција 480:",'ПО КОРИСНИЦИМА'!$H$7:$H$17281)</f>
        <v>0</v>
      </c>
      <c r="D71" s="97">
        <f t="shared" ref="D71:D134" si="3">IFERROR(C71/$C$141,"-")</f>
        <v>0</v>
      </c>
      <c r="E71" s="96">
        <f>SUMIF('ПО КОРИСНИЦИМА'!$G$7:$G$17281,"Функција 480:",'ПО КОРИСНИЦИМА'!$I$7:$I$17281)</f>
        <v>0</v>
      </c>
      <c r="F71" s="96">
        <f t="shared" si="1"/>
        <v>0</v>
      </c>
    </row>
    <row r="72" spans="1:6" ht="23.25" hidden="1" x14ac:dyDescent="0.25">
      <c r="A72" s="103" t="s">
        <v>3976</v>
      </c>
      <c r="B72" s="102" t="s">
        <v>165</v>
      </c>
      <c r="C72" s="96">
        <f>SUMIF('ПО КОРИСНИЦИМА'!$G$7:$G$17281,"Функција 481:",'ПО КОРИСНИЦИМА'!$H$7:$H$17281)</f>
        <v>0</v>
      </c>
      <c r="D72" s="97">
        <f t="shared" si="3"/>
        <v>0</v>
      </c>
      <c r="E72" s="96">
        <f>SUMIF('ПО КОРИСНИЦИМА'!$G$7:$G$17281,"Функција 481:",'ПО КОРИСНИЦИМА'!$I$7:$I$17281)</f>
        <v>0</v>
      </c>
      <c r="F72" s="96">
        <f t="shared" ref="F72:F135" si="4">SUM(E72,C72)</f>
        <v>0</v>
      </c>
    </row>
    <row r="73" spans="1:6" ht="23.25" hidden="1" x14ac:dyDescent="0.25">
      <c r="A73" s="103" t="s">
        <v>3977</v>
      </c>
      <c r="B73" s="102" t="s">
        <v>166</v>
      </c>
      <c r="C73" s="96">
        <f>SUMIF('ПО КОРИСНИЦИМА'!$G$7:$G$17281,"Функција 482:",'ПО КОРИСНИЦИМА'!$H$7:$H$17281)</f>
        <v>0</v>
      </c>
      <c r="D73" s="97">
        <f t="shared" si="3"/>
        <v>0</v>
      </c>
      <c r="E73" s="96">
        <f>SUMIF('ПО КОРИСНИЦИМА'!$G$7:$G$17281,"Функција 482:",'ПО КОРИСНИЦИМА'!$I$7:$I$17281)</f>
        <v>0</v>
      </c>
      <c r="F73" s="96">
        <f t="shared" si="4"/>
        <v>0</v>
      </c>
    </row>
    <row r="74" spans="1:6" hidden="1" x14ac:dyDescent="0.25">
      <c r="A74" s="103" t="s">
        <v>3978</v>
      </c>
      <c r="B74" s="102" t="s">
        <v>167</v>
      </c>
      <c r="C74" s="96">
        <f>SUMIF('ПО КОРИСНИЦИМА'!$G$7:$G$17281,"Функција 483:",'ПО КОРИСНИЦИМА'!$H$7:$H$17281)</f>
        <v>0</v>
      </c>
      <c r="D74" s="97">
        <f t="shared" si="3"/>
        <v>0</v>
      </c>
      <c r="E74" s="96">
        <f>SUMIF('ПО КОРИСНИЦИМА'!$G$7:$G$17281,"Функција 483:",'ПО КОРИСНИЦИМА'!$I$7:$I$17281)</f>
        <v>0</v>
      </c>
      <c r="F74" s="96">
        <f t="shared" si="4"/>
        <v>0</v>
      </c>
    </row>
    <row r="75" spans="1:6" hidden="1" x14ac:dyDescent="0.25">
      <c r="A75" s="103" t="s">
        <v>3979</v>
      </c>
      <c r="B75" s="102" t="s">
        <v>168</v>
      </c>
      <c r="C75" s="96">
        <f>SUMIF('ПО КОРИСНИЦИМА'!$G$7:$G$17281,"Функција 484:",'ПО КОРИСНИЦИМА'!$H$7:$H$17281)</f>
        <v>0</v>
      </c>
      <c r="D75" s="97">
        <f t="shared" si="3"/>
        <v>0</v>
      </c>
      <c r="E75" s="96">
        <f>SUMIF('ПО КОРИСНИЦИМА'!$G$7:$G$17281,"Функција 484:",'ПО КОРИСНИЦИМА'!$I$7:$I$17281)</f>
        <v>0</v>
      </c>
      <c r="F75" s="96">
        <f t="shared" si="4"/>
        <v>0</v>
      </c>
    </row>
    <row r="76" spans="1:6" hidden="1" x14ac:dyDescent="0.25">
      <c r="A76" s="103" t="s">
        <v>3980</v>
      </c>
      <c r="B76" s="102" t="s">
        <v>169</v>
      </c>
      <c r="C76" s="96">
        <f>SUMIF('ПО КОРИСНИЦИМА'!$G$7:$G$17281,"Функција 485:",'ПО КОРИСНИЦИМА'!$H$7:$H$17281)</f>
        <v>0</v>
      </c>
      <c r="D76" s="97">
        <f t="shared" si="3"/>
        <v>0</v>
      </c>
      <c r="E76" s="96">
        <f>SUMIF('ПО КОРИСНИЦИМА'!$G$7:$G$17281,"Функција 485:",'ПО КОРИСНИЦИМА'!$I$7:$I$17281)</f>
        <v>0</v>
      </c>
      <c r="F76" s="96">
        <f t="shared" si="4"/>
        <v>0</v>
      </c>
    </row>
    <row r="77" spans="1:6" hidden="1" x14ac:dyDescent="0.25">
      <c r="A77" s="103" t="s">
        <v>3981</v>
      </c>
      <c r="B77" s="102" t="s">
        <v>170</v>
      </c>
      <c r="C77" s="96">
        <f>SUMIF('ПО КОРИСНИЦИМА'!$G$7:$G$17281,"Функција 486:",'ПО КОРИСНИЦИМА'!$H$7:$H$17281)</f>
        <v>0</v>
      </c>
      <c r="D77" s="97">
        <f t="shared" si="3"/>
        <v>0</v>
      </c>
      <c r="E77" s="96">
        <f>SUMIF('ПО КОРИСНИЦИМА'!$G$7:$G$17281,"Функција 486:",'ПО КОРИСНИЦИМА'!$I$7:$I$17281)</f>
        <v>0</v>
      </c>
      <c r="F77" s="96">
        <f t="shared" si="4"/>
        <v>0</v>
      </c>
    </row>
    <row r="78" spans="1:6" hidden="1" x14ac:dyDescent="0.25">
      <c r="A78" s="103" t="s">
        <v>3982</v>
      </c>
      <c r="B78" s="102" t="s">
        <v>171</v>
      </c>
      <c r="C78" s="96">
        <f>SUMIF('ПО КОРИСНИЦИМА'!$G$7:$G$17281,"Функција 487:",'ПО КОРИСНИЦИМА'!$H$7:$H$17281)</f>
        <v>0</v>
      </c>
      <c r="D78" s="97">
        <f t="shared" si="3"/>
        <v>0</v>
      </c>
      <c r="E78" s="96">
        <f>SUMIF('ПО КОРИСНИЦИМА'!$G$7:$G$17281,"Функција 487:",'ПО КОРИСНИЦИМА'!$I$7:$I$17281)</f>
        <v>0</v>
      </c>
      <c r="F78" s="96">
        <f t="shared" si="4"/>
        <v>0</v>
      </c>
    </row>
    <row r="79" spans="1:6" hidden="1" x14ac:dyDescent="0.25">
      <c r="A79" s="101" t="s">
        <v>3983</v>
      </c>
      <c r="B79" s="102" t="s">
        <v>172</v>
      </c>
      <c r="C79" s="96">
        <f>SUMIF('ПО КОРИСНИЦИМА'!$G$7:$G$17281,"Функција 490:",'ПО КОРИСНИЦИМА'!$H$7:$H$17281)</f>
        <v>0</v>
      </c>
      <c r="D79" s="97">
        <f t="shared" si="3"/>
        <v>0</v>
      </c>
      <c r="E79" s="96">
        <f>SUMIF('ПО КОРИСНИЦИМА'!$G$7:$G$17281,"Функција 490:",'ПО КОРИСНИЦИМА'!$I$7:$I$17281)</f>
        <v>0</v>
      </c>
      <c r="F79" s="96">
        <f t="shared" si="4"/>
        <v>0</v>
      </c>
    </row>
    <row r="80" spans="1:6" x14ac:dyDescent="0.25">
      <c r="A80" s="98" t="s">
        <v>3984</v>
      </c>
      <c r="B80" s="104" t="s">
        <v>173</v>
      </c>
      <c r="C80" s="94">
        <f>SUM(C81:C86)</f>
        <v>35240000</v>
      </c>
      <c r="D80" s="100">
        <f t="shared" si="3"/>
        <v>6.1085110071069509E-2</v>
      </c>
      <c r="E80" s="94">
        <f>SUM(E81:E86)</f>
        <v>0</v>
      </c>
      <c r="F80" s="94">
        <f t="shared" ref="F80:F119" si="5">C80+E80</f>
        <v>35240000</v>
      </c>
    </row>
    <row r="81" spans="1:6" x14ac:dyDescent="0.25">
      <c r="A81" s="101" t="s">
        <v>3846</v>
      </c>
      <c r="B81" s="102" t="s">
        <v>3985</v>
      </c>
      <c r="C81" s="96">
        <f>SUMIF('ПО КОРИСНИЦИМА'!$G$7:$G$17281,"Функција 510:",'ПО КОРИСНИЦИМА'!$H$7:$H$17281)</f>
        <v>12420000</v>
      </c>
      <c r="D81" s="97">
        <f t="shared" si="3"/>
        <v>2.1528861154446178E-2</v>
      </c>
      <c r="E81" s="96">
        <f>SUMIF('ПО КОРИСНИЦИМА'!$G$7:$G$17281,"Функција 510:",'ПО КОРИСНИЦИМА'!$I$7:$I$17281)</f>
        <v>0</v>
      </c>
      <c r="F81" s="96">
        <f t="shared" si="4"/>
        <v>12420000</v>
      </c>
    </row>
    <row r="82" spans="1:6" x14ac:dyDescent="0.25">
      <c r="A82" s="101" t="s">
        <v>3853</v>
      </c>
      <c r="B82" s="102" t="s">
        <v>3986</v>
      </c>
      <c r="C82" s="96">
        <f>SUMIF('ПО КОРИСНИЦИМА'!$G$7:$G$17281,"Функција 520:",'ПО КОРИСНИЦИМА'!$H$7:$H$17281)</f>
        <v>19020000</v>
      </c>
      <c r="D82" s="97">
        <f t="shared" si="3"/>
        <v>3.2969318772750909E-2</v>
      </c>
      <c r="E82" s="96">
        <f>SUMIF('ПО КОРИСНИЦИМА'!$G$7:$G$17281,"Функција 520:",'ПО КОРИСНИЦИМА'!$I$7:$I$17281)</f>
        <v>0</v>
      </c>
      <c r="F82" s="96">
        <f t="shared" si="4"/>
        <v>19020000</v>
      </c>
    </row>
    <row r="83" spans="1:6" hidden="1" x14ac:dyDescent="0.25">
      <c r="A83" s="101" t="s">
        <v>3987</v>
      </c>
      <c r="B83" s="102" t="s">
        <v>3988</v>
      </c>
      <c r="C83" s="96">
        <f>SUMIF('ПО КОРИСНИЦИМА'!$G$7:$G$17281,"Функција 530:",'ПО КОРИСНИЦИМА'!$H$7:$H$17281)</f>
        <v>0</v>
      </c>
      <c r="D83" s="97">
        <f t="shared" si="3"/>
        <v>0</v>
      </c>
      <c r="E83" s="96">
        <f>SUMIF('ПО КОРИСНИЦИМА'!$G$7:$G$17281,"Функција 530:",'ПО КОРИСНИЦИМА'!$I$7:$I$17281)</f>
        <v>0</v>
      </c>
      <c r="F83" s="96">
        <f t="shared" si="4"/>
        <v>0</v>
      </c>
    </row>
    <row r="84" spans="1:6" hidden="1" x14ac:dyDescent="0.25">
      <c r="A84" s="101" t="s">
        <v>3858</v>
      </c>
      <c r="B84" s="102" t="s">
        <v>3989</v>
      </c>
      <c r="C84" s="96">
        <f>SUMIF('ПО КОРИСНИЦИМА'!$G$7:$G$17281,"Функција 540:",'ПО КОРИСНИЦИМА'!$H$7:$H$17281)</f>
        <v>0</v>
      </c>
      <c r="D84" s="97">
        <f t="shared" si="3"/>
        <v>0</v>
      </c>
      <c r="E84" s="96">
        <f>SUMIF('ПО КОРИСНИЦИМА'!$G$7:$G$17281,"Функција 540:",'ПО КОРИСНИЦИМА'!$I$7:$I$17281)</f>
        <v>0</v>
      </c>
      <c r="F84" s="96">
        <f t="shared" si="4"/>
        <v>0</v>
      </c>
    </row>
    <row r="85" spans="1:6" hidden="1" x14ac:dyDescent="0.25">
      <c r="A85" s="101" t="s">
        <v>3990</v>
      </c>
      <c r="B85" s="102" t="s">
        <v>3991</v>
      </c>
      <c r="C85" s="96">
        <f>SUMIF('ПО КОРИСНИЦИМА'!$G$7:$G$17281,"Функција 550:",'ПО КОРИСНИЦИМА'!$H$7:$H$17281)</f>
        <v>0</v>
      </c>
      <c r="D85" s="97">
        <f t="shared" si="3"/>
        <v>0</v>
      </c>
      <c r="E85" s="96">
        <f>SUMIF('ПО КОРИСНИЦИМА'!$G$7:$G$17281,"Функција 550:",'ПО КОРИСНИЦИМА'!$I$7:$I$17281)</f>
        <v>0</v>
      </c>
      <c r="F85" s="96">
        <f t="shared" si="4"/>
        <v>0</v>
      </c>
    </row>
    <row r="86" spans="1:6" x14ac:dyDescent="0.25">
      <c r="A86" s="101" t="s">
        <v>3992</v>
      </c>
      <c r="B86" s="102" t="s">
        <v>179</v>
      </c>
      <c r="C86" s="96">
        <f>SUMIF('ПО КОРИСНИЦИМА'!$G$7:$G$17281,"Функција 560:",'ПО КОРИСНИЦИМА'!$H$7:$H$17281)</f>
        <v>3800000</v>
      </c>
      <c r="D86" s="97">
        <f t="shared" si="3"/>
        <v>6.5869301438724213E-3</v>
      </c>
      <c r="E86" s="96">
        <f>SUMIF('ПО КОРИСНИЦИМА'!$G$7:$G$17281,"Функција 560:",'ПО КОРИСНИЦИМА'!$I$7:$I$17281)</f>
        <v>0</v>
      </c>
      <c r="F86" s="96">
        <f t="shared" si="4"/>
        <v>3800000</v>
      </c>
    </row>
    <row r="87" spans="1:6" x14ac:dyDescent="0.25">
      <c r="A87" s="107" t="s">
        <v>3993</v>
      </c>
      <c r="B87" s="108" t="s">
        <v>3994</v>
      </c>
      <c r="C87" s="109">
        <f>SUM(C88:C93)</f>
        <v>286525206</v>
      </c>
      <c r="D87" s="110">
        <f t="shared" si="3"/>
        <v>0.49666355694227771</v>
      </c>
      <c r="E87" s="109">
        <f>SUM(E88:E93)</f>
        <v>0</v>
      </c>
      <c r="F87" s="109">
        <f t="shared" si="5"/>
        <v>286525206</v>
      </c>
    </row>
    <row r="88" spans="1:6" hidden="1" x14ac:dyDescent="0.25">
      <c r="A88" s="101" t="s">
        <v>3865</v>
      </c>
      <c r="B88" s="102" t="s">
        <v>3995</v>
      </c>
      <c r="C88" s="96">
        <f>SUMIF('ПО КОРИСНИЦИМА'!$G$7:$G$17281,"Функција 610:",'ПО КОРИСНИЦИМА'!$H$7:$H$17281)</f>
        <v>0</v>
      </c>
      <c r="D88" s="97">
        <f t="shared" si="3"/>
        <v>0</v>
      </c>
      <c r="E88" s="96">
        <f>SUMIF('ПО КОРИСНИЦИМА'!$G$7:$G$17281,"Функција 610:",'ПО КОРИСНИЦИМА'!$I$7:$I$17281)</f>
        <v>0</v>
      </c>
      <c r="F88" s="96">
        <f t="shared" si="4"/>
        <v>0</v>
      </c>
    </row>
    <row r="89" spans="1:6" x14ac:dyDescent="0.25">
      <c r="A89" s="101" t="s">
        <v>3872</v>
      </c>
      <c r="B89" s="102" t="s">
        <v>3996</v>
      </c>
      <c r="C89" s="96">
        <f>SUMIF('ПО КОРИСНИЦИМА'!$G$7:$G$17281,"Функција 620:",'ПО КОРИСНИЦИМА'!$H$7:$H$17281)</f>
        <v>198683206</v>
      </c>
      <c r="D89" s="97">
        <f t="shared" si="3"/>
        <v>0.34439799965331946</v>
      </c>
      <c r="E89" s="96">
        <f>SUMIF('ПО КОРИСНИЦИМА'!$G$7:$G$17281,"Функција 620:",'ПО КОРИСНИЦИМА'!$I$7:$I$17281)</f>
        <v>0</v>
      </c>
      <c r="F89" s="96">
        <f t="shared" si="4"/>
        <v>198683206</v>
      </c>
    </row>
    <row r="90" spans="1:6" x14ac:dyDescent="0.25">
      <c r="A90" s="101" t="s">
        <v>3997</v>
      </c>
      <c r="B90" s="102" t="s">
        <v>3998</v>
      </c>
      <c r="C90" s="96">
        <f>SUMIF('ПО КОРИСНИЦИМА'!$G$7:$G$17281,"Функција 630:",'ПО КОРИСНИЦИМА'!$H$7:$H$17281)</f>
        <v>76382000</v>
      </c>
      <c r="D90" s="97">
        <f t="shared" si="3"/>
        <v>0.13240076269717455</v>
      </c>
      <c r="E90" s="96">
        <f>SUMIF('ПО КОРИСНИЦИМА'!$G$7:$G$17281,"Функција 630:",'ПО КОРИСНИЦИМА'!$I$7:$I$17281)</f>
        <v>0</v>
      </c>
      <c r="F90" s="96">
        <f t="shared" si="4"/>
        <v>76382000</v>
      </c>
    </row>
    <row r="91" spans="1:6" x14ac:dyDescent="0.25">
      <c r="A91" s="101" t="s">
        <v>3999</v>
      </c>
      <c r="B91" s="102" t="s">
        <v>4000</v>
      </c>
      <c r="C91" s="96">
        <f>SUMIF('ПО КОРИСНИЦИМА'!$G$7:$G$17281,"Функција 640:",'ПО КОРИСНИЦИМА'!$H$7:$H$17281)</f>
        <v>10000000</v>
      </c>
      <c r="D91" s="97">
        <f t="shared" si="3"/>
        <v>1.7334026694401108E-2</v>
      </c>
      <c r="E91" s="96">
        <f>SUMIF('ПО КОРИСНИЦИМА'!$G$7:$G$17281,"Функција 640:",'ПО КОРИСНИЦИМА'!$I$7:$I$17281)</f>
        <v>0</v>
      </c>
      <c r="F91" s="96">
        <f t="shared" si="4"/>
        <v>10000000</v>
      </c>
    </row>
    <row r="92" spans="1:6" hidden="1" x14ac:dyDescent="0.25">
      <c r="A92" s="101" t="s">
        <v>4001</v>
      </c>
      <c r="B92" s="102" t="s">
        <v>4002</v>
      </c>
      <c r="C92" s="96">
        <f>SUMIF('ПО КОРИСНИЦИМА'!$G$7:$G$17281,"Функција 650:",'ПО КОРИСНИЦИМА'!$H$7:$H$17281)</f>
        <v>0</v>
      </c>
      <c r="D92" s="97">
        <f t="shared" si="3"/>
        <v>0</v>
      </c>
      <c r="E92" s="96">
        <f>SUMIF('ПО КОРИСНИЦИМА'!$G$7:$G$17281,"Функција 650:",'ПО КОРИСНИЦИМА'!$I$7:$I$17281)</f>
        <v>0</v>
      </c>
      <c r="F92" s="96">
        <f t="shared" si="4"/>
        <v>0</v>
      </c>
    </row>
    <row r="93" spans="1:6" ht="18.75" customHeight="1" x14ac:dyDescent="0.25">
      <c r="A93" s="101" t="s">
        <v>4003</v>
      </c>
      <c r="B93" s="102" t="s">
        <v>186</v>
      </c>
      <c r="C93" s="96">
        <f>SUMIF('ПО КОРИСНИЦИМА'!$G$7:$G$17281,"Функција 660:",'ПО КОРИСНИЦИМА'!$H$7:$H$17281)</f>
        <v>1460000</v>
      </c>
      <c r="D93" s="97">
        <f t="shared" si="3"/>
        <v>2.5307678973825621E-3</v>
      </c>
      <c r="E93" s="96">
        <f>SUMIF('ПО КОРИСНИЦИМА'!$G$7:$G$17281,"Функција 660:",'ПО КОРИСНИЦИМА'!$I$7:$I$17281)</f>
        <v>0</v>
      </c>
      <c r="F93" s="96">
        <f t="shared" si="4"/>
        <v>1460000</v>
      </c>
    </row>
    <row r="94" spans="1:6" x14ac:dyDescent="0.25">
      <c r="A94" s="111">
        <v>700</v>
      </c>
      <c r="B94" s="112" t="s">
        <v>187</v>
      </c>
      <c r="C94" s="113">
        <f>SUM(C95:C111)</f>
        <v>3150000</v>
      </c>
      <c r="D94" s="114">
        <f t="shared" si="3"/>
        <v>5.4602184087363496E-3</v>
      </c>
      <c r="E94" s="113">
        <f>SUM(E95:E111)</f>
        <v>0</v>
      </c>
      <c r="F94" s="113">
        <f t="shared" si="5"/>
        <v>3150000</v>
      </c>
    </row>
    <row r="95" spans="1:6" hidden="1" x14ac:dyDescent="0.25">
      <c r="A95" s="101" t="s">
        <v>4004</v>
      </c>
      <c r="B95" s="102" t="s">
        <v>4005</v>
      </c>
      <c r="C95" s="96">
        <f>SUMIF('ПО КОРИСНИЦИМА'!$G$7:$G$17281,"Функција 710:",'ПО КОРИСНИЦИМА'!$H$7:$H$17281)</f>
        <v>0</v>
      </c>
      <c r="D95" s="97">
        <f t="shared" si="3"/>
        <v>0</v>
      </c>
      <c r="E95" s="96">
        <f>SUMIF('ПО КОРИСНИЦИМА'!$G$7:$G$17281,"Функција 710:",'ПО КОРИСНИЦИМА'!$I$7:$I$17281)</f>
        <v>0</v>
      </c>
      <c r="F95" s="96">
        <f t="shared" si="4"/>
        <v>0</v>
      </c>
    </row>
    <row r="96" spans="1:6" hidden="1" x14ac:dyDescent="0.25">
      <c r="A96" s="103" t="s">
        <v>4006</v>
      </c>
      <c r="B96" s="102" t="s">
        <v>189</v>
      </c>
      <c r="C96" s="96">
        <f>SUMIF('ПО КОРИСНИЦИМА'!$G$7:$G$17281,"Функција 711:",'ПО КОРИСНИЦИМА'!$H$7:$H$17281)</f>
        <v>0</v>
      </c>
      <c r="D96" s="97">
        <f t="shared" si="3"/>
        <v>0</v>
      </c>
      <c r="E96" s="96">
        <f>SUMIF('ПО КОРИСНИЦИМА'!$G$7:$G$17281,"Функција 711:",'ПО КОРИСНИЦИМА'!$I$7:$I$17281)</f>
        <v>0</v>
      </c>
      <c r="F96" s="96">
        <f t="shared" si="4"/>
        <v>0</v>
      </c>
    </row>
    <row r="97" spans="1:6" hidden="1" x14ac:dyDescent="0.25">
      <c r="A97" s="103" t="s">
        <v>4007</v>
      </c>
      <c r="B97" s="102" t="s">
        <v>190</v>
      </c>
      <c r="C97" s="96">
        <f>SUMIF('ПО КОРИСНИЦИМА'!$G$7:$G$17281,"Функција 712:",'ПО КОРИСНИЦИМА'!$H$7:$H$17281)</f>
        <v>0</v>
      </c>
      <c r="D97" s="97">
        <f t="shared" si="3"/>
        <v>0</v>
      </c>
      <c r="E97" s="96">
        <f>SUMIF('ПО КОРИСНИЦИМА'!$G$7:$G$17281,"Функција 712:",'ПО КОРИСНИЦИМА'!$I$7:$I$17281)</f>
        <v>0</v>
      </c>
      <c r="F97" s="96">
        <f t="shared" si="4"/>
        <v>0</v>
      </c>
    </row>
    <row r="98" spans="1:6" hidden="1" x14ac:dyDescent="0.25">
      <c r="A98" s="103" t="s">
        <v>4008</v>
      </c>
      <c r="B98" s="102" t="s">
        <v>191</v>
      </c>
      <c r="C98" s="96">
        <f>SUMIF('ПО КОРИСНИЦИМА'!$G$7:$G$17281,"Функција 713:",'ПО КОРИСНИЦИМА'!$H$7:$H$17281)</f>
        <v>0</v>
      </c>
      <c r="D98" s="97">
        <f t="shared" si="3"/>
        <v>0</v>
      </c>
      <c r="E98" s="96">
        <f>SUMIF('ПО КОРИСНИЦИМА'!$G$7:$G$17281,"Функција 713:",'ПО КОРИСНИЦИМА'!$I$7:$I$17281)</f>
        <v>0</v>
      </c>
      <c r="F98" s="96">
        <f t="shared" si="4"/>
        <v>0</v>
      </c>
    </row>
    <row r="99" spans="1:6" hidden="1" x14ac:dyDescent="0.25">
      <c r="A99" s="101" t="s">
        <v>4009</v>
      </c>
      <c r="B99" s="102" t="s">
        <v>4010</v>
      </c>
      <c r="C99" s="96">
        <f>SUMIF('ПО КОРИСНИЦИМА'!$G$7:$G$17281,"Функција 720:",'ПО КОРИСНИЦИМА'!$H$7:$H$17281)</f>
        <v>0</v>
      </c>
      <c r="D99" s="97">
        <f t="shared" si="3"/>
        <v>0</v>
      </c>
      <c r="E99" s="96">
        <f>SUMIF('ПО КОРИСНИЦИМА'!$G$7:$G$17281,"Функција 720:",'ПО КОРИСНИЦИМА'!$I$7:$I$17281)</f>
        <v>0</v>
      </c>
      <c r="F99" s="96">
        <f t="shared" si="4"/>
        <v>0</v>
      </c>
    </row>
    <row r="100" spans="1:6" hidden="1" x14ac:dyDescent="0.25">
      <c r="A100" s="103" t="s">
        <v>4011</v>
      </c>
      <c r="B100" s="102" t="s">
        <v>193</v>
      </c>
      <c r="C100" s="96">
        <f>SUMIF('ПО КОРИСНИЦИМА'!$G$7:$G$17281,"Функција 721:",'ПО КОРИСНИЦИМА'!$H$7:$H$17281)</f>
        <v>0</v>
      </c>
      <c r="D100" s="97">
        <f t="shared" si="3"/>
        <v>0</v>
      </c>
      <c r="E100" s="96">
        <f>SUMIF('ПО КОРИСНИЦИМА'!$G$7:$G$17281,"Функција 721:",'ПО КОРИСНИЦИМА'!$I$7:$I$17281)</f>
        <v>0</v>
      </c>
      <c r="F100" s="96">
        <f t="shared" si="4"/>
        <v>0</v>
      </c>
    </row>
    <row r="101" spans="1:6" hidden="1" x14ac:dyDescent="0.25">
      <c r="A101" s="103" t="s">
        <v>4012</v>
      </c>
      <c r="B101" s="102" t="s">
        <v>194</v>
      </c>
      <c r="C101" s="96">
        <f>SUMIF('ПО КОРИСНИЦИМА'!$G$7:$G$17281,"Функција 722:",'ПО КОРИСНИЦИМА'!$H$7:$H$17281)</f>
        <v>0</v>
      </c>
      <c r="D101" s="97">
        <f t="shared" si="3"/>
        <v>0</v>
      </c>
      <c r="E101" s="96">
        <f>SUMIF('ПО КОРИСНИЦИМА'!$G$7:$G$17281,"Функција 722:",'ПО КОРИСНИЦИМА'!$I$7:$I$17281)</f>
        <v>0</v>
      </c>
      <c r="F101" s="96">
        <f t="shared" si="4"/>
        <v>0</v>
      </c>
    </row>
    <row r="102" spans="1:6" hidden="1" x14ac:dyDescent="0.25">
      <c r="A102" s="103" t="s">
        <v>4013</v>
      </c>
      <c r="B102" s="102" t="s">
        <v>195</v>
      </c>
      <c r="C102" s="96">
        <f>SUMIF('ПО КОРИСНИЦИМА'!$G$7:$G$17281,"Функција 723:",'ПО КОРИСНИЦИМА'!$H$7:$H$17281)</f>
        <v>0</v>
      </c>
      <c r="D102" s="97">
        <f t="shared" si="3"/>
        <v>0</v>
      </c>
      <c r="E102" s="96">
        <f>SUMIF('ПО КОРИСНИЦИМА'!$G$7:$G$17281,"Функција 723:",'ПО КОРИСНИЦИМА'!$I$7:$I$17281)</f>
        <v>0</v>
      </c>
      <c r="F102" s="96">
        <f t="shared" si="4"/>
        <v>0</v>
      </c>
    </row>
    <row r="103" spans="1:6" hidden="1" x14ac:dyDescent="0.25">
      <c r="A103" s="103" t="s">
        <v>4014</v>
      </c>
      <c r="B103" s="102" t="s">
        <v>196</v>
      </c>
      <c r="C103" s="96">
        <f>SUMIF('ПО КОРИСНИЦИМА'!$G$7:$G$17281,"Функција 724:",'ПО КОРИСНИЦИМА'!$H$7:$H$17281)</f>
        <v>0</v>
      </c>
      <c r="D103" s="97">
        <f t="shared" si="3"/>
        <v>0</v>
      </c>
      <c r="E103" s="96">
        <f>SUMIF('ПО КОРИСНИЦИМА'!$G$7:$G$17281,"Функција 724:",'ПО КОРИСНИЦИМА'!$I$7:$I$17281)</f>
        <v>0</v>
      </c>
      <c r="F103" s="96">
        <f t="shared" si="4"/>
        <v>0</v>
      </c>
    </row>
    <row r="104" spans="1:6" hidden="1" x14ac:dyDescent="0.25">
      <c r="A104" s="101" t="s">
        <v>4015</v>
      </c>
      <c r="B104" s="102" t="s">
        <v>4016</v>
      </c>
      <c r="C104" s="96">
        <f>SUMIF('ПО КОРИСНИЦИМА'!$G$7:$G$17281,"Функција 730:",'ПО КОРИСНИЦИМА'!$H$7:$H$17281)</f>
        <v>0</v>
      </c>
      <c r="D104" s="97">
        <f t="shared" si="3"/>
        <v>0</v>
      </c>
      <c r="E104" s="96">
        <f>SUMIF('ПО КОРИСНИЦИМА'!$G$7:$G$17281,"Функција 730:",'ПО КОРИСНИЦИМА'!$I$7:$I$17281)</f>
        <v>0</v>
      </c>
      <c r="F104" s="96">
        <f t="shared" si="4"/>
        <v>0</v>
      </c>
    </row>
    <row r="105" spans="1:6" hidden="1" x14ac:dyDescent="0.25">
      <c r="A105" s="103" t="s">
        <v>4017</v>
      </c>
      <c r="B105" s="102" t="s">
        <v>198</v>
      </c>
      <c r="C105" s="96">
        <f>SUMIF('ПО КОРИСНИЦИМА'!$G$7:$G$17281,"Функција 731:",'ПО КОРИСНИЦИМА'!$H$7:$H$17281)</f>
        <v>0</v>
      </c>
      <c r="D105" s="97">
        <f t="shared" si="3"/>
        <v>0</v>
      </c>
      <c r="E105" s="96">
        <f>SUMIF('ПО КОРИСНИЦИМА'!$G$7:$G$17281,"Функција 731:",'ПО КОРИСНИЦИМА'!$I$7:$I$17281)</f>
        <v>0</v>
      </c>
      <c r="F105" s="96">
        <f t="shared" si="4"/>
        <v>0</v>
      </c>
    </row>
    <row r="106" spans="1:6" hidden="1" x14ac:dyDescent="0.25">
      <c r="A106" s="103" t="s">
        <v>4018</v>
      </c>
      <c r="B106" s="102" t="s">
        <v>199</v>
      </c>
      <c r="C106" s="96">
        <f>SUMIF('ПО КОРИСНИЦИМА'!$G$7:$G$17281,"Функција 732:",'ПО КОРИСНИЦИМА'!$H$7:$H$17281)</f>
        <v>0</v>
      </c>
      <c r="D106" s="97">
        <f t="shared" si="3"/>
        <v>0</v>
      </c>
      <c r="E106" s="96">
        <f>SUMIF('ПО КОРИСНИЦИМА'!$G$7:$G$17281,"Функција 732:",'ПО КОРИСНИЦИМА'!$I$7:$I$17281)</f>
        <v>0</v>
      </c>
      <c r="F106" s="96">
        <f t="shared" si="4"/>
        <v>0</v>
      </c>
    </row>
    <row r="107" spans="1:6" hidden="1" x14ac:dyDescent="0.25">
      <c r="A107" s="103" t="s">
        <v>4019</v>
      </c>
      <c r="B107" s="102" t="s">
        <v>200</v>
      </c>
      <c r="C107" s="96">
        <f>SUMIF('ПО КОРИСНИЦИМА'!$G$7:$G$17281,"Функција 733:",'ПО КОРИСНИЦИМА'!$H$7:$H$17281)</f>
        <v>0</v>
      </c>
      <c r="D107" s="97">
        <f t="shared" si="3"/>
        <v>0</v>
      </c>
      <c r="E107" s="96">
        <f>SUMIF('ПО КОРИСНИЦИМА'!$G$7:$G$17281,"Функција 733:",'ПО КОРИСНИЦИМА'!$I$7:$I$17281)</f>
        <v>0</v>
      </c>
      <c r="F107" s="96">
        <f t="shared" si="4"/>
        <v>0</v>
      </c>
    </row>
    <row r="108" spans="1:6" hidden="1" x14ac:dyDescent="0.25">
      <c r="A108" s="103" t="s">
        <v>4020</v>
      </c>
      <c r="B108" s="102" t="s">
        <v>4021</v>
      </c>
      <c r="C108" s="96">
        <f>SUMIF('ПО КОРИСНИЦИМА'!$G$7:$G$17281,"Функција 734:",'ПО КОРИСНИЦИМА'!$H$7:$H$17281)</f>
        <v>0</v>
      </c>
      <c r="D108" s="97">
        <f t="shared" si="3"/>
        <v>0</v>
      </c>
      <c r="E108" s="96">
        <f>SUMIF('ПО КОРИСНИЦИМА'!$G$7:$G$17281,"Функција 734:",'ПО КОРИСНИЦИМА'!$I$7:$I$17281)</f>
        <v>0</v>
      </c>
      <c r="F108" s="96">
        <f t="shared" si="4"/>
        <v>0</v>
      </c>
    </row>
    <row r="109" spans="1:6" x14ac:dyDescent="0.25">
      <c r="A109" s="101" t="s">
        <v>4022</v>
      </c>
      <c r="B109" s="102" t="s">
        <v>4023</v>
      </c>
      <c r="C109" s="96">
        <f>SUMIF('ПО КОРИСНИЦИМА'!$G$7:$G$17281,"Функција 740:",'ПО КОРИСНИЦИМА'!$H$7:$H$17281)</f>
        <v>3150000</v>
      </c>
      <c r="D109" s="97">
        <f t="shared" si="3"/>
        <v>5.4602184087363496E-3</v>
      </c>
      <c r="E109" s="96">
        <f>SUMIF('ПО КОРИСНИЦИМА'!$G$7:$G$17281,"Функција 740:",'ПО КОРИСНИЦИМА'!$I$7:$I$17281)</f>
        <v>0</v>
      </c>
      <c r="F109" s="96">
        <f t="shared" si="4"/>
        <v>3150000</v>
      </c>
    </row>
    <row r="110" spans="1:6" hidden="1" x14ac:dyDescent="0.25">
      <c r="A110" s="101" t="s">
        <v>4024</v>
      </c>
      <c r="B110" s="102" t="s">
        <v>4025</v>
      </c>
      <c r="C110" s="96">
        <f>SUMIF('ПО КОРИСНИЦИМА'!$G$7:$G$17281,"Функција 750:",'ПО КОРИСНИЦИМА'!$H$7:$H$17281)</f>
        <v>0</v>
      </c>
      <c r="D110" s="97">
        <f t="shared" si="3"/>
        <v>0</v>
      </c>
      <c r="E110" s="96">
        <f>SUMIF('ПО КОРИСНИЦИМА'!$G$7:$G$17281,"Функција 750:",'ПО КОРИСНИЦИМА'!$I$7:$I$17281)</f>
        <v>0</v>
      </c>
      <c r="F110" s="96">
        <f t="shared" si="4"/>
        <v>0</v>
      </c>
    </row>
    <row r="111" spans="1:6" hidden="1" x14ac:dyDescent="0.25">
      <c r="A111" s="101" t="s">
        <v>4026</v>
      </c>
      <c r="B111" s="102" t="s">
        <v>4027</v>
      </c>
      <c r="C111" s="96">
        <f>SUMIF('ПО КОРИСНИЦИМА'!$G$7:$G$17281,"Функција 760:",'ПО КОРИСНИЦИМА'!$H$7:$H$17281)</f>
        <v>0</v>
      </c>
      <c r="D111" s="97">
        <f t="shared" si="3"/>
        <v>0</v>
      </c>
      <c r="E111" s="96">
        <f>SUMIF('ПО КОРИСНИЦИМА'!$G$7:$G$17281,"Функција 760:",'ПО КОРИСНИЦИМА'!$I$7:$I$17281)</f>
        <v>0</v>
      </c>
      <c r="F111" s="96">
        <f t="shared" si="4"/>
        <v>0</v>
      </c>
    </row>
    <row r="112" spans="1:6" x14ac:dyDescent="0.25">
      <c r="A112" s="98" t="s">
        <v>4028</v>
      </c>
      <c r="B112" s="104" t="s">
        <v>205</v>
      </c>
      <c r="C112" s="94">
        <f>SUM(C113:C118)</f>
        <v>21172000</v>
      </c>
      <c r="D112" s="100">
        <f t="shared" si="3"/>
        <v>3.6699601317386026E-2</v>
      </c>
      <c r="E112" s="94">
        <f>SUM(E113:E118)</f>
        <v>694000</v>
      </c>
      <c r="F112" s="94">
        <f t="shared" si="5"/>
        <v>21866000</v>
      </c>
    </row>
    <row r="113" spans="1:6" x14ac:dyDescent="0.25">
      <c r="A113" s="101" t="s">
        <v>4029</v>
      </c>
      <c r="B113" s="102" t="s">
        <v>4030</v>
      </c>
      <c r="C113" s="96">
        <f>SUMIF('ПО КОРИСНИЦИМА'!$G$7:$G$17281,"Функција 810:",'ПО КОРИСНИЦИМА'!$H$7:$H$17281)</f>
        <v>8000000</v>
      </c>
      <c r="D113" s="97">
        <f t="shared" si="3"/>
        <v>1.3867221355520888E-2</v>
      </c>
      <c r="E113" s="96">
        <f>SUMIF('ПО КОРИСНИЦИМА'!$G$7:$G$17281,"Функција 810:",'ПО КОРИСНИЦИМА'!$I$7:$I$17281)</f>
        <v>0</v>
      </c>
      <c r="F113" s="96">
        <f t="shared" si="4"/>
        <v>8000000</v>
      </c>
    </row>
    <row r="114" spans="1:6" x14ac:dyDescent="0.25">
      <c r="A114" s="101" t="s">
        <v>4031</v>
      </c>
      <c r="B114" s="102" t="s">
        <v>4032</v>
      </c>
      <c r="C114" s="96">
        <f>SUMIF('ПО КОРИСНИЦИМА'!$G$7:$G$17281,"Функција 820:",'ПО КОРИСНИЦИМА'!$H$7:$H$17281)</f>
        <v>9172000</v>
      </c>
      <c r="D114" s="97">
        <f t="shared" si="3"/>
        <v>1.5898769284104698E-2</v>
      </c>
      <c r="E114" s="96">
        <f>SUMIF('ПО КОРИСНИЦИМА'!$G$7:$G$17281,"Функција 820:",'ПО КОРИСНИЦИМА'!$I$7:$I$17281)</f>
        <v>694000</v>
      </c>
      <c r="F114" s="96">
        <f t="shared" si="4"/>
        <v>9866000</v>
      </c>
    </row>
    <row r="115" spans="1:6" hidden="1" x14ac:dyDescent="0.25">
      <c r="A115" s="101" t="s">
        <v>4033</v>
      </c>
      <c r="B115" s="102" t="s">
        <v>4034</v>
      </c>
      <c r="C115" s="96">
        <f>SUMIF('ПО КОРИСНИЦИМА'!$G$7:$G$17281,"Функција 830:",'ПО КОРИСНИЦИМА'!$H$7:$H$17281)</f>
        <v>0</v>
      </c>
      <c r="D115" s="97">
        <f t="shared" si="3"/>
        <v>0</v>
      </c>
      <c r="E115" s="96">
        <f>SUMIF('ПО КОРИСНИЦИМА'!$G$7:$G$17281,"Функција 830:",'ПО КОРИСНИЦИМА'!$I$7:$I$17281)</f>
        <v>0</v>
      </c>
      <c r="F115" s="96">
        <f t="shared" si="4"/>
        <v>0</v>
      </c>
    </row>
    <row r="116" spans="1:6" hidden="1" x14ac:dyDescent="0.25">
      <c r="A116" s="101" t="s">
        <v>4035</v>
      </c>
      <c r="B116" s="102" t="s">
        <v>4036</v>
      </c>
      <c r="C116" s="96">
        <f>SUMIF('ПО КОРИСНИЦИМА'!$G$7:$G$17281,"Функција 840:",'ПО КОРИСНИЦИМА'!$H$7:$H$17281)</f>
        <v>0</v>
      </c>
      <c r="D116" s="97">
        <f t="shared" si="3"/>
        <v>0</v>
      </c>
      <c r="E116" s="96">
        <f>SUMIF('ПО КОРИСНИЦИМА'!$G$7:$G$17281,"Функција 840:",'ПО КОРИСНИЦИМА'!$I$7:$I$17281)</f>
        <v>0</v>
      </c>
      <c r="F116" s="96">
        <f t="shared" si="4"/>
        <v>0</v>
      </c>
    </row>
    <row r="117" spans="1:6" hidden="1" x14ac:dyDescent="0.25">
      <c r="A117" s="101" t="s">
        <v>4037</v>
      </c>
      <c r="B117" s="102" t="s">
        <v>4038</v>
      </c>
      <c r="C117" s="96">
        <f>SUMIF('ПО КОРИСНИЦИМА'!$G$7:$G$17281,"Функција 850:",'ПО КОРИСНИЦИМА'!$H$7:$H$17281)</f>
        <v>0</v>
      </c>
      <c r="D117" s="97">
        <f t="shared" si="3"/>
        <v>0</v>
      </c>
      <c r="E117" s="96">
        <f>SUMIF('ПО КОРИСНИЦИМА'!$G$7:$G$17281,"Функција 850:",'ПО КОРИСНИЦИМА'!$I$7:$I$17281)</f>
        <v>0</v>
      </c>
      <c r="F117" s="96">
        <f t="shared" si="4"/>
        <v>0</v>
      </c>
    </row>
    <row r="118" spans="1:6" ht="23.25" x14ac:dyDescent="0.25">
      <c r="A118" s="101" t="s">
        <v>4039</v>
      </c>
      <c r="B118" s="102" t="s">
        <v>211</v>
      </c>
      <c r="C118" s="96">
        <f>SUMIF('ПО КОРИСНИЦИМА'!$G$7:$G$17281,"Функција 860:",'ПО КОРИСНИЦИМА'!$H$7:$H$17281)</f>
        <v>4000000</v>
      </c>
      <c r="D118" s="97">
        <f t="shared" si="3"/>
        <v>6.9336106777604439E-3</v>
      </c>
      <c r="E118" s="96">
        <f>SUMIF('ПО КОРИСНИЦИМА'!$G$7:$G$17281,"Функција 860:",'ПО КОРИСНИЦИМА'!$I$7:$I$17281)</f>
        <v>0</v>
      </c>
      <c r="F118" s="96">
        <f t="shared" si="4"/>
        <v>4000000</v>
      </c>
    </row>
    <row r="119" spans="1:6" x14ac:dyDescent="0.25">
      <c r="A119" s="115" t="s">
        <v>4040</v>
      </c>
      <c r="B119" s="104" t="s">
        <v>212</v>
      </c>
      <c r="C119" s="94">
        <f>SUM(C120:C140)</f>
        <v>53344000</v>
      </c>
      <c r="D119" s="100">
        <f t="shared" si="3"/>
        <v>9.2466631998613283E-2</v>
      </c>
      <c r="E119" s="94">
        <f>SUM(E120:E140)</f>
        <v>14651100</v>
      </c>
      <c r="F119" s="94">
        <f t="shared" si="5"/>
        <v>67995100</v>
      </c>
    </row>
    <row r="120" spans="1:6" hidden="1" x14ac:dyDescent="0.25">
      <c r="A120" s="101" t="s">
        <v>4041</v>
      </c>
      <c r="B120" s="102" t="s">
        <v>4042</v>
      </c>
      <c r="C120" s="96">
        <f>SUMIF('ПО КОРИСНИЦИМА'!$G$7:$G$17281,"Функција 910:",'ПО КОРИСНИЦИМА'!$H$7:$H$17281)</f>
        <v>0</v>
      </c>
      <c r="D120" s="97">
        <f t="shared" si="3"/>
        <v>0</v>
      </c>
      <c r="E120" s="96">
        <f>SUMIF('ПО КОРИСНИЦИМА'!$G$7:$G$17281,"Функција 910:",'ПО КОРИСНИЦИМА'!$I$7:$I$17281)</f>
        <v>0</v>
      </c>
      <c r="F120" s="96">
        <f t="shared" si="4"/>
        <v>0</v>
      </c>
    </row>
    <row r="121" spans="1:6" x14ac:dyDescent="0.25">
      <c r="A121" s="103" t="s">
        <v>4043</v>
      </c>
      <c r="B121" s="102" t="s">
        <v>214</v>
      </c>
      <c r="C121" s="96">
        <f>SUMIF('ПО КОРИСНИЦИМА'!$G$7:$G$17281,"Функција 911:",'ПО КОРИСНИЦИМА'!$H$7:$H$17281)</f>
        <v>21499000</v>
      </c>
      <c r="D121" s="97">
        <f t="shared" si="3"/>
        <v>3.7266423990292945E-2</v>
      </c>
      <c r="E121" s="96">
        <f>SUMIF('ПО КОРИСНИЦИМА'!$G$7:$G$17281,"Функција 911:",'ПО КОРИСНИЦИМА'!$I$7:$I$17281)</f>
        <v>14651100</v>
      </c>
      <c r="F121" s="96">
        <f t="shared" si="4"/>
        <v>36150100</v>
      </c>
    </row>
    <row r="122" spans="1:6" x14ac:dyDescent="0.25">
      <c r="A122" s="103" t="s">
        <v>3760</v>
      </c>
      <c r="B122" s="102" t="s">
        <v>215</v>
      </c>
      <c r="C122" s="96">
        <f>SUMIF('ПО КОРИСНИЦИМА'!$G$7:$G$17281,"Функција 912:",'ПО КОРИСНИЦИМА'!$H$7:$H$17281)</f>
        <v>27000000</v>
      </c>
      <c r="D122" s="97">
        <f t="shared" si="3"/>
        <v>4.6801872074882997E-2</v>
      </c>
      <c r="E122" s="96">
        <f>SUMIF('ПО КОРИСНИЦИМА'!$G$7:$G$17281,"Функција 912:",'ПО КОРИСНИЦИМА'!$I$7:$I$17281)</f>
        <v>0</v>
      </c>
      <c r="F122" s="96">
        <f t="shared" si="4"/>
        <v>27000000</v>
      </c>
    </row>
    <row r="123" spans="1:6" hidden="1" x14ac:dyDescent="0.25">
      <c r="A123" s="103" t="s">
        <v>4044</v>
      </c>
      <c r="B123" s="102" t="s">
        <v>216</v>
      </c>
      <c r="C123" s="96">
        <f>SUMIF('ПО КОРИСНИЦИМА'!$G$7:$G$17281,"Функција 913:",'ПО КОРИСНИЦИМА'!$H$7:$H$17281)</f>
        <v>0</v>
      </c>
      <c r="D123" s="97">
        <f t="shared" si="3"/>
        <v>0</v>
      </c>
      <c r="E123" s="96">
        <f>SUMIF('ПО КОРИСНИЦИМА'!$G$7:$G$17281,"Функција 913:",'ПО КОРИСНИЦИМА'!$I$7:$I$17281)</f>
        <v>0</v>
      </c>
      <c r="F123" s="96">
        <f t="shared" si="4"/>
        <v>0</v>
      </c>
    </row>
    <row r="124" spans="1:6" hidden="1" x14ac:dyDescent="0.25">
      <c r="A124" s="103" t="s">
        <v>4045</v>
      </c>
      <c r="B124" s="102" t="s">
        <v>217</v>
      </c>
      <c r="C124" s="96">
        <f>SUMIF('ПО КОРИСНИЦИМА'!$G$7:$G$17281,"Функција 914:",'ПО КОРИСНИЦИМА'!$H$7:$H$17281)</f>
        <v>0</v>
      </c>
      <c r="D124" s="97">
        <f t="shared" si="3"/>
        <v>0</v>
      </c>
      <c r="E124" s="96">
        <f>SUMIF('ПО КОРИСНИЦИМА'!$G$7:$G$17281,"Функција 914:",'ПО КОРИСНИЦИМА'!$I$7:$I$17281)</f>
        <v>0</v>
      </c>
      <c r="F124" s="96">
        <f t="shared" si="4"/>
        <v>0</v>
      </c>
    </row>
    <row r="125" spans="1:6" hidden="1" x14ac:dyDescent="0.25">
      <c r="A125" s="103" t="s">
        <v>4046</v>
      </c>
      <c r="B125" s="102" t="s">
        <v>218</v>
      </c>
      <c r="C125" s="96">
        <f>SUMIF('ПО КОРИСНИЦИМА'!$G$7:$G$17281,"Функција 915:",'ПО КОРИСНИЦИМА'!$H$7:$H$17281)</f>
        <v>0</v>
      </c>
      <c r="D125" s="97">
        <f t="shared" si="3"/>
        <v>0</v>
      </c>
      <c r="E125" s="96">
        <f>SUMIF('ПО КОРИСНИЦИМА'!$G$7:$G$17281,"Функција 915:",'ПО КОРИСНИЦИМА'!$I$7:$I$17281)</f>
        <v>0</v>
      </c>
      <c r="F125" s="96">
        <f t="shared" si="4"/>
        <v>0</v>
      </c>
    </row>
    <row r="126" spans="1:6" hidden="1" x14ac:dyDescent="0.25">
      <c r="A126" s="103" t="s">
        <v>4047</v>
      </c>
      <c r="B126" s="102" t="s">
        <v>219</v>
      </c>
      <c r="C126" s="96">
        <f>SUMIF('ПО КОРИСНИЦИМА'!$G$7:$G$17281,"Функција 916:",'ПО КОРИСНИЦИМА'!$H$7:$H$17281)</f>
        <v>0</v>
      </c>
      <c r="D126" s="97">
        <f t="shared" si="3"/>
        <v>0</v>
      </c>
      <c r="E126" s="96">
        <f>SUMIF('ПО КОРИСНИЦИМА'!$G$7:$G$17281,"Функција 916:",'ПО КОРИСНИЦИМА'!$I$7:$I$17281)</f>
        <v>0</v>
      </c>
      <c r="F126" s="96">
        <f t="shared" si="4"/>
        <v>0</v>
      </c>
    </row>
    <row r="127" spans="1:6" x14ac:dyDescent="0.25">
      <c r="A127" s="101" t="s">
        <v>4048</v>
      </c>
      <c r="B127" s="102" t="s">
        <v>4049</v>
      </c>
      <c r="C127" s="96">
        <f>SUMIF('ПО КОРИСНИЦИМА'!$G$7:$G$17281,"Функција 920:",'ПО КОРИСНИЦИМА'!$H$7:$H$17281)</f>
        <v>4845000</v>
      </c>
      <c r="D127" s="97">
        <f t="shared" si="3"/>
        <v>8.3983359334373377E-3</v>
      </c>
      <c r="E127" s="96">
        <f>SUMIF('ПО КОРИСНИЦИМА'!$G$7:$G$17281,"Функција 920:",'ПО КОРИСНИЦИМА'!$I$7:$I$17281)</f>
        <v>0</v>
      </c>
      <c r="F127" s="96">
        <f t="shared" si="4"/>
        <v>4845000</v>
      </c>
    </row>
    <row r="128" spans="1:6" hidden="1" x14ac:dyDescent="0.25">
      <c r="A128" s="103" t="s">
        <v>4050</v>
      </c>
      <c r="B128" s="102" t="s">
        <v>221</v>
      </c>
      <c r="C128" s="96">
        <f>SUMIF('ПО КОРИСНИЦИМА'!$G$7:$G$17281,"Функција 921:",'ПО КОРИСНИЦИМА'!$H$7:$H$17281)</f>
        <v>0</v>
      </c>
      <c r="D128" s="97">
        <f t="shared" si="3"/>
        <v>0</v>
      </c>
      <c r="E128" s="96">
        <f>SUMIF('ПО КОРИСНИЦИМА'!$G$7:$G$17281,"Функција 921:",'ПО КОРИСНИЦИМА'!$I$7:$I$17281)</f>
        <v>0</v>
      </c>
      <c r="F128" s="96">
        <f t="shared" si="4"/>
        <v>0</v>
      </c>
    </row>
    <row r="129" spans="1:6" hidden="1" x14ac:dyDescent="0.25">
      <c r="A129" s="103" t="s">
        <v>4051</v>
      </c>
      <c r="B129" s="102" t="s">
        <v>222</v>
      </c>
      <c r="C129" s="96">
        <f>SUMIF('ПО КОРИСНИЦИМА'!$G$7:$G$17281,"Функција 922:",'ПО КОРИСНИЦИМА'!$H$7:$H$17281)</f>
        <v>0</v>
      </c>
      <c r="D129" s="97">
        <f t="shared" si="3"/>
        <v>0</v>
      </c>
      <c r="E129" s="96">
        <f>SUMIF('ПО КОРИСНИЦИМА'!$G$7:$G$17281,"Функција 922:",'ПО КОРИСНИЦИМА'!$I$7:$I$17281)</f>
        <v>0</v>
      </c>
      <c r="F129" s="96">
        <f t="shared" si="4"/>
        <v>0</v>
      </c>
    </row>
    <row r="130" spans="1:6" hidden="1" x14ac:dyDescent="0.25">
      <c r="A130" s="103" t="s">
        <v>4052</v>
      </c>
      <c r="B130" s="102" t="s">
        <v>223</v>
      </c>
      <c r="C130" s="96">
        <f>SUMIF('ПО КОРИСНИЦИМА'!$G$7:$G$17281,"Функција 923:",'ПО КОРИСНИЦИМА'!$H$7:$H$17281)</f>
        <v>0</v>
      </c>
      <c r="D130" s="97">
        <f t="shared" si="3"/>
        <v>0</v>
      </c>
      <c r="E130" s="96">
        <f>SUMIF('ПО КОРИСНИЦИМА'!$G$7:$G$17281,"Функција 923:",'ПО КОРИСНИЦИМА'!$I$7:$I$17281)</f>
        <v>0</v>
      </c>
      <c r="F130" s="96">
        <f t="shared" si="4"/>
        <v>0</v>
      </c>
    </row>
    <row r="131" spans="1:6" hidden="1" x14ac:dyDescent="0.25">
      <c r="A131" s="101" t="s">
        <v>4053</v>
      </c>
      <c r="B131" s="102" t="s">
        <v>4054</v>
      </c>
      <c r="C131" s="96">
        <f>SUMIF('ПО КОРИСНИЦИМА'!$G$7:$G$17281,"Функција 930:",'ПО КОРИСНИЦИМА'!$H$7:$H$17281)</f>
        <v>0</v>
      </c>
      <c r="D131" s="97">
        <f t="shared" si="3"/>
        <v>0</v>
      </c>
      <c r="E131" s="96">
        <f>SUMIF('ПО КОРИСНИЦИМА'!$G$7:$G$17281,"Функција 930:",'ПО КОРИСНИЦИМА'!$I$7:$I$17281)</f>
        <v>0</v>
      </c>
      <c r="F131" s="96">
        <f t="shared" si="4"/>
        <v>0</v>
      </c>
    </row>
    <row r="132" spans="1:6" hidden="1" x14ac:dyDescent="0.25">
      <c r="A132" s="103" t="s">
        <v>4055</v>
      </c>
      <c r="B132" s="102" t="s">
        <v>224</v>
      </c>
      <c r="C132" s="96">
        <f>SUMIF('ПО КОРИСНИЦИМА'!$G$7:$G$17281,"Функција 931:",'ПО КОРИСНИЦИМА'!$H$7:$H$17281)</f>
        <v>0</v>
      </c>
      <c r="D132" s="97">
        <f t="shared" si="3"/>
        <v>0</v>
      </c>
      <c r="E132" s="96">
        <f>SUMIF('ПО КОРИСНИЦИМА'!$G$7:$G$17281,"Функција 931:",'ПО КОРИСНИЦИМА'!$I$7:$I$17281)</f>
        <v>0</v>
      </c>
      <c r="F132" s="96">
        <f t="shared" si="4"/>
        <v>0</v>
      </c>
    </row>
    <row r="133" spans="1:6" hidden="1" x14ac:dyDescent="0.25">
      <c r="A133" s="103" t="s">
        <v>4056</v>
      </c>
      <c r="B133" s="102" t="s">
        <v>225</v>
      </c>
      <c r="C133" s="96">
        <f>SUMIF('ПО КОРИСНИЦИМА'!$G$7:$G$17281,"Функција 932:",'ПО КОРИСНИЦИМА'!$H$7:$H$17281)</f>
        <v>0</v>
      </c>
      <c r="D133" s="97">
        <f t="shared" si="3"/>
        <v>0</v>
      </c>
      <c r="E133" s="96">
        <f>SUMIF('ПО КОРИСНИЦИМА'!$G$7:$G$17281,"Функција 932:",'ПО КОРИСНИЦИМА'!$I$7:$I$17281)</f>
        <v>0</v>
      </c>
      <c r="F133" s="96">
        <f t="shared" si="4"/>
        <v>0</v>
      </c>
    </row>
    <row r="134" spans="1:6" hidden="1" x14ac:dyDescent="0.25">
      <c r="A134" s="101" t="s">
        <v>4057</v>
      </c>
      <c r="B134" s="102" t="s">
        <v>4058</v>
      </c>
      <c r="C134" s="96">
        <f>SUMIF('ПО КОРИСНИЦИМА'!$G$7:$G$17281,"Функција 940:",'ПО КОРИСНИЦИМА'!$H$7:$H$17281)</f>
        <v>0</v>
      </c>
      <c r="D134" s="97">
        <f t="shared" si="3"/>
        <v>0</v>
      </c>
      <c r="E134" s="96">
        <f>SUMIF('ПО КОРИСНИЦИМА'!$G$7:$G$17281,"Функција 940:",'ПО КОРИСНИЦИМА'!$I$7:$I$17281)</f>
        <v>0</v>
      </c>
      <c r="F134" s="96">
        <f t="shared" si="4"/>
        <v>0</v>
      </c>
    </row>
    <row r="135" spans="1:6" hidden="1" x14ac:dyDescent="0.25">
      <c r="A135" s="103" t="s">
        <v>4059</v>
      </c>
      <c r="B135" s="102" t="s">
        <v>227</v>
      </c>
      <c r="C135" s="96">
        <f>SUMIF('ПО КОРИСНИЦИМА'!$G$7:$G$17281,"Функција 941:",'ПО КОРИСНИЦИМА'!$H$7:$H$17281)</f>
        <v>0</v>
      </c>
      <c r="D135" s="97">
        <f t="shared" ref="D135:D141" si="6">IFERROR(C135/$C$141,"-")</f>
        <v>0</v>
      </c>
      <c r="E135" s="96">
        <f>SUMIF('ПО КОРИСНИЦИМА'!$G$7:$G$17281,"Функција 941:",'ПО КОРИСНИЦИМА'!$I$7:$I$17281)</f>
        <v>0</v>
      </c>
      <c r="F135" s="96">
        <f t="shared" si="4"/>
        <v>0</v>
      </c>
    </row>
    <row r="136" spans="1:6" hidden="1" x14ac:dyDescent="0.25">
      <c r="A136" s="103" t="s">
        <v>4060</v>
      </c>
      <c r="B136" s="102" t="s">
        <v>4061</v>
      </c>
      <c r="C136" s="96">
        <f>SUMIF('ПО КОРИСНИЦИМА'!$G$7:$G$17281,"Функција 942:",'ПО КОРИСНИЦИМА'!$H$7:$H$17281)</f>
        <v>0</v>
      </c>
      <c r="D136" s="97">
        <f t="shared" si="6"/>
        <v>0</v>
      </c>
      <c r="E136" s="96">
        <f>SUMIF('ПО КОРИСНИЦИМА'!$G$7:$G$17281,"Функција 942:",'ПО КОРИСНИЦИМА'!$I$7:$I$17281)</f>
        <v>0</v>
      </c>
      <c r="F136" s="96">
        <f t="shared" ref="F136:F140" si="7">SUM(E136,C136)</f>
        <v>0</v>
      </c>
    </row>
    <row r="137" spans="1:6" hidden="1" x14ac:dyDescent="0.25">
      <c r="A137" s="101" t="s">
        <v>4062</v>
      </c>
      <c r="B137" s="102" t="s">
        <v>4063</v>
      </c>
      <c r="C137" s="96">
        <f>SUMIF('ПО КОРИСНИЦИМА'!$G$7:$G$17281,"Функција 950:",'ПО КОРИСНИЦИМА'!$H$7:$H$17281)</f>
        <v>0</v>
      </c>
      <c r="D137" s="97">
        <f t="shared" si="6"/>
        <v>0</v>
      </c>
      <c r="E137" s="96">
        <f>SUMIF('ПО КОРИСНИЦИМА'!$G$7:$G$17281,"Функција 950:",'ПО КОРИСНИЦИМА'!$I$7:$I$17281)</f>
        <v>0</v>
      </c>
      <c r="F137" s="96">
        <f t="shared" si="7"/>
        <v>0</v>
      </c>
    </row>
    <row r="138" spans="1:6" hidden="1" x14ac:dyDescent="0.25">
      <c r="A138" s="101" t="s">
        <v>4064</v>
      </c>
      <c r="B138" s="102" t="s">
        <v>4065</v>
      </c>
      <c r="C138" s="96">
        <f>SUMIF('ПО КОРИСНИЦИМА'!$G$7:$G$17281,"Функција 960:",'ПО КОРИСНИЦИМА'!$H$7:$H$17281)</f>
        <v>0</v>
      </c>
      <c r="D138" s="97">
        <f t="shared" si="6"/>
        <v>0</v>
      </c>
      <c r="E138" s="96">
        <f>SUMIF('ПО КОРИСНИЦИМА'!$G$7:$G$17281,"Функција 960:",'ПО КОРИСНИЦИМА'!$I$7:$I$17281)</f>
        <v>0</v>
      </c>
      <c r="F138" s="96">
        <f t="shared" si="7"/>
        <v>0</v>
      </c>
    </row>
    <row r="139" spans="1:6" hidden="1" x14ac:dyDescent="0.25">
      <c r="A139" s="116" t="s">
        <v>4066</v>
      </c>
      <c r="B139" s="95" t="s">
        <v>4067</v>
      </c>
      <c r="C139" s="96">
        <f>SUMIF('ПО КОРИСНИЦИМА'!$G$7:$G$17281,"Функција 970:",'ПО КОРИСНИЦИМА'!$H$7:$H$17281)</f>
        <v>0</v>
      </c>
      <c r="D139" s="97">
        <f t="shared" si="6"/>
        <v>0</v>
      </c>
      <c r="E139" s="96">
        <f>SUMIF('ПО КОРИСНИЦИМА'!$G$7:$G$17281,"Функција 970:",'ПО КОРИСНИЦИМА'!$I$7:$I$17281)</f>
        <v>0</v>
      </c>
      <c r="F139" s="96">
        <f t="shared" si="7"/>
        <v>0</v>
      </c>
    </row>
    <row r="140" spans="1:6" hidden="1" x14ac:dyDescent="0.25">
      <c r="A140" s="101" t="s">
        <v>4068</v>
      </c>
      <c r="B140" s="102" t="s">
        <v>232</v>
      </c>
      <c r="C140" s="96">
        <f>SUMIF('ПО КОРИСНИЦИМА'!$G$7:$G$17281,"Функција 980:",'ПО КОРИСНИЦИМА'!$H$7:$H$17281)</f>
        <v>0</v>
      </c>
      <c r="D140" s="97">
        <f t="shared" si="6"/>
        <v>0</v>
      </c>
      <c r="E140" s="96">
        <f>SUMIF('ПО КОРИСНИЦИМА'!$G$7:$G$17281,"Функција 980:",'ПО КОРИСНИЦИМА'!$I$7:$I$17281)</f>
        <v>0</v>
      </c>
      <c r="F140" s="96">
        <f t="shared" si="7"/>
        <v>0</v>
      </c>
    </row>
    <row r="141" spans="1:6" ht="26.25" customHeight="1" x14ac:dyDescent="0.25">
      <c r="A141" s="117"/>
      <c r="B141" s="118" t="s">
        <v>4069</v>
      </c>
      <c r="C141" s="119">
        <f>SUM(C6,C16,C33,C40,C80,C87,C94,C112,C119)</f>
        <v>576900000</v>
      </c>
      <c r="D141" s="120">
        <f t="shared" si="6"/>
        <v>1</v>
      </c>
      <c r="E141" s="119">
        <f>SUM(E6,E16,E33,E40,E80,E87,E94,E112,E119)</f>
        <v>15845100</v>
      </c>
      <c r="F141" s="119">
        <f>SUM(E141,C141)</f>
        <v>592745100</v>
      </c>
    </row>
    <row r="142" spans="1:6" x14ac:dyDescent="0.25">
      <c r="A142" s="121"/>
      <c r="B142" s="122"/>
      <c r="C142" s="123"/>
      <c r="D142" s="123"/>
      <c r="E142" s="123"/>
      <c r="F142" s="123"/>
    </row>
  </sheetData>
  <sheetProtection password="C85D" sheet="1" objects="1" scenarios="1"/>
  <mergeCells count="3">
    <mergeCell ref="A3:F3"/>
    <mergeCell ref="B1:E1"/>
    <mergeCell ref="A2:F2"/>
  </mergeCells>
  <conditionalFormatting sqref="C142 E142:F142">
    <cfRule type="cellIs" dxfId="0" priority="2" stopIfTrue="1" operator="notEqual">
      <formula>0</formula>
    </cfRule>
  </conditionalFormatting>
  <conditionalFormatting sqref="C142:F142">
    <cfRule type="cellIs" priority="1" operator="notEqual">
      <formula>0</formula>
    </cfRule>
  </conditionalFormatting>
  <pageMargins left="0.70866141732283472" right="0.70866141732283472" top="0.74803149606299213" bottom="0.74803149606299213" header="0.31496062992125984" footer="0.31496062992125984"/>
  <pageSetup orientation="landscape" r:id="rId1"/>
  <cellWatches>
    <cellWatch r="C142"/>
  </cellWatches>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tabColor theme="1"/>
  </sheetPr>
  <dimension ref="A1:Y17433"/>
  <sheetViews>
    <sheetView tabSelected="1" topLeftCell="A15144" zoomScale="90" zoomScaleNormal="90" workbookViewId="0">
      <selection activeCell="G15425" sqref="G15425"/>
    </sheetView>
  </sheetViews>
  <sheetFormatPr defaultRowHeight="15" x14ac:dyDescent="0.25"/>
  <cols>
    <col min="1" max="1" width="4.140625" style="218" customWidth="1"/>
    <col min="2" max="2" width="4.5703125" style="218" customWidth="1"/>
    <col min="3" max="3" width="10.7109375" style="221" customWidth="1"/>
    <col min="4" max="5" width="5.140625" style="218" customWidth="1"/>
    <col min="6" max="6" width="5.85546875" style="218" customWidth="1"/>
    <col min="7" max="7" width="57.42578125" style="230" customWidth="1"/>
    <col min="8" max="8" width="14.28515625" style="594" customWidth="1"/>
    <col min="9" max="9" width="12" style="595" customWidth="1"/>
    <col min="10" max="10" width="13.42578125" style="595" customWidth="1"/>
    <col min="11" max="25" width="9.140625" style="285"/>
    <col min="26" max="16384" width="9.140625" style="84"/>
  </cols>
  <sheetData>
    <row r="1" spans="1:25" ht="33.75" customHeight="1" x14ac:dyDescent="0.25">
      <c r="G1" s="943" t="s">
        <v>5379</v>
      </c>
      <c r="H1" s="943"/>
      <c r="I1" s="943"/>
    </row>
    <row r="2" spans="1:25" ht="36" customHeight="1" x14ac:dyDescent="0.25">
      <c r="E2" s="938" t="s">
        <v>5378</v>
      </c>
      <c r="F2" s="938"/>
      <c r="G2" s="938"/>
      <c r="H2" s="938"/>
    </row>
    <row r="3" spans="1:25" ht="43.5" customHeight="1" x14ac:dyDescent="0.25">
      <c r="B3" s="941" t="s">
        <v>5377</v>
      </c>
      <c r="C3" s="941"/>
      <c r="D3" s="941"/>
      <c r="E3" s="941"/>
      <c r="F3" s="941"/>
      <c r="G3" s="941"/>
      <c r="H3" s="941"/>
      <c r="I3" s="941"/>
      <c r="J3" s="941"/>
    </row>
    <row r="5" spans="1:25" ht="58.5" customHeight="1" x14ac:dyDescent="0.25">
      <c r="A5" s="212" t="s">
        <v>4175</v>
      </c>
      <c r="B5" s="213" t="s">
        <v>4176</v>
      </c>
      <c r="C5" s="215" t="s">
        <v>4180</v>
      </c>
      <c r="D5" s="212" t="s">
        <v>4177</v>
      </c>
      <c r="E5" s="212" t="s">
        <v>4178</v>
      </c>
      <c r="F5" s="213" t="s">
        <v>4181</v>
      </c>
      <c r="G5" s="214" t="s">
        <v>265</v>
      </c>
      <c r="H5" s="588" t="s">
        <v>24</v>
      </c>
      <c r="I5" s="588" t="s">
        <v>3774</v>
      </c>
      <c r="J5" s="589" t="s">
        <v>4179</v>
      </c>
      <c r="M5" s="944"/>
      <c r="N5" s="944"/>
      <c r="O5" s="944"/>
      <c r="P5" s="944"/>
      <c r="Q5" s="944"/>
      <c r="R5" s="944"/>
      <c r="S5" s="944"/>
      <c r="T5" s="944"/>
      <c r="U5" s="944"/>
      <c r="V5" s="944"/>
    </row>
    <row r="6" spans="1:25" ht="18.75" customHeight="1" thickBot="1" x14ac:dyDescent="0.3">
      <c r="A6" s="302">
        <v>1</v>
      </c>
      <c r="B6" s="303">
        <v>2</v>
      </c>
      <c r="C6" s="304">
        <v>4</v>
      </c>
      <c r="D6" s="302">
        <v>3</v>
      </c>
      <c r="E6" s="302">
        <v>6</v>
      </c>
      <c r="F6" s="303">
        <v>7</v>
      </c>
      <c r="G6" s="302">
        <v>8</v>
      </c>
      <c r="H6" s="590">
        <v>9</v>
      </c>
      <c r="I6" s="590">
        <v>10</v>
      </c>
      <c r="J6" s="591">
        <v>11</v>
      </c>
    </row>
    <row r="7" spans="1:25" ht="15" customHeight="1" x14ac:dyDescent="0.25">
      <c r="A7" s="244">
        <v>1</v>
      </c>
      <c r="B7" s="244">
        <v>1</v>
      </c>
      <c r="C7" s="220"/>
      <c r="D7" s="216"/>
      <c r="E7" s="216"/>
      <c r="F7" s="216"/>
      <c r="G7" s="232" t="s">
        <v>5465</v>
      </c>
      <c r="H7" s="592"/>
      <c r="I7" s="593"/>
      <c r="J7" s="593"/>
      <c r="M7" s="945"/>
      <c r="N7" s="945"/>
      <c r="O7" s="945"/>
      <c r="P7" s="945"/>
      <c r="Q7" s="945"/>
      <c r="R7" s="945"/>
      <c r="S7" s="945"/>
      <c r="T7" s="945"/>
      <c r="U7" s="945"/>
      <c r="V7" s="945"/>
      <c r="W7" s="945"/>
      <c r="X7" s="945"/>
      <c r="Y7" s="945"/>
    </row>
    <row r="8" spans="1:25" x14ac:dyDescent="0.25">
      <c r="C8" s="228" t="s">
        <v>3608</v>
      </c>
      <c r="D8" s="219"/>
      <c r="G8" s="262" t="s">
        <v>4224</v>
      </c>
      <c r="M8" s="945"/>
      <c r="N8" s="945"/>
      <c r="O8" s="945"/>
      <c r="P8" s="945"/>
      <c r="Q8" s="945"/>
      <c r="R8" s="945"/>
      <c r="S8" s="945"/>
      <c r="T8" s="945"/>
      <c r="U8" s="945"/>
      <c r="V8" s="945"/>
      <c r="W8" s="945"/>
      <c r="X8" s="945"/>
      <c r="Y8" s="945"/>
    </row>
    <row r="9" spans="1:25" ht="23.25" customHeight="1" x14ac:dyDescent="0.25">
      <c r="C9" s="228" t="s">
        <v>4154</v>
      </c>
      <c r="D9" s="219"/>
      <c r="G9" s="262" t="s">
        <v>4155</v>
      </c>
      <c r="M9" s="945"/>
      <c r="N9" s="945"/>
      <c r="O9" s="945"/>
      <c r="P9" s="945"/>
      <c r="Q9" s="945"/>
      <c r="R9" s="945"/>
      <c r="S9" s="945"/>
      <c r="T9" s="945"/>
      <c r="U9" s="945"/>
      <c r="V9" s="945"/>
      <c r="W9" s="945"/>
      <c r="X9" s="945"/>
      <c r="Y9" s="945"/>
    </row>
    <row r="10" spans="1:25" ht="30" x14ac:dyDescent="0.25">
      <c r="C10" s="228"/>
      <c r="D10" s="312">
        <v>110</v>
      </c>
      <c r="E10" s="312"/>
      <c r="F10" s="312"/>
      <c r="G10" s="313" t="s">
        <v>105</v>
      </c>
    </row>
    <row r="11" spans="1:25" hidden="1" x14ac:dyDescent="0.25">
      <c r="F11" s="224">
        <v>411</v>
      </c>
      <c r="G11" s="295" t="s">
        <v>4189</v>
      </c>
      <c r="J11" s="595">
        <f>SUM(H11:I11)</f>
        <v>0</v>
      </c>
      <c r="M11" s="945" t="s">
        <v>5142</v>
      </c>
      <c r="N11" s="945"/>
      <c r="O11" s="945"/>
      <c r="P11" s="945"/>
      <c r="Q11" s="945"/>
      <c r="R11" s="945"/>
      <c r="S11" s="945"/>
      <c r="T11" s="945"/>
      <c r="U11" s="945"/>
      <c r="V11" s="945"/>
      <c r="W11" s="945"/>
      <c r="X11" s="945"/>
      <c r="Y11" s="945"/>
    </row>
    <row r="12" spans="1:25" hidden="1" x14ac:dyDescent="0.25">
      <c r="F12" s="224">
        <v>412</v>
      </c>
      <c r="G12" s="292" t="s">
        <v>3784</v>
      </c>
      <c r="J12" s="595">
        <f t="shared" ref="J12:J70" si="0">SUM(H12:I12)</f>
        <v>0</v>
      </c>
      <c r="M12" s="945"/>
      <c r="N12" s="945"/>
      <c r="O12" s="945"/>
      <c r="P12" s="945"/>
      <c r="Q12" s="945"/>
      <c r="R12" s="945"/>
      <c r="S12" s="945"/>
      <c r="T12" s="945"/>
      <c r="U12" s="945"/>
      <c r="V12" s="945"/>
      <c r="W12" s="945"/>
      <c r="X12" s="945"/>
      <c r="Y12" s="945"/>
    </row>
    <row r="13" spans="1:25" ht="15" hidden="1" customHeight="1" x14ac:dyDescent="0.25">
      <c r="F13" s="224">
        <v>413</v>
      </c>
      <c r="G13" s="295" t="s">
        <v>4190</v>
      </c>
      <c r="J13" s="595">
        <f t="shared" si="0"/>
        <v>0</v>
      </c>
      <c r="M13" s="945"/>
      <c r="N13" s="945"/>
      <c r="O13" s="945"/>
      <c r="P13" s="945"/>
      <c r="Q13" s="945"/>
      <c r="R13" s="945"/>
      <c r="S13" s="945"/>
      <c r="T13" s="945"/>
      <c r="U13" s="945"/>
      <c r="V13" s="945"/>
      <c r="W13" s="945"/>
      <c r="X13" s="945"/>
      <c r="Y13" s="945"/>
    </row>
    <row r="14" spans="1:25" hidden="1" x14ac:dyDescent="0.25">
      <c r="F14" s="224">
        <v>414</v>
      </c>
      <c r="G14" s="295" t="s">
        <v>3787</v>
      </c>
      <c r="J14" s="595">
        <f t="shared" si="0"/>
        <v>0</v>
      </c>
      <c r="M14" s="945"/>
      <c r="N14" s="945"/>
      <c r="O14" s="945"/>
      <c r="P14" s="945"/>
      <c r="Q14" s="945"/>
      <c r="R14" s="945"/>
      <c r="S14" s="945"/>
      <c r="T14" s="945"/>
      <c r="U14" s="945"/>
      <c r="V14" s="945"/>
      <c r="W14" s="945"/>
      <c r="X14" s="945"/>
      <c r="Y14" s="945"/>
    </row>
    <row r="15" spans="1:25" hidden="1" x14ac:dyDescent="0.25">
      <c r="F15" s="224">
        <v>415</v>
      </c>
      <c r="G15" s="295" t="s">
        <v>4199</v>
      </c>
      <c r="J15" s="595">
        <f t="shared" si="0"/>
        <v>0</v>
      </c>
    </row>
    <row r="16" spans="1:25" hidden="1" x14ac:dyDescent="0.25">
      <c r="F16" s="224">
        <v>416</v>
      </c>
      <c r="G16" s="295" t="s">
        <v>4200</v>
      </c>
      <c r="J16" s="595">
        <f t="shared" si="0"/>
        <v>0</v>
      </c>
    </row>
    <row r="17" spans="5:10" hidden="1" x14ac:dyDescent="0.25">
      <c r="F17" s="224">
        <v>417</v>
      </c>
      <c r="G17" s="295" t="s">
        <v>4201</v>
      </c>
      <c r="J17" s="595">
        <f t="shared" si="0"/>
        <v>0</v>
      </c>
    </row>
    <row r="18" spans="5:10" hidden="1" x14ac:dyDescent="0.25">
      <c r="F18" s="224">
        <v>418</v>
      </c>
      <c r="G18" s="295" t="s">
        <v>3793</v>
      </c>
      <c r="J18" s="595">
        <f t="shared" si="0"/>
        <v>0</v>
      </c>
    </row>
    <row r="19" spans="5:10" hidden="1" x14ac:dyDescent="0.25">
      <c r="F19" s="224">
        <v>421</v>
      </c>
      <c r="G19" s="295" t="s">
        <v>3797</v>
      </c>
      <c r="J19" s="595">
        <f t="shared" si="0"/>
        <v>0</v>
      </c>
    </row>
    <row r="20" spans="5:10" hidden="1" x14ac:dyDescent="0.25">
      <c r="F20" s="224">
        <v>422</v>
      </c>
      <c r="G20" s="295" t="s">
        <v>3798</v>
      </c>
      <c r="J20" s="595">
        <f t="shared" si="0"/>
        <v>0</v>
      </c>
    </row>
    <row r="21" spans="5:10" x14ac:dyDescent="0.25">
      <c r="E21" s="218">
        <v>1</v>
      </c>
      <c r="F21" s="224">
        <v>423</v>
      </c>
      <c r="G21" s="295" t="s">
        <v>3799</v>
      </c>
      <c r="H21" s="594">
        <v>2692469</v>
      </c>
      <c r="J21" s="595">
        <f t="shared" si="0"/>
        <v>2692469</v>
      </c>
    </row>
    <row r="22" spans="5:10" hidden="1" x14ac:dyDescent="0.25">
      <c r="F22" s="224">
        <v>424</v>
      </c>
      <c r="G22" s="295" t="s">
        <v>3801</v>
      </c>
      <c r="J22" s="595">
        <f t="shared" si="0"/>
        <v>0</v>
      </c>
    </row>
    <row r="23" spans="5:10" hidden="1" x14ac:dyDescent="0.25">
      <c r="F23" s="224">
        <v>425</v>
      </c>
      <c r="G23" s="295" t="s">
        <v>4202</v>
      </c>
      <c r="J23" s="595">
        <f t="shared" si="0"/>
        <v>0</v>
      </c>
    </row>
    <row r="24" spans="5:10" hidden="1" x14ac:dyDescent="0.25">
      <c r="F24" s="224">
        <v>426</v>
      </c>
      <c r="G24" s="295" t="s">
        <v>3805</v>
      </c>
      <c r="J24" s="595">
        <f t="shared" si="0"/>
        <v>0</v>
      </c>
    </row>
    <row r="25" spans="5:10" hidden="1" x14ac:dyDescent="0.25">
      <c r="F25" s="224">
        <v>431</v>
      </c>
      <c r="G25" s="295" t="s">
        <v>4203</v>
      </c>
      <c r="J25" s="595">
        <f t="shared" si="0"/>
        <v>0</v>
      </c>
    </row>
    <row r="26" spans="5:10" hidden="1" x14ac:dyDescent="0.25">
      <c r="F26" s="224">
        <v>432</v>
      </c>
      <c r="G26" s="295" t="s">
        <v>4204</v>
      </c>
      <c r="J26" s="595">
        <f t="shared" si="0"/>
        <v>0</v>
      </c>
    </row>
    <row r="27" spans="5:10" hidden="1" x14ac:dyDescent="0.25">
      <c r="F27" s="224">
        <v>433</v>
      </c>
      <c r="G27" s="295" t="s">
        <v>4205</v>
      </c>
      <c r="J27" s="595">
        <f t="shared" si="0"/>
        <v>0</v>
      </c>
    </row>
    <row r="28" spans="5:10" hidden="1" x14ac:dyDescent="0.25">
      <c r="F28" s="224">
        <v>434</v>
      </c>
      <c r="G28" s="295" t="s">
        <v>4206</v>
      </c>
      <c r="J28" s="595">
        <f t="shared" si="0"/>
        <v>0</v>
      </c>
    </row>
    <row r="29" spans="5:10" hidden="1" x14ac:dyDescent="0.25">
      <c r="F29" s="224">
        <v>435</v>
      </c>
      <c r="G29" s="295" t="s">
        <v>3812</v>
      </c>
      <c r="J29" s="595">
        <f t="shared" si="0"/>
        <v>0</v>
      </c>
    </row>
    <row r="30" spans="5:10" hidden="1" x14ac:dyDescent="0.25">
      <c r="F30" s="224">
        <v>441</v>
      </c>
      <c r="G30" s="295" t="s">
        <v>4207</v>
      </c>
      <c r="J30" s="595">
        <f t="shared" si="0"/>
        <v>0</v>
      </c>
    </row>
    <row r="31" spans="5:10" hidden="1" x14ac:dyDescent="0.25">
      <c r="F31" s="224">
        <v>442</v>
      </c>
      <c r="G31" s="295" t="s">
        <v>4208</v>
      </c>
      <c r="J31" s="595">
        <f t="shared" si="0"/>
        <v>0</v>
      </c>
    </row>
    <row r="32" spans="5:10" hidden="1" x14ac:dyDescent="0.25">
      <c r="F32" s="224">
        <v>443</v>
      </c>
      <c r="G32" s="295" t="s">
        <v>3817</v>
      </c>
      <c r="J32" s="595">
        <f t="shared" si="0"/>
        <v>0</v>
      </c>
    </row>
    <row r="33" spans="5:10" hidden="1" x14ac:dyDescent="0.25">
      <c r="F33" s="224">
        <v>444</v>
      </c>
      <c r="G33" s="295" t="s">
        <v>3818</v>
      </c>
      <c r="J33" s="595">
        <f t="shared" si="0"/>
        <v>0</v>
      </c>
    </row>
    <row r="34" spans="5:10" ht="30" hidden="1" x14ac:dyDescent="0.25">
      <c r="F34" s="224">
        <v>4511</v>
      </c>
      <c r="G34" s="223" t="s">
        <v>1692</v>
      </c>
      <c r="J34" s="595">
        <f t="shared" si="0"/>
        <v>0</v>
      </c>
    </row>
    <row r="35" spans="5:10" ht="19.5" hidden="1" customHeight="1" x14ac:dyDescent="0.25">
      <c r="F35" s="224">
        <v>4512</v>
      </c>
      <c r="G35" s="223" t="s">
        <v>1701</v>
      </c>
      <c r="J35" s="595">
        <f t="shared" si="0"/>
        <v>0</v>
      </c>
    </row>
    <row r="36" spans="5:10" hidden="1" x14ac:dyDescent="0.25">
      <c r="F36" s="224">
        <v>452</v>
      </c>
      <c r="G36" s="295" t="s">
        <v>4209</v>
      </c>
      <c r="J36" s="595">
        <f t="shared" si="0"/>
        <v>0</v>
      </c>
    </row>
    <row r="37" spans="5:10" hidden="1" x14ac:dyDescent="0.25">
      <c r="F37" s="224">
        <v>453</v>
      </c>
      <c r="G37" s="295" t="s">
        <v>4210</v>
      </c>
      <c r="J37" s="595">
        <f t="shared" si="0"/>
        <v>0</v>
      </c>
    </row>
    <row r="38" spans="5:10" hidden="1" x14ac:dyDescent="0.25">
      <c r="F38" s="224">
        <v>454</v>
      </c>
      <c r="G38" s="295" t="s">
        <v>3823</v>
      </c>
      <c r="J38" s="595">
        <f t="shared" si="0"/>
        <v>0</v>
      </c>
    </row>
    <row r="39" spans="5:10" hidden="1" x14ac:dyDescent="0.25">
      <c r="F39" s="224">
        <v>461</v>
      </c>
      <c r="G39" s="295" t="s">
        <v>4191</v>
      </c>
      <c r="J39" s="595">
        <f t="shared" si="0"/>
        <v>0</v>
      </c>
    </row>
    <row r="40" spans="5:10" hidden="1" x14ac:dyDescent="0.25">
      <c r="F40" s="224">
        <v>462</v>
      </c>
      <c r="G40" s="295" t="s">
        <v>3826</v>
      </c>
      <c r="J40" s="595">
        <f t="shared" si="0"/>
        <v>0</v>
      </c>
    </row>
    <row r="41" spans="5:10" hidden="1" x14ac:dyDescent="0.25">
      <c r="F41" s="224">
        <v>4631</v>
      </c>
      <c r="G41" s="295" t="s">
        <v>3827</v>
      </c>
      <c r="J41" s="595">
        <f t="shared" si="0"/>
        <v>0</v>
      </c>
    </row>
    <row r="42" spans="5:10" hidden="1" x14ac:dyDescent="0.25">
      <c r="F42" s="224">
        <v>4632</v>
      </c>
      <c r="G42" s="295" t="s">
        <v>3828</v>
      </c>
      <c r="J42" s="595">
        <f t="shared" si="0"/>
        <v>0</v>
      </c>
    </row>
    <row r="43" spans="5:10" hidden="1" x14ac:dyDescent="0.25">
      <c r="F43" s="224">
        <v>464</v>
      </c>
      <c r="G43" s="295" t="s">
        <v>3829</v>
      </c>
      <c r="J43" s="595">
        <f t="shared" si="0"/>
        <v>0</v>
      </c>
    </row>
    <row r="44" spans="5:10" hidden="1" x14ac:dyDescent="0.25">
      <c r="F44" s="224">
        <v>465</v>
      </c>
      <c r="G44" s="295" t="s">
        <v>4192</v>
      </c>
      <c r="J44" s="595">
        <f t="shared" si="0"/>
        <v>0</v>
      </c>
    </row>
    <row r="45" spans="5:10" hidden="1" x14ac:dyDescent="0.25">
      <c r="F45" s="224">
        <v>472</v>
      </c>
      <c r="G45" s="295" t="s">
        <v>3833</v>
      </c>
      <c r="J45" s="595">
        <f t="shared" si="0"/>
        <v>0</v>
      </c>
    </row>
    <row r="46" spans="5:10" ht="15.75" thickBot="1" x14ac:dyDescent="0.3">
      <c r="E46" s="218">
        <v>2</v>
      </c>
      <c r="F46" s="224">
        <v>481</v>
      </c>
      <c r="G46" s="295" t="s">
        <v>4211</v>
      </c>
      <c r="H46" s="594">
        <v>206325</v>
      </c>
      <c r="J46" s="595">
        <f t="shared" si="0"/>
        <v>206325</v>
      </c>
    </row>
    <row r="47" spans="5:10" hidden="1" x14ac:dyDescent="0.25">
      <c r="F47" s="224">
        <v>482</v>
      </c>
      <c r="G47" s="295" t="s">
        <v>4212</v>
      </c>
      <c r="J47" s="595">
        <f t="shared" si="0"/>
        <v>0</v>
      </c>
    </row>
    <row r="48" spans="5:10" hidden="1" x14ac:dyDescent="0.25">
      <c r="F48" s="224">
        <v>483</v>
      </c>
      <c r="G48" s="298" t="s">
        <v>4213</v>
      </c>
      <c r="J48" s="595">
        <f t="shared" si="0"/>
        <v>0</v>
      </c>
    </row>
    <row r="49" spans="6:10" ht="30" hidden="1" x14ac:dyDescent="0.25">
      <c r="F49" s="224">
        <v>484</v>
      </c>
      <c r="G49" s="295" t="s">
        <v>4214</v>
      </c>
      <c r="J49" s="595">
        <f t="shared" si="0"/>
        <v>0</v>
      </c>
    </row>
    <row r="50" spans="6:10" ht="30" hidden="1" x14ac:dyDescent="0.25">
      <c r="F50" s="224">
        <v>485</v>
      </c>
      <c r="G50" s="295" t="s">
        <v>4215</v>
      </c>
      <c r="J50" s="595">
        <f t="shared" si="0"/>
        <v>0</v>
      </c>
    </row>
    <row r="51" spans="6:10" ht="30" hidden="1" x14ac:dyDescent="0.25">
      <c r="F51" s="224">
        <v>489</v>
      </c>
      <c r="G51" s="295" t="s">
        <v>3841</v>
      </c>
      <c r="J51" s="595">
        <f t="shared" si="0"/>
        <v>0</v>
      </c>
    </row>
    <row r="52" spans="6:10" hidden="1" x14ac:dyDescent="0.25">
      <c r="F52" s="224">
        <v>494</v>
      </c>
      <c r="G52" s="295" t="s">
        <v>4193</v>
      </c>
      <c r="J52" s="595">
        <f t="shared" si="0"/>
        <v>0</v>
      </c>
    </row>
    <row r="53" spans="6:10" ht="30" hidden="1" x14ac:dyDescent="0.25">
      <c r="F53" s="224">
        <v>495</v>
      </c>
      <c r="G53" s="295" t="s">
        <v>4194</v>
      </c>
      <c r="J53" s="595">
        <f t="shared" si="0"/>
        <v>0</v>
      </c>
    </row>
    <row r="54" spans="6:10" ht="30" hidden="1" x14ac:dyDescent="0.25">
      <c r="F54" s="224">
        <v>496</v>
      </c>
      <c r="G54" s="295" t="s">
        <v>4195</v>
      </c>
      <c r="J54" s="595">
        <f t="shared" si="0"/>
        <v>0</v>
      </c>
    </row>
    <row r="55" spans="6:10" hidden="1" x14ac:dyDescent="0.25">
      <c r="F55" s="224">
        <v>499</v>
      </c>
      <c r="G55" s="295" t="s">
        <v>4196</v>
      </c>
      <c r="J55" s="595">
        <f t="shared" si="0"/>
        <v>0</v>
      </c>
    </row>
    <row r="56" spans="6:10" hidden="1" x14ac:dyDescent="0.25">
      <c r="F56" s="224">
        <v>511</v>
      </c>
      <c r="G56" s="298" t="s">
        <v>4216</v>
      </c>
      <c r="J56" s="595">
        <f t="shared" si="0"/>
        <v>0</v>
      </c>
    </row>
    <row r="57" spans="6:10" hidden="1" x14ac:dyDescent="0.25">
      <c r="F57" s="224">
        <v>512</v>
      </c>
      <c r="G57" s="298" t="s">
        <v>4217</v>
      </c>
      <c r="J57" s="595">
        <f t="shared" si="0"/>
        <v>0</v>
      </c>
    </row>
    <row r="58" spans="6:10" hidden="1" x14ac:dyDescent="0.25">
      <c r="F58" s="224">
        <v>513</v>
      </c>
      <c r="G58" s="298" t="s">
        <v>4218</v>
      </c>
      <c r="J58" s="595">
        <f t="shared" si="0"/>
        <v>0</v>
      </c>
    </row>
    <row r="59" spans="6:10" hidden="1" x14ac:dyDescent="0.25">
      <c r="F59" s="224">
        <v>514</v>
      </c>
      <c r="G59" s="295" t="s">
        <v>4219</v>
      </c>
      <c r="J59" s="595">
        <f t="shared" si="0"/>
        <v>0</v>
      </c>
    </row>
    <row r="60" spans="6:10" hidden="1" x14ac:dyDescent="0.25">
      <c r="F60" s="224">
        <v>515</v>
      </c>
      <c r="G60" s="295" t="s">
        <v>3852</v>
      </c>
      <c r="J60" s="595">
        <f t="shared" si="0"/>
        <v>0</v>
      </c>
    </row>
    <row r="61" spans="6:10" hidden="1" x14ac:dyDescent="0.25">
      <c r="F61" s="224">
        <v>521</v>
      </c>
      <c r="G61" s="295" t="s">
        <v>4220</v>
      </c>
      <c r="J61" s="595">
        <f t="shared" si="0"/>
        <v>0</v>
      </c>
    </row>
    <row r="62" spans="6:10" hidden="1" x14ac:dyDescent="0.25">
      <c r="F62" s="224">
        <v>522</v>
      </c>
      <c r="G62" s="295" t="s">
        <v>4221</v>
      </c>
      <c r="J62" s="595">
        <f t="shared" si="0"/>
        <v>0</v>
      </c>
    </row>
    <row r="63" spans="6:10" hidden="1" x14ac:dyDescent="0.25">
      <c r="F63" s="224">
        <v>523</v>
      </c>
      <c r="G63" s="295" t="s">
        <v>3857</v>
      </c>
      <c r="J63" s="595">
        <f t="shared" si="0"/>
        <v>0</v>
      </c>
    </row>
    <row r="64" spans="6:10" hidden="1" x14ac:dyDescent="0.25">
      <c r="F64" s="224">
        <v>531</v>
      </c>
      <c r="G64" s="292" t="s">
        <v>4197</v>
      </c>
      <c r="J64" s="595">
        <f t="shared" si="0"/>
        <v>0</v>
      </c>
    </row>
    <row r="65" spans="5:10" hidden="1" x14ac:dyDescent="0.25">
      <c r="F65" s="224">
        <v>541</v>
      </c>
      <c r="G65" s="295" t="s">
        <v>4222</v>
      </c>
      <c r="J65" s="595">
        <f t="shared" si="0"/>
        <v>0</v>
      </c>
    </row>
    <row r="66" spans="5:10" hidden="1" x14ac:dyDescent="0.25">
      <c r="F66" s="224">
        <v>542</v>
      </c>
      <c r="G66" s="295" t="s">
        <v>4223</v>
      </c>
      <c r="J66" s="595">
        <f t="shared" si="0"/>
        <v>0</v>
      </c>
    </row>
    <row r="67" spans="5:10" hidden="1" x14ac:dyDescent="0.25">
      <c r="F67" s="224">
        <v>543</v>
      </c>
      <c r="G67" s="295" t="s">
        <v>3862</v>
      </c>
      <c r="J67" s="595">
        <f t="shared" si="0"/>
        <v>0</v>
      </c>
    </row>
    <row r="68" spans="5:10" ht="30" hidden="1" x14ac:dyDescent="0.25">
      <c r="F68" s="224">
        <v>551</v>
      </c>
      <c r="G68" s="295" t="s">
        <v>4198</v>
      </c>
      <c r="J68" s="595">
        <f t="shared" si="0"/>
        <v>0</v>
      </c>
    </row>
    <row r="69" spans="5:10" hidden="1" x14ac:dyDescent="0.25">
      <c r="F69" s="225">
        <v>611</v>
      </c>
      <c r="G69" s="299" t="s">
        <v>3868</v>
      </c>
      <c r="J69" s="595">
        <f t="shared" si="0"/>
        <v>0</v>
      </c>
    </row>
    <row r="70" spans="5:10" ht="15.75" hidden="1" thickBot="1" x14ac:dyDescent="0.3">
      <c r="F70" s="225">
        <v>620</v>
      </c>
      <c r="G70" s="299" t="s">
        <v>88</v>
      </c>
      <c r="J70" s="595">
        <f t="shared" si="0"/>
        <v>0</v>
      </c>
    </row>
    <row r="71" spans="5:10" x14ac:dyDescent="0.25">
      <c r="E71" s="293"/>
      <c r="F71" s="301"/>
      <c r="G71" s="327" t="s">
        <v>4366</v>
      </c>
      <c r="H71" s="596"/>
      <c r="I71" s="622"/>
      <c r="J71" s="597"/>
    </row>
    <row r="72" spans="5:10" ht="17.25" customHeight="1" thickBot="1" x14ac:dyDescent="0.3">
      <c r="E72" s="222"/>
      <c r="F72" s="249" t="s">
        <v>234</v>
      </c>
      <c r="G72" s="252" t="s">
        <v>235</v>
      </c>
      <c r="H72" s="598">
        <f>SUM(H11:H46)</f>
        <v>2898794</v>
      </c>
      <c r="I72" s="599"/>
      <c r="J72" s="599">
        <f t="shared" ref="J72:J87" si="1">SUM(H72:I72)</f>
        <v>2898794</v>
      </c>
    </row>
    <row r="73" spans="5:10" hidden="1" x14ac:dyDescent="0.25">
      <c r="F73" s="249" t="s">
        <v>236</v>
      </c>
      <c r="G73" s="252" t="s">
        <v>237</v>
      </c>
      <c r="J73" s="599">
        <f t="shared" si="1"/>
        <v>0</v>
      </c>
    </row>
    <row r="74" spans="5:10" hidden="1" x14ac:dyDescent="0.25">
      <c r="F74" s="249" t="s">
        <v>238</v>
      </c>
      <c r="G74" s="252" t="s">
        <v>239</v>
      </c>
      <c r="J74" s="599">
        <f t="shared" si="1"/>
        <v>0</v>
      </c>
    </row>
    <row r="75" spans="5:10" ht="15.75" hidden="1" thickBot="1" x14ac:dyDescent="0.3">
      <c r="F75" s="249" t="s">
        <v>240</v>
      </c>
      <c r="G75" s="252" t="s">
        <v>241</v>
      </c>
      <c r="J75" s="599">
        <f t="shared" si="1"/>
        <v>0</v>
      </c>
    </row>
    <row r="76" spans="5:10" hidden="1" x14ac:dyDescent="0.25">
      <c r="F76" s="249" t="s">
        <v>242</v>
      </c>
      <c r="G76" s="252" t="s">
        <v>243</v>
      </c>
      <c r="J76" s="599">
        <f t="shared" si="1"/>
        <v>0</v>
      </c>
    </row>
    <row r="77" spans="5:10" hidden="1" x14ac:dyDescent="0.25">
      <c r="F77" s="249" t="s">
        <v>244</v>
      </c>
      <c r="G77" s="252" t="s">
        <v>245</v>
      </c>
      <c r="J77" s="599">
        <f t="shared" si="1"/>
        <v>0</v>
      </c>
    </row>
    <row r="78" spans="5:10" hidden="1" x14ac:dyDescent="0.25">
      <c r="F78" s="249" t="s">
        <v>246</v>
      </c>
      <c r="G78" s="252" t="s">
        <v>247</v>
      </c>
      <c r="J78" s="599">
        <f t="shared" si="1"/>
        <v>0</v>
      </c>
    </row>
    <row r="79" spans="5:10" hidden="1" x14ac:dyDescent="0.25">
      <c r="F79" s="249" t="s">
        <v>248</v>
      </c>
      <c r="G79" s="252" t="s">
        <v>249</v>
      </c>
      <c r="J79" s="599">
        <f t="shared" si="1"/>
        <v>0</v>
      </c>
    </row>
    <row r="80" spans="5:10" hidden="1" x14ac:dyDescent="0.25">
      <c r="F80" s="249" t="s">
        <v>250</v>
      </c>
      <c r="G80" s="252" t="s">
        <v>57</v>
      </c>
      <c r="J80" s="599">
        <f t="shared" si="1"/>
        <v>0</v>
      </c>
    </row>
    <row r="81" spans="5:10" hidden="1" x14ac:dyDescent="0.25">
      <c r="F81" s="249" t="s">
        <v>251</v>
      </c>
      <c r="G81" s="252" t="s">
        <v>252</v>
      </c>
      <c r="J81" s="599">
        <f t="shared" si="1"/>
        <v>0</v>
      </c>
    </row>
    <row r="82" spans="5:10" hidden="1" x14ac:dyDescent="0.25">
      <c r="F82" s="249" t="s">
        <v>253</v>
      </c>
      <c r="G82" s="252" t="s">
        <v>254</v>
      </c>
      <c r="J82" s="599">
        <f t="shared" si="1"/>
        <v>0</v>
      </c>
    </row>
    <row r="83" spans="5:10" ht="30" hidden="1" x14ac:dyDescent="0.25">
      <c r="F83" s="249" t="s">
        <v>255</v>
      </c>
      <c r="G83" s="252" t="s">
        <v>256</v>
      </c>
      <c r="J83" s="599">
        <f t="shared" si="1"/>
        <v>0</v>
      </c>
    </row>
    <row r="84" spans="5:10" hidden="1" x14ac:dyDescent="0.25">
      <c r="F84" s="249" t="s">
        <v>257</v>
      </c>
      <c r="G84" s="252" t="s">
        <v>258</v>
      </c>
      <c r="J84" s="599">
        <f t="shared" si="1"/>
        <v>0</v>
      </c>
    </row>
    <row r="85" spans="5:10" ht="30" hidden="1" x14ac:dyDescent="0.25">
      <c r="F85" s="249" t="s">
        <v>259</v>
      </c>
      <c r="G85" s="252" t="s">
        <v>260</v>
      </c>
      <c r="J85" s="599">
        <f t="shared" si="1"/>
        <v>0</v>
      </c>
    </row>
    <row r="86" spans="5:10" hidden="1" x14ac:dyDescent="0.25">
      <c r="F86" s="249" t="s">
        <v>261</v>
      </c>
      <c r="G86" s="252" t="s">
        <v>262</v>
      </c>
      <c r="J86" s="599">
        <f t="shared" si="1"/>
        <v>0</v>
      </c>
    </row>
    <row r="87" spans="5:10" ht="15.75" hidden="1" thickBot="1" x14ac:dyDescent="0.3">
      <c r="F87" s="249" t="s">
        <v>263</v>
      </c>
      <c r="G87" s="252" t="s">
        <v>264</v>
      </c>
      <c r="H87" s="598"/>
      <c r="I87" s="599"/>
      <c r="J87" s="599">
        <f t="shared" si="1"/>
        <v>0</v>
      </c>
    </row>
    <row r="88" spans="5:10" ht="15.75" thickBot="1" x14ac:dyDescent="0.3">
      <c r="G88" s="229" t="s">
        <v>4304</v>
      </c>
      <c r="H88" s="600">
        <f>SUM(H72:H87)</f>
        <v>2898794</v>
      </c>
      <c r="I88" s="601">
        <f>SUM(I73:I87)</f>
        <v>0</v>
      </c>
      <c r="J88" s="601">
        <f>SUM(J72:J87)</f>
        <v>2898794</v>
      </c>
    </row>
    <row r="89" spans="5:10" ht="16.5" customHeight="1" collapsed="1" x14ac:dyDescent="0.25">
      <c r="E89" s="226"/>
      <c r="F89" s="227"/>
      <c r="G89" s="231" t="s">
        <v>4306</v>
      </c>
      <c r="H89" s="602"/>
      <c r="I89" s="623"/>
      <c r="J89" s="603"/>
    </row>
    <row r="90" spans="5:10" ht="15.75" thickBot="1" x14ac:dyDescent="0.3">
      <c r="E90" s="222"/>
      <c r="F90" s="233" t="s">
        <v>234</v>
      </c>
      <c r="G90" s="252" t="s">
        <v>235</v>
      </c>
      <c r="H90" s="598">
        <f>SUM(H11:H70)</f>
        <v>2898794</v>
      </c>
      <c r="I90" s="599"/>
      <c r="J90" s="599">
        <f>SUM(H90:I90)</f>
        <v>2898794</v>
      </c>
    </row>
    <row r="91" spans="5:10" hidden="1" x14ac:dyDescent="0.25">
      <c r="F91" s="233" t="s">
        <v>236</v>
      </c>
      <c r="G91" s="252" t="s">
        <v>237</v>
      </c>
      <c r="J91" s="599">
        <f t="shared" ref="J91:J105" si="2">SUM(H91:I91)</f>
        <v>0</v>
      </c>
    </row>
    <row r="92" spans="5:10" hidden="1" x14ac:dyDescent="0.25">
      <c r="F92" s="233" t="s">
        <v>238</v>
      </c>
      <c r="G92" s="252" t="s">
        <v>239</v>
      </c>
      <c r="J92" s="599">
        <f t="shared" si="2"/>
        <v>0</v>
      </c>
    </row>
    <row r="93" spans="5:10" ht="15.75" hidden="1" thickBot="1" x14ac:dyDescent="0.3">
      <c r="F93" s="233" t="s">
        <v>240</v>
      </c>
      <c r="G93" s="252" t="s">
        <v>241</v>
      </c>
      <c r="J93" s="599">
        <f t="shared" si="2"/>
        <v>0</v>
      </c>
    </row>
    <row r="94" spans="5:10" hidden="1" x14ac:dyDescent="0.25">
      <c r="F94" s="233" t="s">
        <v>242</v>
      </c>
      <c r="G94" s="252" t="s">
        <v>243</v>
      </c>
      <c r="J94" s="599">
        <f t="shared" si="2"/>
        <v>0</v>
      </c>
    </row>
    <row r="95" spans="5:10" hidden="1" x14ac:dyDescent="0.25">
      <c r="F95" s="233" t="s">
        <v>244</v>
      </c>
      <c r="G95" s="252" t="s">
        <v>245</v>
      </c>
      <c r="J95" s="599">
        <f t="shared" si="2"/>
        <v>0</v>
      </c>
    </row>
    <row r="96" spans="5:10" hidden="1" x14ac:dyDescent="0.25">
      <c r="F96" s="233" t="s">
        <v>246</v>
      </c>
      <c r="G96" s="252" t="s">
        <v>247</v>
      </c>
      <c r="J96" s="599">
        <f t="shared" si="2"/>
        <v>0</v>
      </c>
    </row>
    <row r="97" spans="3:10" hidden="1" x14ac:dyDescent="0.25">
      <c r="F97" s="233" t="s">
        <v>248</v>
      </c>
      <c r="G97" s="252" t="s">
        <v>249</v>
      </c>
      <c r="J97" s="599">
        <f t="shared" si="2"/>
        <v>0</v>
      </c>
    </row>
    <row r="98" spans="3:10" hidden="1" x14ac:dyDescent="0.25">
      <c r="F98" s="233" t="s">
        <v>250</v>
      </c>
      <c r="G98" s="252" t="s">
        <v>57</v>
      </c>
      <c r="J98" s="599">
        <f t="shared" si="2"/>
        <v>0</v>
      </c>
    </row>
    <row r="99" spans="3:10" hidden="1" x14ac:dyDescent="0.25">
      <c r="F99" s="233" t="s">
        <v>251</v>
      </c>
      <c r="G99" s="252" t="s">
        <v>252</v>
      </c>
      <c r="J99" s="599">
        <f t="shared" si="2"/>
        <v>0</v>
      </c>
    </row>
    <row r="100" spans="3:10" hidden="1" x14ac:dyDescent="0.25">
      <c r="F100" s="233" t="s">
        <v>253</v>
      </c>
      <c r="G100" s="252" t="s">
        <v>254</v>
      </c>
      <c r="J100" s="599">
        <f t="shared" si="2"/>
        <v>0</v>
      </c>
    </row>
    <row r="101" spans="3:10" ht="30" hidden="1" x14ac:dyDescent="0.25">
      <c r="F101" s="233" t="s">
        <v>255</v>
      </c>
      <c r="G101" s="252" t="s">
        <v>256</v>
      </c>
      <c r="J101" s="599">
        <f t="shared" si="2"/>
        <v>0</v>
      </c>
    </row>
    <row r="102" spans="3:10" hidden="1" x14ac:dyDescent="0.25">
      <c r="F102" s="233" t="s">
        <v>257</v>
      </c>
      <c r="G102" s="252" t="s">
        <v>258</v>
      </c>
      <c r="J102" s="599">
        <f t="shared" si="2"/>
        <v>0</v>
      </c>
    </row>
    <row r="103" spans="3:10" ht="30" hidden="1" x14ac:dyDescent="0.25">
      <c r="F103" s="233" t="s">
        <v>259</v>
      </c>
      <c r="G103" s="252" t="s">
        <v>260</v>
      </c>
      <c r="J103" s="599">
        <f t="shared" si="2"/>
        <v>0</v>
      </c>
    </row>
    <row r="104" spans="3:10" hidden="1" x14ac:dyDescent="0.25">
      <c r="F104" s="233" t="s">
        <v>261</v>
      </c>
      <c r="G104" s="252" t="s">
        <v>262</v>
      </c>
      <c r="J104" s="599">
        <f t="shared" si="2"/>
        <v>0</v>
      </c>
    </row>
    <row r="105" spans="3:10" ht="15.75" hidden="1" thickBot="1" x14ac:dyDescent="0.3">
      <c r="F105" s="233" t="s">
        <v>263</v>
      </c>
      <c r="G105" s="252" t="s">
        <v>264</v>
      </c>
      <c r="H105" s="598"/>
      <c r="I105" s="599"/>
      <c r="J105" s="599">
        <f t="shared" si="2"/>
        <v>0</v>
      </c>
    </row>
    <row r="106" spans="3:10" ht="15.75" collapsed="1" thickBot="1" x14ac:dyDescent="0.3">
      <c r="G106" s="229" t="s">
        <v>4305</v>
      </c>
      <c r="H106" s="600">
        <f>SUM(H90:H105)</f>
        <v>2898794</v>
      </c>
      <c r="I106" s="601">
        <f>SUM(I91:I105)</f>
        <v>0</v>
      </c>
      <c r="J106" s="601">
        <f>SUM(J90:J105)</f>
        <v>2898794</v>
      </c>
    </row>
    <row r="107" spans="3:10" collapsed="1" x14ac:dyDescent="0.25"/>
    <row r="108" spans="3:10" hidden="1" x14ac:dyDescent="0.25">
      <c r="C108" s="228" t="s">
        <v>4961</v>
      </c>
      <c r="D108" s="219"/>
      <c r="G108" s="521" t="s">
        <v>5095</v>
      </c>
    </row>
    <row r="109" spans="3:10" ht="30" hidden="1" x14ac:dyDescent="0.25">
      <c r="C109" s="228"/>
      <c r="D109" s="312">
        <v>110</v>
      </c>
      <c r="E109" s="312"/>
      <c r="F109" s="312"/>
      <c r="G109" s="313" t="s">
        <v>105</v>
      </c>
    </row>
    <row r="110" spans="3:10" hidden="1" x14ac:dyDescent="0.25">
      <c r="F110" s="235">
        <v>411</v>
      </c>
      <c r="G110" s="295" t="s">
        <v>4189</v>
      </c>
      <c r="J110" s="595">
        <f>SUM(H110:I110)</f>
        <v>0</v>
      </c>
    </row>
    <row r="111" spans="3:10" hidden="1" x14ac:dyDescent="0.25">
      <c r="F111" s="235">
        <v>412</v>
      </c>
      <c r="G111" s="292" t="s">
        <v>3784</v>
      </c>
      <c r="J111" s="595">
        <f t="shared" ref="J111:J169" si="3">SUM(H111:I111)</f>
        <v>0</v>
      </c>
    </row>
    <row r="112" spans="3:10" hidden="1" x14ac:dyDescent="0.25">
      <c r="F112" s="235">
        <v>413</v>
      </c>
      <c r="G112" s="295" t="s">
        <v>4190</v>
      </c>
      <c r="J112" s="595">
        <f t="shared" si="3"/>
        <v>0</v>
      </c>
    </row>
    <row r="113" spans="6:10" hidden="1" x14ac:dyDescent="0.25">
      <c r="F113" s="235">
        <v>414</v>
      </c>
      <c r="G113" s="295" t="s">
        <v>3787</v>
      </c>
      <c r="J113" s="595">
        <f t="shared" si="3"/>
        <v>0</v>
      </c>
    </row>
    <row r="114" spans="6:10" hidden="1" x14ac:dyDescent="0.25">
      <c r="F114" s="235">
        <v>415</v>
      </c>
      <c r="G114" s="295" t="s">
        <v>4199</v>
      </c>
      <c r="J114" s="595">
        <f t="shared" si="3"/>
        <v>0</v>
      </c>
    </row>
    <row r="115" spans="6:10" hidden="1" x14ac:dyDescent="0.25">
      <c r="F115" s="235">
        <v>416</v>
      </c>
      <c r="G115" s="295" t="s">
        <v>4200</v>
      </c>
      <c r="J115" s="595">
        <f t="shared" si="3"/>
        <v>0</v>
      </c>
    </row>
    <row r="116" spans="6:10" hidden="1" x14ac:dyDescent="0.25">
      <c r="F116" s="235">
        <v>417</v>
      </c>
      <c r="G116" s="295" t="s">
        <v>4201</v>
      </c>
      <c r="J116" s="595">
        <f t="shared" si="3"/>
        <v>0</v>
      </c>
    </row>
    <row r="117" spans="6:10" hidden="1" x14ac:dyDescent="0.25">
      <c r="F117" s="235">
        <v>418</v>
      </c>
      <c r="G117" s="295" t="s">
        <v>3793</v>
      </c>
      <c r="J117" s="595">
        <f t="shared" si="3"/>
        <v>0</v>
      </c>
    </row>
    <row r="118" spans="6:10" hidden="1" x14ac:dyDescent="0.25">
      <c r="F118" s="235">
        <v>421</v>
      </c>
      <c r="G118" s="295" t="s">
        <v>3797</v>
      </c>
      <c r="J118" s="595">
        <f t="shared" si="3"/>
        <v>0</v>
      </c>
    </row>
    <row r="119" spans="6:10" hidden="1" x14ac:dyDescent="0.25">
      <c r="F119" s="235">
        <v>422</v>
      </c>
      <c r="G119" s="295" t="s">
        <v>3798</v>
      </c>
      <c r="J119" s="595">
        <f t="shared" si="3"/>
        <v>0</v>
      </c>
    </row>
    <row r="120" spans="6:10" hidden="1" x14ac:dyDescent="0.25">
      <c r="F120" s="235">
        <v>423</v>
      </c>
      <c r="G120" s="295" t="s">
        <v>3799</v>
      </c>
      <c r="J120" s="595">
        <f t="shared" si="3"/>
        <v>0</v>
      </c>
    </row>
    <row r="121" spans="6:10" hidden="1" x14ac:dyDescent="0.25">
      <c r="F121" s="235">
        <v>424</v>
      </c>
      <c r="G121" s="295" t="s">
        <v>3801</v>
      </c>
      <c r="J121" s="595">
        <f t="shared" si="3"/>
        <v>0</v>
      </c>
    </row>
    <row r="122" spans="6:10" hidden="1" x14ac:dyDescent="0.25">
      <c r="F122" s="235">
        <v>425</v>
      </c>
      <c r="G122" s="295" t="s">
        <v>4202</v>
      </c>
      <c r="J122" s="595">
        <f t="shared" si="3"/>
        <v>0</v>
      </c>
    </row>
    <row r="123" spans="6:10" ht="15.75" hidden="1" thickBot="1" x14ac:dyDescent="0.3">
      <c r="F123" s="235">
        <v>426</v>
      </c>
      <c r="G123" s="295" t="s">
        <v>3805</v>
      </c>
      <c r="J123" s="595">
        <f t="shared" si="3"/>
        <v>0</v>
      </c>
    </row>
    <row r="124" spans="6:10" hidden="1" x14ac:dyDescent="0.25">
      <c r="F124" s="235">
        <v>431</v>
      </c>
      <c r="G124" s="295" t="s">
        <v>4203</v>
      </c>
      <c r="J124" s="595">
        <f t="shared" si="3"/>
        <v>0</v>
      </c>
    </row>
    <row r="125" spans="6:10" hidden="1" x14ac:dyDescent="0.25">
      <c r="F125" s="235">
        <v>432</v>
      </c>
      <c r="G125" s="295" t="s">
        <v>4204</v>
      </c>
      <c r="J125" s="595">
        <f t="shared" si="3"/>
        <v>0</v>
      </c>
    </row>
    <row r="126" spans="6:10" hidden="1" x14ac:dyDescent="0.25">
      <c r="F126" s="235">
        <v>433</v>
      </c>
      <c r="G126" s="295" t="s">
        <v>4205</v>
      </c>
      <c r="J126" s="595">
        <f t="shared" si="3"/>
        <v>0</v>
      </c>
    </row>
    <row r="127" spans="6:10" hidden="1" x14ac:dyDescent="0.25">
      <c r="F127" s="235">
        <v>434</v>
      </c>
      <c r="G127" s="295" t="s">
        <v>4206</v>
      </c>
      <c r="J127" s="595">
        <f t="shared" si="3"/>
        <v>0</v>
      </c>
    </row>
    <row r="128" spans="6:10" hidden="1" x14ac:dyDescent="0.25">
      <c r="F128" s="235">
        <v>435</v>
      </c>
      <c r="G128" s="295" t="s">
        <v>3812</v>
      </c>
      <c r="J128" s="595">
        <f t="shared" si="3"/>
        <v>0</v>
      </c>
    </row>
    <row r="129" spans="6:10" hidden="1" x14ac:dyDescent="0.25">
      <c r="F129" s="235">
        <v>441</v>
      </c>
      <c r="G129" s="295" t="s">
        <v>4207</v>
      </c>
      <c r="J129" s="595">
        <f t="shared" si="3"/>
        <v>0</v>
      </c>
    </row>
    <row r="130" spans="6:10" hidden="1" x14ac:dyDescent="0.25">
      <c r="F130" s="235">
        <v>442</v>
      </c>
      <c r="G130" s="295" t="s">
        <v>4208</v>
      </c>
      <c r="J130" s="595">
        <f t="shared" si="3"/>
        <v>0</v>
      </c>
    </row>
    <row r="131" spans="6:10" hidden="1" x14ac:dyDescent="0.25">
      <c r="F131" s="235">
        <v>443</v>
      </c>
      <c r="G131" s="295" t="s">
        <v>3817</v>
      </c>
      <c r="J131" s="595">
        <f t="shared" si="3"/>
        <v>0</v>
      </c>
    </row>
    <row r="132" spans="6:10" hidden="1" x14ac:dyDescent="0.25">
      <c r="F132" s="235">
        <v>444</v>
      </c>
      <c r="G132" s="295" t="s">
        <v>3818</v>
      </c>
      <c r="J132" s="595">
        <f t="shared" si="3"/>
        <v>0</v>
      </c>
    </row>
    <row r="133" spans="6:10" ht="30" hidden="1" x14ac:dyDescent="0.25">
      <c r="F133" s="235">
        <v>4511</v>
      </c>
      <c r="G133" s="223" t="s">
        <v>1692</v>
      </c>
      <c r="J133" s="595">
        <f t="shared" si="3"/>
        <v>0</v>
      </c>
    </row>
    <row r="134" spans="6:10" ht="30" hidden="1" x14ac:dyDescent="0.25">
      <c r="F134" s="235">
        <v>4512</v>
      </c>
      <c r="G134" s="223" t="s">
        <v>1701</v>
      </c>
      <c r="J134" s="595">
        <f t="shared" si="3"/>
        <v>0</v>
      </c>
    </row>
    <row r="135" spans="6:10" hidden="1" x14ac:dyDescent="0.25">
      <c r="F135" s="235">
        <v>452</v>
      </c>
      <c r="G135" s="295" t="s">
        <v>4209</v>
      </c>
      <c r="J135" s="595">
        <f t="shared" si="3"/>
        <v>0</v>
      </c>
    </row>
    <row r="136" spans="6:10" hidden="1" x14ac:dyDescent="0.25">
      <c r="F136" s="235">
        <v>453</v>
      </c>
      <c r="G136" s="295" t="s">
        <v>4210</v>
      </c>
      <c r="J136" s="595">
        <f t="shared" si="3"/>
        <v>0</v>
      </c>
    </row>
    <row r="137" spans="6:10" hidden="1" x14ac:dyDescent="0.25">
      <c r="F137" s="235">
        <v>454</v>
      </c>
      <c r="G137" s="295" t="s">
        <v>3823</v>
      </c>
      <c r="J137" s="595">
        <f t="shared" si="3"/>
        <v>0</v>
      </c>
    </row>
    <row r="138" spans="6:10" hidden="1" x14ac:dyDescent="0.25">
      <c r="F138" s="235">
        <v>461</v>
      </c>
      <c r="G138" s="295" t="s">
        <v>4191</v>
      </c>
      <c r="J138" s="595">
        <f t="shared" si="3"/>
        <v>0</v>
      </c>
    </row>
    <row r="139" spans="6:10" hidden="1" x14ac:dyDescent="0.25">
      <c r="F139" s="235">
        <v>462</v>
      </c>
      <c r="G139" s="295" t="s">
        <v>3826</v>
      </c>
      <c r="J139" s="595">
        <f t="shared" si="3"/>
        <v>0</v>
      </c>
    </row>
    <row r="140" spans="6:10" hidden="1" x14ac:dyDescent="0.25">
      <c r="F140" s="235">
        <v>4631</v>
      </c>
      <c r="G140" s="295" t="s">
        <v>3827</v>
      </c>
      <c r="J140" s="595">
        <f t="shared" si="3"/>
        <v>0</v>
      </c>
    </row>
    <row r="141" spans="6:10" hidden="1" x14ac:dyDescent="0.25">
      <c r="F141" s="235">
        <v>4632</v>
      </c>
      <c r="G141" s="295" t="s">
        <v>3828</v>
      </c>
      <c r="J141" s="595">
        <f t="shared" si="3"/>
        <v>0</v>
      </c>
    </row>
    <row r="142" spans="6:10" hidden="1" x14ac:dyDescent="0.25">
      <c r="F142" s="235">
        <v>464</v>
      </c>
      <c r="G142" s="295" t="s">
        <v>3829</v>
      </c>
      <c r="J142" s="595">
        <f t="shared" si="3"/>
        <v>0</v>
      </c>
    </row>
    <row r="143" spans="6:10" hidden="1" x14ac:dyDescent="0.25">
      <c r="F143" s="235">
        <v>465</v>
      </c>
      <c r="G143" s="295" t="s">
        <v>4192</v>
      </c>
      <c r="J143" s="595">
        <f t="shared" si="3"/>
        <v>0</v>
      </c>
    </row>
    <row r="144" spans="6:10" hidden="1" x14ac:dyDescent="0.25">
      <c r="F144" s="235">
        <v>472</v>
      </c>
      <c r="G144" s="295" t="s">
        <v>3833</v>
      </c>
      <c r="J144" s="595">
        <f t="shared" si="3"/>
        <v>0</v>
      </c>
    </row>
    <row r="145" spans="6:10" hidden="1" x14ac:dyDescent="0.25">
      <c r="F145" s="235">
        <v>481</v>
      </c>
      <c r="G145" s="295" t="s">
        <v>4211</v>
      </c>
      <c r="J145" s="595">
        <f t="shared" si="3"/>
        <v>0</v>
      </c>
    </row>
    <row r="146" spans="6:10" hidden="1" x14ac:dyDescent="0.25">
      <c r="F146" s="235">
        <v>482</v>
      </c>
      <c r="G146" s="295" t="s">
        <v>4212</v>
      </c>
      <c r="J146" s="595">
        <f t="shared" si="3"/>
        <v>0</v>
      </c>
    </row>
    <row r="147" spans="6:10" hidden="1" x14ac:dyDescent="0.25">
      <c r="F147" s="235">
        <v>483</v>
      </c>
      <c r="G147" s="298" t="s">
        <v>4213</v>
      </c>
      <c r="J147" s="595">
        <f t="shared" si="3"/>
        <v>0</v>
      </c>
    </row>
    <row r="148" spans="6:10" ht="30" hidden="1" x14ac:dyDescent="0.25">
      <c r="F148" s="235">
        <v>484</v>
      </c>
      <c r="G148" s="295" t="s">
        <v>4214</v>
      </c>
      <c r="J148" s="595">
        <f t="shared" si="3"/>
        <v>0</v>
      </c>
    </row>
    <row r="149" spans="6:10" ht="30" hidden="1" x14ac:dyDescent="0.25">
      <c r="F149" s="235">
        <v>485</v>
      </c>
      <c r="G149" s="295" t="s">
        <v>4215</v>
      </c>
      <c r="J149" s="595">
        <f t="shared" si="3"/>
        <v>0</v>
      </c>
    </row>
    <row r="150" spans="6:10" ht="30" hidden="1" x14ac:dyDescent="0.25">
      <c r="F150" s="235">
        <v>489</v>
      </c>
      <c r="G150" s="295" t="s">
        <v>3841</v>
      </c>
      <c r="J150" s="595">
        <f t="shared" si="3"/>
        <v>0</v>
      </c>
    </row>
    <row r="151" spans="6:10" hidden="1" x14ac:dyDescent="0.25">
      <c r="F151" s="235">
        <v>494</v>
      </c>
      <c r="G151" s="295" t="s">
        <v>4193</v>
      </c>
      <c r="J151" s="595">
        <f t="shared" si="3"/>
        <v>0</v>
      </c>
    </row>
    <row r="152" spans="6:10" ht="30" hidden="1" x14ac:dyDescent="0.25">
      <c r="F152" s="235">
        <v>495</v>
      </c>
      <c r="G152" s="295" t="s">
        <v>4194</v>
      </c>
      <c r="J152" s="595">
        <f t="shared" si="3"/>
        <v>0</v>
      </c>
    </row>
    <row r="153" spans="6:10" ht="30" hidden="1" x14ac:dyDescent="0.25">
      <c r="F153" s="235">
        <v>496</v>
      </c>
      <c r="G153" s="295" t="s">
        <v>4195</v>
      </c>
      <c r="J153" s="595">
        <f t="shared" si="3"/>
        <v>0</v>
      </c>
    </row>
    <row r="154" spans="6:10" hidden="1" x14ac:dyDescent="0.25">
      <c r="F154" s="235">
        <v>499</v>
      </c>
      <c r="G154" s="295" t="s">
        <v>4196</v>
      </c>
      <c r="J154" s="595">
        <f t="shared" si="3"/>
        <v>0</v>
      </c>
    </row>
    <row r="155" spans="6:10" hidden="1" x14ac:dyDescent="0.25">
      <c r="F155" s="235">
        <v>511</v>
      </c>
      <c r="G155" s="298" t="s">
        <v>4216</v>
      </c>
      <c r="J155" s="595">
        <f t="shared" si="3"/>
        <v>0</v>
      </c>
    </row>
    <row r="156" spans="6:10" hidden="1" x14ac:dyDescent="0.25">
      <c r="F156" s="235">
        <v>512</v>
      </c>
      <c r="G156" s="298" t="s">
        <v>4217</v>
      </c>
      <c r="J156" s="595">
        <f t="shared" si="3"/>
        <v>0</v>
      </c>
    </row>
    <row r="157" spans="6:10" hidden="1" x14ac:dyDescent="0.25">
      <c r="F157" s="235">
        <v>513</v>
      </c>
      <c r="G157" s="298" t="s">
        <v>4218</v>
      </c>
      <c r="J157" s="595">
        <f t="shared" si="3"/>
        <v>0</v>
      </c>
    </row>
    <row r="158" spans="6:10" hidden="1" x14ac:dyDescent="0.25">
      <c r="F158" s="235">
        <v>514</v>
      </c>
      <c r="G158" s="295" t="s">
        <v>4219</v>
      </c>
      <c r="J158" s="595">
        <f t="shared" si="3"/>
        <v>0</v>
      </c>
    </row>
    <row r="159" spans="6:10" hidden="1" x14ac:dyDescent="0.25">
      <c r="F159" s="235">
        <v>515</v>
      </c>
      <c r="G159" s="295" t="s">
        <v>3852</v>
      </c>
      <c r="J159" s="595">
        <f t="shared" si="3"/>
        <v>0</v>
      </c>
    </row>
    <row r="160" spans="6:10" hidden="1" x14ac:dyDescent="0.25">
      <c r="F160" s="235">
        <v>521</v>
      </c>
      <c r="G160" s="295" t="s">
        <v>4220</v>
      </c>
      <c r="J160" s="595">
        <f t="shared" si="3"/>
        <v>0</v>
      </c>
    </row>
    <row r="161" spans="5:10" hidden="1" x14ac:dyDescent="0.25">
      <c r="F161" s="235">
        <v>522</v>
      </c>
      <c r="G161" s="295" t="s">
        <v>4221</v>
      </c>
      <c r="J161" s="595">
        <f t="shared" si="3"/>
        <v>0</v>
      </c>
    </row>
    <row r="162" spans="5:10" hidden="1" x14ac:dyDescent="0.25">
      <c r="F162" s="235">
        <v>523</v>
      </c>
      <c r="G162" s="295" t="s">
        <v>3857</v>
      </c>
      <c r="J162" s="595">
        <f t="shared" si="3"/>
        <v>0</v>
      </c>
    </row>
    <row r="163" spans="5:10" hidden="1" x14ac:dyDescent="0.25">
      <c r="F163" s="235">
        <v>531</v>
      </c>
      <c r="G163" s="292" t="s">
        <v>4197</v>
      </c>
      <c r="J163" s="595">
        <f t="shared" si="3"/>
        <v>0</v>
      </c>
    </row>
    <row r="164" spans="5:10" hidden="1" x14ac:dyDescent="0.25">
      <c r="F164" s="235">
        <v>541</v>
      </c>
      <c r="G164" s="295" t="s">
        <v>4222</v>
      </c>
      <c r="J164" s="595">
        <f t="shared" si="3"/>
        <v>0</v>
      </c>
    </row>
    <row r="165" spans="5:10" hidden="1" x14ac:dyDescent="0.25">
      <c r="F165" s="235">
        <v>542</v>
      </c>
      <c r="G165" s="295" t="s">
        <v>4223</v>
      </c>
      <c r="J165" s="595">
        <f t="shared" si="3"/>
        <v>0</v>
      </c>
    </row>
    <row r="166" spans="5:10" hidden="1" x14ac:dyDescent="0.25">
      <c r="F166" s="235">
        <v>543</v>
      </c>
      <c r="G166" s="295" t="s">
        <v>3862</v>
      </c>
      <c r="J166" s="595">
        <f t="shared" si="3"/>
        <v>0</v>
      </c>
    </row>
    <row r="167" spans="5:10" ht="30" hidden="1" x14ac:dyDescent="0.25">
      <c r="F167" s="235">
        <v>551</v>
      </c>
      <c r="G167" s="295" t="s">
        <v>4198</v>
      </c>
      <c r="J167" s="595">
        <f t="shared" si="3"/>
        <v>0</v>
      </c>
    </row>
    <row r="168" spans="5:10" hidden="1" x14ac:dyDescent="0.25">
      <c r="F168" s="236">
        <v>611</v>
      </c>
      <c r="G168" s="299" t="s">
        <v>3868</v>
      </c>
      <c r="J168" s="595">
        <f t="shared" si="3"/>
        <v>0</v>
      </c>
    </row>
    <row r="169" spans="5:10" ht="15.75" hidden="1" thickBot="1" x14ac:dyDescent="0.3">
      <c r="F169" s="236">
        <v>620</v>
      </c>
      <c r="G169" s="299" t="s">
        <v>88</v>
      </c>
      <c r="J169" s="595">
        <f t="shared" si="3"/>
        <v>0</v>
      </c>
    </row>
    <row r="170" spans="5:10" hidden="1" x14ac:dyDescent="0.25">
      <c r="E170" s="234"/>
      <c r="F170" s="236"/>
      <c r="G170" s="326" t="s">
        <v>4366</v>
      </c>
      <c r="H170" s="596"/>
      <c r="I170" s="622"/>
      <c r="J170" s="597"/>
    </row>
    <row r="171" spans="5:10" ht="15.75" hidden="1" thickBot="1" x14ac:dyDescent="0.3">
      <c r="E171" s="222"/>
      <c r="F171" s="233" t="s">
        <v>234</v>
      </c>
      <c r="G171" s="252" t="s">
        <v>235</v>
      </c>
      <c r="H171" s="598">
        <f>SUM(H110:H169)</f>
        <v>0</v>
      </c>
      <c r="I171" s="599"/>
      <c r="J171" s="599">
        <f>SUM(H171:I171)</f>
        <v>0</v>
      </c>
    </row>
    <row r="172" spans="5:10" hidden="1" x14ac:dyDescent="0.25">
      <c r="F172" s="233" t="s">
        <v>236</v>
      </c>
      <c r="G172" s="252" t="s">
        <v>237</v>
      </c>
      <c r="J172" s="599">
        <f t="shared" ref="J172:J186" si="4">SUM(H172:I172)</f>
        <v>0</v>
      </c>
    </row>
    <row r="173" spans="5:10" hidden="1" x14ac:dyDescent="0.25">
      <c r="F173" s="233" t="s">
        <v>238</v>
      </c>
      <c r="G173" s="252" t="s">
        <v>239</v>
      </c>
      <c r="J173" s="599">
        <f t="shared" si="4"/>
        <v>0</v>
      </c>
    </row>
    <row r="174" spans="5:10" hidden="1" x14ac:dyDescent="0.25">
      <c r="F174" s="233" t="s">
        <v>240</v>
      </c>
      <c r="G174" s="252" t="s">
        <v>241</v>
      </c>
      <c r="J174" s="599">
        <f t="shared" si="4"/>
        <v>0</v>
      </c>
    </row>
    <row r="175" spans="5:10" hidden="1" x14ac:dyDescent="0.25">
      <c r="F175" s="233" t="s">
        <v>242</v>
      </c>
      <c r="G175" s="252" t="s">
        <v>243</v>
      </c>
      <c r="J175" s="599">
        <f t="shared" si="4"/>
        <v>0</v>
      </c>
    </row>
    <row r="176" spans="5:10" hidden="1" x14ac:dyDescent="0.25">
      <c r="F176" s="233" t="s">
        <v>244</v>
      </c>
      <c r="G176" s="252" t="s">
        <v>245</v>
      </c>
      <c r="J176" s="599">
        <f t="shared" si="4"/>
        <v>0</v>
      </c>
    </row>
    <row r="177" spans="5:10" hidden="1" x14ac:dyDescent="0.25">
      <c r="F177" s="233" t="s">
        <v>246</v>
      </c>
      <c r="G177" s="252" t="s">
        <v>247</v>
      </c>
      <c r="J177" s="599">
        <f t="shared" si="4"/>
        <v>0</v>
      </c>
    </row>
    <row r="178" spans="5:10" hidden="1" x14ac:dyDescent="0.25">
      <c r="F178" s="233" t="s">
        <v>248</v>
      </c>
      <c r="G178" s="252" t="s">
        <v>249</v>
      </c>
      <c r="J178" s="599">
        <f t="shared" si="4"/>
        <v>0</v>
      </c>
    </row>
    <row r="179" spans="5:10" hidden="1" x14ac:dyDescent="0.25">
      <c r="F179" s="233" t="s">
        <v>250</v>
      </c>
      <c r="G179" s="252" t="s">
        <v>57</v>
      </c>
      <c r="J179" s="599">
        <f t="shared" si="4"/>
        <v>0</v>
      </c>
    </row>
    <row r="180" spans="5:10" hidden="1" x14ac:dyDescent="0.25">
      <c r="F180" s="233" t="s">
        <v>251</v>
      </c>
      <c r="G180" s="252" t="s">
        <v>252</v>
      </c>
      <c r="J180" s="599">
        <f t="shared" si="4"/>
        <v>0</v>
      </c>
    </row>
    <row r="181" spans="5:10" hidden="1" x14ac:dyDescent="0.25">
      <c r="F181" s="233" t="s">
        <v>253</v>
      </c>
      <c r="G181" s="252" t="s">
        <v>254</v>
      </c>
      <c r="J181" s="599">
        <f t="shared" si="4"/>
        <v>0</v>
      </c>
    </row>
    <row r="182" spans="5:10" ht="30" hidden="1" x14ac:dyDescent="0.25">
      <c r="F182" s="233" t="s">
        <v>255</v>
      </c>
      <c r="G182" s="252" t="s">
        <v>256</v>
      </c>
      <c r="J182" s="599">
        <f t="shared" si="4"/>
        <v>0</v>
      </c>
    </row>
    <row r="183" spans="5:10" hidden="1" x14ac:dyDescent="0.25">
      <c r="F183" s="233" t="s">
        <v>257</v>
      </c>
      <c r="G183" s="252" t="s">
        <v>258</v>
      </c>
      <c r="J183" s="599">
        <f t="shared" si="4"/>
        <v>0</v>
      </c>
    </row>
    <row r="184" spans="5:10" ht="30" hidden="1" x14ac:dyDescent="0.25">
      <c r="F184" s="233" t="s">
        <v>259</v>
      </c>
      <c r="G184" s="252" t="s">
        <v>260</v>
      </c>
      <c r="J184" s="599">
        <f t="shared" si="4"/>
        <v>0</v>
      </c>
    </row>
    <row r="185" spans="5:10" hidden="1" x14ac:dyDescent="0.25">
      <c r="F185" s="233" t="s">
        <v>261</v>
      </c>
      <c r="G185" s="252" t="s">
        <v>262</v>
      </c>
      <c r="J185" s="599">
        <f t="shared" si="4"/>
        <v>0</v>
      </c>
    </row>
    <row r="186" spans="5:10" ht="15.75" hidden="1" thickBot="1" x14ac:dyDescent="0.3">
      <c r="F186" s="233" t="s">
        <v>263</v>
      </c>
      <c r="G186" s="252" t="s">
        <v>264</v>
      </c>
      <c r="H186" s="598"/>
      <c r="I186" s="599"/>
      <c r="J186" s="599">
        <f t="shared" si="4"/>
        <v>0</v>
      </c>
    </row>
    <row r="187" spans="5:10" ht="15.75" hidden="1" thickBot="1" x14ac:dyDescent="0.3">
      <c r="G187" s="229" t="s">
        <v>4304</v>
      </c>
      <c r="H187" s="600">
        <f>SUM(H171:H186)</f>
        <v>0</v>
      </c>
      <c r="I187" s="601">
        <f>SUM(I172:I186)</f>
        <v>0</v>
      </c>
      <c r="J187" s="601">
        <f>SUM(J171:J186)</f>
        <v>0</v>
      </c>
    </row>
    <row r="188" spans="5:10" hidden="1" collapsed="1" x14ac:dyDescent="0.25">
      <c r="E188" s="293"/>
      <c r="F188" s="301"/>
      <c r="G188" s="231" t="s">
        <v>5069</v>
      </c>
      <c r="H188" s="602"/>
      <c r="I188" s="623"/>
      <c r="J188" s="603"/>
    </row>
    <row r="189" spans="5:10" ht="15.75" hidden="1" thickBot="1" x14ac:dyDescent="0.3">
      <c r="E189" s="222"/>
      <c r="F189" s="249" t="s">
        <v>234</v>
      </c>
      <c r="G189" s="252" t="s">
        <v>235</v>
      </c>
      <c r="H189" s="598">
        <f>SUM(H110:H169)</f>
        <v>0</v>
      </c>
      <c r="I189" s="599"/>
      <c r="J189" s="599">
        <f>SUM(H189:I189)</f>
        <v>0</v>
      </c>
    </row>
    <row r="190" spans="5:10" hidden="1" x14ac:dyDescent="0.25">
      <c r="F190" s="249" t="s">
        <v>236</v>
      </c>
      <c r="G190" s="252" t="s">
        <v>237</v>
      </c>
      <c r="J190" s="599">
        <f t="shared" ref="J190:J204" si="5">SUM(H190:I190)</f>
        <v>0</v>
      </c>
    </row>
    <row r="191" spans="5:10" hidden="1" x14ac:dyDescent="0.25">
      <c r="F191" s="249" t="s">
        <v>238</v>
      </c>
      <c r="G191" s="252" t="s">
        <v>239</v>
      </c>
      <c r="J191" s="599">
        <f t="shared" si="5"/>
        <v>0</v>
      </c>
    </row>
    <row r="192" spans="5:10" hidden="1" x14ac:dyDescent="0.25">
      <c r="F192" s="249" t="s">
        <v>240</v>
      </c>
      <c r="G192" s="252" t="s">
        <v>241</v>
      </c>
      <c r="J192" s="599">
        <f t="shared" si="5"/>
        <v>0</v>
      </c>
    </row>
    <row r="193" spans="3:10" hidden="1" x14ac:dyDescent="0.25">
      <c r="F193" s="249" t="s">
        <v>242</v>
      </c>
      <c r="G193" s="252" t="s">
        <v>243</v>
      </c>
      <c r="J193" s="599">
        <f t="shared" si="5"/>
        <v>0</v>
      </c>
    </row>
    <row r="194" spans="3:10" hidden="1" x14ac:dyDescent="0.25">
      <c r="F194" s="249" t="s">
        <v>244</v>
      </c>
      <c r="G194" s="252" t="s">
        <v>245</v>
      </c>
      <c r="J194" s="599">
        <f t="shared" si="5"/>
        <v>0</v>
      </c>
    </row>
    <row r="195" spans="3:10" hidden="1" x14ac:dyDescent="0.25">
      <c r="F195" s="249" t="s">
        <v>246</v>
      </c>
      <c r="G195" s="252" t="s">
        <v>247</v>
      </c>
      <c r="J195" s="599">
        <f t="shared" si="5"/>
        <v>0</v>
      </c>
    </row>
    <row r="196" spans="3:10" hidden="1" x14ac:dyDescent="0.25">
      <c r="F196" s="249" t="s">
        <v>248</v>
      </c>
      <c r="G196" s="252" t="s">
        <v>249</v>
      </c>
      <c r="J196" s="599">
        <f t="shared" si="5"/>
        <v>0</v>
      </c>
    </row>
    <row r="197" spans="3:10" hidden="1" x14ac:dyDescent="0.25">
      <c r="F197" s="249" t="s">
        <v>250</v>
      </c>
      <c r="G197" s="252" t="s">
        <v>57</v>
      </c>
      <c r="J197" s="599">
        <f t="shared" si="5"/>
        <v>0</v>
      </c>
    </row>
    <row r="198" spans="3:10" hidden="1" x14ac:dyDescent="0.25">
      <c r="F198" s="249" t="s">
        <v>251</v>
      </c>
      <c r="G198" s="252" t="s">
        <v>252</v>
      </c>
      <c r="J198" s="599">
        <f t="shared" si="5"/>
        <v>0</v>
      </c>
    </row>
    <row r="199" spans="3:10" hidden="1" x14ac:dyDescent="0.25">
      <c r="F199" s="249" t="s">
        <v>253</v>
      </c>
      <c r="G199" s="252" t="s">
        <v>254</v>
      </c>
      <c r="J199" s="599">
        <f t="shared" si="5"/>
        <v>0</v>
      </c>
    </row>
    <row r="200" spans="3:10" ht="30" hidden="1" x14ac:dyDescent="0.25">
      <c r="F200" s="249" t="s">
        <v>255</v>
      </c>
      <c r="G200" s="252" t="s">
        <v>256</v>
      </c>
      <c r="J200" s="599">
        <f t="shared" si="5"/>
        <v>0</v>
      </c>
    </row>
    <row r="201" spans="3:10" hidden="1" x14ac:dyDescent="0.25">
      <c r="F201" s="249" t="s">
        <v>257</v>
      </c>
      <c r="G201" s="252" t="s">
        <v>258</v>
      </c>
      <c r="J201" s="599">
        <f t="shared" si="5"/>
        <v>0</v>
      </c>
    </row>
    <row r="202" spans="3:10" ht="30" hidden="1" x14ac:dyDescent="0.25">
      <c r="F202" s="249" t="s">
        <v>259</v>
      </c>
      <c r="G202" s="252" t="s">
        <v>260</v>
      </c>
      <c r="J202" s="599">
        <f t="shared" si="5"/>
        <v>0</v>
      </c>
    </row>
    <row r="203" spans="3:10" hidden="1" x14ac:dyDescent="0.25">
      <c r="F203" s="249" t="s">
        <v>261</v>
      </c>
      <c r="G203" s="252" t="s">
        <v>262</v>
      </c>
      <c r="J203" s="599">
        <f t="shared" si="5"/>
        <v>0</v>
      </c>
    </row>
    <row r="204" spans="3:10" ht="15.75" hidden="1" thickBot="1" x14ac:dyDescent="0.3">
      <c r="F204" s="249" t="s">
        <v>263</v>
      </c>
      <c r="G204" s="252" t="s">
        <v>264</v>
      </c>
      <c r="H204" s="598"/>
      <c r="I204" s="599"/>
      <c r="J204" s="599">
        <f t="shared" si="5"/>
        <v>0</v>
      </c>
    </row>
    <row r="205" spans="3:10" ht="15.75" hidden="1" thickBot="1" x14ac:dyDescent="0.3">
      <c r="G205" s="229" t="s">
        <v>5031</v>
      </c>
      <c r="H205" s="600">
        <f>SUM(H172:H187)</f>
        <v>0</v>
      </c>
      <c r="I205" s="601">
        <f>SUM(I173:I187)</f>
        <v>0</v>
      </c>
      <c r="J205" s="601">
        <f>SUM(J172:J187)</f>
        <v>0</v>
      </c>
    </row>
    <row r="206" spans="3:10" hidden="1" x14ac:dyDescent="0.25"/>
    <row r="207" spans="3:10" hidden="1" x14ac:dyDescent="0.25">
      <c r="C207" s="228" t="s">
        <v>4962</v>
      </c>
      <c r="D207" s="219"/>
      <c r="G207" s="296" t="s">
        <v>5096</v>
      </c>
    </row>
    <row r="208" spans="3:10" ht="30" hidden="1" x14ac:dyDescent="0.25">
      <c r="C208" s="228"/>
      <c r="D208" s="312">
        <v>110</v>
      </c>
      <c r="E208" s="312"/>
      <c r="F208" s="312"/>
      <c r="G208" s="313" t="s">
        <v>105</v>
      </c>
    </row>
    <row r="209" spans="6:10" hidden="1" x14ac:dyDescent="0.25">
      <c r="F209" s="239">
        <v>411</v>
      </c>
      <c r="G209" s="295" t="s">
        <v>4189</v>
      </c>
      <c r="J209" s="595">
        <f>SUM(H209:I209)</f>
        <v>0</v>
      </c>
    </row>
    <row r="210" spans="6:10" hidden="1" x14ac:dyDescent="0.25">
      <c r="F210" s="239">
        <v>412</v>
      </c>
      <c r="G210" s="292" t="s">
        <v>3784</v>
      </c>
      <c r="J210" s="595">
        <f t="shared" ref="J210:J268" si="6">SUM(H210:I210)</f>
        <v>0</v>
      </c>
    </row>
    <row r="211" spans="6:10" hidden="1" x14ac:dyDescent="0.25">
      <c r="F211" s="239">
        <v>413</v>
      </c>
      <c r="G211" s="295" t="s">
        <v>4190</v>
      </c>
      <c r="J211" s="595">
        <f t="shared" si="6"/>
        <v>0</v>
      </c>
    </row>
    <row r="212" spans="6:10" hidden="1" x14ac:dyDescent="0.25">
      <c r="F212" s="239">
        <v>414</v>
      </c>
      <c r="G212" s="295" t="s">
        <v>3787</v>
      </c>
      <c r="J212" s="595">
        <f t="shared" si="6"/>
        <v>0</v>
      </c>
    </row>
    <row r="213" spans="6:10" hidden="1" x14ac:dyDescent="0.25">
      <c r="F213" s="239">
        <v>415</v>
      </c>
      <c r="G213" s="295" t="s">
        <v>4199</v>
      </c>
      <c r="J213" s="595">
        <f t="shared" si="6"/>
        <v>0</v>
      </c>
    </row>
    <row r="214" spans="6:10" hidden="1" x14ac:dyDescent="0.25">
      <c r="F214" s="239">
        <v>416</v>
      </c>
      <c r="G214" s="295" t="s">
        <v>4200</v>
      </c>
      <c r="J214" s="595">
        <f t="shared" si="6"/>
        <v>0</v>
      </c>
    </row>
    <row r="215" spans="6:10" hidden="1" x14ac:dyDescent="0.25">
      <c r="F215" s="239">
        <v>417</v>
      </c>
      <c r="G215" s="295" t="s">
        <v>4201</v>
      </c>
      <c r="J215" s="595">
        <f t="shared" si="6"/>
        <v>0</v>
      </c>
    </row>
    <row r="216" spans="6:10" hidden="1" x14ac:dyDescent="0.25">
      <c r="F216" s="239">
        <v>418</v>
      </c>
      <c r="G216" s="295" t="s">
        <v>3793</v>
      </c>
      <c r="J216" s="595">
        <f t="shared" si="6"/>
        <v>0</v>
      </c>
    </row>
    <row r="217" spans="6:10" hidden="1" x14ac:dyDescent="0.25">
      <c r="F217" s="239">
        <v>421</v>
      </c>
      <c r="G217" s="295" t="s">
        <v>3797</v>
      </c>
      <c r="J217" s="595">
        <f t="shared" si="6"/>
        <v>0</v>
      </c>
    </row>
    <row r="218" spans="6:10" hidden="1" x14ac:dyDescent="0.25">
      <c r="F218" s="239">
        <v>422</v>
      </c>
      <c r="G218" s="295" t="s">
        <v>3798</v>
      </c>
      <c r="J218" s="595">
        <f t="shared" si="6"/>
        <v>0</v>
      </c>
    </row>
    <row r="219" spans="6:10" hidden="1" x14ac:dyDescent="0.25">
      <c r="F219" s="239">
        <v>423</v>
      </c>
      <c r="G219" s="295" t="s">
        <v>3799</v>
      </c>
      <c r="J219" s="595">
        <f t="shared" si="6"/>
        <v>0</v>
      </c>
    </row>
    <row r="220" spans="6:10" hidden="1" x14ac:dyDescent="0.25">
      <c r="F220" s="239">
        <v>424</v>
      </c>
      <c r="G220" s="295" t="s">
        <v>3801</v>
      </c>
      <c r="J220" s="595">
        <f t="shared" si="6"/>
        <v>0</v>
      </c>
    </row>
    <row r="221" spans="6:10" hidden="1" x14ac:dyDescent="0.25">
      <c r="F221" s="239">
        <v>425</v>
      </c>
      <c r="G221" s="295" t="s">
        <v>4202</v>
      </c>
      <c r="J221" s="595">
        <f t="shared" si="6"/>
        <v>0</v>
      </c>
    </row>
    <row r="222" spans="6:10" ht="15.75" hidden="1" thickBot="1" x14ac:dyDescent="0.3">
      <c r="F222" s="239">
        <v>426</v>
      </c>
      <c r="G222" s="295" t="s">
        <v>3805</v>
      </c>
      <c r="J222" s="595">
        <f t="shared" si="6"/>
        <v>0</v>
      </c>
    </row>
    <row r="223" spans="6:10" hidden="1" x14ac:dyDescent="0.25">
      <c r="F223" s="239">
        <v>431</v>
      </c>
      <c r="G223" s="295" t="s">
        <v>4203</v>
      </c>
      <c r="J223" s="595">
        <f t="shared" si="6"/>
        <v>0</v>
      </c>
    </row>
    <row r="224" spans="6:10" hidden="1" x14ac:dyDescent="0.25">
      <c r="F224" s="239">
        <v>432</v>
      </c>
      <c r="G224" s="295" t="s">
        <v>4204</v>
      </c>
      <c r="J224" s="595">
        <f t="shared" si="6"/>
        <v>0</v>
      </c>
    </row>
    <row r="225" spans="6:10" hidden="1" x14ac:dyDescent="0.25">
      <c r="F225" s="239">
        <v>433</v>
      </c>
      <c r="G225" s="295" t="s">
        <v>4205</v>
      </c>
      <c r="J225" s="595">
        <f t="shared" si="6"/>
        <v>0</v>
      </c>
    </row>
    <row r="226" spans="6:10" hidden="1" x14ac:dyDescent="0.25">
      <c r="F226" s="239">
        <v>434</v>
      </c>
      <c r="G226" s="295" t="s">
        <v>4206</v>
      </c>
      <c r="J226" s="595">
        <f t="shared" si="6"/>
        <v>0</v>
      </c>
    </row>
    <row r="227" spans="6:10" hidden="1" x14ac:dyDescent="0.25">
      <c r="F227" s="239">
        <v>435</v>
      </c>
      <c r="G227" s="295" t="s">
        <v>3812</v>
      </c>
      <c r="J227" s="595">
        <f t="shared" si="6"/>
        <v>0</v>
      </c>
    </row>
    <row r="228" spans="6:10" hidden="1" x14ac:dyDescent="0.25">
      <c r="F228" s="239">
        <v>441</v>
      </c>
      <c r="G228" s="295" t="s">
        <v>4207</v>
      </c>
      <c r="J228" s="595">
        <f t="shared" si="6"/>
        <v>0</v>
      </c>
    </row>
    <row r="229" spans="6:10" hidden="1" x14ac:dyDescent="0.25">
      <c r="F229" s="239">
        <v>442</v>
      </c>
      <c r="G229" s="295" t="s">
        <v>4208</v>
      </c>
      <c r="J229" s="595">
        <f t="shared" si="6"/>
        <v>0</v>
      </c>
    </row>
    <row r="230" spans="6:10" hidden="1" x14ac:dyDescent="0.25">
      <c r="F230" s="239">
        <v>443</v>
      </c>
      <c r="G230" s="295" t="s">
        <v>3817</v>
      </c>
      <c r="J230" s="595">
        <f t="shared" si="6"/>
        <v>0</v>
      </c>
    </row>
    <row r="231" spans="6:10" hidden="1" x14ac:dyDescent="0.25">
      <c r="F231" s="239">
        <v>444</v>
      </c>
      <c r="G231" s="295" t="s">
        <v>3818</v>
      </c>
      <c r="J231" s="595">
        <f t="shared" si="6"/>
        <v>0</v>
      </c>
    </row>
    <row r="232" spans="6:10" ht="30" hidden="1" x14ac:dyDescent="0.25">
      <c r="F232" s="239">
        <v>4511</v>
      </c>
      <c r="G232" s="223" t="s">
        <v>1692</v>
      </c>
      <c r="J232" s="595">
        <f t="shared" si="6"/>
        <v>0</v>
      </c>
    </row>
    <row r="233" spans="6:10" ht="30" hidden="1" x14ac:dyDescent="0.25">
      <c r="F233" s="239">
        <v>4512</v>
      </c>
      <c r="G233" s="223" t="s">
        <v>1701</v>
      </c>
      <c r="J233" s="595">
        <f t="shared" si="6"/>
        <v>0</v>
      </c>
    </row>
    <row r="234" spans="6:10" hidden="1" x14ac:dyDescent="0.25">
      <c r="F234" s="239">
        <v>452</v>
      </c>
      <c r="G234" s="295" t="s">
        <v>4209</v>
      </c>
      <c r="J234" s="595">
        <f t="shared" si="6"/>
        <v>0</v>
      </c>
    </row>
    <row r="235" spans="6:10" hidden="1" x14ac:dyDescent="0.25">
      <c r="F235" s="239">
        <v>453</v>
      </c>
      <c r="G235" s="295" t="s">
        <v>4210</v>
      </c>
      <c r="J235" s="595">
        <f t="shared" si="6"/>
        <v>0</v>
      </c>
    </row>
    <row r="236" spans="6:10" hidden="1" x14ac:dyDescent="0.25">
      <c r="F236" s="239">
        <v>454</v>
      </c>
      <c r="G236" s="295" t="s">
        <v>3823</v>
      </c>
      <c r="J236" s="595">
        <f t="shared" si="6"/>
        <v>0</v>
      </c>
    </row>
    <row r="237" spans="6:10" hidden="1" x14ac:dyDescent="0.25">
      <c r="F237" s="239">
        <v>461</v>
      </c>
      <c r="G237" s="295" t="s">
        <v>4191</v>
      </c>
      <c r="J237" s="595">
        <f t="shared" si="6"/>
        <v>0</v>
      </c>
    </row>
    <row r="238" spans="6:10" hidden="1" x14ac:dyDescent="0.25">
      <c r="F238" s="239">
        <v>462</v>
      </c>
      <c r="G238" s="295" t="s">
        <v>3826</v>
      </c>
      <c r="J238" s="595">
        <f t="shared" si="6"/>
        <v>0</v>
      </c>
    </row>
    <row r="239" spans="6:10" hidden="1" x14ac:dyDescent="0.25">
      <c r="F239" s="239">
        <v>4631</v>
      </c>
      <c r="G239" s="295" t="s">
        <v>3827</v>
      </c>
      <c r="J239" s="595">
        <f t="shared" si="6"/>
        <v>0</v>
      </c>
    </row>
    <row r="240" spans="6:10" hidden="1" x14ac:dyDescent="0.25">
      <c r="F240" s="239">
        <v>4632</v>
      </c>
      <c r="G240" s="295" t="s">
        <v>3828</v>
      </c>
      <c r="J240" s="595">
        <f t="shared" si="6"/>
        <v>0</v>
      </c>
    </row>
    <row r="241" spans="6:10" hidden="1" x14ac:dyDescent="0.25">
      <c r="F241" s="239">
        <v>464</v>
      </c>
      <c r="G241" s="295" t="s">
        <v>3829</v>
      </c>
      <c r="J241" s="595">
        <f t="shared" si="6"/>
        <v>0</v>
      </c>
    </row>
    <row r="242" spans="6:10" hidden="1" x14ac:dyDescent="0.25">
      <c r="F242" s="239">
        <v>465</v>
      </c>
      <c r="G242" s="295" t="s">
        <v>4192</v>
      </c>
      <c r="J242" s="595">
        <f t="shared" si="6"/>
        <v>0</v>
      </c>
    </row>
    <row r="243" spans="6:10" hidden="1" x14ac:dyDescent="0.25">
      <c r="F243" s="239">
        <v>472</v>
      </c>
      <c r="G243" s="295" t="s">
        <v>3833</v>
      </c>
      <c r="J243" s="595">
        <f t="shared" si="6"/>
        <v>0</v>
      </c>
    </row>
    <row r="244" spans="6:10" hidden="1" x14ac:dyDescent="0.25">
      <c r="F244" s="239">
        <v>481</v>
      </c>
      <c r="G244" s="295" t="s">
        <v>4211</v>
      </c>
      <c r="J244" s="595">
        <f t="shared" si="6"/>
        <v>0</v>
      </c>
    </row>
    <row r="245" spans="6:10" hidden="1" x14ac:dyDescent="0.25">
      <c r="F245" s="239">
        <v>482</v>
      </c>
      <c r="G245" s="295" t="s">
        <v>4212</v>
      </c>
      <c r="J245" s="595">
        <f t="shared" si="6"/>
        <v>0</v>
      </c>
    </row>
    <row r="246" spans="6:10" hidden="1" x14ac:dyDescent="0.25">
      <c r="F246" s="239">
        <v>483</v>
      </c>
      <c r="G246" s="298" t="s">
        <v>4213</v>
      </c>
      <c r="J246" s="595">
        <f t="shared" si="6"/>
        <v>0</v>
      </c>
    </row>
    <row r="247" spans="6:10" ht="30" hidden="1" x14ac:dyDescent="0.25">
      <c r="F247" s="239">
        <v>484</v>
      </c>
      <c r="G247" s="295" t="s">
        <v>4214</v>
      </c>
      <c r="J247" s="595">
        <f t="shared" si="6"/>
        <v>0</v>
      </c>
    </row>
    <row r="248" spans="6:10" ht="30" hidden="1" x14ac:dyDescent="0.25">
      <c r="F248" s="239">
        <v>485</v>
      </c>
      <c r="G248" s="295" t="s">
        <v>4215</v>
      </c>
      <c r="J248" s="595">
        <f t="shared" si="6"/>
        <v>0</v>
      </c>
    </row>
    <row r="249" spans="6:10" ht="30" hidden="1" x14ac:dyDescent="0.25">
      <c r="F249" s="239">
        <v>489</v>
      </c>
      <c r="G249" s="295" t="s">
        <v>3841</v>
      </c>
      <c r="J249" s="595">
        <f t="shared" si="6"/>
        <v>0</v>
      </c>
    </row>
    <row r="250" spans="6:10" hidden="1" x14ac:dyDescent="0.25">
      <c r="F250" s="239">
        <v>494</v>
      </c>
      <c r="G250" s="295" t="s">
        <v>4193</v>
      </c>
      <c r="J250" s="595">
        <f t="shared" si="6"/>
        <v>0</v>
      </c>
    </row>
    <row r="251" spans="6:10" ht="30" hidden="1" x14ac:dyDescent="0.25">
      <c r="F251" s="239">
        <v>495</v>
      </c>
      <c r="G251" s="295" t="s">
        <v>4194</v>
      </c>
      <c r="J251" s="595">
        <f t="shared" si="6"/>
        <v>0</v>
      </c>
    </row>
    <row r="252" spans="6:10" ht="30" hidden="1" x14ac:dyDescent="0.25">
      <c r="F252" s="239">
        <v>496</v>
      </c>
      <c r="G252" s="295" t="s">
        <v>4195</v>
      </c>
      <c r="J252" s="595">
        <f t="shared" si="6"/>
        <v>0</v>
      </c>
    </row>
    <row r="253" spans="6:10" hidden="1" x14ac:dyDescent="0.25">
      <c r="F253" s="239">
        <v>499</v>
      </c>
      <c r="G253" s="295" t="s">
        <v>4196</v>
      </c>
      <c r="J253" s="595">
        <f t="shared" si="6"/>
        <v>0</v>
      </c>
    </row>
    <row r="254" spans="6:10" hidden="1" x14ac:dyDescent="0.25">
      <c r="F254" s="239">
        <v>511</v>
      </c>
      <c r="G254" s="298" t="s">
        <v>4216</v>
      </c>
      <c r="J254" s="595">
        <f t="shared" si="6"/>
        <v>0</v>
      </c>
    </row>
    <row r="255" spans="6:10" hidden="1" x14ac:dyDescent="0.25">
      <c r="F255" s="239">
        <v>512</v>
      </c>
      <c r="G255" s="298" t="s">
        <v>4217</v>
      </c>
      <c r="J255" s="595">
        <f t="shared" si="6"/>
        <v>0</v>
      </c>
    </row>
    <row r="256" spans="6:10" hidden="1" x14ac:dyDescent="0.25">
      <c r="F256" s="239">
        <v>513</v>
      </c>
      <c r="G256" s="298" t="s">
        <v>4218</v>
      </c>
      <c r="J256" s="595">
        <f t="shared" si="6"/>
        <v>0</v>
      </c>
    </row>
    <row r="257" spans="5:10" hidden="1" x14ac:dyDescent="0.25">
      <c r="F257" s="239">
        <v>514</v>
      </c>
      <c r="G257" s="295" t="s">
        <v>4219</v>
      </c>
      <c r="J257" s="595">
        <f t="shared" si="6"/>
        <v>0</v>
      </c>
    </row>
    <row r="258" spans="5:10" hidden="1" x14ac:dyDescent="0.25">
      <c r="F258" s="239">
        <v>515</v>
      </c>
      <c r="G258" s="295" t="s">
        <v>3852</v>
      </c>
      <c r="J258" s="595">
        <f t="shared" si="6"/>
        <v>0</v>
      </c>
    </row>
    <row r="259" spans="5:10" hidden="1" x14ac:dyDescent="0.25">
      <c r="F259" s="239">
        <v>521</v>
      </c>
      <c r="G259" s="295" t="s">
        <v>4220</v>
      </c>
      <c r="J259" s="595">
        <f t="shared" si="6"/>
        <v>0</v>
      </c>
    </row>
    <row r="260" spans="5:10" hidden="1" x14ac:dyDescent="0.25">
      <c r="F260" s="239">
        <v>522</v>
      </c>
      <c r="G260" s="295" t="s">
        <v>4221</v>
      </c>
      <c r="J260" s="595">
        <f t="shared" si="6"/>
        <v>0</v>
      </c>
    </row>
    <row r="261" spans="5:10" hidden="1" x14ac:dyDescent="0.25">
      <c r="F261" s="239">
        <v>523</v>
      </c>
      <c r="G261" s="295" t="s">
        <v>3857</v>
      </c>
      <c r="J261" s="595">
        <f t="shared" si="6"/>
        <v>0</v>
      </c>
    </row>
    <row r="262" spans="5:10" hidden="1" x14ac:dyDescent="0.25">
      <c r="F262" s="239">
        <v>531</v>
      </c>
      <c r="G262" s="292" t="s">
        <v>4197</v>
      </c>
      <c r="J262" s="595">
        <f t="shared" si="6"/>
        <v>0</v>
      </c>
    </row>
    <row r="263" spans="5:10" hidden="1" x14ac:dyDescent="0.25">
      <c r="F263" s="239">
        <v>541</v>
      </c>
      <c r="G263" s="295" t="s">
        <v>4222</v>
      </c>
      <c r="J263" s="595">
        <f t="shared" si="6"/>
        <v>0</v>
      </c>
    </row>
    <row r="264" spans="5:10" hidden="1" x14ac:dyDescent="0.25">
      <c r="F264" s="239">
        <v>542</v>
      </c>
      <c r="G264" s="295" t="s">
        <v>4223</v>
      </c>
      <c r="J264" s="595">
        <f t="shared" si="6"/>
        <v>0</v>
      </c>
    </row>
    <row r="265" spans="5:10" hidden="1" x14ac:dyDescent="0.25">
      <c r="F265" s="239">
        <v>543</v>
      </c>
      <c r="G265" s="295" t="s">
        <v>3862</v>
      </c>
      <c r="J265" s="595">
        <f t="shared" si="6"/>
        <v>0</v>
      </c>
    </row>
    <row r="266" spans="5:10" ht="30" hidden="1" x14ac:dyDescent="0.25">
      <c r="F266" s="239">
        <v>551</v>
      </c>
      <c r="G266" s="295" t="s">
        <v>4198</v>
      </c>
      <c r="J266" s="595">
        <f t="shared" si="6"/>
        <v>0</v>
      </c>
    </row>
    <row r="267" spans="5:10" hidden="1" x14ac:dyDescent="0.25">
      <c r="F267" s="240">
        <v>611</v>
      </c>
      <c r="G267" s="299" t="s">
        <v>3868</v>
      </c>
      <c r="J267" s="595">
        <f t="shared" si="6"/>
        <v>0</v>
      </c>
    </row>
    <row r="268" spans="5:10" ht="15.75" hidden="1" thickBot="1" x14ac:dyDescent="0.3">
      <c r="F268" s="240">
        <v>620</v>
      </c>
      <c r="G268" s="299" t="s">
        <v>88</v>
      </c>
      <c r="J268" s="595">
        <f t="shared" si="6"/>
        <v>0</v>
      </c>
    </row>
    <row r="269" spans="5:10" hidden="1" x14ac:dyDescent="0.25">
      <c r="E269" s="238"/>
      <c r="F269" s="240"/>
      <c r="G269" s="326" t="s">
        <v>4366</v>
      </c>
      <c r="H269" s="596"/>
      <c r="I269" s="622"/>
      <c r="J269" s="597"/>
    </row>
    <row r="270" spans="5:10" ht="15.75" hidden="1" thickBot="1" x14ac:dyDescent="0.3">
      <c r="E270" s="222"/>
      <c r="F270" s="233" t="s">
        <v>234</v>
      </c>
      <c r="G270" s="252" t="s">
        <v>235</v>
      </c>
      <c r="H270" s="598">
        <f>SUM(H209:H268)</f>
        <v>0</v>
      </c>
      <c r="I270" s="599"/>
      <c r="J270" s="599">
        <f>SUM(H270:I270)</f>
        <v>0</v>
      </c>
    </row>
    <row r="271" spans="5:10" hidden="1" x14ac:dyDescent="0.25">
      <c r="F271" s="233" t="s">
        <v>236</v>
      </c>
      <c r="G271" s="252" t="s">
        <v>237</v>
      </c>
      <c r="J271" s="599">
        <f t="shared" ref="J271:J285" si="7">SUM(H271:I271)</f>
        <v>0</v>
      </c>
    </row>
    <row r="272" spans="5:10" hidden="1" x14ac:dyDescent="0.25">
      <c r="F272" s="233" t="s">
        <v>238</v>
      </c>
      <c r="G272" s="252" t="s">
        <v>239</v>
      </c>
      <c r="J272" s="599">
        <f t="shared" si="7"/>
        <v>0</v>
      </c>
    </row>
    <row r="273" spans="5:10" hidden="1" x14ac:dyDescent="0.25">
      <c r="F273" s="233" t="s">
        <v>240</v>
      </c>
      <c r="G273" s="252" t="s">
        <v>241</v>
      </c>
      <c r="J273" s="599">
        <f t="shared" si="7"/>
        <v>0</v>
      </c>
    </row>
    <row r="274" spans="5:10" hidden="1" x14ac:dyDescent="0.25">
      <c r="F274" s="233" t="s">
        <v>242</v>
      </c>
      <c r="G274" s="252" t="s">
        <v>243</v>
      </c>
      <c r="J274" s="599">
        <f t="shared" si="7"/>
        <v>0</v>
      </c>
    </row>
    <row r="275" spans="5:10" hidden="1" x14ac:dyDescent="0.25">
      <c r="F275" s="233" t="s">
        <v>244</v>
      </c>
      <c r="G275" s="252" t="s">
        <v>245</v>
      </c>
      <c r="J275" s="599">
        <f t="shared" si="7"/>
        <v>0</v>
      </c>
    </row>
    <row r="276" spans="5:10" hidden="1" x14ac:dyDescent="0.25">
      <c r="F276" s="233" t="s">
        <v>246</v>
      </c>
      <c r="G276" s="252" t="s">
        <v>247</v>
      </c>
      <c r="J276" s="599">
        <f t="shared" si="7"/>
        <v>0</v>
      </c>
    </row>
    <row r="277" spans="5:10" hidden="1" x14ac:dyDescent="0.25">
      <c r="F277" s="233" t="s">
        <v>248</v>
      </c>
      <c r="G277" s="252" t="s">
        <v>249</v>
      </c>
      <c r="J277" s="599">
        <f t="shared" si="7"/>
        <v>0</v>
      </c>
    </row>
    <row r="278" spans="5:10" hidden="1" x14ac:dyDescent="0.25">
      <c r="F278" s="233" t="s">
        <v>250</v>
      </c>
      <c r="G278" s="252" t="s">
        <v>57</v>
      </c>
      <c r="J278" s="599">
        <f t="shared" si="7"/>
        <v>0</v>
      </c>
    </row>
    <row r="279" spans="5:10" hidden="1" x14ac:dyDescent="0.25">
      <c r="F279" s="233" t="s">
        <v>251</v>
      </c>
      <c r="G279" s="252" t="s">
        <v>252</v>
      </c>
      <c r="J279" s="599">
        <f t="shared" si="7"/>
        <v>0</v>
      </c>
    </row>
    <row r="280" spans="5:10" hidden="1" x14ac:dyDescent="0.25">
      <c r="F280" s="233" t="s">
        <v>253</v>
      </c>
      <c r="G280" s="252" t="s">
        <v>254</v>
      </c>
      <c r="J280" s="599">
        <f t="shared" si="7"/>
        <v>0</v>
      </c>
    </row>
    <row r="281" spans="5:10" ht="30" hidden="1" x14ac:dyDescent="0.25">
      <c r="F281" s="233" t="s">
        <v>255</v>
      </c>
      <c r="G281" s="252" t="s">
        <v>256</v>
      </c>
      <c r="J281" s="599">
        <f t="shared" si="7"/>
        <v>0</v>
      </c>
    </row>
    <row r="282" spans="5:10" hidden="1" x14ac:dyDescent="0.25">
      <c r="F282" s="233" t="s">
        <v>257</v>
      </c>
      <c r="G282" s="252" t="s">
        <v>258</v>
      </c>
      <c r="J282" s="599">
        <f t="shared" si="7"/>
        <v>0</v>
      </c>
    </row>
    <row r="283" spans="5:10" ht="30" hidden="1" x14ac:dyDescent="0.25">
      <c r="F283" s="233" t="s">
        <v>259</v>
      </c>
      <c r="G283" s="252" t="s">
        <v>260</v>
      </c>
      <c r="J283" s="599">
        <f t="shared" si="7"/>
        <v>0</v>
      </c>
    </row>
    <row r="284" spans="5:10" hidden="1" x14ac:dyDescent="0.25">
      <c r="F284" s="233" t="s">
        <v>261</v>
      </c>
      <c r="G284" s="252" t="s">
        <v>262</v>
      </c>
      <c r="J284" s="599">
        <f t="shared" si="7"/>
        <v>0</v>
      </c>
    </row>
    <row r="285" spans="5:10" ht="15.75" hidden="1" thickBot="1" x14ac:dyDescent="0.3">
      <c r="F285" s="233" t="s">
        <v>263</v>
      </c>
      <c r="G285" s="252" t="s">
        <v>264</v>
      </c>
      <c r="H285" s="598"/>
      <c r="I285" s="599"/>
      <c r="J285" s="599">
        <f t="shared" si="7"/>
        <v>0</v>
      </c>
    </row>
    <row r="286" spans="5:10" ht="15.75" hidden="1" thickBot="1" x14ac:dyDescent="0.3">
      <c r="G286" s="229" t="s">
        <v>4304</v>
      </c>
      <c r="H286" s="600">
        <f>SUM(H270:H285)</f>
        <v>0</v>
      </c>
      <c r="I286" s="601">
        <f>SUM(I271:I285)</f>
        <v>0</v>
      </c>
      <c r="J286" s="601">
        <f>SUM(J270:J285)</f>
        <v>0</v>
      </c>
    </row>
    <row r="287" spans="5:10" hidden="1" collapsed="1" x14ac:dyDescent="0.25">
      <c r="E287" s="293"/>
      <c r="F287" s="301"/>
      <c r="G287" s="231" t="s">
        <v>5070</v>
      </c>
      <c r="H287" s="602"/>
      <c r="I287" s="623"/>
      <c r="J287" s="603"/>
    </row>
    <row r="288" spans="5:10" ht="15.75" hidden="1" thickBot="1" x14ac:dyDescent="0.3">
      <c r="E288" s="222"/>
      <c r="F288" s="249" t="s">
        <v>234</v>
      </c>
      <c r="G288" s="252" t="s">
        <v>235</v>
      </c>
      <c r="H288" s="598">
        <f>SUM(H209:H268)</f>
        <v>0</v>
      </c>
      <c r="I288" s="599"/>
      <c r="J288" s="599">
        <f>SUM(H288:I288)</f>
        <v>0</v>
      </c>
    </row>
    <row r="289" spans="6:10" hidden="1" x14ac:dyDescent="0.25">
      <c r="F289" s="249" t="s">
        <v>236</v>
      </c>
      <c r="G289" s="252" t="s">
        <v>237</v>
      </c>
      <c r="J289" s="599">
        <f t="shared" ref="J289:J303" si="8">SUM(H289:I289)</f>
        <v>0</v>
      </c>
    </row>
    <row r="290" spans="6:10" hidden="1" x14ac:dyDescent="0.25">
      <c r="F290" s="249" t="s">
        <v>238</v>
      </c>
      <c r="G290" s="252" t="s">
        <v>239</v>
      </c>
      <c r="J290" s="599">
        <f t="shared" si="8"/>
        <v>0</v>
      </c>
    </row>
    <row r="291" spans="6:10" hidden="1" x14ac:dyDescent="0.25">
      <c r="F291" s="249" t="s">
        <v>240</v>
      </c>
      <c r="G291" s="252" t="s">
        <v>241</v>
      </c>
      <c r="J291" s="599">
        <f t="shared" si="8"/>
        <v>0</v>
      </c>
    </row>
    <row r="292" spans="6:10" hidden="1" x14ac:dyDescent="0.25">
      <c r="F292" s="249" t="s">
        <v>242</v>
      </c>
      <c r="G292" s="252" t="s">
        <v>243</v>
      </c>
      <c r="J292" s="599">
        <f t="shared" si="8"/>
        <v>0</v>
      </c>
    </row>
    <row r="293" spans="6:10" hidden="1" x14ac:dyDescent="0.25">
      <c r="F293" s="249" t="s">
        <v>244</v>
      </c>
      <c r="G293" s="252" t="s">
        <v>245</v>
      </c>
      <c r="J293" s="599">
        <f t="shared" si="8"/>
        <v>0</v>
      </c>
    </row>
    <row r="294" spans="6:10" hidden="1" x14ac:dyDescent="0.25">
      <c r="F294" s="249" t="s">
        <v>246</v>
      </c>
      <c r="G294" s="252" t="s">
        <v>247</v>
      </c>
      <c r="J294" s="599">
        <f t="shared" si="8"/>
        <v>0</v>
      </c>
    </row>
    <row r="295" spans="6:10" hidden="1" x14ac:dyDescent="0.25">
      <c r="F295" s="249" t="s">
        <v>248</v>
      </c>
      <c r="G295" s="252" t="s">
        <v>249</v>
      </c>
      <c r="J295" s="599">
        <f t="shared" si="8"/>
        <v>0</v>
      </c>
    </row>
    <row r="296" spans="6:10" hidden="1" x14ac:dyDescent="0.25">
      <c r="F296" s="249" t="s">
        <v>250</v>
      </c>
      <c r="G296" s="252" t="s">
        <v>57</v>
      </c>
      <c r="J296" s="599">
        <f t="shared" si="8"/>
        <v>0</v>
      </c>
    </row>
    <row r="297" spans="6:10" hidden="1" x14ac:dyDescent="0.25">
      <c r="F297" s="249" t="s">
        <v>251</v>
      </c>
      <c r="G297" s="252" t="s">
        <v>252</v>
      </c>
      <c r="J297" s="599">
        <f t="shared" si="8"/>
        <v>0</v>
      </c>
    </row>
    <row r="298" spans="6:10" hidden="1" x14ac:dyDescent="0.25">
      <c r="F298" s="249" t="s">
        <v>253</v>
      </c>
      <c r="G298" s="252" t="s">
        <v>254</v>
      </c>
      <c r="J298" s="599">
        <f t="shared" si="8"/>
        <v>0</v>
      </c>
    </row>
    <row r="299" spans="6:10" ht="30" hidden="1" x14ac:dyDescent="0.25">
      <c r="F299" s="249" t="s">
        <v>255</v>
      </c>
      <c r="G299" s="252" t="s">
        <v>256</v>
      </c>
      <c r="J299" s="599">
        <f t="shared" si="8"/>
        <v>0</v>
      </c>
    </row>
    <row r="300" spans="6:10" hidden="1" x14ac:dyDescent="0.25">
      <c r="F300" s="249" t="s">
        <v>257</v>
      </c>
      <c r="G300" s="252" t="s">
        <v>258</v>
      </c>
      <c r="J300" s="599">
        <f t="shared" si="8"/>
        <v>0</v>
      </c>
    </row>
    <row r="301" spans="6:10" ht="30" hidden="1" x14ac:dyDescent="0.25">
      <c r="F301" s="249" t="s">
        <v>259</v>
      </c>
      <c r="G301" s="252" t="s">
        <v>260</v>
      </c>
      <c r="J301" s="599">
        <f t="shared" si="8"/>
        <v>0</v>
      </c>
    </row>
    <row r="302" spans="6:10" hidden="1" x14ac:dyDescent="0.25">
      <c r="F302" s="249" t="s">
        <v>261</v>
      </c>
      <c r="G302" s="252" t="s">
        <v>262</v>
      </c>
      <c r="J302" s="599">
        <f t="shared" si="8"/>
        <v>0</v>
      </c>
    </row>
    <row r="303" spans="6:10" ht="15.75" hidden="1" thickBot="1" x14ac:dyDescent="0.3">
      <c r="F303" s="249" t="s">
        <v>263</v>
      </c>
      <c r="G303" s="252" t="s">
        <v>264</v>
      </c>
      <c r="H303" s="598"/>
      <c r="I303" s="599"/>
      <c r="J303" s="599">
        <f t="shared" si="8"/>
        <v>0</v>
      </c>
    </row>
    <row r="304" spans="6:10" ht="15.75" hidden="1" thickBot="1" x14ac:dyDescent="0.3">
      <c r="G304" s="229" t="s">
        <v>5032</v>
      </c>
      <c r="H304" s="600">
        <f>SUM(H271:H286)</f>
        <v>0</v>
      </c>
      <c r="I304" s="601">
        <f>SUM(I272:I286)</f>
        <v>0</v>
      </c>
      <c r="J304" s="601">
        <f>SUM(J271:J286)</f>
        <v>0</v>
      </c>
    </row>
    <row r="305" spans="5:10" hidden="1" x14ac:dyDescent="0.25">
      <c r="G305" s="286"/>
      <c r="H305" s="604"/>
      <c r="I305" s="605"/>
      <c r="J305" s="605"/>
    </row>
    <row r="306" spans="5:10" x14ac:dyDescent="0.25">
      <c r="E306" s="238"/>
      <c r="F306" s="240"/>
      <c r="G306" s="250" t="s">
        <v>4225</v>
      </c>
      <c r="H306" s="606"/>
      <c r="I306" s="624"/>
      <c r="J306" s="607"/>
    </row>
    <row r="307" spans="5:10" ht="15.75" thickBot="1" x14ac:dyDescent="0.3">
      <c r="E307" s="222"/>
      <c r="F307" s="233" t="s">
        <v>234</v>
      </c>
      <c r="G307" s="252" t="s">
        <v>235</v>
      </c>
      <c r="H307" s="598">
        <f>SUM(H288,H189,H90)</f>
        <v>2898794</v>
      </c>
      <c r="I307" s="599"/>
      <c r="J307" s="599">
        <f>SUM(H307:I307)</f>
        <v>2898794</v>
      </c>
    </row>
    <row r="308" spans="5:10" hidden="1" x14ac:dyDescent="0.25">
      <c r="F308" s="233" t="s">
        <v>236</v>
      </c>
      <c r="G308" s="252" t="s">
        <v>237</v>
      </c>
      <c r="J308" s="599">
        <f t="shared" ref="J308:J322" si="9">SUM(H308:I308)</f>
        <v>0</v>
      </c>
    </row>
    <row r="309" spans="5:10" hidden="1" x14ac:dyDescent="0.25">
      <c r="F309" s="233" t="s">
        <v>238</v>
      </c>
      <c r="G309" s="252" t="s">
        <v>239</v>
      </c>
      <c r="J309" s="599">
        <f t="shared" si="9"/>
        <v>0</v>
      </c>
    </row>
    <row r="310" spans="5:10" ht="15.75" hidden="1" thickBot="1" x14ac:dyDescent="0.3">
      <c r="F310" s="233" t="s">
        <v>240</v>
      </c>
      <c r="G310" s="252" t="s">
        <v>241</v>
      </c>
      <c r="I310" s="595">
        <f>SUM(I75)</f>
        <v>0</v>
      </c>
      <c r="J310" s="599">
        <f t="shared" si="9"/>
        <v>0</v>
      </c>
    </row>
    <row r="311" spans="5:10" hidden="1" x14ac:dyDescent="0.25">
      <c r="F311" s="233" t="s">
        <v>242</v>
      </c>
      <c r="G311" s="252" t="s">
        <v>243</v>
      </c>
      <c r="J311" s="599">
        <f t="shared" si="9"/>
        <v>0</v>
      </c>
    </row>
    <row r="312" spans="5:10" hidden="1" x14ac:dyDescent="0.25">
      <c r="F312" s="233" t="s">
        <v>244</v>
      </c>
      <c r="G312" s="252" t="s">
        <v>245</v>
      </c>
      <c r="J312" s="599">
        <f t="shared" si="9"/>
        <v>0</v>
      </c>
    </row>
    <row r="313" spans="5:10" hidden="1" x14ac:dyDescent="0.25">
      <c r="F313" s="233" t="s">
        <v>246</v>
      </c>
      <c r="G313" s="252" t="s">
        <v>247</v>
      </c>
      <c r="J313" s="599">
        <f t="shared" si="9"/>
        <v>0</v>
      </c>
    </row>
    <row r="314" spans="5:10" hidden="1" x14ac:dyDescent="0.25">
      <c r="F314" s="233" t="s">
        <v>248</v>
      </c>
      <c r="G314" s="252" t="s">
        <v>249</v>
      </c>
      <c r="J314" s="599">
        <f t="shared" si="9"/>
        <v>0</v>
      </c>
    </row>
    <row r="315" spans="5:10" hidden="1" x14ac:dyDescent="0.25">
      <c r="F315" s="233" t="s">
        <v>250</v>
      </c>
      <c r="G315" s="252" t="s">
        <v>57</v>
      </c>
      <c r="J315" s="599">
        <f t="shared" si="9"/>
        <v>0</v>
      </c>
    </row>
    <row r="316" spans="5:10" hidden="1" x14ac:dyDescent="0.25">
      <c r="F316" s="233" t="s">
        <v>251</v>
      </c>
      <c r="G316" s="252" t="s">
        <v>252</v>
      </c>
      <c r="J316" s="599">
        <f t="shared" si="9"/>
        <v>0</v>
      </c>
    </row>
    <row r="317" spans="5:10" hidden="1" x14ac:dyDescent="0.25">
      <c r="F317" s="233" t="s">
        <v>253</v>
      </c>
      <c r="G317" s="252" t="s">
        <v>254</v>
      </c>
      <c r="J317" s="599">
        <f t="shared" si="9"/>
        <v>0</v>
      </c>
    </row>
    <row r="318" spans="5:10" ht="30" hidden="1" x14ac:dyDescent="0.25">
      <c r="F318" s="233" t="s">
        <v>255</v>
      </c>
      <c r="G318" s="252" t="s">
        <v>256</v>
      </c>
      <c r="J318" s="599">
        <f t="shared" si="9"/>
        <v>0</v>
      </c>
    </row>
    <row r="319" spans="5:10" hidden="1" x14ac:dyDescent="0.25">
      <c r="F319" s="233" t="s">
        <v>257</v>
      </c>
      <c r="G319" s="252" t="s">
        <v>258</v>
      </c>
      <c r="J319" s="599">
        <f t="shared" si="9"/>
        <v>0</v>
      </c>
    </row>
    <row r="320" spans="5:10" ht="30" hidden="1" x14ac:dyDescent="0.25">
      <c r="F320" s="233" t="s">
        <v>259</v>
      </c>
      <c r="G320" s="252" t="s">
        <v>260</v>
      </c>
      <c r="J320" s="599">
        <f t="shared" si="9"/>
        <v>0</v>
      </c>
    </row>
    <row r="321" spans="5:10" hidden="1" x14ac:dyDescent="0.25">
      <c r="F321" s="233" t="s">
        <v>261</v>
      </c>
      <c r="G321" s="252" t="s">
        <v>262</v>
      </c>
      <c r="J321" s="599">
        <f t="shared" si="9"/>
        <v>0</v>
      </c>
    </row>
    <row r="322" spans="5:10" ht="15.75" hidden="1" thickBot="1" x14ac:dyDescent="0.3">
      <c r="F322" s="233" t="s">
        <v>263</v>
      </c>
      <c r="G322" s="252" t="s">
        <v>264</v>
      </c>
      <c r="H322" s="598"/>
      <c r="I322" s="599"/>
      <c r="J322" s="599">
        <f t="shared" si="9"/>
        <v>0</v>
      </c>
    </row>
    <row r="323" spans="5:10" ht="15.75" thickBot="1" x14ac:dyDescent="0.3">
      <c r="G323" s="229" t="s">
        <v>4226</v>
      </c>
      <c r="H323" s="600">
        <f>SUM(H307:H322)</f>
        <v>2898794</v>
      </c>
      <c r="I323" s="601">
        <f>SUM(I308:I322)</f>
        <v>0</v>
      </c>
      <c r="J323" s="601">
        <f>SUM(J307:J322)</f>
        <v>2898794</v>
      </c>
    </row>
    <row r="325" spans="5:10" x14ac:dyDescent="0.25">
      <c r="E325" s="238"/>
      <c r="F325" s="240"/>
      <c r="G325" s="250" t="s">
        <v>4228</v>
      </c>
      <c r="H325" s="606"/>
      <c r="I325" s="624"/>
      <c r="J325" s="607"/>
    </row>
    <row r="326" spans="5:10" ht="15.75" thickBot="1" x14ac:dyDescent="0.3">
      <c r="E326" s="222"/>
      <c r="F326" s="233" t="s">
        <v>234</v>
      </c>
      <c r="G326" s="252" t="s">
        <v>235</v>
      </c>
      <c r="H326" s="598">
        <f>SUM(H106,H205,H304)</f>
        <v>2898794</v>
      </c>
      <c r="I326" s="599"/>
      <c r="J326" s="599">
        <f>SUM(H326:I326)</f>
        <v>2898794</v>
      </c>
    </row>
    <row r="327" spans="5:10" hidden="1" x14ac:dyDescent="0.25">
      <c r="F327" s="233" t="s">
        <v>236</v>
      </c>
      <c r="G327" s="252" t="s">
        <v>237</v>
      </c>
      <c r="J327" s="599">
        <f t="shared" ref="J327:J341" si="10">SUM(H327:I327)</f>
        <v>0</v>
      </c>
    </row>
    <row r="328" spans="5:10" hidden="1" x14ac:dyDescent="0.25">
      <c r="F328" s="233" t="s">
        <v>238</v>
      </c>
      <c r="G328" s="252" t="s">
        <v>239</v>
      </c>
      <c r="J328" s="599">
        <f t="shared" si="10"/>
        <v>0</v>
      </c>
    </row>
    <row r="329" spans="5:10" hidden="1" x14ac:dyDescent="0.25">
      <c r="F329" s="233" t="s">
        <v>240</v>
      </c>
      <c r="G329" s="252" t="s">
        <v>241</v>
      </c>
      <c r="J329" s="599">
        <f t="shared" si="10"/>
        <v>0</v>
      </c>
    </row>
    <row r="330" spans="5:10" hidden="1" x14ac:dyDescent="0.25">
      <c r="F330" s="233" t="s">
        <v>242</v>
      </c>
      <c r="G330" s="252" t="s">
        <v>243</v>
      </c>
      <c r="J330" s="599">
        <f t="shared" si="10"/>
        <v>0</v>
      </c>
    </row>
    <row r="331" spans="5:10" hidden="1" x14ac:dyDescent="0.25">
      <c r="F331" s="233" t="s">
        <v>244</v>
      </c>
      <c r="G331" s="252" t="s">
        <v>245</v>
      </c>
      <c r="J331" s="599">
        <f t="shared" si="10"/>
        <v>0</v>
      </c>
    </row>
    <row r="332" spans="5:10" hidden="1" x14ac:dyDescent="0.25">
      <c r="F332" s="233" t="s">
        <v>246</v>
      </c>
      <c r="G332" s="252" t="s">
        <v>247</v>
      </c>
      <c r="J332" s="599">
        <f t="shared" si="10"/>
        <v>0</v>
      </c>
    </row>
    <row r="333" spans="5:10" hidden="1" x14ac:dyDescent="0.25">
      <c r="F333" s="233" t="s">
        <v>248</v>
      </c>
      <c r="G333" s="252" t="s">
        <v>249</v>
      </c>
      <c r="J333" s="599">
        <f t="shared" si="10"/>
        <v>0</v>
      </c>
    </row>
    <row r="334" spans="5:10" hidden="1" x14ac:dyDescent="0.25">
      <c r="F334" s="233" t="s">
        <v>250</v>
      </c>
      <c r="G334" s="252" t="s">
        <v>57</v>
      </c>
      <c r="J334" s="599">
        <f t="shared" si="10"/>
        <v>0</v>
      </c>
    </row>
    <row r="335" spans="5:10" hidden="1" x14ac:dyDescent="0.25">
      <c r="F335" s="233" t="s">
        <v>251</v>
      </c>
      <c r="G335" s="252" t="s">
        <v>252</v>
      </c>
      <c r="J335" s="599">
        <f t="shared" si="10"/>
        <v>0</v>
      </c>
    </row>
    <row r="336" spans="5:10" hidden="1" x14ac:dyDescent="0.25">
      <c r="F336" s="233" t="s">
        <v>253</v>
      </c>
      <c r="G336" s="252" t="s">
        <v>254</v>
      </c>
      <c r="J336" s="599">
        <f t="shared" si="10"/>
        <v>0</v>
      </c>
    </row>
    <row r="337" spans="5:10" ht="30" hidden="1" x14ac:dyDescent="0.25">
      <c r="F337" s="233" t="s">
        <v>255</v>
      </c>
      <c r="G337" s="252" t="s">
        <v>256</v>
      </c>
      <c r="J337" s="599">
        <f t="shared" si="10"/>
        <v>0</v>
      </c>
    </row>
    <row r="338" spans="5:10" hidden="1" x14ac:dyDescent="0.25">
      <c r="F338" s="233" t="s">
        <v>257</v>
      </c>
      <c r="G338" s="252" t="s">
        <v>258</v>
      </c>
      <c r="J338" s="599">
        <f t="shared" si="10"/>
        <v>0</v>
      </c>
    </row>
    <row r="339" spans="5:10" ht="30" hidden="1" x14ac:dyDescent="0.25">
      <c r="F339" s="233" t="s">
        <v>259</v>
      </c>
      <c r="G339" s="252" t="s">
        <v>260</v>
      </c>
      <c r="J339" s="599">
        <f t="shared" si="10"/>
        <v>0</v>
      </c>
    </row>
    <row r="340" spans="5:10" hidden="1" x14ac:dyDescent="0.25">
      <c r="F340" s="233" t="s">
        <v>261</v>
      </c>
      <c r="G340" s="252" t="s">
        <v>262</v>
      </c>
      <c r="J340" s="599">
        <f t="shared" si="10"/>
        <v>0</v>
      </c>
    </row>
    <row r="341" spans="5:10" ht="15.75" hidden="1" thickBot="1" x14ac:dyDescent="0.3">
      <c r="F341" s="233" t="s">
        <v>263</v>
      </c>
      <c r="G341" s="252" t="s">
        <v>264</v>
      </c>
      <c r="H341" s="598"/>
      <c r="I341" s="599"/>
      <c r="J341" s="599">
        <f t="shared" si="10"/>
        <v>0</v>
      </c>
    </row>
    <row r="342" spans="5:10" ht="15.75" thickBot="1" x14ac:dyDescent="0.3">
      <c r="G342" s="229" t="s">
        <v>4229</v>
      </c>
      <c r="H342" s="600">
        <f>SUM(H326:H341)</f>
        <v>2898794</v>
      </c>
      <c r="I342" s="601">
        <f>SUM(I327:I341)</f>
        <v>0</v>
      </c>
      <c r="J342" s="601">
        <f>SUM(J326:J341)</f>
        <v>2898794</v>
      </c>
    </row>
    <row r="344" spans="5:10" x14ac:dyDescent="0.25">
      <c r="E344" s="238"/>
      <c r="F344" s="240"/>
      <c r="G344" s="250" t="s">
        <v>4227</v>
      </c>
      <c r="H344" s="606"/>
      <c r="I344" s="624"/>
      <c r="J344" s="607"/>
    </row>
    <row r="345" spans="5:10" ht="15.75" thickBot="1" x14ac:dyDescent="0.3">
      <c r="E345" s="222"/>
      <c r="F345" s="233" t="s">
        <v>234</v>
      </c>
      <c r="G345" s="252" t="s">
        <v>235</v>
      </c>
      <c r="H345" s="598">
        <f>SUM(H326)</f>
        <v>2898794</v>
      </c>
      <c r="I345" s="599"/>
      <c r="J345" s="599">
        <f>SUM(H345:I345)</f>
        <v>2898794</v>
      </c>
    </row>
    <row r="346" spans="5:10" hidden="1" x14ac:dyDescent="0.25">
      <c r="F346" s="233" t="s">
        <v>236</v>
      </c>
      <c r="G346" s="252" t="s">
        <v>237</v>
      </c>
      <c r="J346" s="599">
        <f t="shared" ref="J346:J360" si="11">SUM(H346:I346)</f>
        <v>0</v>
      </c>
    </row>
    <row r="347" spans="5:10" hidden="1" x14ac:dyDescent="0.25">
      <c r="F347" s="233" t="s">
        <v>238</v>
      </c>
      <c r="G347" s="252" t="s">
        <v>239</v>
      </c>
      <c r="J347" s="599">
        <f t="shared" si="11"/>
        <v>0</v>
      </c>
    </row>
    <row r="348" spans="5:10" hidden="1" x14ac:dyDescent="0.25">
      <c r="F348" s="233" t="s">
        <v>240</v>
      </c>
      <c r="G348" s="252" t="s">
        <v>241</v>
      </c>
      <c r="J348" s="599">
        <f t="shared" si="11"/>
        <v>0</v>
      </c>
    </row>
    <row r="349" spans="5:10" hidden="1" x14ac:dyDescent="0.25">
      <c r="F349" s="233" t="s">
        <v>242</v>
      </c>
      <c r="G349" s="252" t="s">
        <v>243</v>
      </c>
      <c r="J349" s="599">
        <f t="shared" si="11"/>
        <v>0</v>
      </c>
    </row>
    <row r="350" spans="5:10" hidden="1" x14ac:dyDescent="0.25">
      <c r="F350" s="233" t="s">
        <v>244</v>
      </c>
      <c r="G350" s="252" t="s">
        <v>245</v>
      </c>
      <c r="J350" s="599">
        <f t="shared" si="11"/>
        <v>0</v>
      </c>
    </row>
    <row r="351" spans="5:10" hidden="1" x14ac:dyDescent="0.25">
      <c r="F351" s="233" t="s">
        <v>246</v>
      </c>
      <c r="G351" s="252" t="s">
        <v>247</v>
      </c>
      <c r="J351" s="599">
        <f t="shared" si="11"/>
        <v>0</v>
      </c>
    </row>
    <row r="352" spans="5:10" hidden="1" x14ac:dyDescent="0.25">
      <c r="F352" s="233" t="s">
        <v>248</v>
      </c>
      <c r="G352" s="252" t="s">
        <v>249</v>
      </c>
      <c r="J352" s="599">
        <f t="shared" si="11"/>
        <v>0</v>
      </c>
    </row>
    <row r="353" spans="1:10" hidden="1" x14ac:dyDescent="0.25">
      <c r="F353" s="233" t="s">
        <v>250</v>
      </c>
      <c r="G353" s="252" t="s">
        <v>57</v>
      </c>
      <c r="J353" s="599">
        <f t="shared" si="11"/>
        <v>0</v>
      </c>
    </row>
    <row r="354" spans="1:10" hidden="1" x14ac:dyDescent="0.25">
      <c r="F354" s="233" t="s">
        <v>251</v>
      </c>
      <c r="G354" s="252" t="s">
        <v>252</v>
      </c>
      <c r="J354" s="599">
        <f t="shared" si="11"/>
        <v>0</v>
      </c>
    </row>
    <row r="355" spans="1:10" hidden="1" x14ac:dyDescent="0.25">
      <c r="F355" s="233" t="s">
        <v>253</v>
      </c>
      <c r="G355" s="252" t="s">
        <v>254</v>
      </c>
      <c r="J355" s="599">
        <f t="shared" si="11"/>
        <v>0</v>
      </c>
    </row>
    <row r="356" spans="1:10" ht="30" hidden="1" x14ac:dyDescent="0.25">
      <c r="F356" s="233" t="s">
        <v>255</v>
      </c>
      <c r="G356" s="252" t="s">
        <v>256</v>
      </c>
      <c r="J356" s="599">
        <f t="shared" si="11"/>
        <v>0</v>
      </c>
    </row>
    <row r="357" spans="1:10" hidden="1" x14ac:dyDescent="0.25">
      <c r="F357" s="233" t="s">
        <v>257</v>
      </c>
      <c r="G357" s="252" t="s">
        <v>258</v>
      </c>
      <c r="J357" s="599">
        <f t="shared" si="11"/>
        <v>0</v>
      </c>
    </row>
    <row r="358" spans="1:10" ht="30" hidden="1" x14ac:dyDescent="0.25">
      <c r="F358" s="233" t="s">
        <v>259</v>
      </c>
      <c r="G358" s="252" t="s">
        <v>260</v>
      </c>
      <c r="J358" s="599">
        <f t="shared" si="11"/>
        <v>0</v>
      </c>
    </row>
    <row r="359" spans="1:10" hidden="1" x14ac:dyDescent="0.25">
      <c r="F359" s="233" t="s">
        <v>261</v>
      </c>
      <c r="G359" s="252" t="s">
        <v>262</v>
      </c>
      <c r="J359" s="599">
        <f t="shared" si="11"/>
        <v>0</v>
      </c>
    </row>
    <row r="360" spans="1:10" ht="15.75" hidden="1" thickBot="1" x14ac:dyDescent="0.3">
      <c r="F360" s="233" t="s">
        <v>263</v>
      </c>
      <c r="G360" s="252" t="s">
        <v>264</v>
      </c>
      <c r="H360" s="598"/>
      <c r="I360" s="599"/>
      <c r="J360" s="599">
        <f t="shared" si="11"/>
        <v>0</v>
      </c>
    </row>
    <row r="361" spans="1:10" ht="15.75" thickBot="1" x14ac:dyDescent="0.3">
      <c r="G361" s="229" t="s">
        <v>4232</v>
      </c>
      <c r="H361" s="600">
        <f>SUM(H345:H360)</f>
        <v>2898794</v>
      </c>
      <c r="I361" s="601">
        <f>SUM(I346:I360)</f>
        <v>0</v>
      </c>
      <c r="J361" s="601">
        <f>SUM(J345:J360)</f>
        <v>2898794</v>
      </c>
    </row>
    <row r="362" spans="1:10" hidden="1" x14ac:dyDescent="0.25"/>
    <row r="363" spans="1:10" hidden="1" x14ac:dyDescent="0.25"/>
    <row r="364" spans="1:10" ht="28.5" x14ac:dyDescent="0.25">
      <c r="A364" s="244">
        <v>2</v>
      </c>
      <c r="B364" s="244">
        <v>2</v>
      </c>
      <c r="C364" s="220"/>
      <c r="D364" s="216"/>
      <c r="E364" s="216"/>
      <c r="F364" s="216"/>
      <c r="G364" s="237" t="s">
        <v>5466</v>
      </c>
      <c r="H364" s="592"/>
      <c r="I364" s="593"/>
      <c r="J364" s="593"/>
    </row>
    <row r="365" spans="1:10" x14ac:dyDescent="0.25">
      <c r="C365" s="228" t="s">
        <v>3608</v>
      </c>
      <c r="G365" s="294" t="s">
        <v>4188</v>
      </c>
    </row>
    <row r="366" spans="1:10" ht="16.5" customHeight="1" x14ac:dyDescent="0.25">
      <c r="C366" s="228" t="s">
        <v>4154</v>
      </c>
      <c r="D366" s="219"/>
      <c r="G366" s="262" t="s">
        <v>4155</v>
      </c>
    </row>
    <row r="367" spans="1:10" x14ac:dyDescent="0.25">
      <c r="C367" s="228"/>
      <c r="D367" s="312">
        <v>111</v>
      </c>
      <c r="E367" s="312"/>
      <c r="F367" s="312"/>
      <c r="G367" s="314" t="s">
        <v>106</v>
      </c>
      <c r="H367" s="598"/>
      <c r="I367" s="599"/>
      <c r="J367" s="599"/>
    </row>
    <row r="368" spans="1:10" x14ac:dyDescent="0.25">
      <c r="E368" s="218">
        <v>3</v>
      </c>
      <c r="F368" s="242">
        <v>411</v>
      </c>
      <c r="G368" s="295" t="s">
        <v>4189</v>
      </c>
      <c r="H368" s="594">
        <v>3280000</v>
      </c>
      <c r="J368" s="595">
        <f>SUM(H368:I368)</f>
        <v>3280000</v>
      </c>
    </row>
    <row r="369" spans="5:10" x14ac:dyDescent="0.25">
      <c r="E369" s="218">
        <v>4</v>
      </c>
      <c r="F369" s="242">
        <v>412</v>
      </c>
      <c r="G369" s="292" t="s">
        <v>3784</v>
      </c>
      <c r="H369" s="594">
        <v>590000</v>
      </c>
      <c r="J369" s="595">
        <f t="shared" ref="J369:J428" si="12">SUM(H369:I369)</f>
        <v>590000</v>
      </c>
    </row>
    <row r="370" spans="5:10" hidden="1" x14ac:dyDescent="0.25">
      <c r="F370" s="242">
        <v>413</v>
      </c>
      <c r="G370" s="295" t="s">
        <v>4190</v>
      </c>
      <c r="J370" s="595">
        <f t="shared" si="12"/>
        <v>0</v>
      </c>
    </row>
    <row r="371" spans="5:10" hidden="1" x14ac:dyDescent="0.25">
      <c r="F371" s="242">
        <v>414</v>
      </c>
      <c r="G371" s="295" t="s">
        <v>3787</v>
      </c>
      <c r="J371" s="595">
        <f t="shared" si="12"/>
        <v>0</v>
      </c>
    </row>
    <row r="372" spans="5:10" hidden="1" x14ac:dyDescent="0.25">
      <c r="F372" s="242">
        <v>415</v>
      </c>
      <c r="G372" s="295" t="s">
        <v>4199</v>
      </c>
      <c r="J372" s="595">
        <f t="shared" si="12"/>
        <v>0</v>
      </c>
    </row>
    <row r="373" spans="5:10" hidden="1" x14ac:dyDescent="0.25">
      <c r="F373" s="242">
        <v>416</v>
      </c>
      <c r="G373" s="295" t="s">
        <v>4200</v>
      </c>
      <c r="J373" s="595">
        <f t="shared" si="12"/>
        <v>0</v>
      </c>
    </row>
    <row r="374" spans="5:10" hidden="1" x14ac:dyDescent="0.25">
      <c r="F374" s="242">
        <v>417</v>
      </c>
      <c r="G374" s="295" t="s">
        <v>4201</v>
      </c>
      <c r="J374" s="595">
        <f t="shared" si="12"/>
        <v>0</v>
      </c>
    </row>
    <row r="375" spans="5:10" hidden="1" x14ac:dyDescent="0.25">
      <c r="F375" s="242">
        <v>418</v>
      </c>
      <c r="G375" s="295" t="s">
        <v>3793</v>
      </c>
      <c r="J375" s="595">
        <f t="shared" si="12"/>
        <v>0</v>
      </c>
    </row>
    <row r="376" spans="5:10" hidden="1" x14ac:dyDescent="0.25">
      <c r="F376" s="242">
        <v>421</v>
      </c>
      <c r="G376" s="295" t="s">
        <v>3797</v>
      </c>
      <c r="J376" s="595">
        <f t="shared" si="12"/>
        <v>0</v>
      </c>
    </row>
    <row r="377" spans="5:10" x14ac:dyDescent="0.25">
      <c r="E377" s="218">
        <v>5</v>
      </c>
      <c r="F377" s="242">
        <v>422</v>
      </c>
      <c r="G377" s="295" t="s">
        <v>3798</v>
      </c>
      <c r="H377" s="594">
        <v>300000</v>
      </c>
      <c r="J377" s="595">
        <f t="shared" si="12"/>
        <v>300000</v>
      </c>
    </row>
    <row r="378" spans="5:10" x14ac:dyDescent="0.25">
      <c r="E378" s="218">
        <v>6</v>
      </c>
      <c r="F378" s="242">
        <v>423</v>
      </c>
      <c r="G378" s="295" t="s">
        <v>3799</v>
      </c>
      <c r="H378" s="594">
        <v>5500000</v>
      </c>
      <c r="J378" s="595">
        <f t="shared" si="12"/>
        <v>5500000</v>
      </c>
    </row>
    <row r="379" spans="5:10" hidden="1" x14ac:dyDescent="0.25">
      <c r="F379" s="242">
        <v>424</v>
      </c>
      <c r="G379" s="295" t="s">
        <v>3801</v>
      </c>
      <c r="J379" s="595">
        <f t="shared" si="12"/>
        <v>0</v>
      </c>
    </row>
    <row r="380" spans="5:10" hidden="1" x14ac:dyDescent="0.25">
      <c r="F380" s="242">
        <v>425</v>
      </c>
      <c r="G380" s="295" t="s">
        <v>4202</v>
      </c>
      <c r="J380" s="595">
        <f t="shared" si="12"/>
        <v>0</v>
      </c>
    </row>
    <row r="381" spans="5:10" hidden="1" x14ac:dyDescent="0.25">
      <c r="F381" s="242">
        <v>426</v>
      </c>
      <c r="G381" s="295" t="s">
        <v>3805</v>
      </c>
      <c r="J381" s="595">
        <f t="shared" si="12"/>
        <v>0</v>
      </c>
    </row>
    <row r="382" spans="5:10" hidden="1" x14ac:dyDescent="0.25">
      <c r="F382" s="242">
        <v>431</v>
      </c>
      <c r="G382" s="295" t="s">
        <v>4203</v>
      </c>
      <c r="J382" s="595">
        <f t="shared" si="12"/>
        <v>0</v>
      </c>
    </row>
    <row r="383" spans="5:10" hidden="1" x14ac:dyDescent="0.25">
      <c r="F383" s="242">
        <v>432</v>
      </c>
      <c r="G383" s="295" t="s">
        <v>4204</v>
      </c>
      <c r="J383" s="595">
        <f t="shared" si="12"/>
        <v>0</v>
      </c>
    </row>
    <row r="384" spans="5:10" hidden="1" x14ac:dyDescent="0.25">
      <c r="F384" s="242">
        <v>433</v>
      </c>
      <c r="G384" s="295" t="s">
        <v>4205</v>
      </c>
      <c r="J384" s="595">
        <f t="shared" si="12"/>
        <v>0</v>
      </c>
    </row>
    <row r="385" spans="5:10" hidden="1" x14ac:dyDescent="0.25">
      <c r="F385" s="242">
        <v>434</v>
      </c>
      <c r="G385" s="295" t="s">
        <v>4206</v>
      </c>
      <c r="J385" s="595">
        <f t="shared" si="12"/>
        <v>0</v>
      </c>
    </row>
    <row r="386" spans="5:10" hidden="1" x14ac:dyDescent="0.25">
      <c r="F386" s="242">
        <v>435</v>
      </c>
      <c r="G386" s="295" t="s">
        <v>3812</v>
      </c>
      <c r="J386" s="595">
        <f t="shared" si="12"/>
        <v>0</v>
      </c>
    </row>
    <row r="387" spans="5:10" hidden="1" x14ac:dyDescent="0.25">
      <c r="F387" s="242">
        <v>441</v>
      </c>
      <c r="G387" s="295" t="s">
        <v>4207</v>
      </c>
      <c r="J387" s="595">
        <f t="shared" si="12"/>
        <v>0</v>
      </c>
    </row>
    <row r="388" spans="5:10" hidden="1" x14ac:dyDescent="0.25">
      <c r="F388" s="242">
        <v>442</v>
      </c>
      <c r="G388" s="295" t="s">
        <v>4208</v>
      </c>
      <c r="J388" s="595">
        <f t="shared" si="12"/>
        <v>0</v>
      </c>
    </row>
    <row r="389" spans="5:10" hidden="1" x14ac:dyDescent="0.25">
      <c r="F389" s="242">
        <v>443</v>
      </c>
      <c r="G389" s="295" t="s">
        <v>3817</v>
      </c>
      <c r="J389" s="595">
        <f t="shared" si="12"/>
        <v>0</v>
      </c>
    </row>
    <row r="390" spans="5:10" hidden="1" x14ac:dyDescent="0.25">
      <c r="F390" s="242">
        <v>444</v>
      </c>
      <c r="G390" s="295" t="s">
        <v>3818</v>
      </c>
      <c r="J390" s="595">
        <f t="shared" si="12"/>
        <v>0</v>
      </c>
    </row>
    <row r="391" spans="5:10" ht="15" customHeight="1" x14ac:dyDescent="0.25">
      <c r="F391" s="527"/>
      <c r="G391" s="893" t="s">
        <v>5476</v>
      </c>
    </row>
    <row r="392" spans="5:10" ht="30" x14ac:dyDescent="0.25">
      <c r="E392" s="218">
        <v>7</v>
      </c>
      <c r="F392" s="242">
        <v>4511</v>
      </c>
      <c r="G392" s="223" t="s">
        <v>1692</v>
      </c>
      <c r="H392" s="594">
        <v>3900000</v>
      </c>
      <c r="J392" s="595">
        <f t="shared" si="12"/>
        <v>3900000</v>
      </c>
    </row>
    <row r="393" spans="5:10" ht="30" hidden="1" x14ac:dyDescent="0.25">
      <c r="F393" s="242">
        <v>4512</v>
      </c>
      <c r="G393" s="223" t="s">
        <v>1701</v>
      </c>
      <c r="J393" s="595">
        <f t="shared" si="12"/>
        <v>0</v>
      </c>
    </row>
    <row r="394" spans="5:10" hidden="1" x14ac:dyDescent="0.25">
      <c r="F394" s="242">
        <v>452</v>
      </c>
      <c r="G394" s="295" t="s">
        <v>4209</v>
      </c>
      <c r="J394" s="595">
        <f t="shared" si="12"/>
        <v>0</v>
      </c>
    </row>
    <row r="395" spans="5:10" hidden="1" x14ac:dyDescent="0.25">
      <c r="F395" s="242">
        <v>453</v>
      </c>
      <c r="G395" s="295" t="s">
        <v>4210</v>
      </c>
      <c r="J395" s="595">
        <f t="shared" si="12"/>
        <v>0</v>
      </c>
    </row>
    <row r="396" spans="5:10" hidden="1" x14ac:dyDescent="0.25">
      <c r="F396" s="242">
        <v>454</v>
      </c>
      <c r="G396" s="295" t="s">
        <v>3823</v>
      </c>
      <c r="J396" s="595">
        <f t="shared" si="12"/>
        <v>0</v>
      </c>
    </row>
    <row r="397" spans="5:10" hidden="1" x14ac:dyDescent="0.25">
      <c r="F397" s="242">
        <v>461</v>
      </c>
      <c r="G397" s="295" t="s">
        <v>4191</v>
      </c>
      <c r="J397" s="595">
        <f t="shared" si="12"/>
        <v>0</v>
      </c>
    </row>
    <row r="398" spans="5:10" hidden="1" x14ac:dyDescent="0.25">
      <c r="F398" s="242">
        <v>462</v>
      </c>
      <c r="G398" s="295" t="s">
        <v>3826</v>
      </c>
      <c r="J398" s="595">
        <f t="shared" si="12"/>
        <v>0</v>
      </c>
    </row>
    <row r="399" spans="5:10" hidden="1" x14ac:dyDescent="0.25">
      <c r="F399" s="242">
        <v>4631</v>
      </c>
      <c r="G399" s="295" t="s">
        <v>3827</v>
      </c>
      <c r="J399" s="595">
        <f t="shared" si="12"/>
        <v>0</v>
      </c>
    </row>
    <row r="400" spans="5:10" hidden="1" x14ac:dyDescent="0.25">
      <c r="F400" s="242">
        <v>4632</v>
      </c>
      <c r="G400" s="295" t="s">
        <v>3828</v>
      </c>
      <c r="J400" s="595">
        <f t="shared" si="12"/>
        <v>0</v>
      </c>
    </row>
    <row r="401" spans="5:10" hidden="1" x14ac:dyDescent="0.25">
      <c r="F401" s="242">
        <v>464</v>
      </c>
      <c r="G401" s="295" t="s">
        <v>3829</v>
      </c>
      <c r="J401" s="595">
        <f t="shared" si="12"/>
        <v>0</v>
      </c>
    </row>
    <row r="402" spans="5:10" x14ac:dyDescent="0.25">
      <c r="E402" s="218">
        <v>8</v>
      </c>
      <c r="F402" s="242">
        <v>465</v>
      </c>
      <c r="G402" s="295" t="s">
        <v>4192</v>
      </c>
      <c r="H402" s="594">
        <v>400000</v>
      </c>
      <c r="J402" s="595">
        <f t="shared" si="12"/>
        <v>400000</v>
      </c>
    </row>
    <row r="403" spans="5:10" hidden="1" x14ac:dyDescent="0.25">
      <c r="F403" s="242">
        <v>472</v>
      </c>
      <c r="G403" s="295" t="s">
        <v>3833</v>
      </c>
      <c r="J403" s="595">
        <f t="shared" si="12"/>
        <v>0</v>
      </c>
    </row>
    <row r="404" spans="5:10" hidden="1" x14ac:dyDescent="0.25">
      <c r="F404" s="242">
        <v>481</v>
      </c>
      <c r="G404" s="295" t="s">
        <v>4211</v>
      </c>
      <c r="J404" s="595">
        <f t="shared" si="12"/>
        <v>0</v>
      </c>
    </row>
    <row r="405" spans="5:10" hidden="1" x14ac:dyDescent="0.25">
      <c r="F405" s="242">
        <v>482</v>
      </c>
      <c r="G405" s="295" t="s">
        <v>4212</v>
      </c>
      <c r="J405" s="595">
        <f t="shared" si="12"/>
        <v>0</v>
      </c>
    </row>
    <row r="406" spans="5:10" x14ac:dyDescent="0.25">
      <c r="E406" s="218">
        <v>9</v>
      </c>
      <c r="F406" s="242">
        <v>483</v>
      </c>
      <c r="G406" s="298" t="s">
        <v>4213</v>
      </c>
      <c r="H406" s="594">
        <v>2530000</v>
      </c>
      <c r="J406" s="595">
        <f t="shared" si="12"/>
        <v>2530000</v>
      </c>
    </row>
    <row r="407" spans="5:10" ht="30" hidden="1" x14ac:dyDescent="0.25">
      <c r="F407" s="242">
        <v>484</v>
      </c>
      <c r="G407" s="295" t="s">
        <v>4214</v>
      </c>
      <c r="J407" s="595">
        <f t="shared" si="12"/>
        <v>0</v>
      </c>
    </row>
    <row r="408" spans="5:10" ht="30.75" thickBot="1" x14ac:dyDescent="0.3">
      <c r="E408" s="218">
        <v>10</v>
      </c>
      <c r="F408" s="242">
        <v>485</v>
      </c>
      <c r="G408" s="295" t="s">
        <v>4215</v>
      </c>
      <c r="H408" s="594">
        <v>1400000</v>
      </c>
      <c r="J408" s="595">
        <f t="shared" si="12"/>
        <v>1400000</v>
      </c>
    </row>
    <row r="409" spans="5:10" ht="30" hidden="1" x14ac:dyDescent="0.25">
      <c r="F409" s="242">
        <v>489</v>
      </c>
      <c r="G409" s="295" t="s">
        <v>3841</v>
      </c>
      <c r="J409" s="595">
        <f t="shared" si="12"/>
        <v>0</v>
      </c>
    </row>
    <row r="410" spans="5:10" hidden="1" x14ac:dyDescent="0.25">
      <c r="F410" s="242">
        <v>494</v>
      </c>
      <c r="G410" s="295" t="s">
        <v>4193</v>
      </c>
      <c r="J410" s="595">
        <f t="shared" si="12"/>
        <v>0</v>
      </c>
    </row>
    <row r="411" spans="5:10" ht="30" hidden="1" x14ac:dyDescent="0.25">
      <c r="F411" s="242">
        <v>495</v>
      </c>
      <c r="G411" s="295" t="s">
        <v>4194</v>
      </c>
      <c r="J411" s="595">
        <f t="shared" si="12"/>
        <v>0</v>
      </c>
    </row>
    <row r="412" spans="5:10" ht="30" hidden="1" x14ac:dyDescent="0.25">
      <c r="F412" s="242">
        <v>496</v>
      </c>
      <c r="G412" s="295" t="s">
        <v>4195</v>
      </c>
      <c r="J412" s="595">
        <f t="shared" si="12"/>
        <v>0</v>
      </c>
    </row>
    <row r="413" spans="5:10" hidden="1" x14ac:dyDescent="0.25">
      <c r="F413" s="242">
        <v>499</v>
      </c>
      <c r="G413" s="295" t="s">
        <v>4196</v>
      </c>
      <c r="J413" s="595">
        <f t="shared" si="12"/>
        <v>0</v>
      </c>
    </row>
    <row r="414" spans="5:10" hidden="1" x14ac:dyDescent="0.25">
      <c r="F414" s="242">
        <v>511</v>
      </c>
      <c r="G414" s="298" t="s">
        <v>4216</v>
      </c>
      <c r="J414" s="595">
        <f t="shared" si="12"/>
        <v>0</v>
      </c>
    </row>
    <row r="415" spans="5:10" hidden="1" x14ac:dyDescent="0.25">
      <c r="F415" s="242">
        <v>512</v>
      </c>
      <c r="G415" s="298" t="s">
        <v>4217</v>
      </c>
      <c r="J415" s="595">
        <f t="shared" si="12"/>
        <v>0</v>
      </c>
    </row>
    <row r="416" spans="5:10" hidden="1" x14ac:dyDescent="0.25">
      <c r="F416" s="242">
        <v>513</v>
      </c>
      <c r="G416" s="298" t="s">
        <v>4218</v>
      </c>
      <c r="J416" s="595">
        <f t="shared" si="12"/>
        <v>0</v>
      </c>
    </row>
    <row r="417" spans="5:10" hidden="1" x14ac:dyDescent="0.25">
      <c r="F417" s="242">
        <v>514</v>
      </c>
      <c r="G417" s="295" t="s">
        <v>4219</v>
      </c>
      <c r="J417" s="595">
        <f t="shared" si="12"/>
        <v>0</v>
      </c>
    </row>
    <row r="418" spans="5:10" hidden="1" x14ac:dyDescent="0.25">
      <c r="F418" s="242">
        <v>515</v>
      </c>
      <c r="G418" s="295" t="s">
        <v>3852</v>
      </c>
      <c r="J418" s="595">
        <f t="shared" si="12"/>
        <v>0</v>
      </c>
    </row>
    <row r="419" spans="5:10" hidden="1" x14ac:dyDescent="0.25">
      <c r="F419" s="242">
        <v>521</v>
      </c>
      <c r="G419" s="295" t="s">
        <v>4220</v>
      </c>
      <c r="J419" s="595">
        <f t="shared" si="12"/>
        <v>0</v>
      </c>
    </row>
    <row r="420" spans="5:10" hidden="1" x14ac:dyDescent="0.25">
      <c r="F420" s="242">
        <v>522</v>
      </c>
      <c r="G420" s="295" t="s">
        <v>4221</v>
      </c>
      <c r="J420" s="595">
        <f t="shared" si="12"/>
        <v>0</v>
      </c>
    </row>
    <row r="421" spans="5:10" hidden="1" x14ac:dyDescent="0.25">
      <c r="F421" s="242">
        <v>523</v>
      </c>
      <c r="G421" s="295" t="s">
        <v>3857</v>
      </c>
      <c r="J421" s="595">
        <f t="shared" si="12"/>
        <v>0</v>
      </c>
    </row>
    <row r="422" spans="5:10" hidden="1" x14ac:dyDescent="0.25">
      <c r="F422" s="242">
        <v>531</v>
      </c>
      <c r="G422" s="292" t="s">
        <v>4197</v>
      </c>
      <c r="J422" s="595">
        <f t="shared" si="12"/>
        <v>0</v>
      </c>
    </row>
    <row r="423" spans="5:10" hidden="1" x14ac:dyDescent="0.25">
      <c r="F423" s="242">
        <v>541</v>
      </c>
      <c r="G423" s="295" t="s">
        <v>4222</v>
      </c>
      <c r="J423" s="595">
        <f t="shared" si="12"/>
        <v>0</v>
      </c>
    </row>
    <row r="424" spans="5:10" hidden="1" x14ac:dyDescent="0.25">
      <c r="F424" s="242">
        <v>542</v>
      </c>
      <c r="G424" s="295" t="s">
        <v>4223</v>
      </c>
      <c r="J424" s="595">
        <f t="shared" si="12"/>
        <v>0</v>
      </c>
    </row>
    <row r="425" spans="5:10" hidden="1" x14ac:dyDescent="0.25">
      <c r="F425" s="242">
        <v>543</v>
      </c>
      <c r="G425" s="295" t="s">
        <v>3862</v>
      </c>
      <c r="J425" s="595">
        <f t="shared" si="12"/>
        <v>0</v>
      </c>
    </row>
    <row r="426" spans="5:10" ht="30" hidden="1" x14ac:dyDescent="0.25">
      <c r="F426" s="242">
        <v>551</v>
      </c>
      <c r="G426" s="295" t="s">
        <v>4198</v>
      </c>
      <c r="J426" s="595">
        <f t="shared" si="12"/>
        <v>0</v>
      </c>
    </row>
    <row r="427" spans="5:10" hidden="1" x14ac:dyDescent="0.25">
      <c r="F427" s="243">
        <v>611</v>
      </c>
      <c r="G427" s="299" t="s">
        <v>3868</v>
      </c>
      <c r="J427" s="595">
        <f t="shared" si="12"/>
        <v>0</v>
      </c>
    </row>
    <row r="428" spans="5:10" ht="15.75" hidden="1" thickBot="1" x14ac:dyDescent="0.3">
      <c r="F428" s="243">
        <v>620</v>
      </c>
      <c r="G428" s="299" t="s">
        <v>88</v>
      </c>
      <c r="J428" s="595">
        <f t="shared" si="12"/>
        <v>0</v>
      </c>
    </row>
    <row r="429" spans="5:10" x14ac:dyDescent="0.25">
      <c r="E429" s="293"/>
      <c r="F429" s="301"/>
      <c r="G429" s="327" t="s">
        <v>4307</v>
      </c>
      <c r="H429" s="596"/>
      <c r="I429" s="622"/>
      <c r="J429" s="597"/>
    </row>
    <row r="430" spans="5:10" ht="15.75" thickBot="1" x14ac:dyDescent="0.3">
      <c r="E430" s="222"/>
      <c r="F430" s="249" t="s">
        <v>234</v>
      </c>
      <c r="G430" s="252" t="s">
        <v>235</v>
      </c>
      <c r="H430" s="598">
        <f>SUM(H368:H428)</f>
        <v>17900000</v>
      </c>
      <c r="I430" s="599"/>
      <c r="J430" s="599">
        <f t="shared" ref="J430:J445" si="13">SUM(H430:I430)</f>
        <v>17900000</v>
      </c>
    </row>
    <row r="431" spans="5:10" hidden="1" x14ac:dyDescent="0.25">
      <c r="F431" s="249" t="s">
        <v>236</v>
      </c>
      <c r="G431" s="252" t="s">
        <v>237</v>
      </c>
      <c r="J431" s="599">
        <f t="shared" si="13"/>
        <v>0</v>
      </c>
    </row>
    <row r="432" spans="5:10" hidden="1" x14ac:dyDescent="0.25">
      <c r="F432" s="249" t="s">
        <v>238</v>
      </c>
      <c r="G432" s="252" t="s">
        <v>239</v>
      </c>
      <c r="J432" s="599">
        <f t="shared" si="13"/>
        <v>0</v>
      </c>
    </row>
    <row r="433" spans="5:10" hidden="1" x14ac:dyDescent="0.25">
      <c r="F433" s="249" t="s">
        <v>240</v>
      </c>
      <c r="G433" s="252" t="s">
        <v>241</v>
      </c>
      <c r="J433" s="599">
        <f t="shared" si="13"/>
        <v>0</v>
      </c>
    </row>
    <row r="434" spans="5:10" hidden="1" x14ac:dyDescent="0.25">
      <c r="F434" s="249" t="s">
        <v>242</v>
      </c>
      <c r="G434" s="252" t="s">
        <v>243</v>
      </c>
      <c r="J434" s="599">
        <f t="shared" si="13"/>
        <v>0</v>
      </c>
    </row>
    <row r="435" spans="5:10" hidden="1" x14ac:dyDescent="0.25">
      <c r="F435" s="249" t="s">
        <v>244</v>
      </c>
      <c r="G435" s="252" t="s">
        <v>245</v>
      </c>
      <c r="J435" s="599">
        <f t="shared" si="13"/>
        <v>0</v>
      </c>
    </row>
    <row r="436" spans="5:10" hidden="1" x14ac:dyDescent="0.25">
      <c r="F436" s="249" t="s">
        <v>246</v>
      </c>
      <c r="G436" s="252" t="s">
        <v>247</v>
      </c>
      <c r="J436" s="599">
        <f t="shared" si="13"/>
        <v>0</v>
      </c>
    </row>
    <row r="437" spans="5:10" hidden="1" x14ac:dyDescent="0.25">
      <c r="F437" s="249" t="s">
        <v>248</v>
      </c>
      <c r="G437" s="252" t="s">
        <v>249</v>
      </c>
      <c r="J437" s="599">
        <f t="shared" si="13"/>
        <v>0</v>
      </c>
    </row>
    <row r="438" spans="5:10" hidden="1" x14ac:dyDescent="0.25">
      <c r="F438" s="249" t="s">
        <v>250</v>
      </c>
      <c r="G438" s="252" t="s">
        <v>57</v>
      </c>
      <c r="J438" s="599">
        <f t="shared" si="13"/>
        <v>0</v>
      </c>
    </row>
    <row r="439" spans="5:10" hidden="1" x14ac:dyDescent="0.25">
      <c r="F439" s="249" t="s">
        <v>251</v>
      </c>
      <c r="G439" s="252" t="s">
        <v>252</v>
      </c>
      <c r="J439" s="599">
        <f t="shared" si="13"/>
        <v>0</v>
      </c>
    </row>
    <row r="440" spans="5:10" hidden="1" x14ac:dyDescent="0.25">
      <c r="F440" s="249" t="s">
        <v>253</v>
      </c>
      <c r="G440" s="252" t="s">
        <v>254</v>
      </c>
      <c r="J440" s="599">
        <f t="shared" si="13"/>
        <v>0</v>
      </c>
    </row>
    <row r="441" spans="5:10" ht="30" hidden="1" x14ac:dyDescent="0.25">
      <c r="F441" s="249" t="s">
        <v>255</v>
      </c>
      <c r="G441" s="252" t="s">
        <v>256</v>
      </c>
      <c r="J441" s="599">
        <f t="shared" si="13"/>
        <v>0</v>
      </c>
    </row>
    <row r="442" spans="5:10" hidden="1" x14ac:dyDescent="0.25">
      <c r="F442" s="249" t="s">
        <v>257</v>
      </c>
      <c r="G442" s="252" t="s">
        <v>258</v>
      </c>
      <c r="J442" s="599">
        <f t="shared" si="13"/>
        <v>0</v>
      </c>
    </row>
    <row r="443" spans="5:10" ht="30" hidden="1" x14ac:dyDescent="0.25">
      <c r="F443" s="249" t="s">
        <v>259</v>
      </c>
      <c r="G443" s="252" t="s">
        <v>260</v>
      </c>
      <c r="J443" s="599">
        <f t="shared" si="13"/>
        <v>0</v>
      </c>
    </row>
    <row r="444" spans="5:10" hidden="1" x14ac:dyDescent="0.25">
      <c r="F444" s="249" t="s">
        <v>261</v>
      </c>
      <c r="G444" s="252" t="s">
        <v>262</v>
      </c>
      <c r="J444" s="599">
        <f t="shared" si="13"/>
        <v>0</v>
      </c>
    </row>
    <row r="445" spans="5:10" ht="15.75" hidden="1" thickBot="1" x14ac:dyDescent="0.3">
      <c r="F445" s="249" t="s">
        <v>263</v>
      </c>
      <c r="G445" s="252" t="s">
        <v>264</v>
      </c>
      <c r="H445" s="598"/>
      <c r="I445" s="599"/>
      <c r="J445" s="599">
        <f t="shared" si="13"/>
        <v>0</v>
      </c>
    </row>
    <row r="446" spans="5:10" ht="15.75" thickBot="1" x14ac:dyDescent="0.3">
      <c r="G446" s="229" t="s">
        <v>4311</v>
      </c>
      <c r="H446" s="600">
        <f>SUM(H430:H445)</f>
        <v>17900000</v>
      </c>
      <c r="I446" s="601">
        <f>SUM(I431:I445)</f>
        <v>0</v>
      </c>
      <c r="J446" s="601">
        <f>SUM(J430:J445)</f>
        <v>17900000</v>
      </c>
    </row>
    <row r="447" spans="5:10" ht="21" customHeight="1" collapsed="1" x14ac:dyDescent="0.25">
      <c r="E447" s="293"/>
      <c r="F447" s="301"/>
      <c r="G447" s="231" t="s">
        <v>4306</v>
      </c>
      <c r="H447" s="602"/>
      <c r="I447" s="623"/>
      <c r="J447" s="603"/>
    </row>
    <row r="448" spans="5:10" ht="15.75" thickBot="1" x14ac:dyDescent="0.3">
      <c r="E448" s="222"/>
      <c r="F448" s="249" t="s">
        <v>234</v>
      </c>
      <c r="G448" s="252" t="s">
        <v>235</v>
      </c>
      <c r="H448" s="598">
        <f>SUM(H368:H428)</f>
        <v>17900000</v>
      </c>
      <c r="I448" s="599"/>
      <c r="J448" s="599">
        <f>SUM(H448:I448)</f>
        <v>17900000</v>
      </c>
    </row>
    <row r="449" spans="6:10" hidden="1" x14ac:dyDescent="0.25">
      <c r="F449" s="249" t="s">
        <v>236</v>
      </c>
      <c r="G449" s="252" t="s">
        <v>237</v>
      </c>
      <c r="J449" s="599">
        <f t="shared" ref="J449:J463" si="14">SUM(H449:I449)</f>
        <v>0</v>
      </c>
    </row>
    <row r="450" spans="6:10" hidden="1" x14ac:dyDescent="0.25">
      <c r="F450" s="249" t="s">
        <v>238</v>
      </c>
      <c r="G450" s="252" t="s">
        <v>239</v>
      </c>
      <c r="J450" s="599">
        <f t="shared" si="14"/>
        <v>0</v>
      </c>
    </row>
    <row r="451" spans="6:10" hidden="1" x14ac:dyDescent="0.25">
      <c r="F451" s="249" t="s">
        <v>240</v>
      </c>
      <c r="G451" s="252" t="s">
        <v>241</v>
      </c>
      <c r="J451" s="599">
        <f t="shared" si="14"/>
        <v>0</v>
      </c>
    </row>
    <row r="452" spans="6:10" hidden="1" x14ac:dyDescent="0.25">
      <c r="F452" s="249" t="s">
        <v>242</v>
      </c>
      <c r="G452" s="252" t="s">
        <v>243</v>
      </c>
      <c r="J452" s="599">
        <f t="shared" si="14"/>
        <v>0</v>
      </c>
    </row>
    <row r="453" spans="6:10" hidden="1" x14ac:dyDescent="0.25">
      <c r="F453" s="249" t="s">
        <v>244</v>
      </c>
      <c r="G453" s="252" t="s">
        <v>245</v>
      </c>
      <c r="J453" s="599">
        <f t="shared" si="14"/>
        <v>0</v>
      </c>
    </row>
    <row r="454" spans="6:10" hidden="1" x14ac:dyDescent="0.25">
      <c r="F454" s="249" t="s">
        <v>246</v>
      </c>
      <c r="G454" s="252" t="s">
        <v>247</v>
      </c>
      <c r="J454" s="599">
        <f t="shared" si="14"/>
        <v>0</v>
      </c>
    </row>
    <row r="455" spans="6:10" hidden="1" x14ac:dyDescent="0.25">
      <c r="F455" s="249" t="s">
        <v>248</v>
      </c>
      <c r="G455" s="252" t="s">
        <v>249</v>
      </c>
      <c r="J455" s="599">
        <f t="shared" si="14"/>
        <v>0</v>
      </c>
    </row>
    <row r="456" spans="6:10" hidden="1" x14ac:dyDescent="0.25">
      <c r="F456" s="249" t="s">
        <v>250</v>
      </c>
      <c r="G456" s="252" t="s">
        <v>57</v>
      </c>
      <c r="J456" s="599">
        <f t="shared" si="14"/>
        <v>0</v>
      </c>
    </row>
    <row r="457" spans="6:10" hidden="1" x14ac:dyDescent="0.25">
      <c r="F457" s="249" t="s">
        <v>251</v>
      </c>
      <c r="G457" s="252" t="s">
        <v>252</v>
      </c>
      <c r="J457" s="599">
        <f t="shared" si="14"/>
        <v>0</v>
      </c>
    </row>
    <row r="458" spans="6:10" hidden="1" x14ac:dyDescent="0.25">
      <c r="F458" s="249" t="s">
        <v>253</v>
      </c>
      <c r="G458" s="252" t="s">
        <v>254</v>
      </c>
      <c r="J458" s="599">
        <f t="shared" si="14"/>
        <v>0</v>
      </c>
    </row>
    <row r="459" spans="6:10" ht="30" hidden="1" x14ac:dyDescent="0.25">
      <c r="F459" s="249" t="s">
        <v>255</v>
      </c>
      <c r="G459" s="252" t="s">
        <v>256</v>
      </c>
      <c r="J459" s="599">
        <f t="shared" si="14"/>
        <v>0</v>
      </c>
    </row>
    <row r="460" spans="6:10" hidden="1" x14ac:dyDescent="0.25">
      <c r="F460" s="249" t="s">
        <v>257</v>
      </c>
      <c r="G460" s="252" t="s">
        <v>258</v>
      </c>
      <c r="J460" s="599">
        <f t="shared" si="14"/>
        <v>0</v>
      </c>
    </row>
    <row r="461" spans="6:10" ht="30" hidden="1" x14ac:dyDescent="0.25">
      <c r="F461" s="249" t="s">
        <v>259</v>
      </c>
      <c r="G461" s="252" t="s">
        <v>260</v>
      </c>
      <c r="J461" s="599">
        <f t="shared" si="14"/>
        <v>0</v>
      </c>
    </row>
    <row r="462" spans="6:10" hidden="1" x14ac:dyDescent="0.25">
      <c r="F462" s="249" t="s">
        <v>261</v>
      </c>
      <c r="G462" s="252" t="s">
        <v>262</v>
      </c>
      <c r="J462" s="599">
        <f t="shared" si="14"/>
        <v>0</v>
      </c>
    </row>
    <row r="463" spans="6:10" ht="15.75" hidden="1" thickBot="1" x14ac:dyDescent="0.3">
      <c r="F463" s="249" t="s">
        <v>263</v>
      </c>
      <c r="G463" s="252" t="s">
        <v>264</v>
      </c>
      <c r="H463" s="598"/>
      <c r="I463" s="599"/>
      <c r="J463" s="599">
        <f t="shared" si="14"/>
        <v>0</v>
      </c>
    </row>
    <row r="464" spans="6:10" ht="15.75" collapsed="1" thickBot="1" x14ac:dyDescent="0.3">
      <c r="G464" s="229" t="s">
        <v>4305</v>
      </c>
      <c r="H464" s="600">
        <f>SUM(H448:H463)</f>
        <v>17900000</v>
      </c>
      <c r="I464" s="601">
        <f>SUM(I449:I463)</f>
        <v>0</v>
      </c>
      <c r="J464" s="601">
        <f>SUM(J448:J463)</f>
        <v>17900000</v>
      </c>
    </row>
    <row r="465" spans="3:10" x14ac:dyDescent="0.25">
      <c r="G465" s="286"/>
      <c r="H465" s="604"/>
      <c r="I465" s="605"/>
      <c r="J465" s="605"/>
    </row>
    <row r="466" spans="3:10" x14ac:dyDescent="0.25">
      <c r="D466" s="798"/>
      <c r="G466" s="286" t="s">
        <v>5280</v>
      </c>
      <c r="H466" s="604"/>
      <c r="I466" s="605"/>
      <c r="J466" s="605"/>
    </row>
    <row r="467" spans="3:10" ht="20.25" customHeight="1" x14ac:dyDescent="0.25">
      <c r="C467" s="228" t="s">
        <v>4154</v>
      </c>
      <c r="D467" s="219"/>
      <c r="G467" s="511" t="s">
        <v>4155</v>
      </c>
    </row>
    <row r="468" spans="3:10" x14ac:dyDescent="0.25">
      <c r="C468" s="228"/>
      <c r="D468" s="312">
        <v>360</v>
      </c>
      <c r="E468" s="312"/>
      <c r="F468" s="312"/>
      <c r="G468" s="56" t="s">
        <v>5287</v>
      </c>
      <c r="H468" s="598"/>
      <c r="I468" s="599"/>
      <c r="J468" s="599"/>
    </row>
    <row r="469" spans="3:10" hidden="1" x14ac:dyDescent="0.25">
      <c r="F469" s="527">
        <v>411</v>
      </c>
      <c r="G469" s="520" t="s">
        <v>4189</v>
      </c>
      <c r="J469" s="595">
        <f>SUM(H469:I469)</f>
        <v>0</v>
      </c>
    </row>
    <row r="470" spans="3:10" hidden="1" x14ac:dyDescent="0.25">
      <c r="F470" s="527">
        <v>412</v>
      </c>
      <c r="G470" s="516" t="s">
        <v>3784</v>
      </c>
      <c r="J470" s="595">
        <f t="shared" ref="J470:J528" si="15">SUM(H470:I470)</f>
        <v>0</v>
      </c>
    </row>
    <row r="471" spans="3:10" hidden="1" x14ac:dyDescent="0.25">
      <c r="F471" s="527">
        <v>413</v>
      </c>
      <c r="G471" s="520" t="s">
        <v>4190</v>
      </c>
      <c r="J471" s="595">
        <f t="shared" si="15"/>
        <v>0</v>
      </c>
    </row>
    <row r="472" spans="3:10" hidden="1" x14ac:dyDescent="0.25">
      <c r="F472" s="527">
        <v>414</v>
      </c>
      <c r="G472" s="520" t="s">
        <v>3787</v>
      </c>
      <c r="J472" s="595">
        <f t="shared" si="15"/>
        <v>0</v>
      </c>
    </row>
    <row r="473" spans="3:10" hidden="1" x14ac:dyDescent="0.25">
      <c r="F473" s="527">
        <v>415</v>
      </c>
      <c r="G473" s="520" t="s">
        <v>4199</v>
      </c>
      <c r="J473" s="595">
        <f t="shared" si="15"/>
        <v>0</v>
      </c>
    </row>
    <row r="474" spans="3:10" hidden="1" x14ac:dyDescent="0.25">
      <c r="F474" s="527">
        <v>416</v>
      </c>
      <c r="G474" s="520" t="s">
        <v>4200</v>
      </c>
      <c r="J474" s="595">
        <f t="shared" si="15"/>
        <v>0</v>
      </c>
    </row>
    <row r="475" spans="3:10" hidden="1" x14ac:dyDescent="0.25">
      <c r="F475" s="527">
        <v>417</v>
      </c>
      <c r="G475" s="520" t="s">
        <v>4201</v>
      </c>
      <c r="J475" s="595">
        <f t="shared" si="15"/>
        <v>0</v>
      </c>
    </row>
    <row r="476" spans="3:10" hidden="1" x14ac:dyDescent="0.25">
      <c r="F476" s="527">
        <v>418</v>
      </c>
      <c r="G476" s="520" t="s">
        <v>3793</v>
      </c>
      <c r="J476" s="595">
        <f t="shared" si="15"/>
        <v>0</v>
      </c>
    </row>
    <row r="477" spans="3:10" hidden="1" x14ac:dyDescent="0.25">
      <c r="F477" s="527">
        <v>421</v>
      </c>
      <c r="G477" s="520" t="s">
        <v>3797</v>
      </c>
      <c r="J477" s="595">
        <f t="shared" si="15"/>
        <v>0</v>
      </c>
    </row>
    <row r="478" spans="3:10" hidden="1" x14ac:dyDescent="0.25">
      <c r="F478" s="527">
        <v>422</v>
      </c>
      <c r="G478" s="520" t="s">
        <v>3798</v>
      </c>
      <c r="J478" s="595">
        <f t="shared" si="15"/>
        <v>0</v>
      </c>
    </row>
    <row r="479" spans="3:10" x14ac:dyDescent="0.25">
      <c r="E479" s="218">
        <v>11</v>
      </c>
      <c r="F479" s="527">
        <v>423</v>
      </c>
      <c r="G479" s="520" t="s">
        <v>3799</v>
      </c>
      <c r="H479" s="594">
        <v>150000</v>
      </c>
      <c r="J479" s="595">
        <f t="shared" si="15"/>
        <v>150000</v>
      </c>
    </row>
    <row r="480" spans="3:10" x14ac:dyDescent="0.25">
      <c r="E480" s="218">
        <v>12</v>
      </c>
      <c r="F480" s="527">
        <v>424</v>
      </c>
      <c r="G480" s="520" t="s">
        <v>3801</v>
      </c>
      <c r="H480" s="594">
        <v>2500000</v>
      </c>
      <c r="J480" s="595">
        <f t="shared" si="15"/>
        <v>2500000</v>
      </c>
    </row>
    <row r="481" spans="5:10" hidden="1" x14ac:dyDescent="0.25">
      <c r="F481" s="527">
        <v>425</v>
      </c>
      <c r="G481" s="520" t="s">
        <v>4202</v>
      </c>
      <c r="J481" s="595">
        <f t="shared" si="15"/>
        <v>0</v>
      </c>
    </row>
    <row r="482" spans="5:10" x14ac:dyDescent="0.25">
      <c r="E482" s="218">
        <v>13</v>
      </c>
      <c r="F482" s="527">
        <v>426</v>
      </c>
      <c r="G482" s="520" t="s">
        <v>3805</v>
      </c>
      <c r="H482" s="594">
        <v>200000</v>
      </c>
      <c r="J482" s="595">
        <f t="shared" si="15"/>
        <v>200000</v>
      </c>
    </row>
    <row r="483" spans="5:10" hidden="1" x14ac:dyDescent="0.25">
      <c r="F483" s="527">
        <v>431</v>
      </c>
      <c r="G483" s="520" t="s">
        <v>4203</v>
      </c>
      <c r="J483" s="595">
        <f t="shared" si="15"/>
        <v>0</v>
      </c>
    </row>
    <row r="484" spans="5:10" hidden="1" x14ac:dyDescent="0.25">
      <c r="F484" s="527">
        <v>432</v>
      </c>
      <c r="G484" s="520" t="s">
        <v>4204</v>
      </c>
      <c r="J484" s="595">
        <f t="shared" si="15"/>
        <v>0</v>
      </c>
    </row>
    <row r="485" spans="5:10" hidden="1" x14ac:dyDescent="0.25">
      <c r="F485" s="527">
        <v>433</v>
      </c>
      <c r="G485" s="520" t="s">
        <v>4205</v>
      </c>
      <c r="J485" s="595">
        <f t="shared" si="15"/>
        <v>0</v>
      </c>
    </row>
    <row r="486" spans="5:10" hidden="1" x14ac:dyDescent="0.25">
      <c r="F486" s="527">
        <v>434</v>
      </c>
      <c r="G486" s="520" t="s">
        <v>4206</v>
      </c>
      <c r="J486" s="595">
        <f t="shared" si="15"/>
        <v>0</v>
      </c>
    </row>
    <row r="487" spans="5:10" hidden="1" x14ac:dyDescent="0.25">
      <c r="F487" s="527">
        <v>435</v>
      </c>
      <c r="G487" s="520" t="s">
        <v>3812</v>
      </c>
      <c r="J487" s="595">
        <f t="shared" si="15"/>
        <v>0</v>
      </c>
    </row>
    <row r="488" spans="5:10" hidden="1" x14ac:dyDescent="0.25">
      <c r="F488" s="527">
        <v>441</v>
      </c>
      <c r="G488" s="520" t="s">
        <v>4207</v>
      </c>
      <c r="J488" s="595">
        <f t="shared" si="15"/>
        <v>0</v>
      </c>
    </row>
    <row r="489" spans="5:10" hidden="1" x14ac:dyDescent="0.25">
      <c r="F489" s="527">
        <v>442</v>
      </c>
      <c r="G489" s="520" t="s">
        <v>4208</v>
      </c>
      <c r="J489" s="595">
        <f t="shared" si="15"/>
        <v>0</v>
      </c>
    </row>
    <row r="490" spans="5:10" hidden="1" x14ac:dyDescent="0.25">
      <c r="F490" s="527">
        <v>443</v>
      </c>
      <c r="G490" s="520" t="s">
        <v>3817</v>
      </c>
      <c r="J490" s="595">
        <f t="shared" si="15"/>
        <v>0</v>
      </c>
    </row>
    <row r="491" spans="5:10" hidden="1" x14ac:dyDescent="0.25">
      <c r="F491" s="527">
        <v>444</v>
      </c>
      <c r="G491" s="520" t="s">
        <v>3818</v>
      </c>
      <c r="J491" s="595">
        <f t="shared" si="15"/>
        <v>0</v>
      </c>
    </row>
    <row r="492" spans="5:10" ht="30" hidden="1" x14ac:dyDescent="0.25">
      <c r="F492" s="527">
        <v>4511</v>
      </c>
      <c r="G492" s="223" t="s">
        <v>1692</v>
      </c>
      <c r="J492" s="595">
        <f t="shared" si="15"/>
        <v>0</v>
      </c>
    </row>
    <row r="493" spans="5:10" ht="30" hidden="1" x14ac:dyDescent="0.25">
      <c r="F493" s="527">
        <v>4512</v>
      </c>
      <c r="G493" s="223" t="s">
        <v>1701</v>
      </c>
      <c r="J493" s="595">
        <f t="shared" si="15"/>
        <v>0</v>
      </c>
    </row>
    <row r="494" spans="5:10" hidden="1" x14ac:dyDescent="0.25">
      <c r="F494" s="527">
        <v>452</v>
      </c>
      <c r="G494" s="520" t="s">
        <v>4209</v>
      </c>
      <c r="J494" s="595">
        <f t="shared" si="15"/>
        <v>0</v>
      </c>
    </row>
    <row r="495" spans="5:10" hidden="1" x14ac:dyDescent="0.25">
      <c r="F495" s="527">
        <v>453</v>
      </c>
      <c r="G495" s="520" t="s">
        <v>4210</v>
      </c>
      <c r="J495" s="595">
        <f t="shared" si="15"/>
        <v>0</v>
      </c>
    </row>
    <row r="496" spans="5:10" hidden="1" x14ac:dyDescent="0.25">
      <c r="F496" s="527">
        <v>454</v>
      </c>
      <c r="G496" s="520" t="s">
        <v>3823</v>
      </c>
      <c r="J496" s="595">
        <f t="shared" si="15"/>
        <v>0</v>
      </c>
    </row>
    <row r="497" spans="5:10" hidden="1" x14ac:dyDescent="0.25">
      <c r="F497" s="527">
        <v>461</v>
      </c>
      <c r="G497" s="520" t="s">
        <v>4191</v>
      </c>
      <c r="J497" s="595">
        <f t="shared" si="15"/>
        <v>0</v>
      </c>
    </row>
    <row r="498" spans="5:10" hidden="1" x14ac:dyDescent="0.25">
      <c r="F498" s="527">
        <v>462</v>
      </c>
      <c r="G498" s="520" t="s">
        <v>3826</v>
      </c>
      <c r="J498" s="595">
        <f t="shared" si="15"/>
        <v>0</v>
      </c>
    </row>
    <row r="499" spans="5:10" hidden="1" x14ac:dyDescent="0.25">
      <c r="F499" s="527">
        <v>4631</v>
      </c>
      <c r="G499" s="520" t="s">
        <v>3827</v>
      </c>
      <c r="J499" s="595">
        <f t="shared" si="15"/>
        <v>0</v>
      </c>
    </row>
    <row r="500" spans="5:10" hidden="1" x14ac:dyDescent="0.25">
      <c r="F500" s="527">
        <v>4632</v>
      </c>
      <c r="G500" s="520" t="s">
        <v>3828</v>
      </c>
      <c r="J500" s="595">
        <f t="shared" si="15"/>
        <v>0</v>
      </c>
    </row>
    <row r="501" spans="5:10" hidden="1" x14ac:dyDescent="0.25">
      <c r="F501" s="527">
        <v>464</v>
      </c>
      <c r="G501" s="520" t="s">
        <v>3829</v>
      </c>
      <c r="J501" s="595">
        <f t="shared" si="15"/>
        <v>0</v>
      </c>
    </row>
    <row r="502" spans="5:10" hidden="1" x14ac:dyDescent="0.25">
      <c r="F502" s="527">
        <v>465</v>
      </c>
      <c r="G502" s="520" t="s">
        <v>4192</v>
      </c>
      <c r="J502" s="595">
        <f t="shared" si="15"/>
        <v>0</v>
      </c>
    </row>
    <row r="503" spans="5:10" hidden="1" x14ac:dyDescent="0.25">
      <c r="F503" s="527">
        <v>472</v>
      </c>
      <c r="G503" s="520" t="s">
        <v>3833</v>
      </c>
      <c r="J503" s="595">
        <f t="shared" si="15"/>
        <v>0</v>
      </c>
    </row>
    <row r="504" spans="5:10" hidden="1" x14ac:dyDescent="0.25">
      <c r="F504" s="527">
        <v>481</v>
      </c>
      <c r="G504" s="520" t="s">
        <v>4211</v>
      </c>
      <c r="J504" s="595">
        <f t="shared" si="15"/>
        <v>0</v>
      </c>
    </row>
    <row r="505" spans="5:10" hidden="1" x14ac:dyDescent="0.25">
      <c r="F505" s="527">
        <v>482</v>
      </c>
      <c r="G505" s="520" t="s">
        <v>4212</v>
      </c>
      <c r="J505" s="595">
        <f t="shared" si="15"/>
        <v>0</v>
      </c>
    </row>
    <row r="506" spans="5:10" hidden="1" x14ac:dyDescent="0.25">
      <c r="F506" s="527">
        <v>483</v>
      </c>
      <c r="G506" s="524" t="s">
        <v>4213</v>
      </c>
      <c r="J506" s="595">
        <f t="shared" si="15"/>
        <v>0</v>
      </c>
    </row>
    <row r="507" spans="5:10" ht="30" x14ac:dyDescent="0.25">
      <c r="E507" s="218">
        <v>14</v>
      </c>
      <c r="F507" s="527">
        <v>484</v>
      </c>
      <c r="G507" s="520" t="s">
        <v>4214</v>
      </c>
      <c r="H507" s="594">
        <v>7500000</v>
      </c>
      <c r="J507" s="595">
        <f t="shared" si="15"/>
        <v>7500000</v>
      </c>
    </row>
    <row r="508" spans="5:10" ht="30" hidden="1" x14ac:dyDescent="0.25">
      <c r="F508" s="527">
        <v>485</v>
      </c>
      <c r="G508" s="520" t="s">
        <v>4215</v>
      </c>
      <c r="J508" s="595">
        <f t="shared" si="15"/>
        <v>0</v>
      </c>
    </row>
    <row r="509" spans="5:10" ht="30" hidden="1" x14ac:dyDescent="0.25">
      <c r="F509" s="527">
        <v>489</v>
      </c>
      <c r="G509" s="520" t="s">
        <v>3841</v>
      </c>
      <c r="J509" s="595">
        <f t="shared" si="15"/>
        <v>0</v>
      </c>
    </row>
    <row r="510" spans="5:10" hidden="1" x14ac:dyDescent="0.25">
      <c r="F510" s="527">
        <v>494</v>
      </c>
      <c r="G510" s="520" t="s">
        <v>4193</v>
      </c>
      <c r="J510" s="595">
        <f t="shared" si="15"/>
        <v>0</v>
      </c>
    </row>
    <row r="511" spans="5:10" ht="30" hidden="1" x14ac:dyDescent="0.25">
      <c r="F511" s="527">
        <v>495</v>
      </c>
      <c r="G511" s="520" t="s">
        <v>4194</v>
      </c>
      <c r="J511" s="595">
        <f t="shared" si="15"/>
        <v>0</v>
      </c>
    </row>
    <row r="512" spans="5:10" ht="30" hidden="1" x14ac:dyDescent="0.25">
      <c r="F512" s="527">
        <v>496</v>
      </c>
      <c r="G512" s="520" t="s">
        <v>4195</v>
      </c>
      <c r="J512" s="595">
        <f t="shared" si="15"/>
        <v>0</v>
      </c>
    </row>
    <row r="513" spans="5:10" hidden="1" x14ac:dyDescent="0.25">
      <c r="F513" s="527">
        <v>499</v>
      </c>
      <c r="G513" s="520" t="s">
        <v>4196</v>
      </c>
      <c r="J513" s="595">
        <f t="shared" si="15"/>
        <v>0</v>
      </c>
    </row>
    <row r="514" spans="5:10" hidden="1" x14ac:dyDescent="0.25">
      <c r="F514" s="527">
        <v>511</v>
      </c>
      <c r="G514" s="524" t="s">
        <v>4216</v>
      </c>
      <c r="J514" s="595">
        <f t="shared" si="15"/>
        <v>0</v>
      </c>
    </row>
    <row r="515" spans="5:10" ht="15.75" thickBot="1" x14ac:dyDescent="0.3">
      <c r="E515" s="218">
        <v>15</v>
      </c>
      <c r="F515" s="527">
        <v>512</v>
      </c>
      <c r="G515" s="524" t="s">
        <v>4217</v>
      </c>
      <c r="H515" s="594">
        <v>2250000</v>
      </c>
      <c r="J515" s="595">
        <f t="shared" si="15"/>
        <v>2250000</v>
      </c>
    </row>
    <row r="516" spans="5:10" hidden="1" x14ac:dyDescent="0.25">
      <c r="F516" s="527">
        <v>513</v>
      </c>
      <c r="G516" s="524" t="s">
        <v>4218</v>
      </c>
      <c r="J516" s="595">
        <f t="shared" si="15"/>
        <v>0</v>
      </c>
    </row>
    <row r="517" spans="5:10" hidden="1" x14ac:dyDescent="0.25">
      <c r="F517" s="527">
        <v>514</v>
      </c>
      <c r="G517" s="520" t="s">
        <v>4219</v>
      </c>
      <c r="J517" s="595">
        <f t="shared" si="15"/>
        <v>0</v>
      </c>
    </row>
    <row r="518" spans="5:10" hidden="1" x14ac:dyDescent="0.25">
      <c r="F518" s="527">
        <v>515</v>
      </c>
      <c r="G518" s="520" t="s">
        <v>3852</v>
      </c>
      <c r="J518" s="595">
        <f t="shared" si="15"/>
        <v>0</v>
      </c>
    </row>
    <row r="519" spans="5:10" hidden="1" x14ac:dyDescent="0.25">
      <c r="F519" s="527">
        <v>521</v>
      </c>
      <c r="G519" s="520" t="s">
        <v>4220</v>
      </c>
      <c r="J519" s="595">
        <f t="shared" si="15"/>
        <v>0</v>
      </c>
    </row>
    <row r="520" spans="5:10" hidden="1" x14ac:dyDescent="0.25">
      <c r="F520" s="527">
        <v>522</v>
      </c>
      <c r="G520" s="520" t="s">
        <v>4221</v>
      </c>
      <c r="J520" s="595">
        <f t="shared" si="15"/>
        <v>0</v>
      </c>
    </row>
    <row r="521" spans="5:10" hidden="1" x14ac:dyDescent="0.25">
      <c r="F521" s="527">
        <v>523</v>
      </c>
      <c r="G521" s="520" t="s">
        <v>3857</v>
      </c>
      <c r="J521" s="595">
        <f t="shared" si="15"/>
        <v>0</v>
      </c>
    </row>
    <row r="522" spans="5:10" hidden="1" x14ac:dyDescent="0.25">
      <c r="F522" s="527">
        <v>531</v>
      </c>
      <c r="G522" s="516" t="s">
        <v>4197</v>
      </c>
      <c r="J522" s="595">
        <f t="shared" si="15"/>
        <v>0</v>
      </c>
    </row>
    <row r="523" spans="5:10" hidden="1" x14ac:dyDescent="0.25">
      <c r="F523" s="527">
        <v>541</v>
      </c>
      <c r="G523" s="520" t="s">
        <v>4222</v>
      </c>
      <c r="J523" s="595">
        <f t="shared" si="15"/>
        <v>0</v>
      </c>
    </row>
    <row r="524" spans="5:10" hidden="1" x14ac:dyDescent="0.25">
      <c r="F524" s="527">
        <v>542</v>
      </c>
      <c r="G524" s="520" t="s">
        <v>4223</v>
      </c>
      <c r="J524" s="595">
        <f t="shared" si="15"/>
        <v>0</v>
      </c>
    </row>
    <row r="525" spans="5:10" hidden="1" x14ac:dyDescent="0.25">
      <c r="F525" s="527">
        <v>543</v>
      </c>
      <c r="G525" s="520" t="s">
        <v>3862</v>
      </c>
      <c r="J525" s="595">
        <f t="shared" si="15"/>
        <v>0</v>
      </c>
    </row>
    <row r="526" spans="5:10" ht="30" hidden="1" x14ac:dyDescent="0.25">
      <c r="F526" s="527">
        <v>551</v>
      </c>
      <c r="G526" s="520" t="s">
        <v>4198</v>
      </c>
      <c r="J526" s="595">
        <f t="shared" si="15"/>
        <v>0</v>
      </c>
    </row>
    <row r="527" spans="5:10" hidden="1" x14ac:dyDescent="0.25">
      <c r="F527" s="528">
        <v>611</v>
      </c>
      <c r="G527" s="526" t="s">
        <v>3868</v>
      </c>
      <c r="J527" s="595">
        <f t="shared" si="15"/>
        <v>0</v>
      </c>
    </row>
    <row r="528" spans="5:10" ht="15.75" hidden="1" thickBot="1" x14ac:dyDescent="0.3">
      <c r="F528" s="528">
        <v>620</v>
      </c>
      <c r="G528" s="526" t="s">
        <v>88</v>
      </c>
      <c r="J528" s="595">
        <f t="shared" si="15"/>
        <v>0</v>
      </c>
    </row>
    <row r="529" spans="5:10" x14ac:dyDescent="0.25">
      <c r="E529" s="517"/>
      <c r="F529" s="528"/>
      <c r="G529" s="327" t="s">
        <v>5160</v>
      </c>
      <c r="H529" s="596"/>
      <c r="I529" s="622"/>
      <c r="J529" s="597"/>
    </row>
    <row r="530" spans="5:10" ht="15.75" thickBot="1" x14ac:dyDescent="0.3">
      <c r="E530" s="222"/>
      <c r="F530" s="642" t="s">
        <v>234</v>
      </c>
      <c r="G530" s="643" t="s">
        <v>235</v>
      </c>
      <c r="H530" s="598">
        <f>SUM(H479:H515)</f>
        <v>12600000</v>
      </c>
      <c r="I530" s="599"/>
      <c r="J530" s="599">
        <f t="shared" ref="J530:J545" si="16">SUM(H530:I530)</f>
        <v>12600000</v>
      </c>
    </row>
    <row r="531" spans="5:10" hidden="1" x14ac:dyDescent="0.25">
      <c r="F531" s="642" t="s">
        <v>236</v>
      </c>
      <c r="G531" s="643" t="s">
        <v>237</v>
      </c>
      <c r="J531" s="599">
        <f t="shared" si="16"/>
        <v>0</v>
      </c>
    </row>
    <row r="532" spans="5:10" hidden="1" x14ac:dyDescent="0.25">
      <c r="F532" s="642" t="s">
        <v>238</v>
      </c>
      <c r="G532" s="643" t="s">
        <v>239</v>
      </c>
      <c r="J532" s="599">
        <f t="shared" si="16"/>
        <v>0</v>
      </c>
    </row>
    <row r="533" spans="5:10" hidden="1" x14ac:dyDescent="0.25">
      <c r="F533" s="642" t="s">
        <v>240</v>
      </c>
      <c r="G533" s="643" t="s">
        <v>241</v>
      </c>
      <c r="J533" s="599">
        <f t="shared" si="16"/>
        <v>0</v>
      </c>
    </row>
    <row r="534" spans="5:10" hidden="1" x14ac:dyDescent="0.25">
      <c r="F534" s="642" t="s">
        <v>242</v>
      </c>
      <c r="G534" s="643" t="s">
        <v>243</v>
      </c>
      <c r="J534" s="599">
        <f t="shared" si="16"/>
        <v>0</v>
      </c>
    </row>
    <row r="535" spans="5:10" hidden="1" x14ac:dyDescent="0.25">
      <c r="F535" s="642" t="s">
        <v>244</v>
      </c>
      <c r="G535" s="643" t="s">
        <v>245</v>
      </c>
      <c r="J535" s="599">
        <f t="shared" si="16"/>
        <v>0</v>
      </c>
    </row>
    <row r="536" spans="5:10" hidden="1" x14ac:dyDescent="0.25">
      <c r="F536" s="642" t="s">
        <v>246</v>
      </c>
      <c r="G536" s="643" t="s">
        <v>247</v>
      </c>
      <c r="J536" s="599">
        <f t="shared" si="16"/>
        <v>0</v>
      </c>
    </row>
    <row r="537" spans="5:10" hidden="1" x14ac:dyDescent="0.25">
      <c r="F537" s="642" t="s">
        <v>248</v>
      </c>
      <c r="G537" s="643" t="s">
        <v>249</v>
      </c>
      <c r="J537" s="599">
        <f t="shared" si="16"/>
        <v>0</v>
      </c>
    </row>
    <row r="538" spans="5:10" hidden="1" x14ac:dyDescent="0.25">
      <c r="F538" s="642" t="s">
        <v>250</v>
      </c>
      <c r="G538" s="643" t="s">
        <v>57</v>
      </c>
      <c r="J538" s="599">
        <f t="shared" si="16"/>
        <v>0</v>
      </c>
    </row>
    <row r="539" spans="5:10" hidden="1" x14ac:dyDescent="0.25">
      <c r="F539" s="642" t="s">
        <v>251</v>
      </c>
      <c r="G539" s="643" t="s">
        <v>252</v>
      </c>
      <c r="J539" s="599">
        <f t="shared" si="16"/>
        <v>0</v>
      </c>
    </row>
    <row r="540" spans="5:10" hidden="1" x14ac:dyDescent="0.25">
      <c r="F540" s="642" t="s">
        <v>253</v>
      </c>
      <c r="G540" s="643" t="s">
        <v>254</v>
      </c>
      <c r="J540" s="599">
        <f t="shared" si="16"/>
        <v>0</v>
      </c>
    </row>
    <row r="541" spans="5:10" ht="30" hidden="1" x14ac:dyDescent="0.25">
      <c r="F541" s="642" t="s">
        <v>255</v>
      </c>
      <c r="G541" s="643" t="s">
        <v>256</v>
      </c>
      <c r="J541" s="599">
        <f t="shared" si="16"/>
        <v>0</v>
      </c>
    </row>
    <row r="542" spans="5:10" hidden="1" x14ac:dyDescent="0.25">
      <c r="F542" s="642" t="s">
        <v>257</v>
      </c>
      <c r="G542" s="643" t="s">
        <v>258</v>
      </c>
      <c r="J542" s="599">
        <f t="shared" si="16"/>
        <v>0</v>
      </c>
    </row>
    <row r="543" spans="5:10" ht="30" hidden="1" x14ac:dyDescent="0.25">
      <c r="F543" s="642" t="s">
        <v>259</v>
      </c>
      <c r="G543" s="643" t="s">
        <v>260</v>
      </c>
      <c r="J543" s="599">
        <f t="shared" si="16"/>
        <v>0</v>
      </c>
    </row>
    <row r="544" spans="5:10" hidden="1" x14ac:dyDescent="0.25">
      <c r="F544" s="642" t="s">
        <v>261</v>
      </c>
      <c r="G544" s="643" t="s">
        <v>262</v>
      </c>
      <c r="J544" s="599">
        <f t="shared" si="16"/>
        <v>0</v>
      </c>
    </row>
    <row r="545" spans="5:10" ht="15.75" hidden="1" thickBot="1" x14ac:dyDescent="0.3">
      <c r="F545" s="642" t="s">
        <v>263</v>
      </c>
      <c r="G545" s="643" t="s">
        <v>264</v>
      </c>
      <c r="H545" s="598"/>
      <c r="I545" s="599"/>
      <c r="J545" s="599">
        <f t="shared" si="16"/>
        <v>0</v>
      </c>
    </row>
    <row r="546" spans="5:10" ht="15.75" thickBot="1" x14ac:dyDescent="0.3">
      <c r="G546" s="229" t="s">
        <v>5162</v>
      </c>
      <c r="H546" s="600">
        <f>SUM(H530:H545)</f>
        <v>12600000</v>
      </c>
      <c r="I546" s="601">
        <f>SUM(I531:I545)</f>
        <v>0</v>
      </c>
      <c r="J546" s="601">
        <f>SUM(J530:J545)</f>
        <v>12600000</v>
      </c>
    </row>
    <row r="547" spans="5:10" ht="22.5" customHeight="1" x14ac:dyDescent="0.25">
      <c r="E547" s="517"/>
      <c r="F547" s="528"/>
      <c r="G547" s="231" t="s">
        <v>4306</v>
      </c>
      <c r="H547" s="602"/>
      <c r="I547" s="623"/>
      <c r="J547" s="603"/>
    </row>
    <row r="548" spans="5:10" ht="15.75" thickBot="1" x14ac:dyDescent="0.3">
      <c r="E548" s="222"/>
      <c r="F548" s="642" t="s">
        <v>234</v>
      </c>
      <c r="G548" s="643" t="s">
        <v>235</v>
      </c>
      <c r="H548" s="598">
        <f>SUM(H546)</f>
        <v>12600000</v>
      </c>
      <c r="I548" s="599"/>
      <c r="J548" s="599">
        <f>SUM(H548:I548)</f>
        <v>12600000</v>
      </c>
    </row>
    <row r="549" spans="5:10" hidden="1" x14ac:dyDescent="0.25">
      <c r="F549" s="642" t="s">
        <v>236</v>
      </c>
      <c r="G549" s="643" t="s">
        <v>237</v>
      </c>
      <c r="J549" s="599">
        <f t="shared" ref="J549:J563" si="17">SUM(H549:I549)</f>
        <v>0</v>
      </c>
    </row>
    <row r="550" spans="5:10" hidden="1" x14ac:dyDescent="0.25">
      <c r="F550" s="642" t="s">
        <v>238</v>
      </c>
      <c r="G550" s="643" t="s">
        <v>239</v>
      </c>
      <c r="J550" s="599">
        <f t="shared" si="17"/>
        <v>0</v>
      </c>
    </row>
    <row r="551" spans="5:10" hidden="1" x14ac:dyDescent="0.25">
      <c r="F551" s="642" t="s">
        <v>240</v>
      </c>
      <c r="G551" s="643" t="s">
        <v>241</v>
      </c>
      <c r="J551" s="599">
        <f t="shared" si="17"/>
        <v>0</v>
      </c>
    </row>
    <row r="552" spans="5:10" hidden="1" x14ac:dyDescent="0.25">
      <c r="F552" s="642" t="s">
        <v>242</v>
      </c>
      <c r="G552" s="643" t="s">
        <v>243</v>
      </c>
      <c r="J552" s="599">
        <f t="shared" si="17"/>
        <v>0</v>
      </c>
    </row>
    <row r="553" spans="5:10" hidden="1" x14ac:dyDescent="0.25">
      <c r="F553" s="642" t="s">
        <v>244</v>
      </c>
      <c r="G553" s="643" t="s">
        <v>245</v>
      </c>
      <c r="J553" s="599">
        <f t="shared" si="17"/>
        <v>0</v>
      </c>
    </row>
    <row r="554" spans="5:10" hidden="1" x14ac:dyDescent="0.25">
      <c r="F554" s="642" t="s">
        <v>246</v>
      </c>
      <c r="G554" s="643" t="s">
        <v>247</v>
      </c>
      <c r="J554" s="599">
        <f t="shared" si="17"/>
        <v>0</v>
      </c>
    </row>
    <row r="555" spans="5:10" hidden="1" x14ac:dyDescent="0.25">
      <c r="F555" s="642" t="s">
        <v>248</v>
      </c>
      <c r="G555" s="643" t="s">
        <v>249</v>
      </c>
      <c r="J555" s="599">
        <f t="shared" si="17"/>
        <v>0</v>
      </c>
    </row>
    <row r="556" spans="5:10" hidden="1" x14ac:dyDescent="0.25">
      <c r="F556" s="642" t="s">
        <v>250</v>
      </c>
      <c r="G556" s="643" t="s">
        <v>57</v>
      </c>
      <c r="J556" s="599">
        <f t="shared" si="17"/>
        <v>0</v>
      </c>
    </row>
    <row r="557" spans="5:10" hidden="1" x14ac:dyDescent="0.25">
      <c r="F557" s="642" t="s">
        <v>251</v>
      </c>
      <c r="G557" s="643" t="s">
        <v>252</v>
      </c>
      <c r="J557" s="599">
        <f t="shared" si="17"/>
        <v>0</v>
      </c>
    </row>
    <row r="558" spans="5:10" hidden="1" x14ac:dyDescent="0.25">
      <c r="F558" s="642" t="s">
        <v>253</v>
      </c>
      <c r="G558" s="643" t="s">
        <v>254</v>
      </c>
      <c r="J558" s="599">
        <f t="shared" si="17"/>
        <v>0</v>
      </c>
    </row>
    <row r="559" spans="5:10" ht="30" hidden="1" x14ac:dyDescent="0.25">
      <c r="F559" s="642" t="s">
        <v>255</v>
      </c>
      <c r="G559" s="643" t="s">
        <v>256</v>
      </c>
      <c r="J559" s="599">
        <f t="shared" si="17"/>
        <v>0</v>
      </c>
    </row>
    <row r="560" spans="5:10" hidden="1" x14ac:dyDescent="0.25">
      <c r="F560" s="642" t="s">
        <v>257</v>
      </c>
      <c r="G560" s="643" t="s">
        <v>258</v>
      </c>
      <c r="J560" s="599">
        <f t="shared" si="17"/>
        <v>0</v>
      </c>
    </row>
    <row r="561" spans="6:10" ht="30" hidden="1" x14ac:dyDescent="0.25">
      <c r="F561" s="642" t="s">
        <v>259</v>
      </c>
      <c r="G561" s="643" t="s">
        <v>260</v>
      </c>
      <c r="J561" s="599">
        <f t="shared" si="17"/>
        <v>0</v>
      </c>
    </row>
    <row r="562" spans="6:10" hidden="1" x14ac:dyDescent="0.25">
      <c r="F562" s="642" t="s">
        <v>261</v>
      </c>
      <c r="G562" s="643" t="s">
        <v>262</v>
      </c>
      <c r="J562" s="599">
        <f t="shared" si="17"/>
        <v>0</v>
      </c>
    </row>
    <row r="563" spans="6:10" ht="15.75" hidden="1" thickBot="1" x14ac:dyDescent="0.3">
      <c r="F563" s="642" t="s">
        <v>263</v>
      </c>
      <c r="G563" s="643" t="s">
        <v>264</v>
      </c>
      <c r="H563" s="598"/>
      <c r="I563" s="599"/>
      <c r="J563" s="599">
        <f t="shared" si="17"/>
        <v>0</v>
      </c>
    </row>
    <row r="564" spans="6:10" ht="15.75" thickBot="1" x14ac:dyDescent="0.3">
      <c r="G564" s="229" t="s">
        <v>4305</v>
      </c>
      <c r="H564" s="600">
        <f>SUM(H548:H563)</f>
        <v>12600000</v>
      </c>
      <c r="I564" s="601">
        <f>SUM(I549:I563)</f>
        <v>0</v>
      </c>
      <c r="J564" s="601">
        <f>SUM(J548:J563)</f>
        <v>12600000</v>
      </c>
    </row>
    <row r="565" spans="6:10" x14ac:dyDescent="0.25">
      <c r="G565" s="286"/>
      <c r="H565" s="604"/>
      <c r="I565" s="605"/>
      <c r="J565" s="605"/>
    </row>
    <row r="566" spans="6:10" hidden="1" x14ac:dyDescent="0.25">
      <c r="G566" s="286"/>
      <c r="H566" s="604"/>
      <c r="I566" s="605"/>
      <c r="J566" s="605"/>
    </row>
    <row r="567" spans="6:10" hidden="1" x14ac:dyDescent="0.25">
      <c r="G567" s="286"/>
      <c r="H567" s="604"/>
      <c r="I567" s="605"/>
      <c r="J567" s="605"/>
    </row>
    <row r="568" spans="6:10" hidden="1" x14ac:dyDescent="0.25">
      <c r="G568" s="286"/>
      <c r="H568" s="604"/>
      <c r="I568" s="605"/>
      <c r="J568" s="605"/>
    </row>
    <row r="569" spans="6:10" hidden="1" x14ac:dyDescent="0.25">
      <c r="G569" s="286"/>
      <c r="H569" s="604"/>
      <c r="I569" s="605"/>
      <c r="J569" s="605"/>
    </row>
    <row r="570" spans="6:10" hidden="1" x14ac:dyDescent="0.25">
      <c r="G570" s="286"/>
      <c r="H570" s="604"/>
      <c r="I570" s="605"/>
      <c r="J570" s="605"/>
    </row>
    <row r="571" spans="6:10" hidden="1" x14ac:dyDescent="0.25">
      <c r="G571" s="286"/>
      <c r="H571" s="604"/>
      <c r="I571" s="605"/>
      <c r="J571" s="605"/>
    </row>
    <row r="572" spans="6:10" hidden="1" x14ac:dyDescent="0.25">
      <c r="G572" s="286"/>
      <c r="H572" s="604"/>
      <c r="I572" s="605"/>
      <c r="J572" s="605"/>
    </row>
    <row r="573" spans="6:10" hidden="1" x14ac:dyDescent="0.25">
      <c r="G573" s="286"/>
      <c r="H573" s="604"/>
      <c r="I573" s="605"/>
      <c r="J573" s="605"/>
    </row>
    <row r="574" spans="6:10" hidden="1" x14ac:dyDescent="0.25">
      <c r="G574" s="286"/>
      <c r="H574" s="604"/>
      <c r="I574" s="605"/>
      <c r="J574" s="605"/>
    </row>
    <row r="575" spans="6:10" hidden="1" x14ac:dyDescent="0.25">
      <c r="G575" s="286"/>
      <c r="H575" s="604"/>
      <c r="I575" s="605"/>
      <c r="J575" s="605"/>
    </row>
    <row r="576" spans="6:10" hidden="1" x14ac:dyDescent="0.25">
      <c r="G576" s="286"/>
      <c r="H576" s="604"/>
      <c r="I576" s="605"/>
      <c r="J576" s="605"/>
    </row>
    <row r="577" spans="7:10" hidden="1" x14ac:dyDescent="0.25">
      <c r="G577" s="286"/>
      <c r="H577" s="604"/>
      <c r="I577" s="605"/>
      <c r="J577" s="605"/>
    </row>
    <row r="578" spans="7:10" hidden="1" x14ac:dyDescent="0.25">
      <c r="G578" s="286"/>
      <c r="H578" s="604"/>
      <c r="I578" s="605"/>
      <c r="J578" s="605"/>
    </row>
    <row r="579" spans="7:10" hidden="1" x14ac:dyDescent="0.25">
      <c r="G579" s="286"/>
      <c r="H579" s="604"/>
      <c r="I579" s="605"/>
      <c r="J579" s="605"/>
    </row>
    <row r="580" spans="7:10" hidden="1" x14ac:dyDescent="0.25">
      <c r="G580" s="286"/>
      <c r="H580" s="604"/>
      <c r="I580" s="605"/>
      <c r="J580" s="605"/>
    </row>
    <row r="581" spans="7:10" hidden="1" x14ac:dyDescent="0.25">
      <c r="G581" s="286"/>
      <c r="H581" s="604"/>
      <c r="I581" s="605"/>
      <c r="J581" s="605"/>
    </row>
    <row r="582" spans="7:10" hidden="1" x14ac:dyDescent="0.25">
      <c r="G582" s="286"/>
      <c r="H582" s="604"/>
      <c r="I582" s="605"/>
      <c r="J582" s="605"/>
    </row>
    <row r="583" spans="7:10" hidden="1" x14ac:dyDescent="0.25">
      <c r="G583" s="286"/>
      <c r="H583" s="604"/>
      <c r="I583" s="605"/>
      <c r="J583" s="605"/>
    </row>
    <row r="584" spans="7:10" hidden="1" x14ac:dyDescent="0.25">
      <c r="G584" s="286"/>
      <c r="H584" s="604"/>
      <c r="I584" s="605"/>
      <c r="J584" s="605"/>
    </row>
    <row r="585" spans="7:10" hidden="1" x14ac:dyDescent="0.25">
      <c r="G585" s="286"/>
      <c r="H585" s="604"/>
      <c r="I585" s="605"/>
      <c r="J585" s="605"/>
    </row>
    <row r="586" spans="7:10" hidden="1" x14ac:dyDescent="0.25">
      <c r="G586" s="286"/>
      <c r="H586" s="604"/>
      <c r="I586" s="605"/>
      <c r="J586" s="605"/>
    </row>
    <row r="587" spans="7:10" hidden="1" x14ac:dyDescent="0.25">
      <c r="G587" s="286"/>
      <c r="H587" s="604"/>
      <c r="I587" s="605"/>
      <c r="J587" s="605"/>
    </row>
    <row r="588" spans="7:10" hidden="1" x14ac:dyDescent="0.25">
      <c r="G588" s="286"/>
      <c r="H588" s="604"/>
      <c r="I588" s="605"/>
      <c r="J588" s="605"/>
    </row>
    <row r="589" spans="7:10" hidden="1" x14ac:dyDescent="0.25">
      <c r="G589" s="286"/>
      <c r="H589" s="604"/>
      <c r="I589" s="605"/>
      <c r="J589" s="605"/>
    </row>
    <row r="590" spans="7:10" hidden="1" x14ac:dyDescent="0.25">
      <c r="G590" s="286"/>
      <c r="H590" s="604"/>
      <c r="I590" s="605"/>
      <c r="J590" s="605"/>
    </row>
    <row r="591" spans="7:10" hidden="1" x14ac:dyDescent="0.25">
      <c r="G591" s="286"/>
      <c r="H591" s="604"/>
      <c r="I591" s="605"/>
      <c r="J591" s="605"/>
    </row>
    <row r="592" spans="7:10" hidden="1" x14ac:dyDescent="0.25">
      <c r="G592" s="286"/>
      <c r="H592" s="604"/>
      <c r="I592" s="605"/>
      <c r="J592" s="605"/>
    </row>
    <row r="593" spans="7:10" hidden="1" x14ac:dyDescent="0.25">
      <c r="G593" s="286"/>
      <c r="H593" s="604"/>
      <c r="I593" s="605"/>
      <c r="J593" s="605"/>
    </row>
    <row r="594" spans="7:10" hidden="1" x14ac:dyDescent="0.25">
      <c r="G594" s="286"/>
      <c r="H594" s="604"/>
      <c r="I594" s="605"/>
      <c r="J594" s="605"/>
    </row>
    <row r="595" spans="7:10" hidden="1" x14ac:dyDescent="0.25">
      <c r="G595" s="286"/>
      <c r="H595" s="604"/>
      <c r="I595" s="605"/>
      <c r="J595" s="605"/>
    </row>
    <row r="596" spans="7:10" hidden="1" x14ac:dyDescent="0.25">
      <c r="G596" s="286"/>
      <c r="H596" s="604"/>
      <c r="I596" s="605"/>
      <c r="J596" s="605"/>
    </row>
    <row r="597" spans="7:10" hidden="1" x14ac:dyDescent="0.25">
      <c r="G597" s="286"/>
      <c r="H597" s="604"/>
      <c r="I597" s="605"/>
      <c r="J597" s="605"/>
    </row>
    <row r="598" spans="7:10" hidden="1" x14ac:dyDescent="0.25">
      <c r="G598" s="286"/>
      <c r="H598" s="604"/>
      <c r="I598" s="605"/>
      <c r="J598" s="605"/>
    </row>
    <row r="599" spans="7:10" hidden="1" x14ac:dyDescent="0.25">
      <c r="G599" s="286"/>
      <c r="H599" s="604"/>
      <c r="I599" s="605"/>
      <c r="J599" s="605"/>
    </row>
    <row r="600" spans="7:10" hidden="1" x14ac:dyDescent="0.25">
      <c r="G600" s="286"/>
      <c r="H600" s="604"/>
      <c r="I600" s="605"/>
      <c r="J600" s="605"/>
    </row>
    <row r="601" spans="7:10" hidden="1" x14ac:dyDescent="0.25">
      <c r="G601" s="286"/>
      <c r="H601" s="604"/>
      <c r="I601" s="605"/>
      <c r="J601" s="605"/>
    </row>
    <row r="602" spans="7:10" hidden="1" x14ac:dyDescent="0.25">
      <c r="G602" s="286"/>
      <c r="H602" s="604"/>
      <c r="I602" s="605"/>
      <c r="J602" s="605"/>
    </row>
    <row r="603" spans="7:10" hidden="1" x14ac:dyDescent="0.25">
      <c r="G603" s="286"/>
      <c r="H603" s="604"/>
      <c r="I603" s="605"/>
      <c r="J603" s="605"/>
    </row>
    <row r="604" spans="7:10" hidden="1" x14ac:dyDescent="0.25">
      <c r="G604" s="286"/>
      <c r="H604" s="604"/>
      <c r="I604" s="605"/>
      <c r="J604" s="605"/>
    </row>
    <row r="605" spans="7:10" hidden="1" x14ac:dyDescent="0.25">
      <c r="G605" s="286"/>
      <c r="H605" s="604"/>
      <c r="I605" s="605"/>
      <c r="J605" s="605"/>
    </row>
    <row r="606" spans="7:10" hidden="1" x14ac:dyDescent="0.25">
      <c r="G606" s="286"/>
      <c r="H606" s="604"/>
      <c r="I606" s="605"/>
      <c r="J606" s="605"/>
    </row>
    <row r="607" spans="7:10" hidden="1" x14ac:dyDescent="0.25">
      <c r="G607" s="286"/>
      <c r="H607" s="604"/>
      <c r="I607" s="605"/>
      <c r="J607" s="605"/>
    </row>
    <row r="608" spans="7:10" hidden="1" x14ac:dyDescent="0.25">
      <c r="G608" s="286"/>
      <c r="H608" s="604"/>
      <c r="I608" s="605"/>
      <c r="J608" s="605"/>
    </row>
    <row r="609" spans="7:10" hidden="1" x14ac:dyDescent="0.25">
      <c r="G609" s="286"/>
      <c r="H609" s="604"/>
      <c r="I609" s="605"/>
      <c r="J609" s="605"/>
    </row>
    <row r="610" spans="7:10" hidden="1" x14ac:dyDescent="0.25">
      <c r="G610" s="286"/>
      <c r="H610" s="604"/>
      <c r="I610" s="605"/>
      <c r="J610" s="605"/>
    </row>
    <row r="611" spans="7:10" hidden="1" x14ac:dyDescent="0.25">
      <c r="G611" s="286"/>
      <c r="H611" s="604"/>
      <c r="I611" s="605"/>
      <c r="J611" s="605"/>
    </row>
    <row r="612" spans="7:10" hidden="1" x14ac:dyDescent="0.25">
      <c r="G612" s="286"/>
      <c r="H612" s="604"/>
      <c r="I612" s="605"/>
      <c r="J612" s="605"/>
    </row>
    <row r="613" spans="7:10" hidden="1" x14ac:dyDescent="0.25">
      <c r="G613" s="286"/>
      <c r="H613" s="604"/>
      <c r="I613" s="605"/>
      <c r="J613" s="605"/>
    </row>
    <row r="614" spans="7:10" hidden="1" x14ac:dyDescent="0.25">
      <c r="G614" s="286"/>
      <c r="H614" s="604"/>
      <c r="I614" s="605"/>
      <c r="J614" s="605"/>
    </row>
    <row r="615" spans="7:10" hidden="1" x14ac:dyDescent="0.25">
      <c r="G615" s="286"/>
      <c r="H615" s="604"/>
      <c r="I615" s="605"/>
      <c r="J615" s="605"/>
    </row>
    <row r="616" spans="7:10" hidden="1" x14ac:dyDescent="0.25">
      <c r="G616" s="286"/>
      <c r="H616" s="604"/>
      <c r="I616" s="605"/>
      <c r="J616" s="605"/>
    </row>
    <row r="617" spans="7:10" hidden="1" x14ac:dyDescent="0.25">
      <c r="G617" s="286"/>
      <c r="H617" s="604"/>
      <c r="I617" s="605"/>
      <c r="J617" s="605"/>
    </row>
    <row r="618" spans="7:10" hidden="1" x14ac:dyDescent="0.25">
      <c r="G618" s="286"/>
      <c r="H618" s="604"/>
      <c r="I618" s="605"/>
      <c r="J618" s="605"/>
    </row>
    <row r="619" spans="7:10" hidden="1" x14ac:dyDescent="0.25">
      <c r="G619" s="286"/>
      <c r="H619" s="604"/>
      <c r="I619" s="605"/>
      <c r="J619" s="605"/>
    </row>
    <row r="620" spans="7:10" hidden="1" x14ac:dyDescent="0.25">
      <c r="G620" s="286"/>
      <c r="H620" s="604"/>
      <c r="I620" s="605"/>
      <c r="J620" s="605"/>
    </row>
    <row r="621" spans="7:10" hidden="1" x14ac:dyDescent="0.25">
      <c r="G621" s="286"/>
      <c r="H621" s="604"/>
      <c r="I621" s="605"/>
      <c r="J621" s="605"/>
    </row>
    <row r="622" spans="7:10" hidden="1" x14ac:dyDescent="0.25">
      <c r="G622" s="286"/>
      <c r="H622" s="604"/>
      <c r="I622" s="605"/>
      <c r="J622" s="605"/>
    </row>
    <row r="623" spans="7:10" hidden="1" x14ac:dyDescent="0.25">
      <c r="G623" s="286"/>
      <c r="H623" s="604"/>
      <c r="I623" s="605"/>
      <c r="J623" s="605"/>
    </row>
    <row r="624" spans="7:10" hidden="1" x14ac:dyDescent="0.25">
      <c r="G624" s="286"/>
      <c r="H624" s="604"/>
      <c r="I624" s="605"/>
      <c r="J624" s="605"/>
    </row>
    <row r="625" spans="7:10" hidden="1" x14ac:dyDescent="0.25">
      <c r="G625" s="286"/>
      <c r="H625" s="604"/>
      <c r="I625" s="605"/>
      <c r="J625" s="605"/>
    </row>
    <row r="626" spans="7:10" hidden="1" x14ac:dyDescent="0.25">
      <c r="G626" s="286"/>
      <c r="H626" s="604"/>
      <c r="I626" s="605"/>
      <c r="J626" s="605"/>
    </row>
    <row r="627" spans="7:10" hidden="1" x14ac:dyDescent="0.25">
      <c r="G627" s="286"/>
      <c r="H627" s="604"/>
      <c r="I627" s="605"/>
      <c r="J627" s="605"/>
    </row>
    <row r="628" spans="7:10" hidden="1" x14ac:dyDescent="0.25">
      <c r="G628" s="286"/>
      <c r="H628" s="604"/>
      <c r="I628" s="605"/>
      <c r="J628" s="605"/>
    </row>
    <row r="629" spans="7:10" hidden="1" x14ac:dyDescent="0.25">
      <c r="G629" s="286"/>
      <c r="H629" s="604"/>
      <c r="I629" s="605"/>
      <c r="J629" s="605"/>
    </row>
    <row r="630" spans="7:10" hidden="1" x14ac:dyDescent="0.25">
      <c r="G630" s="286"/>
      <c r="H630" s="604"/>
      <c r="I630" s="605"/>
      <c r="J630" s="605"/>
    </row>
    <row r="631" spans="7:10" hidden="1" x14ac:dyDescent="0.25">
      <c r="G631" s="286"/>
      <c r="H631" s="604"/>
      <c r="I631" s="605"/>
      <c r="J631" s="605"/>
    </row>
    <row r="632" spans="7:10" hidden="1" x14ac:dyDescent="0.25">
      <c r="G632" s="286"/>
      <c r="H632" s="604"/>
      <c r="I632" s="605"/>
      <c r="J632" s="605"/>
    </row>
    <row r="633" spans="7:10" hidden="1" x14ac:dyDescent="0.25">
      <c r="G633" s="286"/>
      <c r="H633" s="604"/>
      <c r="I633" s="605"/>
      <c r="J633" s="605"/>
    </row>
    <row r="634" spans="7:10" hidden="1" x14ac:dyDescent="0.25">
      <c r="G634" s="286"/>
      <c r="H634" s="604"/>
      <c r="I634" s="605"/>
      <c r="J634" s="605"/>
    </row>
    <row r="635" spans="7:10" hidden="1" x14ac:dyDescent="0.25">
      <c r="G635" s="286"/>
      <c r="H635" s="604"/>
      <c r="I635" s="605"/>
      <c r="J635" s="605"/>
    </row>
    <row r="636" spans="7:10" hidden="1" x14ac:dyDescent="0.25">
      <c r="G636" s="286"/>
      <c r="H636" s="604"/>
      <c r="I636" s="605"/>
      <c r="J636" s="605"/>
    </row>
    <row r="637" spans="7:10" hidden="1" x14ac:dyDescent="0.25">
      <c r="G637" s="286"/>
      <c r="H637" s="604"/>
      <c r="I637" s="605"/>
      <c r="J637" s="605"/>
    </row>
    <row r="638" spans="7:10" hidden="1" x14ac:dyDescent="0.25">
      <c r="G638" s="286"/>
      <c r="H638" s="604"/>
      <c r="I638" s="605"/>
      <c r="J638" s="605"/>
    </row>
    <row r="639" spans="7:10" hidden="1" x14ac:dyDescent="0.25">
      <c r="G639" s="286"/>
      <c r="H639" s="604"/>
      <c r="I639" s="605"/>
      <c r="J639" s="605"/>
    </row>
    <row r="640" spans="7:10" hidden="1" x14ac:dyDescent="0.25">
      <c r="G640" s="286"/>
      <c r="H640" s="604"/>
      <c r="I640" s="605"/>
      <c r="J640" s="605"/>
    </row>
    <row r="641" spans="7:10" hidden="1" x14ac:dyDescent="0.25">
      <c r="G641" s="286"/>
      <c r="H641" s="604"/>
      <c r="I641" s="605"/>
      <c r="J641" s="605"/>
    </row>
    <row r="642" spans="7:10" hidden="1" x14ac:dyDescent="0.25">
      <c r="G642" s="286"/>
      <c r="H642" s="604"/>
      <c r="I642" s="605"/>
      <c r="J642" s="605"/>
    </row>
    <row r="643" spans="7:10" hidden="1" x14ac:dyDescent="0.25">
      <c r="G643" s="286"/>
      <c r="H643" s="604"/>
      <c r="I643" s="605"/>
      <c r="J643" s="605"/>
    </row>
    <row r="644" spans="7:10" hidden="1" x14ac:dyDescent="0.25">
      <c r="G644" s="286"/>
      <c r="H644" s="604"/>
      <c r="I644" s="605"/>
      <c r="J644" s="605"/>
    </row>
    <row r="645" spans="7:10" hidden="1" x14ac:dyDescent="0.25">
      <c r="G645" s="286"/>
      <c r="H645" s="604"/>
      <c r="I645" s="605"/>
      <c r="J645" s="605"/>
    </row>
    <row r="646" spans="7:10" hidden="1" x14ac:dyDescent="0.25">
      <c r="G646" s="286"/>
      <c r="H646" s="604"/>
      <c r="I646" s="605"/>
      <c r="J646" s="605"/>
    </row>
    <row r="647" spans="7:10" hidden="1" x14ac:dyDescent="0.25">
      <c r="G647" s="286"/>
      <c r="H647" s="604"/>
      <c r="I647" s="605"/>
      <c r="J647" s="605"/>
    </row>
    <row r="648" spans="7:10" hidden="1" x14ac:dyDescent="0.25">
      <c r="G648" s="286"/>
      <c r="H648" s="604"/>
      <c r="I648" s="605"/>
      <c r="J648" s="605"/>
    </row>
    <row r="649" spans="7:10" hidden="1" x14ac:dyDescent="0.25">
      <c r="G649" s="286"/>
      <c r="H649" s="604"/>
      <c r="I649" s="605"/>
      <c r="J649" s="605"/>
    </row>
    <row r="650" spans="7:10" hidden="1" x14ac:dyDescent="0.25">
      <c r="G650" s="286"/>
      <c r="H650" s="604"/>
      <c r="I650" s="605"/>
      <c r="J650" s="605"/>
    </row>
    <row r="651" spans="7:10" hidden="1" x14ac:dyDescent="0.25">
      <c r="G651" s="286"/>
      <c r="H651" s="604"/>
      <c r="I651" s="605"/>
      <c r="J651" s="605"/>
    </row>
    <row r="652" spans="7:10" hidden="1" x14ac:dyDescent="0.25">
      <c r="G652" s="286"/>
      <c r="H652" s="604"/>
      <c r="I652" s="605"/>
      <c r="J652" s="605"/>
    </row>
    <row r="653" spans="7:10" hidden="1" x14ac:dyDescent="0.25">
      <c r="G653" s="286"/>
      <c r="H653" s="604"/>
      <c r="I653" s="605"/>
      <c r="J653" s="605"/>
    </row>
    <row r="654" spans="7:10" hidden="1" x14ac:dyDescent="0.25">
      <c r="G654" s="286"/>
      <c r="H654" s="604"/>
      <c r="I654" s="605"/>
      <c r="J654" s="605"/>
    </row>
    <row r="655" spans="7:10" hidden="1" x14ac:dyDescent="0.25">
      <c r="G655" s="286"/>
      <c r="H655" s="604"/>
      <c r="I655" s="605"/>
      <c r="J655" s="605"/>
    </row>
    <row r="656" spans="7:10" hidden="1" x14ac:dyDescent="0.25">
      <c r="G656" s="286"/>
      <c r="H656" s="604"/>
      <c r="I656" s="605"/>
      <c r="J656" s="605"/>
    </row>
    <row r="657" spans="7:10" hidden="1" x14ac:dyDescent="0.25">
      <c r="G657" s="286"/>
      <c r="H657" s="604"/>
      <c r="I657" s="605"/>
      <c r="J657" s="605"/>
    </row>
    <row r="658" spans="7:10" hidden="1" x14ac:dyDescent="0.25">
      <c r="G658" s="286"/>
      <c r="H658" s="604"/>
      <c r="I658" s="605"/>
      <c r="J658" s="605"/>
    </row>
    <row r="659" spans="7:10" hidden="1" x14ac:dyDescent="0.25">
      <c r="G659" s="286"/>
      <c r="H659" s="604"/>
      <c r="I659" s="605"/>
      <c r="J659" s="605"/>
    </row>
    <row r="660" spans="7:10" hidden="1" x14ac:dyDescent="0.25">
      <c r="G660" s="286"/>
      <c r="H660" s="604"/>
      <c r="I660" s="605"/>
      <c r="J660" s="605"/>
    </row>
    <row r="661" spans="7:10" hidden="1" x14ac:dyDescent="0.25">
      <c r="G661" s="286"/>
      <c r="H661" s="604"/>
      <c r="I661" s="605"/>
      <c r="J661" s="605"/>
    </row>
    <row r="662" spans="7:10" hidden="1" x14ac:dyDescent="0.25">
      <c r="G662" s="286"/>
      <c r="H662" s="604"/>
      <c r="I662" s="605"/>
      <c r="J662" s="605"/>
    </row>
    <row r="663" spans="7:10" hidden="1" x14ac:dyDescent="0.25">
      <c r="G663" s="286"/>
      <c r="H663" s="604"/>
      <c r="I663" s="605"/>
      <c r="J663" s="605"/>
    </row>
    <row r="664" spans="7:10" hidden="1" x14ac:dyDescent="0.25">
      <c r="G664" s="286"/>
      <c r="H664" s="604"/>
      <c r="I664" s="605"/>
      <c r="J664" s="605"/>
    </row>
    <row r="665" spans="7:10" hidden="1" x14ac:dyDescent="0.25">
      <c r="G665" s="286"/>
      <c r="H665" s="604"/>
      <c r="I665" s="605"/>
      <c r="J665" s="605"/>
    </row>
    <row r="666" spans="7:10" hidden="1" x14ac:dyDescent="0.25">
      <c r="G666" s="286"/>
      <c r="H666" s="604"/>
      <c r="I666" s="605"/>
      <c r="J666" s="605"/>
    </row>
    <row r="667" spans="7:10" hidden="1" x14ac:dyDescent="0.25">
      <c r="G667" s="286"/>
      <c r="H667" s="604"/>
      <c r="I667" s="605"/>
      <c r="J667" s="605"/>
    </row>
    <row r="668" spans="7:10" hidden="1" x14ac:dyDescent="0.25">
      <c r="G668" s="286"/>
      <c r="H668" s="604"/>
      <c r="I668" s="605"/>
      <c r="J668" s="605"/>
    </row>
    <row r="669" spans="7:10" hidden="1" x14ac:dyDescent="0.25">
      <c r="G669" s="286"/>
      <c r="H669" s="604"/>
      <c r="I669" s="605"/>
      <c r="J669" s="605"/>
    </row>
    <row r="670" spans="7:10" hidden="1" x14ac:dyDescent="0.25">
      <c r="G670" s="286"/>
      <c r="H670" s="604"/>
      <c r="I670" s="605"/>
      <c r="J670" s="605"/>
    </row>
    <row r="671" spans="7:10" hidden="1" x14ac:dyDescent="0.25">
      <c r="G671" s="286"/>
      <c r="H671" s="604"/>
      <c r="I671" s="605"/>
      <c r="J671" s="605"/>
    </row>
    <row r="672" spans="7:10" hidden="1" x14ac:dyDescent="0.25">
      <c r="G672" s="286"/>
      <c r="H672" s="604"/>
      <c r="I672" s="605"/>
      <c r="J672" s="605"/>
    </row>
    <row r="673" spans="5:10" hidden="1" x14ac:dyDescent="0.25">
      <c r="G673" s="286"/>
      <c r="H673" s="604"/>
      <c r="I673" s="605"/>
      <c r="J673" s="605"/>
    </row>
    <row r="674" spans="5:10" hidden="1" x14ac:dyDescent="0.25">
      <c r="G674" s="286"/>
      <c r="H674" s="604"/>
      <c r="I674" s="605"/>
      <c r="J674" s="605"/>
    </row>
    <row r="675" spans="5:10" hidden="1" x14ac:dyDescent="0.25">
      <c r="G675" s="286"/>
      <c r="H675" s="604"/>
      <c r="I675" s="605"/>
      <c r="J675" s="605"/>
    </row>
    <row r="676" spans="5:10" hidden="1" x14ac:dyDescent="0.25">
      <c r="G676" s="286"/>
      <c r="H676" s="604"/>
      <c r="I676" s="605"/>
      <c r="J676" s="605"/>
    </row>
    <row r="677" spans="5:10" hidden="1" x14ac:dyDescent="0.25">
      <c r="G677" s="286"/>
      <c r="H677" s="604"/>
      <c r="I677" s="605"/>
      <c r="J677" s="605"/>
    </row>
    <row r="678" spans="5:10" hidden="1" x14ac:dyDescent="0.25">
      <c r="G678" s="286"/>
      <c r="H678" s="604"/>
      <c r="I678" s="605"/>
      <c r="J678" s="605"/>
    </row>
    <row r="679" spans="5:10" ht="17.25" hidden="1" customHeight="1" x14ac:dyDescent="0.25"/>
    <row r="680" spans="5:10" x14ac:dyDescent="0.25">
      <c r="E680" s="241"/>
      <c r="F680" s="243"/>
      <c r="G680" s="250" t="s">
        <v>4225</v>
      </c>
      <c r="H680" s="606"/>
      <c r="I680" s="624"/>
      <c r="J680" s="607"/>
    </row>
    <row r="681" spans="5:10" ht="15.75" thickBot="1" x14ac:dyDescent="0.3">
      <c r="E681" s="222"/>
      <c r="F681" s="233" t="s">
        <v>234</v>
      </c>
      <c r="G681" s="252" t="s">
        <v>235</v>
      </c>
      <c r="H681" s="598">
        <f>SUM(H564,H464)</f>
        <v>30500000</v>
      </c>
      <c r="I681" s="599"/>
      <c r="J681" s="599">
        <f>SUM(H681:I681)</f>
        <v>30500000</v>
      </c>
    </row>
    <row r="682" spans="5:10" hidden="1" x14ac:dyDescent="0.25">
      <c r="F682" s="233" t="s">
        <v>236</v>
      </c>
      <c r="G682" s="252" t="s">
        <v>237</v>
      </c>
      <c r="J682" s="599">
        <f t="shared" ref="J682:J696" si="18">SUM(H682:I682)</f>
        <v>0</v>
      </c>
    </row>
    <row r="683" spans="5:10" hidden="1" x14ac:dyDescent="0.25">
      <c r="F683" s="233" t="s">
        <v>238</v>
      </c>
      <c r="G683" s="252" t="s">
        <v>239</v>
      </c>
      <c r="J683" s="599">
        <f t="shared" si="18"/>
        <v>0</v>
      </c>
    </row>
    <row r="684" spans="5:10" hidden="1" x14ac:dyDescent="0.25">
      <c r="F684" s="233" t="s">
        <v>240</v>
      </c>
      <c r="G684" s="252" t="s">
        <v>241</v>
      </c>
      <c r="J684" s="599">
        <f t="shared" si="18"/>
        <v>0</v>
      </c>
    </row>
    <row r="685" spans="5:10" hidden="1" x14ac:dyDescent="0.25">
      <c r="F685" s="233" t="s">
        <v>242</v>
      </c>
      <c r="G685" s="252" t="s">
        <v>243</v>
      </c>
      <c r="J685" s="599">
        <f t="shared" si="18"/>
        <v>0</v>
      </c>
    </row>
    <row r="686" spans="5:10" hidden="1" x14ac:dyDescent="0.25">
      <c r="F686" s="233" t="s">
        <v>244</v>
      </c>
      <c r="G686" s="252" t="s">
        <v>245</v>
      </c>
      <c r="J686" s="599">
        <f t="shared" si="18"/>
        <v>0</v>
      </c>
    </row>
    <row r="687" spans="5:10" hidden="1" x14ac:dyDescent="0.25">
      <c r="F687" s="233" t="s">
        <v>246</v>
      </c>
      <c r="G687" s="252" t="s">
        <v>247</v>
      </c>
      <c r="J687" s="599">
        <f t="shared" si="18"/>
        <v>0</v>
      </c>
    </row>
    <row r="688" spans="5:10" hidden="1" x14ac:dyDescent="0.25">
      <c r="F688" s="233" t="s">
        <v>248</v>
      </c>
      <c r="G688" s="252" t="s">
        <v>249</v>
      </c>
      <c r="J688" s="599">
        <f t="shared" si="18"/>
        <v>0</v>
      </c>
    </row>
    <row r="689" spans="5:10" hidden="1" x14ac:dyDescent="0.25">
      <c r="F689" s="233" t="s">
        <v>250</v>
      </c>
      <c r="G689" s="252" t="s">
        <v>57</v>
      </c>
      <c r="J689" s="599">
        <f t="shared" si="18"/>
        <v>0</v>
      </c>
    </row>
    <row r="690" spans="5:10" hidden="1" x14ac:dyDescent="0.25">
      <c r="F690" s="233" t="s">
        <v>251</v>
      </c>
      <c r="G690" s="252" t="s">
        <v>252</v>
      </c>
      <c r="J690" s="599">
        <f t="shared" si="18"/>
        <v>0</v>
      </c>
    </row>
    <row r="691" spans="5:10" hidden="1" x14ac:dyDescent="0.25">
      <c r="F691" s="233" t="s">
        <v>253</v>
      </c>
      <c r="G691" s="252" t="s">
        <v>254</v>
      </c>
      <c r="J691" s="599">
        <f t="shared" si="18"/>
        <v>0</v>
      </c>
    </row>
    <row r="692" spans="5:10" ht="30" hidden="1" x14ac:dyDescent="0.25">
      <c r="F692" s="233" t="s">
        <v>255</v>
      </c>
      <c r="G692" s="252" t="s">
        <v>256</v>
      </c>
      <c r="J692" s="599">
        <f t="shared" si="18"/>
        <v>0</v>
      </c>
    </row>
    <row r="693" spans="5:10" hidden="1" x14ac:dyDescent="0.25">
      <c r="F693" s="233" t="s">
        <v>257</v>
      </c>
      <c r="G693" s="252" t="s">
        <v>258</v>
      </c>
      <c r="J693" s="599">
        <f t="shared" si="18"/>
        <v>0</v>
      </c>
    </row>
    <row r="694" spans="5:10" ht="30" hidden="1" x14ac:dyDescent="0.25">
      <c r="F694" s="233" t="s">
        <v>259</v>
      </c>
      <c r="G694" s="252" t="s">
        <v>260</v>
      </c>
      <c r="J694" s="599">
        <f t="shared" si="18"/>
        <v>0</v>
      </c>
    </row>
    <row r="695" spans="5:10" hidden="1" x14ac:dyDescent="0.25">
      <c r="F695" s="233" t="s">
        <v>261</v>
      </c>
      <c r="G695" s="252" t="s">
        <v>262</v>
      </c>
      <c r="J695" s="599">
        <f t="shared" si="18"/>
        <v>0</v>
      </c>
    </row>
    <row r="696" spans="5:10" ht="15.75" hidden="1" thickBot="1" x14ac:dyDescent="0.3">
      <c r="F696" s="233" t="s">
        <v>263</v>
      </c>
      <c r="G696" s="252" t="s">
        <v>264</v>
      </c>
      <c r="H696" s="598"/>
      <c r="I696" s="599"/>
      <c r="J696" s="599">
        <f t="shared" si="18"/>
        <v>0</v>
      </c>
    </row>
    <row r="697" spans="5:10" ht="15.75" thickBot="1" x14ac:dyDescent="0.3">
      <c r="G697" s="229" t="s">
        <v>4226</v>
      </c>
      <c r="H697" s="600">
        <f>SUM(H681:H696)</f>
        <v>30500000</v>
      </c>
      <c r="I697" s="601">
        <f>SUM(I682:I696)</f>
        <v>0</v>
      </c>
      <c r="J697" s="601">
        <f>SUM(J681:J696)</f>
        <v>30500000</v>
      </c>
    </row>
    <row r="698" spans="5:10" hidden="1" x14ac:dyDescent="0.25"/>
    <row r="699" spans="5:10" x14ac:dyDescent="0.25">
      <c r="E699" s="241"/>
      <c r="F699" s="243"/>
      <c r="G699" s="250" t="s">
        <v>4228</v>
      </c>
      <c r="H699" s="606"/>
      <c r="I699" s="624"/>
      <c r="J699" s="607"/>
    </row>
    <row r="700" spans="5:10" ht="15.75" thickBot="1" x14ac:dyDescent="0.3">
      <c r="E700" s="222"/>
      <c r="F700" s="233" t="s">
        <v>234</v>
      </c>
      <c r="G700" s="252" t="s">
        <v>235</v>
      </c>
      <c r="H700" s="598">
        <f>SUM(H681)</f>
        <v>30500000</v>
      </c>
      <c r="I700" s="599"/>
      <c r="J700" s="599">
        <f>SUM(H700:I700)</f>
        <v>30500000</v>
      </c>
    </row>
    <row r="701" spans="5:10" hidden="1" x14ac:dyDescent="0.25">
      <c r="F701" s="233" t="s">
        <v>236</v>
      </c>
      <c r="G701" s="252" t="s">
        <v>237</v>
      </c>
      <c r="J701" s="599">
        <f t="shared" ref="J701:J715" si="19">SUM(H701:I701)</f>
        <v>0</v>
      </c>
    </row>
    <row r="702" spans="5:10" hidden="1" x14ac:dyDescent="0.25">
      <c r="F702" s="233" t="s">
        <v>238</v>
      </c>
      <c r="G702" s="252" t="s">
        <v>239</v>
      </c>
      <c r="J702" s="599">
        <f t="shared" si="19"/>
        <v>0</v>
      </c>
    </row>
    <row r="703" spans="5:10" hidden="1" x14ac:dyDescent="0.25">
      <c r="F703" s="233" t="s">
        <v>240</v>
      </c>
      <c r="G703" s="252" t="s">
        <v>241</v>
      </c>
      <c r="J703" s="599">
        <f t="shared" si="19"/>
        <v>0</v>
      </c>
    </row>
    <row r="704" spans="5:10" hidden="1" x14ac:dyDescent="0.25">
      <c r="F704" s="233" t="s">
        <v>242</v>
      </c>
      <c r="G704" s="252" t="s">
        <v>243</v>
      </c>
      <c r="J704" s="599">
        <f t="shared" si="19"/>
        <v>0</v>
      </c>
    </row>
    <row r="705" spans="5:10" hidden="1" x14ac:dyDescent="0.25">
      <c r="F705" s="233" t="s">
        <v>244</v>
      </c>
      <c r="G705" s="252" t="s">
        <v>245</v>
      </c>
      <c r="J705" s="599">
        <f t="shared" si="19"/>
        <v>0</v>
      </c>
    </row>
    <row r="706" spans="5:10" hidden="1" x14ac:dyDescent="0.25">
      <c r="F706" s="233" t="s">
        <v>246</v>
      </c>
      <c r="G706" s="252" t="s">
        <v>247</v>
      </c>
      <c r="J706" s="599">
        <f t="shared" si="19"/>
        <v>0</v>
      </c>
    </row>
    <row r="707" spans="5:10" hidden="1" x14ac:dyDescent="0.25">
      <c r="F707" s="233" t="s">
        <v>248</v>
      </c>
      <c r="G707" s="252" t="s">
        <v>249</v>
      </c>
      <c r="J707" s="599">
        <f t="shared" si="19"/>
        <v>0</v>
      </c>
    </row>
    <row r="708" spans="5:10" hidden="1" x14ac:dyDescent="0.25">
      <c r="F708" s="233" t="s">
        <v>250</v>
      </c>
      <c r="G708" s="252" t="s">
        <v>57</v>
      </c>
      <c r="J708" s="599">
        <f t="shared" si="19"/>
        <v>0</v>
      </c>
    </row>
    <row r="709" spans="5:10" hidden="1" x14ac:dyDescent="0.25">
      <c r="F709" s="233" t="s">
        <v>251</v>
      </c>
      <c r="G709" s="252" t="s">
        <v>252</v>
      </c>
      <c r="J709" s="599">
        <f t="shared" si="19"/>
        <v>0</v>
      </c>
    </row>
    <row r="710" spans="5:10" hidden="1" x14ac:dyDescent="0.25">
      <c r="F710" s="233" t="s">
        <v>253</v>
      </c>
      <c r="G710" s="252" t="s">
        <v>254</v>
      </c>
      <c r="J710" s="599">
        <f t="shared" si="19"/>
        <v>0</v>
      </c>
    </row>
    <row r="711" spans="5:10" ht="30" hidden="1" x14ac:dyDescent="0.25">
      <c r="F711" s="233" t="s">
        <v>255</v>
      </c>
      <c r="G711" s="252" t="s">
        <v>256</v>
      </c>
      <c r="J711" s="599">
        <f t="shared" si="19"/>
        <v>0</v>
      </c>
    </row>
    <row r="712" spans="5:10" hidden="1" x14ac:dyDescent="0.25">
      <c r="F712" s="233" t="s">
        <v>257</v>
      </c>
      <c r="G712" s="252" t="s">
        <v>258</v>
      </c>
      <c r="J712" s="599">
        <f t="shared" si="19"/>
        <v>0</v>
      </c>
    </row>
    <row r="713" spans="5:10" ht="30" hidden="1" x14ac:dyDescent="0.25">
      <c r="F713" s="233" t="s">
        <v>259</v>
      </c>
      <c r="G713" s="252" t="s">
        <v>260</v>
      </c>
      <c r="J713" s="599">
        <f t="shared" si="19"/>
        <v>0</v>
      </c>
    </row>
    <row r="714" spans="5:10" hidden="1" x14ac:dyDescent="0.25">
      <c r="F714" s="233" t="s">
        <v>261</v>
      </c>
      <c r="G714" s="252" t="s">
        <v>262</v>
      </c>
      <c r="J714" s="599">
        <f t="shared" si="19"/>
        <v>0</v>
      </c>
    </row>
    <row r="715" spans="5:10" ht="15.75" hidden="1" thickBot="1" x14ac:dyDescent="0.3">
      <c r="F715" s="233" t="s">
        <v>263</v>
      </c>
      <c r="G715" s="252" t="s">
        <v>264</v>
      </c>
      <c r="H715" s="598"/>
      <c r="I715" s="599"/>
      <c r="J715" s="599">
        <f t="shared" si="19"/>
        <v>0</v>
      </c>
    </row>
    <row r="716" spans="5:10" ht="15.75" thickBot="1" x14ac:dyDescent="0.3">
      <c r="G716" s="229" t="s">
        <v>4229</v>
      </c>
      <c r="H716" s="600">
        <f>SUM(H700:H715)</f>
        <v>30500000</v>
      </c>
      <c r="I716" s="601">
        <f>SUM(I701:I715)</f>
        <v>0</v>
      </c>
      <c r="J716" s="601">
        <f>SUM(J700:J715)</f>
        <v>30500000</v>
      </c>
    </row>
    <row r="717" spans="5:10" hidden="1" x14ac:dyDescent="0.25"/>
    <row r="718" spans="5:10" x14ac:dyDescent="0.25">
      <c r="E718" s="241"/>
      <c r="F718" s="243"/>
      <c r="G718" s="250" t="s">
        <v>4233</v>
      </c>
      <c r="H718" s="606"/>
      <c r="I718" s="624"/>
      <c r="J718" s="607"/>
    </row>
    <row r="719" spans="5:10" ht="15.75" thickBot="1" x14ac:dyDescent="0.3">
      <c r="E719" s="222"/>
      <c r="F719" s="233" t="s">
        <v>234</v>
      </c>
      <c r="G719" s="252" t="s">
        <v>235</v>
      </c>
      <c r="H719" s="598">
        <f>SUM(H700)</f>
        <v>30500000</v>
      </c>
      <c r="I719" s="599"/>
      <c r="J719" s="599">
        <f>SUM(H719:I719)</f>
        <v>30500000</v>
      </c>
    </row>
    <row r="720" spans="5:10" hidden="1" x14ac:dyDescent="0.25">
      <c r="F720" s="233" t="s">
        <v>236</v>
      </c>
      <c r="G720" s="252" t="s">
        <v>237</v>
      </c>
      <c r="J720" s="599">
        <f t="shared" ref="J720:J734" si="20">SUM(H720:I720)</f>
        <v>0</v>
      </c>
    </row>
    <row r="721" spans="6:10" hidden="1" x14ac:dyDescent="0.25">
      <c r="F721" s="233" t="s">
        <v>238</v>
      </c>
      <c r="G721" s="252" t="s">
        <v>239</v>
      </c>
      <c r="J721" s="599">
        <f t="shared" si="20"/>
        <v>0</v>
      </c>
    </row>
    <row r="722" spans="6:10" hidden="1" x14ac:dyDescent="0.25">
      <c r="F722" s="233" t="s">
        <v>240</v>
      </c>
      <c r="G722" s="252" t="s">
        <v>241</v>
      </c>
      <c r="J722" s="599">
        <f t="shared" si="20"/>
        <v>0</v>
      </c>
    </row>
    <row r="723" spans="6:10" hidden="1" x14ac:dyDescent="0.25">
      <c r="F723" s="233" t="s">
        <v>242</v>
      </c>
      <c r="G723" s="252" t="s">
        <v>243</v>
      </c>
      <c r="J723" s="599">
        <f t="shared" si="20"/>
        <v>0</v>
      </c>
    </row>
    <row r="724" spans="6:10" hidden="1" x14ac:dyDescent="0.25">
      <c r="F724" s="233" t="s">
        <v>244</v>
      </c>
      <c r="G724" s="252" t="s">
        <v>245</v>
      </c>
      <c r="J724" s="599">
        <f t="shared" si="20"/>
        <v>0</v>
      </c>
    </row>
    <row r="725" spans="6:10" hidden="1" x14ac:dyDescent="0.25">
      <c r="F725" s="233" t="s">
        <v>246</v>
      </c>
      <c r="G725" s="252" t="s">
        <v>247</v>
      </c>
      <c r="J725" s="599">
        <f t="shared" si="20"/>
        <v>0</v>
      </c>
    </row>
    <row r="726" spans="6:10" hidden="1" x14ac:dyDescent="0.25">
      <c r="F726" s="233" t="s">
        <v>248</v>
      </c>
      <c r="G726" s="252" t="s">
        <v>249</v>
      </c>
      <c r="J726" s="599">
        <f t="shared" si="20"/>
        <v>0</v>
      </c>
    </row>
    <row r="727" spans="6:10" hidden="1" x14ac:dyDescent="0.25">
      <c r="F727" s="233" t="s">
        <v>250</v>
      </c>
      <c r="G727" s="252" t="s">
        <v>57</v>
      </c>
      <c r="J727" s="599">
        <f t="shared" si="20"/>
        <v>0</v>
      </c>
    </row>
    <row r="728" spans="6:10" hidden="1" x14ac:dyDescent="0.25">
      <c r="F728" s="233" t="s">
        <v>251</v>
      </c>
      <c r="G728" s="252" t="s">
        <v>252</v>
      </c>
      <c r="J728" s="599">
        <f t="shared" si="20"/>
        <v>0</v>
      </c>
    </row>
    <row r="729" spans="6:10" hidden="1" x14ac:dyDescent="0.25">
      <c r="F729" s="233" t="s">
        <v>253</v>
      </c>
      <c r="G729" s="252" t="s">
        <v>254</v>
      </c>
      <c r="J729" s="599">
        <f t="shared" si="20"/>
        <v>0</v>
      </c>
    </row>
    <row r="730" spans="6:10" ht="30" hidden="1" x14ac:dyDescent="0.25">
      <c r="F730" s="233" t="s">
        <v>255</v>
      </c>
      <c r="G730" s="252" t="s">
        <v>256</v>
      </c>
      <c r="J730" s="599">
        <f t="shared" si="20"/>
        <v>0</v>
      </c>
    </row>
    <row r="731" spans="6:10" hidden="1" x14ac:dyDescent="0.25">
      <c r="F731" s="233" t="s">
        <v>257</v>
      </c>
      <c r="G731" s="252" t="s">
        <v>258</v>
      </c>
      <c r="J731" s="599">
        <f t="shared" si="20"/>
        <v>0</v>
      </c>
    </row>
    <row r="732" spans="6:10" ht="30" hidden="1" x14ac:dyDescent="0.25">
      <c r="F732" s="233" t="s">
        <v>259</v>
      </c>
      <c r="G732" s="252" t="s">
        <v>260</v>
      </c>
      <c r="J732" s="599">
        <f t="shared" si="20"/>
        <v>0</v>
      </c>
    </row>
    <row r="733" spans="6:10" hidden="1" x14ac:dyDescent="0.25">
      <c r="F733" s="233" t="s">
        <v>261</v>
      </c>
      <c r="G733" s="252" t="s">
        <v>262</v>
      </c>
      <c r="J733" s="599">
        <f t="shared" si="20"/>
        <v>0</v>
      </c>
    </row>
    <row r="734" spans="6:10" ht="15.75" hidden="1" thickBot="1" x14ac:dyDescent="0.3">
      <c r="F734" s="233" t="s">
        <v>263</v>
      </c>
      <c r="G734" s="252" t="s">
        <v>264</v>
      </c>
      <c r="H734" s="598"/>
      <c r="I734" s="599"/>
      <c r="J734" s="599">
        <f t="shared" si="20"/>
        <v>0</v>
      </c>
    </row>
    <row r="735" spans="6:10" ht="15.75" thickBot="1" x14ac:dyDescent="0.3">
      <c r="G735" s="229" t="s">
        <v>4234</v>
      </c>
      <c r="H735" s="600">
        <f>SUM(H719:H734)</f>
        <v>30500000</v>
      </c>
      <c r="I735" s="601">
        <f>SUM(I720:I734)</f>
        <v>0</v>
      </c>
      <c r="J735" s="601">
        <f>SUM(J719:J734)</f>
        <v>30500000</v>
      </c>
    </row>
    <row r="736" spans="6:10" hidden="1" x14ac:dyDescent="0.25"/>
    <row r="737" spans="1:10" hidden="1" x14ac:dyDescent="0.25"/>
    <row r="738" spans="1:10" hidden="1" x14ac:dyDescent="0.25">
      <c r="A738" s="244"/>
      <c r="B738" s="244"/>
      <c r="C738" s="220"/>
      <c r="D738" s="216"/>
      <c r="E738" s="216"/>
      <c r="F738" s="216"/>
      <c r="G738" s="237" t="s">
        <v>3669</v>
      </c>
      <c r="H738" s="592"/>
      <c r="I738" s="593"/>
      <c r="J738" s="593"/>
    </row>
    <row r="739" spans="1:10" hidden="1" x14ac:dyDescent="0.25">
      <c r="C739" s="228" t="s">
        <v>3608</v>
      </c>
      <c r="D739" s="219"/>
      <c r="G739" s="294" t="s">
        <v>4188</v>
      </c>
    </row>
    <row r="740" spans="1:10" hidden="1" x14ac:dyDescent="0.25">
      <c r="C740" s="228" t="s">
        <v>4159</v>
      </c>
      <c r="D740" s="219"/>
      <c r="G740" s="294" t="s">
        <v>4160</v>
      </c>
    </row>
    <row r="741" spans="1:10" hidden="1" x14ac:dyDescent="0.25">
      <c r="C741" s="228"/>
      <c r="D741" s="312">
        <v>330</v>
      </c>
      <c r="E741" s="312"/>
      <c r="F741" s="312"/>
      <c r="G741" s="314" t="s">
        <v>130</v>
      </c>
      <c r="H741" s="608"/>
      <c r="I741" s="609"/>
      <c r="J741" s="609"/>
    </row>
    <row r="742" spans="1:10" hidden="1" x14ac:dyDescent="0.25">
      <c r="F742" s="246">
        <v>411</v>
      </c>
      <c r="G742" s="295" t="s">
        <v>4189</v>
      </c>
      <c r="J742" s="595">
        <f>SUM(H742:I742)</f>
        <v>0</v>
      </c>
    </row>
    <row r="743" spans="1:10" hidden="1" x14ac:dyDescent="0.25">
      <c r="F743" s="246">
        <v>412</v>
      </c>
      <c r="G743" s="292" t="s">
        <v>3784</v>
      </c>
      <c r="J743" s="595">
        <f>SUM(H743:I743)</f>
        <v>0</v>
      </c>
    </row>
    <row r="744" spans="1:10" hidden="1" x14ac:dyDescent="0.25">
      <c r="F744" s="246">
        <v>413</v>
      </c>
      <c r="G744" s="295" t="s">
        <v>4190</v>
      </c>
      <c r="J744" s="595">
        <f t="shared" ref="J744:J752" si="21">SUM(H744:I744)</f>
        <v>0</v>
      </c>
    </row>
    <row r="745" spans="1:10" hidden="1" x14ac:dyDescent="0.25">
      <c r="F745" s="246">
        <v>414</v>
      </c>
      <c r="G745" s="295" t="s">
        <v>3787</v>
      </c>
      <c r="J745" s="595">
        <f t="shared" si="21"/>
        <v>0</v>
      </c>
    </row>
    <row r="746" spans="1:10" hidden="1" x14ac:dyDescent="0.25">
      <c r="F746" s="246">
        <v>415</v>
      </c>
      <c r="G746" s="295" t="s">
        <v>4199</v>
      </c>
      <c r="J746" s="595">
        <f t="shared" si="21"/>
        <v>0</v>
      </c>
    </row>
    <row r="747" spans="1:10" hidden="1" x14ac:dyDescent="0.25">
      <c r="F747" s="246">
        <v>416</v>
      </c>
      <c r="G747" s="295" t="s">
        <v>4200</v>
      </c>
      <c r="J747" s="595">
        <f t="shared" si="21"/>
        <v>0</v>
      </c>
    </row>
    <row r="748" spans="1:10" hidden="1" x14ac:dyDescent="0.25">
      <c r="F748" s="246">
        <v>417</v>
      </c>
      <c r="G748" s="295" t="s">
        <v>4201</v>
      </c>
      <c r="J748" s="595">
        <f t="shared" si="21"/>
        <v>0</v>
      </c>
    </row>
    <row r="749" spans="1:10" hidden="1" x14ac:dyDescent="0.25">
      <c r="F749" s="246">
        <v>418</v>
      </c>
      <c r="G749" s="295" t="s">
        <v>3793</v>
      </c>
      <c r="J749" s="595">
        <f t="shared" si="21"/>
        <v>0</v>
      </c>
    </row>
    <row r="750" spans="1:10" hidden="1" x14ac:dyDescent="0.25">
      <c r="F750" s="246">
        <v>421</v>
      </c>
      <c r="G750" s="295" t="s">
        <v>3797</v>
      </c>
      <c r="J750" s="595">
        <f t="shared" si="21"/>
        <v>0</v>
      </c>
    </row>
    <row r="751" spans="1:10" hidden="1" x14ac:dyDescent="0.25">
      <c r="F751" s="246">
        <v>422</v>
      </c>
      <c r="G751" s="295" t="s">
        <v>3798</v>
      </c>
      <c r="J751" s="595">
        <f t="shared" si="21"/>
        <v>0</v>
      </c>
    </row>
    <row r="752" spans="1:10" hidden="1" x14ac:dyDescent="0.25">
      <c r="F752" s="246">
        <v>423</v>
      </c>
      <c r="G752" s="295" t="s">
        <v>3799</v>
      </c>
      <c r="J752" s="595">
        <f t="shared" si="21"/>
        <v>0</v>
      </c>
    </row>
    <row r="753" spans="6:10" hidden="1" x14ac:dyDescent="0.25">
      <c r="F753" s="246">
        <v>424</v>
      </c>
      <c r="G753" s="295" t="s">
        <v>3801</v>
      </c>
      <c r="J753" s="595">
        <f t="shared" ref="J753:J801" si="22">SUM(H753:I753)</f>
        <v>0</v>
      </c>
    </row>
    <row r="754" spans="6:10" hidden="1" x14ac:dyDescent="0.25">
      <c r="F754" s="246">
        <v>425</v>
      </c>
      <c r="G754" s="295" t="s">
        <v>4202</v>
      </c>
      <c r="J754" s="595">
        <f t="shared" si="22"/>
        <v>0</v>
      </c>
    </row>
    <row r="755" spans="6:10" hidden="1" x14ac:dyDescent="0.25">
      <c r="F755" s="246">
        <v>426</v>
      </c>
      <c r="G755" s="295" t="s">
        <v>3805</v>
      </c>
      <c r="J755" s="595">
        <f t="shared" si="22"/>
        <v>0</v>
      </c>
    </row>
    <row r="756" spans="6:10" hidden="1" x14ac:dyDescent="0.25">
      <c r="F756" s="246">
        <v>431</v>
      </c>
      <c r="G756" s="295" t="s">
        <v>4203</v>
      </c>
      <c r="J756" s="595">
        <f t="shared" si="22"/>
        <v>0</v>
      </c>
    </row>
    <row r="757" spans="6:10" hidden="1" x14ac:dyDescent="0.25">
      <c r="F757" s="246">
        <v>432</v>
      </c>
      <c r="G757" s="295" t="s">
        <v>4204</v>
      </c>
      <c r="J757" s="595">
        <f t="shared" si="22"/>
        <v>0</v>
      </c>
    </row>
    <row r="758" spans="6:10" hidden="1" x14ac:dyDescent="0.25">
      <c r="F758" s="246">
        <v>433</v>
      </c>
      <c r="G758" s="295" t="s">
        <v>4205</v>
      </c>
      <c r="J758" s="595">
        <f t="shared" si="22"/>
        <v>0</v>
      </c>
    </row>
    <row r="759" spans="6:10" hidden="1" x14ac:dyDescent="0.25">
      <c r="F759" s="246">
        <v>434</v>
      </c>
      <c r="G759" s="295" t="s">
        <v>4206</v>
      </c>
      <c r="J759" s="595">
        <f t="shared" si="22"/>
        <v>0</v>
      </c>
    </row>
    <row r="760" spans="6:10" hidden="1" x14ac:dyDescent="0.25">
      <c r="F760" s="246">
        <v>435</v>
      </c>
      <c r="G760" s="295" t="s">
        <v>3812</v>
      </c>
      <c r="J760" s="595">
        <f t="shared" si="22"/>
        <v>0</v>
      </c>
    </row>
    <row r="761" spans="6:10" hidden="1" x14ac:dyDescent="0.25">
      <c r="F761" s="246">
        <v>441</v>
      </c>
      <c r="G761" s="295" t="s">
        <v>4207</v>
      </c>
      <c r="J761" s="595">
        <f t="shared" si="22"/>
        <v>0</v>
      </c>
    </row>
    <row r="762" spans="6:10" hidden="1" x14ac:dyDescent="0.25">
      <c r="F762" s="246">
        <v>442</v>
      </c>
      <c r="G762" s="295" t="s">
        <v>4208</v>
      </c>
      <c r="J762" s="595">
        <f t="shared" si="22"/>
        <v>0</v>
      </c>
    </row>
    <row r="763" spans="6:10" hidden="1" x14ac:dyDescent="0.25">
      <c r="F763" s="246">
        <v>443</v>
      </c>
      <c r="G763" s="295" t="s">
        <v>3817</v>
      </c>
      <c r="J763" s="595">
        <f t="shared" si="22"/>
        <v>0</v>
      </c>
    </row>
    <row r="764" spans="6:10" hidden="1" x14ac:dyDescent="0.25">
      <c r="F764" s="246">
        <v>444</v>
      </c>
      <c r="G764" s="295" t="s">
        <v>3818</v>
      </c>
      <c r="J764" s="595">
        <f t="shared" si="22"/>
        <v>0</v>
      </c>
    </row>
    <row r="765" spans="6:10" ht="30" hidden="1" x14ac:dyDescent="0.25">
      <c r="F765" s="246">
        <v>4511</v>
      </c>
      <c r="G765" s="223" t="s">
        <v>1692</v>
      </c>
      <c r="J765" s="595">
        <f t="shared" si="22"/>
        <v>0</v>
      </c>
    </row>
    <row r="766" spans="6:10" ht="30" hidden="1" x14ac:dyDescent="0.25">
      <c r="F766" s="246">
        <v>4512</v>
      </c>
      <c r="G766" s="223" t="s">
        <v>1701</v>
      </c>
      <c r="J766" s="595">
        <f t="shared" si="22"/>
        <v>0</v>
      </c>
    </row>
    <row r="767" spans="6:10" hidden="1" x14ac:dyDescent="0.25">
      <c r="F767" s="246">
        <v>452</v>
      </c>
      <c r="G767" s="295" t="s">
        <v>4209</v>
      </c>
      <c r="J767" s="595">
        <f t="shared" si="22"/>
        <v>0</v>
      </c>
    </row>
    <row r="768" spans="6:10" hidden="1" x14ac:dyDescent="0.25">
      <c r="F768" s="246">
        <v>453</v>
      </c>
      <c r="G768" s="295" t="s">
        <v>4210</v>
      </c>
      <c r="J768" s="595">
        <f t="shared" si="22"/>
        <v>0</v>
      </c>
    </row>
    <row r="769" spans="6:10" hidden="1" x14ac:dyDescent="0.25">
      <c r="F769" s="246">
        <v>454</v>
      </c>
      <c r="G769" s="295" t="s">
        <v>3823</v>
      </c>
      <c r="J769" s="595">
        <f t="shared" si="22"/>
        <v>0</v>
      </c>
    </row>
    <row r="770" spans="6:10" hidden="1" x14ac:dyDescent="0.25">
      <c r="F770" s="246">
        <v>461</v>
      </c>
      <c r="G770" s="295" t="s">
        <v>4191</v>
      </c>
      <c r="J770" s="595">
        <f t="shared" si="22"/>
        <v>0</v>
      </c>
    </row>
    <row r="771" spans="6:10" hidden="1" x14ac:dyDescent="0.25">
      <c r="F771" s="246">
        <v>462</v>
      </c>
      <c r="G771" s="295" t="s">
        <v>3826</v>
      </c>
      <c r="J771" s="595">
        <f t="shared" si="22"/>
        <v>0</v>
      </c>
    </row>
    <row r="772" spans="6:10" hidden="1" x14ac:dyDescent="0.25">
      <c r="F772" s="246">
        <v>4631</v>
      </c>
      <c r="G772" s="295" t="s">
        <v>3827</v>
      </c>
      <c r="J772" s="595">
        <f t="shared" si="22"/>
        <v>0</v>
      </c>
    </row>
    <row r="773" spans="6:10" hidden="1" x14ac:dyDescent="0.25">
      <c r="F773" s="246">
        <v>4632</v>
      </c>
      <c r="G773" s="295" t="s">
        <v>3828</v>
      </c>
      <c r="J773" s="595">
        <f t="shared" si="22"/>
        <v>0</v>
      </c>
    </row>
    <row r="774" spans="6:10" hidden="1" x14ac:dyDescent="0.25">
      <c r="F774" s="246">
        <v>464</v>
      </c>
      <c r="G774" s="295" t="s">
        <v>3829</v>
      </c>
      <c r="J774" s="595">
        <f t="shared" si="22"/>
        <v>0</v>
      </c>
    </row>
    <row r="775" spans="6:10" hidden="1" x14ac:dyDescent="0.25">
      <c r="F775" s="246">
        <v>465</v>
      </c>
      <c r="G775" s="295" t="s">
        <v>4192</v>
      </c>
      <c r="J775" s="595">
        <f t="shared" si="22"/>
        <v>0</v>
      </c>
    </row>
    <row r="776" spans="6:10" hidden="1" x14ac:dyDescent="0.25">
      <c r="F776" s="246">
        <v>472</v>
      </c>
      <c r="G776" s="295" t="s">
        <v>3833</v>
      </c>
      <c r="J776" s="595">
        <f t="shared" si="22"/>
        <v>0</v>
      </c>
    </row>
    <row r="777" spans="6:10" ht="15.75" hidden="1" thickBot="1" x14ac:dyDescent="0.3">
      <c r="F777" s="246">
        <v>481</v>
      </c>
      <c r="G777" s="295" t="s">
        <v>4211</v>
      </c>
      <c r="J777" s="595">
        <f t="shared" si="22"/>
        <v>0</v>
      </c>
    </row>
    <row r="778" spans="6:10" hidden="1" x14ac:dyDescent="0.25">
      <c r="F778" s="246">
        <v>482</v>
      </c>
      <c r="G778" s="295" t="s">
        <v>4212</v>
      </c>
      <c r="J778" s="595">
        <f t="shared" si="22"/>
        <v>0</v>
      </c>
    </row>
    <row r="779" spans="6:10" hidden="1" x14ac:dyDescent="0.25">
      <c r="F779" s="246">
        <v>483</v>
      </c>
      <c r="G779" s="298" t="s">
        <v>4213</v>
      </c>
      <c r="J779" s="595">
        <f t="shared" si="22"/>
        <v>0</v>
      </c>
    </row>
    <row r="780" spans="6:10" ht="30" hidden="1" x14ac:dyDescent="0.25">
      <c r="F780" s="246">
        <v>484</v>
      </c>
      <c r="G780" s="295" t="s">
        <v>4214</v>
      </c>
      <c r="J780" s="595">
        <f t="shared" si="22"/>
        <v>0</v>
      </c>
    </row>
    <row r="781" spans="6:10" ht="30" hidden="1" x14ac:dyDescent="0.25">
      <c r="F781" s="246">
        <v>485</v>
      </c>
      <c r="G781" s="295" t="s">
        <v>4215</v>
      </c>
      <c r="J781" s="595">
        <f t="shared" si="22"/>
        <v>0</v>
      </c>
    </row>
    <row r="782" spans="6:10" ht="30" hidden="1" x14ac:dyDescent="0.25">
      <c r="F782" s="246">
        <v>489</v>
      </c>
      <c r="G782" s="295" t="s">
        <v>3841</v>
      </c>
      <c r="J782" s="595">
        <f t="shared" si="22"/>
        <v>0</v>
      </c>
    </row>
    <row r="783" spans="6:10" hidden="1" x14ac:dyDescent="0.25">
      <c r="F783" s="246">
        <v>494</v>
      </c>
      <c r="G783" s="295" t="s">
        <v>4193</v>
      </c>
      <c r="J783" s="595">
        <f t="shared" si="22"/>
        <v>0</v>
      </c>
    </row>
    <row r="784" spans="6:10" ht="30" hidden="1" x14ac:dyDescent="0.25">
      <c r="F784" s="246">
        <v>495</v>
      </c>
      <c r="G784" s="295" t="s">
        <v>4194</v>
      </c>
      <c r="J784" s="595">
        <f t="shared" si="22"/>
        <v>0</v>
      </c>
    </row>
    <row r="785" spans="6:10" ht="30" hidden="1" x14ac:dyDescent="0.25">
      <c r="F785" s="246">
        <v>496</v>
      </c>
      <c r="G785" s="295" t="s">
        <v>4195</v>
      </c>
      <c r="J785" s="595">
        <f t="shared" si="22"/>
        <v>0</v>
      </c>
    </row>
    <row r="786" spans="6:10" hidden="1" x14ac:dyDescent="0.25">
      <c r="F786" s="246">
        <v>499</v>
      </c>
      <c r="G786" s="295" t="s">
        <v>4196</v>
      </c>
      <c r="J786" s="595">
        <f t="shared" si="22"/>
        <v>0</v>
      </c>
    </row>
    <row r="787" spans="6:10" hidden="1" x14ac:dyDescent="0.25">
      <c r="F787" s="246">
        <v>511</v>
      </c>
      <c r="G787" s="298" t="s">
        <v>4216</v>
      </c>
      <c r="J787" s="595">
        <f t="shared" si="22"/>
        <v>0</v>
      </c>
    </row>
    <row r="788" spans="6:10" hidden="1" x14ac:dyDescent="0.25">
      <c r="F788" s="246">
        <v>512</v>
      </c>
      <c r="G788" s="298" t="s">
        <v>4217</v>
      </c>
      <c r="J788" s="595">
        <f t="shared" si="22"/>
        <v>0</v>
      </c>
    </row>
    <row r="789" spans="6:10" hidden="1" x14ac:dyDescent="0.25">
      <c r="F789" s="246">
        <v>513</v>
      </c>
      <c r="G789" s="298" t="s">
        <v>4218</v>
      </c>
      <c r="J789" s="595">
        <f t="shared" si="22"/>
        <v>0</v>
      </c>
    </row>
    <row r="790" spans="6:10" hidden="1" x14ac:dyDescent="0.25">
      <c r="F790" s="246">
        <v>514</v>
      </c>
      <c r="G790" s="295" t="s">
        <v>4219</v>
      </c>
      <c r="J790" s="595">
        <f t="shared" si="22"/>
        <v>0</v>
      </c>
    </row>
    <row r="791" spans="6:10" hidden="1" x14ac:dyDescent="0.25">
      <c r="F791" s="246">
        <v>515</v>
      </c>
      <c r="G791" s="295" t="s">
        <v>3852</v>
      </c>
      <c r="J791" s="595">
        <f t="shared" si="22"/>
        <v>0</v>
      </c>
    </row>
    <row r="792" spans="6:10" hidden="1" x14ac:dyDescent="0.25">
      <c r="F792" s="246">
        <v>521</v>
      </c>
      <c r="G792" s="295" t="s">
        <v>4220</v>
      </c>
      <c r="J792" s="595">
        <f t="shared" si="22"/>
        <v>0</v>
      </c>
    </row>
    <row r="793" spans="6:10" hidden="1" x14ac:dyDescent="0.25">
      <c r="F793" s="246">
        <v>522</v>
      </c>
      <c r="G793" s="295" t="s">
        <v>4221</v>
      </c>
      <c r="J793" s="595">
        <f t="shared" si="22"/>
        <v>0</v>
      </c>
    </row>
    <row r="794" spans="6:10" hidden="1" x14ac:dyDescent="0.25">
      <c r="F794" s="246">
        <v>523</v>
      </c>
      <c r="G794" s="295" t="s">
        <v>3857</v>
      </c>
      <c r="J794" s="595">
        <f t="shared" si="22"/>
        <v>0</v>
      </c>
    </row>
    <row r="795" spans="6:10" hidden="1" x14ac:dyDescent="0.25">
      <c r="F795" s="246">
        <v>531</v>
      </c>
      <c r="G795" s="292" t="s">
        <v>4197</v>
      </c>
      <c r="J795" s="595">
        <f t="shared" si="22"/>
        <v>0</v>
      </c>
    </row>
    <row r="796" spans="6:10" hidden="1" x14ac:dyDescent="0.25">
      <c r="F796" s="246">
        <v>541</v>
      </c>
      <c r="G796" s="295" t="s">
        <v>4222</v>
      </c>
      <c r="J796" s="595">
        <f t="shared" si="22"/>
        <v>0</v>
      </c>
    </row>
    <row r="797" spans="6:10" hidden="1" x14ac:dyDescent="0.25">
      <c r="F797" s="246">
        <v>542</v>
      </c>
      <c r="G797" s="295" t="s">
        <v>4223</v>
      </c>
      <c r="J797" s="595">
        <f t="shared" si="22"/>
        <v>0</v>
      </c>
    </row>
    <row r="798" spans="6:10" hidden="1" x14ac:dyDescent="0.25">
      <c r="F798" s="246">
        <v>543</v>
      </c>
      <c r="G798" s="295" t="s">
        <v>3862</v>
      </c>
      <c r="J798" s="595">
        <f t="shared" si="22"/>
        <v>0</v>
      </c>
    </row>
    <row r="799" spans="6:10" ht="30" hidden="1" x14ac:dyDescent="0.25">
      <c r="F799" s="246">
        <v>551</v>
      </c>
      <c r="G799" s="295" t="s">
        <v>4198</v>
      </c>
      <c r="J799" s="595">
        <f t="shared" si="22"/>
        <v>0</v>
      </c>
    </row>
    <row r="800" spans="6:10" hidden="1" x14ac:dyDescent="0.25">
      <c r="F800" s="247">
        <v>611</v>
      </c>
      <c r="G800" s="299" t="s">
        <v>3868</v>
      </c>
      <c r="J800" s="595">
        <f t="shared" si="22"/>
        <v>0</v>
      </c>
    </row>
    <row r="801" spans="5:10" ht="15.75" hidden="1" thickBot="1" x14ac:dyDescent="0.3">
      <c r="F801" s="247">
        <v>620</v>
      </c>
      <c r="G801" s="299" t="s">
        <v>88</v>
      </c>
      <c r="J801" s="595">
        <f t="shared" si="22"/>
        <v>0</v>
      </c>
    </row>
    <row r="802" spans="5:10" hidden="1" x14ac:dyDescent="0.25">
      <c r="E802" s="293"/>
      <c r="F802" s="301"/>
      <c r="G802" s="327" t="s">
        <v>4367</v>
      </c>
      <c r="H802" s="596"/>
      <c r="I802" s="622"/>
      <c r="J802" s="597"/>
    </row>
    <row r="803" spans="5:10" ht="15.75" hidden="1" thickBot="1" x14ac:dyDescent="0.3">
      <c r="E803" s="222"/>
      <c r="F803" s="249" t="s">
        <v>234</v>
      </c>
      <c r="G803" s="252" t="s">
        <v>235</v>
      </c>
      <c r="H803" s="598">
        <f>SUM(H742:H801)</f>
        <v>0</v>
      </c>
      <c r="I803" s="599"/>
      <c r="J803" s="599">
        <f t="shared" ref="J803:J818" si="23">SUM(H803:I803)</f>
        <v>0</v>
      </c>
    </row>
    <row r="804" spans="5:10" hidden="1" x14ac:dyDescent="0.25">
      <c r="F804" s="249" t="s">
        <v>236</v>
      </c>
      <c r="G804" s="252" t="s">
        <v>237</v>
      </c>
      <c r="J804" s="599">
        <f t="shared" si="23"/>
        <v>0</v>
      </c>
    </row>
    <row r="805" spans="5:10" hidden="1" x14ac:dyDescent="0.25">
      <c r="F805" s="249" t="s">
        <v>238</v>
      </c>
      <c r="G805" s="252" t="s">
        <v>239</v>
      </c>
      <c r="J805" s="599">
        <f t="shared" si="23"/>
        <v>0</v>
      </c>
    </row>
    <row r="806" spans="5:10" hidden="1" x14ac:dyDescent="0.25">
      <c r="F806" s="249" t="s">
        <v>240</v>
      </c>
      <c r="G806" s="252" t="s">
        <v>241</v>
      </c>
      <c r="J806" s="599">
        <f t="shared" si="23"/>
        <v>0</v>
      </c>
    </row>
    <row r="807" spans="5:10" hidden="1" x14ac:dyDescent="0.25">
      <c r="F807" s="249" t="s">
        <v>242</v>
      </c>
      <c r="G807" s="252" t="s">
        <v>243</v>
      </c>
      <c r="J807" s="599">
        <f t="shared" si="23"/>
        <v>0</v>
      </c>
    </row>
    <row r="808" spans="5:10" hidden="1" x14ac:dyDescent="0.25">
      <c r="F808" s="249" t="s">
        <v>244</v>
      </c>
      <c r="G808" s="252" t="s">
        <v>245</v>
      </c>
      <c r="J808" s="599">
        <f t="shared" si="23"/>
        <v>0</v>
      </c>
    </row>
    <row r="809" spans="5:10" hidden="1" x14ac:dyDescent="0.25">
      <c r="F809" s="249" t="s">
        <v>246</v>
      </c>
      <c r="G809" s="252" t="s">
        <v>247</v>
      </c>
      <c r="J809" s="599">
        <f t="shared" si="23"/>
        <v>0</v>
      </c>
    </row>
    <row r="810" spans="5:10" hidden="1" x14ac:dyDescent="0.25">
      <c r="F810" s="249" t="s">
        <v>248</v>
      </c>
      <c r="G810" s="252" t="s">
        <v>249</v>
      </c>
      <c r="J810" s="599">
        <f t="shared" si="23"/>
        <v>0</v>
      </c>
    </row>
    <row r="811" spans="5:10" hidden="1" x14ac:dyDescent="0.25">
      <c r="F811" s="249" t="s">
        <v>250</v>
      </c>
      <c r="G811" s="252" t="s">
        <v>57</v>
      </c>
      <c r="J811" s="599">
        <f t="shared" si="23"/>
        <v>0</v>
      </c>
    </row>
    <row r="812" spans="5:10" hidden="1" x14ac:dyDescent="0.25">
      <c r="F812" s="249" t="s">
        <v>251</v>
      </c>
      <c r="G812" s="252" t="s">
        <v>252</v>
      </c>
      <c r="J812" s="599">
        <f t="shared" si="23"/>
        <v>0</v>
      </c>
    </row>
    <row r="813" spans="5:10" hidden="1" x14ac:dyDescent="0.25">
      <c r="F813" s="249" t="s">
        <v>253</v>
      </c>
      <c r="G813" s="252" t="s">
        <v>254</v>
      </c>
      <c r="J813" s="599">
        <f t="shared" si="23"/>
        <v>0</v>
      </c>
    </row>
    <row r="814" spans="5:10" ht="30" hidden="1" x14ac:dyDescent="0.25">
      <c r="F814" s="249" t="s">
        <v>255</v>
      </c>
      <c r="G814" s="252" t="s">
        <v>256</v>
      </c>
      <c r="J814" s="599">
        <f t="shared" si="23"/>
        <v>0</v>
      </c>
    </row>
    <row r="815" spans="5:10" hidden="1" x14ac:dyDescent="0.25">
      <c r="F815" s="249" t="s">
        <v>257</v>
      </c>
      <c r="G815" s="252" t="s">
        <v>258</v>
      </c>
      <c r="J815" s="599">
        <f t="shared" si="23"/>
        <v>0</v>
      </c>
    </row>
    <row r="816" spans="5:10" ht="30" hidden="1" x14ac:dyDescent="0.25">
      <c r="F816" s="249" t="s">
        <v>259</v>
      </c>
      <c r="G816" s="252" t="s">
        <v>260</v>
      </c>
      <c r="J816" s="599">
        <f t="shared" si="23"/>
        <v>0</v>
      </c>
    </row>
    <row r="817" spans="5:10" hidden="1" x14ac:dyDescent="0.25">
      <c r="F817" s="249" t="s">
        <v>261</v>
      </c>
      <c r="G817" s="252" t="s">
        <v>262</v>
      </c>
      <c r="J817" s="599">
        <f t="shared" si="23"/>
        <v>0</v>
      </c>
    </row>
    <row r="818" spans="5:10" ht="15.75" hidden="1" thickBot="1" x14ac:dyDescent="0.3">
      <c r="F818" s="249" t="s">
        <v>263</v>
      </c>
      <c r="G818" s="252" t="s">
        <v>264</v>
      </c>
      <c r="H818" s="598"/>
      <c r="I818" s="599"/>
      <c r="J818" s="599">
        <f t="shared" si="23"/>
        <v>0</v>
      </c>
    </row>
    <row r="819" spans="5:10" ht="15.75" hidden="1" thickBot="1" x14ac:dyDescent="0.3">
      <c r="G819" s="229" t="s">
        <v>4308</v>
      </c>
      <c r="H819" s="600">
        <f>SUM(H803:H818)</f>
        <v>0</v>
      </c>
      <c r="I819" s="601">
        <f>SUM(I804:I818)</f>
        <v>0</v>
      </c>
      <c r="J819" s="601">
        <f>SUM(J803:J818)</f>
        <v>0</v>
      </c>
    </row>
    <row r="820" spans="5:10" ht="28.5" hidden="1" collapsed="1" x14ac:dyDescent="0.25">
      <c r="E820" s="293"/>
      <c r="F820" s="301"/>
      <c r="G820" s="231" t="s">
        <v>4309</v>
      </c>
      <c r="H820" s="602"/>
      <c r="I820" s="623"/>
      <c r="J820" s="603"/>
    </row>
    <row r="821" spans="5:10" ht="15.75" hidden="1" thickBot="1" x14ac:dyDescent="0.3">
      <c r="E821" s="222"/>
      <c r="F821" s="249" t="s">
        <v>234</v>
      </c>
      <c r="G821" s="252" t="s">
        <v>235</v>
      </c>
      <c r="H821" s="598">
        <f>SUM(H742:H801)</f>
        <v>0</v>
      </c>
      <c r="I821" s="599"/>
      <c r="J821" s="599">
        <f>SUM(H821:I821)</f>
        <v>0</v>
      </c>
    </row>
    <row r="822" spans="5:10" hidden="1" x14ac:dyDescent="0.25">
      <c r="F822" s="249" t="s">
        <v>236</v>
      </c>
      <c r="G822" s="252" t="s">
        <v>237</v>
      </c>
      <c r="J822" s="599">
        <f t="shared" ref="J822:J836" si="24">SUM(H822:I822)</f>
        <v>0</v>
      </c>
    </row>
    <row r="823" spans="5:10" hidden="1" x14ac:dyDescent="0.25">
      <c r="F823" s="249" t="s">
        <v>238</v>
      </c>
      <c r="G823" s="252" t="s">
        <v>239</v>
      </c>
      <c r="J823" s="599">
        <f t="shared" si="24"/>
        <v>0</v>
      </c>
    </row>
    <row r="824" spans="5:10" hidden="1" x14ac:dyDescent="0.25">
      <c r="F824" s="249" t="s">
        <v>240</v>
      </c>
      <c r="G824" s="252" t="s">
        <v>241</v>
      </c>
      <c r="J824" s="599">
        <f t="shared" si="24"/>
        <v>0</v>
      </c>
    </row>
    <row r="825" spans="5:10" hidden="1" x14ac:dyDescent="0.25">
      <c r="F825" s="249" t="s">
        <v>242</v>
      </c>
      <c r="G825" s="252" t="s">
        <v>243</v>
      </c>
      <c r="J825" s="599">
        <f t="shared" si="24"/>
        <v>0</v>
      </c>
    </row>
    <row r="826" spans="5:10" hidden="1" x14ac:dyDescent="0.25">
      <c r="F826" s="249" t="s">
        <v>244</v>
      </c>
      <c r="G826" s="252" t="s">
        <v>245</v>
      </c>
      <c r="J826" s="599">
        <f t="shared" si="24"/>
        <v>0</v>
      </c>
    </row>
    <row r="827" spans="5:10" hidden="1" x14ac:dyDescent="0.25">
      <c r="F827" s="249" t="s">
        <v>246</v>
      </c>
      <c r="G827" s="252" t="s">
        <v>247</v>
      </c>
      <c r="J827" s="599">
        <f t="shared" si="24"/>
        <v>0</v>
      </c>
    </row>
    <row r="828" spans="5:10" hidden="1" x14ac:dyDescent="0.25">
      <c r="F828" s="249" t="s">
        <v>248</v>
      </c>
      <c r="G828" s="252" t="s">
        <v>249</v>
      </c>
      <c r="J828" s="599">
        <f t="shared" si="24"/>
        <v>0</v>
      </c>
    </row>
    <row r="829" spans="5:10" hidden="1" x14ac:dyDescent="0.25">
      <c r="F829" s="249" t="s">
        <v>250</v>
      </c>
      <c r="G829" s="252" t="s">
        <v>57</v>
      </c>
      <c r="J829" s="599">
        <f t="shared" si="24"/>
        <v>0</v>
      </c>
    </row>
    <row r="830" spans="5:10" hidden="1" x14ac:dyDescent="0.25">
      <c r="F830" s="249" t="s">
        <v>251</v>
      </c>
      <c r="G830" s="252" t="s">
        <v>252</v>
      </c>
      <c r="J830" s="599">
        <f t="shared" si="24"/>
        <v>0</v>
      </c>
    </row>
    <row r="831" spans="5:10" hidden="1" x14ac:dyDescent="0.25">
      <c r="F831" s="249" t="s">
        <v>253</v>
      </c>
      <c r="G831" s="252" t="s">
        <v>254</v>
      </c>
      <c r="J831" s="599">
        <f t="shared" si="24"/>
        <v>0</v>
      </c>
    </row>
    <row r="832" spans="5:10" ht="30" hidden="1" x14ac:dyDescent="0.25">
      <c r="F832" s="249" t="s">
        <v>255</v>
      </c>
      <c r="G832" s="252" t="s">
        <v>256</v>
      </c>
      <c r="J832" s="599">
        <f t="shared" si="24"/>
        <v>0</v>
      </c>
    </row>
    <row r="833" spans="5:10" hidden="1" x14ac:dyDescent="0.25">
      <c r="F833" s="249" t="s">
        <v>257</v>
      </c>
      <c r="G833" s="252" t="s">
        <v>258</v>
      </c>
      <c r="J833" s="599">
        <f t="shared" si="24"/>
        <v>0</v>
      </c>
    </row>
    <row r="834" spans="5:10" ht="30" hidden="1" x14ac:dyDescent="0.25">
      <c r="F834" s="249" t="s">
        <v>259</v>
      </c>
      <c r="G834" s="252" t="s">
        <v>260</v>
      </c>
      <c r="J834" s="599">
        <f t="shared" si="24"/>
        <v>0</v>
      </c>
    </row>
    <row r="835" spans="5:10" hidden="1" x14ac:dyDescent="0.25">
      <c r="F835" s="249" t="s">
        <v>261</v>
      </c>
      <c r="G835" s="252" t="s">
        <v>262</v>
      </c>
      <c r="J835" s="599">
        <f t="shared" si="24"/>
        <v>0</v>
      </c>
    </row>
    <row r="836" spans="5:10" ht="15.75" hidden="1" thickBot="1" x14ac:dyDescent="0.3">
      <c r="F836" s="249" t="s">
        <v>263</v>
      </c>
      <c r="G836" s="252" t="s">
        <v>264</v>
      </c>
      <c r="H836" s="598"/>
      <c r="I836" s="599"/>
      <c r="J836" s="599">
        <f t="shared" si="24"/>
        <v>0</v>
      </c>
    </row>
    <row r="837" spans="5:10" ht="15.75" hidden="1" collapsed="1" thickBot="1" x14ac:dyDescent="0.3">
      <c r="G837" s="229" t="s">
        <v>4310</v>
      </c>
      <c r="H837" s="600">
        <f>SUM(H821:H836)</f>
        <v>0</v>
      </c>
      <c r="I837" s="601">
        <f>SUM(I822:I836)</f>
        <v>0</v>
      </c>
      <c r="J837" s="601">
        <f>SUM(J821:J836)</f>
        <v>0</v>
      </c>
    </row>
    <row r="838" spans="5:10" hidden="1" x14ac:dyDescent="0.25"/>
    <row r="839" spans="5:10" hidden="1" x14ac:dyDescent="0.25">
      <c r="E839" s="245"/>
      <c r="F839" s="247"/>
      <c r="G839" s="250" t="s">
        <v>4225</v>
      </c>
      <c r="H839" s="606"/>
      <c r="I839" s="624"/>
      <c r="J839" s="607"/>
    </row>
    <row r="840" spans="5:10" ht="15.75" hidden="1" thickBot="1" x14ac:dyDescent="0.3">
      <c r="E840" s="222"/>
      <c r="F840" s="233" t="s">
        <v>234</v>
      </c>
      <c r="G840" s="252" t="s">
        <v>235</v>
      </c>
      <c r="H840" s="598">
        <f>SUM(H821)</f>
        <v>0</v>
      </c>
      <c r="I840" s="599"/>
      <c r="J840" s="599">
        <f>SUM(H840:I840)</f>
        <v>0</v>
      </c>
    </row>
    <row r="841" spans="5:10" hidden="1" x14ac:dyDescent="0.25">
      <c r="F841" s="233" t="s">
        <v>236</v>
      </c>
      <c r="G841" s="252" t="s">
        <v>237</v>
      </c>
      <c r="J841" s="599">
        <f t="shared" ref="J841:J855" si="25">SUM(H841:I841)</f>
        <v>0</v>
      </c>
    </row>
    <row r="842" spans="5:10" hidden="1" x14ac:dyDescent="0.25">
      <c r="F842" s="233" t="s">
        <v>238</v>
      </c>
      <c r="G842" s="252" t="s">
        <v>239</v>
      </c>
      <c r="J842" s="599">
        <f t="shared" si="25"/>
        <v>0</v>
      </c>
    </row>
    <row r="843" spans="5:10" hidden="1" x14ac:dyDescent="0.25">
      <c r="F843" s="233" t="s">
        <v>240</v>
      </c>
      <c r="G843" s="252" t="s">
        <v>241</v>
      </c>
      <c r="J843" s="599">
        <f t="shared" si="25"/>
        <v>0</v>
      </c>
    </row>
    <row r="844" spans="5:10" hidden="1" x14ac:dyDescent="0.25">
      <c r="F844" s="233" t="s">
        <v>242</v>
      </c>
      <c r="G844" s="252" t="s">
        <v>243</v>
      </c>
      <c r="J844" s="599">
        <f t="shared" si="25"/>
        <v>0</v>
      </c>
    </row>
    <row r="845" spans="5:10" hidden="1" x14ac:dyDescent="0.25">
      <c r="F845" s="233" t="s">
        <v>244</v>
      </c>
      <c r="G845" s="252" t="s">
        <v>245</v>
      </c>
      <c r="J845" s="599">
        <f t="shared" si="25"/>
        <v>0</v>
      </c>
    </row>
    <row r="846" spans="5:10" hidden="1" x14ac:dyDescent="0.25">
      <c r="F846" s="233" t="s">
        <v>246</v>
      </c>
      <c r="G846" s="252" t="s">
        <v>247</v>
      </c>
      <c r="J846" s="599">
        <f t="shared" si="25"/>
        <v>0</v>
      </c>
    </row>
    <row r="847" spans="5:10" hidden="1" x14ac:dyDescent="0.25">
      <c r="F847" s="233" t="s">
        <v>248</v>
      </c>
      <c r="G847" s="252" t="s">
        <v>249</v>
      </c>
      <c r="J847" s="599">
        <f t="shared" si="25"/>
        <v>0</v>
      </c>
    </row>
    <row r="848" spans="5:10" hidden="1" x14ac:dyDescent="0.25">
      <c r="F848" s="233" t="s">
        <v>250</v>
      </c>
      <c r="G848" s="252" t="s">
        <v>57</v>
      </c>
      <c r="J848" s="599">
        <f t="shared" si="25"/>
        <v>0</v>
      </c>
    </row>
    <row r="849" spans="5:10" hidden="1" x14ac:dyDescent="0.25">
      <c r="F849" s="233" t="s">
        <v>251</v>
      </c>
      <c r="G849" s="252" t="s">
        <v>252</v>
      </c>
      <c r="J849" s="599">
        <f t="shared" si="25"/>
        <v>0</v>
      </c>
    </row>
    <row r="850" spans="5:10" hidden="1" x14ac:dyDescent="0.25">
      <c r="F850" s="233" t="s">
        <v>253</v>
      </c>
      <c r="G850" s="252" t="s">
        <v>254</v>
      </c>
      <c r="J850" s="599">
        <f t="shared" si="25"/>
        <v>0</v>
      </c>
    </row>
    <row r="851" spans="5:10" ht="30" hidden="1" x14ac:dyDescent="0.25">
      <c r="F851" s="233" t="s">
        <v>255</v>
      </c>
      <c r="G851" s="252" t="s">
        <v>256</v>
      </c>
      <c r="J851" s="599">
        <f t="shared" si="25"/>
        <v>0</v>
      </c>
    </row>
    <row r="852" spans="5:10" hidden="1" x14ac:dyDescent="0.25">
      <c r="F852" s="233" t="s">
        <v>257</v>
      </c>
      <c r="G852" s="252" t="s">
        <v>258</v>
      </c>
      <c r="J852" s="599">
        <f t="shared" si="25"/>
        <v>0</v>
      </c>
    </row>
    <row r="853" spans="5:10" ht="30" hidden="1" x14ac:dyDescent="0.25">
      <c r="F853" s="233" t="s">
        <v>259</v>
      </c>
      <c r="G853" s="252" t="s">
        <v>260</v>
      </c>
      <c r="J853" s="599">
        <f t="shared" si="25"/>
        <v>0</v>
      </c>
    </row>
    <row r="854" spans="5:10" hidden="1" x14ac:dyDescent="0.25">
      <c r="F854" s="233" t="s">
        <v>261</v>
      </c>
      <c r="G854" s="252" t="s">
        <v>262</v>
      </c>
      <c r="J854" s="599">
        <f t="shared" si="25"/>
        <v>0</v>
      </c>
    </row>
    <row r="855" spans="5:10" ht="15.75" hidden="1" thickBot="1" x14ac:dyDescent="0.3">
      <c r="F855" s="233" t="s">
        <v>263</v>
      </c>
      <c r="G855" s="252" t="s">
        <v>264</v>
      </c>
      <c r="H855" s="598"/>
      <c r="I855" s="599"/>
      <c r="J855" s="599">
        <f t="shared" si="25"/>
        <v>0</v>
      </c>
    </row>
    <row r="856" spans="5:10" ht="15.75" hidden="1" thickBot="1" x14ac:dyDescent="0.3">
      <c r="G856" s="229" t="s">
        <v>4226</v>
      </c>
      <c r="H856" s="600">
        <f>SUM(H840:H855)</f>
        <v>0</v>
      </c>
      <c r="I856" s="601">
        <f>SUM(I841:I855)</f>
        <v>0</v>
      </c>
      <c r="J856" s="601">
        <f>SUM(J840:J855)</f>
        <v>0</v>
      </c>
    </row>
    <row r="857" spans="5:10" hidden="1" x14ac:dyDescent="0.25"/>
    <row r="858" spans="5:10" hidden="1" x14ac:dyDescent="0.25">
      <c r="E858" s="245"/>
      <c r="F858" s="247"/>
      <c r="G858" s="250" t="s">
        <v>4228</v>
      </c>
      <c r="H858" s="606"/>
      <c r="I858" s="624"/>
      <c r="J858" s="607"/>
    </row>
    <row r="859" spans="5:10" ht="15.75" hidden="1" thickBot="1" x14ac:dyDescent="0.3">
      <c r="E859" s="222"/>
      <c r="F859" s="233" t="s">
        <v>234</v>
      </c>
      <c r="G859" s="252" t="s">
        <v>235</v>
      </c>
      <c r="H859" s="598">
        <f>SUM(H840)</f>
        <v>0</v>
      </c>
      <c r="I859" s="599"/>
      <c r="J859" s="599">
        <f>SUM(H859:I859)</f>
        <v>0</v>
      </c>
    </row>
    <row r="860" spans="5:10" hidden="1" x14ac:dyDescent="0.25">
      <c r="F860" s="233" t="s">
        <v>236</v>
      </c>
      <c r="G860" s="252" t="s">
        <v>237</v>
      </c>
      <c r="J860" s="599">
        <f t="shared" ref="J860:J874" si="26">SUM(H860:I860)</f>
        <v>0</v>
      </c>
    </row>
    <row r="861" spans="5:10" hidden="1" x14ac:dyDescent="0.25">
      <c r="F861" s="233" t="s">
        <v>238</v>
      </c>
      <c r="G861" s="252" t="s">
        <v>239</v>
      </c>
      <c r="J861" s="599">
        <f t="shared" si="26"/>
        <v>0</v>
      </c>
    </row>
    <row r="862" spans="5:10" hidden="1" x14ac:dyDescent="0.25">
      <c r="F862" s="233" t="s">
        <v>240</v>
      </c>
      <c r="G862" s="252" t="s">
        <v>241</v>
      </c>
      <c r="J862" s="599">
        <f t="shared" si="26"/>
        <v>0</v>
      </c>
    </row>
    <row r="863" spans="5:10" hidden="1" x14ac:dyDescent="0.25">
      <c r="F863" s="233" t="s">
        <v>242</v>
      </c>
      <c r="G863" s="252" t="s">
        <v>243</v>
      </c>
      <c r="J863" s="599">
        <f t="shared" si="26"/>
        <v>0</v>
      </c>
    </row>
    <row r="864" spans="5:10" hidden="1" x14ac:dyDescent="0.25">
      <c r="F864" s="233" t="s">
        <v>244</v>
      </c>
      <c r="G864" s="252" t="s">
        <v>245</v>
      </c>
      <c r="J864" s="599">
        <f t="shared" si="26"/>
        <v>0</v>
      </c>
    </row>
    <row r="865" spans="5:10" hidden="1" x14ac:dyDescent="0.25">
      <c r="F865" s="233" t="s">
        <v>246</v>
      </c>
      <c r="G865" s="252" t="s">
        <v>247</v>
      </c>
      <c r="J865" s="599">
        <f t="shared" si="26"/>
        <v>0</v>
      </c>
    </row>
    <row r="866" spans="5:10" hidden="1" x14ac:dyDescent="0.25">
      <c r="F866" s="233" t="s">
        <v>248</v>
      </c>
      <c r="G866" s="252" t="s">
        <v>249</v>
      </c>
      <c r="J866" s="599">
        <f t="shared" si="26"/>
        <v>0</v>
      </c>
    </row>
    <row r="867" spans="5:10" hidden="1" x14ac:dyDescent="0.25">
      <c r="F867" s="233" t="s">
        <v>250</v>
      </c>
      <c r="G867" s="252" t="s">
        <v>57</v>
      </c>
      <c r="J867" s="599">
        <f t="shared" si="26"/>
        <v>0</v>
      </c>
    </row>
    <row r="868" spans="5:10" hidden="1" x14ac:dyDescent="0.25">
      <c r="F868" s="233" t="s">
        <v>251</v>
      </c>
      <c r="G868" s="252" t="s">
        <v>252</v>
      </c>
      <c r="J868" s="599">
        <f t="shared" si="26"/>
        <v>0</v>
      </c>
    </row>
    <row r="869" spans="5:10" hidden="1" x14ac:dyDescent="0.25">
      <c r="F869" s="233" t="s">
        <v>253</v>
      </c>
      <c r="G869" s="252" t="s">
        <v>254</v>
      </c>
      <c r="J869" s="599">
        <f t="shared" si="26"/>
        <v>0</v>
      </c>
    </row>
    <row r="870" spans="5:10" ht="30" hidden="1" x14ac:dyDescent="0.25">
      <c r="F870" s="233" t="s">
        <v>255</v>
      </c>
      <c r="G870" s="252" t="s">
        <v>256</v>
      </c>
      <c r="J870" s="599">
        <f t="shared" si="26"/>
        <v>0</v>
      </c>
    </row>
    <row r="871" spans="5:10" hidden="1" x14ac:dyDescent="0.25">
      <c r="F871" s="233" t="s">
        <v>257</v>
      </c>
      <c r="G871" s="252" t="s">
        <v>258</v>
      </c>
      <c r="J871" s="599">
        <f t="shared" si="26"/>
        <v>0</v>
      </c>
    </row>
    <row r="872" spans="5:10" ht="30" hidden="1" x14ac:dyDescent="0.25">
      <c r="F872" s="233" t="s">
        <v>259</v>
      </c>
      <c r="G872" s="252" t="s">
        <v>260</v>
      </c>
      <c r="J872" s="599">
        <f t="shared" si="26"/>
        <v>0</v>
      </c>
    </row>
    <row r="873" spans="5:10" hidden="1" x14ac:dyDescent="0.25">
      <c r="F873" s="233" t="s">
        <v>261</v>
      </c>
      <c r="G873" s="252" t="s">
        <v>262</v>
      </c>
      <c r="J873" s="599">
        <f t="shared" si="26"/>
        <v>0</v>
      </c>
    </row>
    <row r="874" spans="5:10" ht="15.75" hidden="1" thickBot="1" x14ac:dyDescent="0.3">
      <c r="F874" s="233" t="s">
        <v>263</v>
      </c>
      <c r="G874" s="252" t="s">
        <v>264</v>
      </c>
      <c r="H874" s="598"/>
      <c r="I874" s="599"/>
      <c r="J874" s="599">
        <f t="shared" si="26"/>
        <v>0</v>
      </c>
    </row>
    <row r="875" spans="5:10" ht="15.75" hidden="1" thickBot="1" x14ac:dyDescent="0.3">
      <c r="G875" s="229" t="s">
        <v>4229</v>
      </c>
      <c r="H875" s="600">
        <f>SUM(H859:H874)</f>
        <v>0</v>
      </c>
      <c r="I875" s="601">
        <f>SUM(I860:I874)</f>
        <v>0</v>
      </c>
      <c r="J875" s="601">
        <f>SUM(J859:J874)</f>
        <v>0</v>
      </c>
    </row>
    <row r="876" spans="5:10" hidden="1" x14ac:dyDescent="0.25"/>
    <row r="877" spans="5:10" hidden="1" x14ac:dyDescent="0.25">
      <c r="E877" s="245"/>
      <c r="F877" s="247"/>
      <c r="G877" s="250" t="s">
        <v>4235</v>
      </c>
      <c r="H877" s="606"/>
      <c r="I877" s="624"/>
      <c r="J877" s="607"/>
    </row>
    <row r="878" spans="5:10" ht="15.75" hidden="1" thickBot="1" x14ac:dyDescent="0.3">
      <c r="E878" s="222"/>
      <c r="F878" s="233" t="s">
        <v>234</v>
      </c>
      <c r="G878" s="252" t="s">
        <v>235</v>
      </c>
      <c r="H878" s="598">
        <f>SUM(H859)</f>
        <v>0</v>
      </c>
      <c r="I878" s="599"/>
      <c r="J878" s="599">
        <f>SUM(H878:I878)</f>
        <v>0</v>
      </c>
    </row>
    <row r="879" spans="5:10" hidden="1" x14ac:dyDescent="0.25">
      <c r="F879" s="233" t="s">
        <v>236</v>
      </c>
      <c r="G879" s="252" t="s">
        <v>237</v>
      </c>
      <c r="J879" s="599">
        <f t="shared" ref="J879:J893" si="27">SUM(H879:I879)</f>
        <v>0</v>
      </c>
    </row>
    <row r="880" spans="5:10" hidden="1" x14ac:dyDescent="0.25">
      <c r="F880" s="233" t="s">
        <v>238</v>
      </c>
      <c r="G880" s="252" t="s">
        <v>239</v>
      </c>
      <c r="J880" s="599">
        <f t="shared" si="27"/>
        <v>0</v>
      </c>
    </row>
    <row r="881" spans="6:10" hidden="1" x14ac:dyDescent="0.25">
      <c r="F881" s="233" t="s">
        <v>240</v>
      </c>
      <c r="G881" s="252" t="s">
        <v>241</v>
      </c>
      <c r="J881" s="599">
        <f t="shared" si="27"/>
        <v>0</v>
      </c>
    </row>
    <row r="882" spans="6:10" hidden="1" x14ac:dyDescent="0.25">
      <c r="F882" s="233" t="s">
        <v>242</v>
      </c>
      <c r="G882" s="252" t="s">
        <v>243</v>
      </c>
      <c r="J882" s="599">
        <f t="shared" si="27"/>
        <v>0</v>
      </c>
    </row>
    <row r="883" spans="6:10" hidden="1" x14ac:dyDescent="0.25">
      <c r="F883" s="233" t="s">
        <v>244</v>
      </c>
      <c r="G883" s="252" t="s">
        <v>245</v>
      </c>
      <c r="J883" s="599">
        <f t="shared" si="27"/>
        <v>0</v>
      </c>
    </row>
    <row r="884" spans="6:10" hidden="1" x14ac:dyDescent="0.25">
      <c r="F884" s="233" t="s">
        <v>246</v>
      </c>
      <c r="G884" s="252" t="s">
        <v>247</v>
      </c>
      <c r="J884" s="599">
        <f t="shared" si="27"/>
        <v>0</v>
      </c>
    </row>
    <row r="885" spans="6:10" hidden="1" x14ac:dyDescent="0.25">
      <c r="F885" s="233" t="s">
        <v>248</v>
      </c>
      <c r="G885" s="252" t="s">
        <v>249</v>
      </c>
      <c r="J885" s="599">
        <f t="shared" si="27"/>
        <v>0</v>
      </c>
    </row>
    <row r="886" spans="6:10" hidden="1" x14ac:dyDescent="0.25">
      <c r="F886" s="233" t="s">
        <v>250</v>
      </c>
      <c r="G886" s="252" t="s">
        <v>57</v>
      </c>
      <c r="J886" s="599">
        <f t="shared" si="27"/>
        <v>0</v>
      </c>
    </row>
    <row r="887" spans="6:10" hidden="1" x14ac:dyDescent="0.25">
      <c r="F887" s="233" t="s">
        <v>251</v>
      </c>
      <c r="G887" s="252" t="s">
        <v>252</v>
      </c>
      <c r="J887" s="599">
        <f t="shared" si="27"/>
        <v>0</v>
      </c>
    </row>
    <row r="888" spans="6:10" hidden="1" x14ac:dyDescent="0.25">
      <c r="F888" s="233" t="s">
        <v>253</v>
      </c>
      <c r="G888" s="252" t="s">
        <v>254</v>
      </c>
      <c r="J888" s="599">
        <f t="shared" si="27"/>
        <v>0</v>
      </c>
    </row>
    <row r="889" spans="6:10" ht="30" hidden="1" x14ac:dyDescent="0.25">
      <c r="F889" s="233" t="s">
        <v>255</v>
      </c>
      <c r="G889" s="252" t="s">
        <v>256</v>
      </c>
      <c r="J889" s="599">
        <f t="shared" si="27"/>
        <v>0</v>
      </c>
    </row>
    <row r="890" spans="6:10" hidden="1" x14ac:dyDescent="0.25">
      <c r="F890" s="233" t="s">
        <v>257</v>
      </c>
      <c r="G890" s="252" t="s">
        <v>258</v>
      </c>
      <c r="J890" s="599">
        <f t="shared" si="27"/>
        <v>0</v>
      </c>
    </row>
    <row r="891" spans="6:10" ht="30" hidden="1" x14ac:dyDescent="0.25">
      <c r="F891" s="233" t="s">
        <v>259</v>
      </c>
      <c r="G891" s="252" t="s">
        <v>260</v>
      </c>
      <c r="J891" s="599">
        <f t="shared" si="27"/>
        <v>0</v>
      </c>
    </row>
    <row r="892" spans="6:10" hidden="1" x14ac:dyDescent="0.25">
      <c r="F892" s="233" t="s">
        <v>261</v>
      </c>
      <c r="G892" s="252" t="s">
        <v>262</v>
      </c>
      <c r="J892" s="599">
        <f t="shared" si="27"/>
        <v>0</v>
      </c>
    </row>
    <row r="893" spans="6:10" ht="15.75" hidden="1" thickBot="1" x14ac:dyDescent="0.3">
      <c r="F893" s="233" t="s">
        <v>263</v>
      </c>
      <c r="G893" s="252" t="s">
        <v>264</v>
      </c>
      <c r="H893" s="598"/>
      <c r="I893" s="599"/>
      <c r="J893" s="599">
        <f t="shared" si="27"/>
        <v>0</v>
      </c>
    </row>
    <row r="894" spans="6:10" ht="15.75" hidden="1" thickBot="1" x14ac:dyDescent="0.3">
      <c r="G894" s="229" t="s">
        <v>4234</v>
      </c>
      <c r="H894" s="600">
        <f>SUM(H878:H893)</f>
        <v>0</v>
      </c>
      <c r="I894" s="601">
        <f>SUM(I879:I893)</f>
        <v>0</v>
      </c>
      <c r="J894" s="601">
        <f>SUM(J878:J893)</f>
        <v>0</v>
      </c>
    </row>
    <row r="895" spans="6:10" hidden="1" x14ac:dyDescent="0.25"/>
    <row r="896" spans="6:10" hidden="1" x14ac:dyDescent="0.25"/>
    <row r="897" spans="1:25" x14ac:dyDescent="0.25">
      <c r="A897" s="253">
        <v>3</v>
      </c>
      <c r="B897" s="254">
        <v>3</v>
      </c>
      <c r="C897" s="315"/>
      <c r="D897" s="255"/>
      <c r="E897" s="255"/>
      <c r="F897" s="259"/>
      <c r="G897" s="258" t="s">
        <v>5467</v>
      </c>
      <c r="H897" s="625"/>
      <c r="I897" s="593"/>
      <c r="J897" s="626"/>
    </row>
    <row r="898" spans="1:25" s="88" customFormat="1" hidden="1" x14ac:dyDescent="0.25">
      <c r="A898" s="261"/>
      <c r="B898" s="256"/>
      <c r="C898" s="265" t="s">
        <v>3566</v>
      </c>
      <c r="D898" s="218"/>
      <c r="E898" s="218"/>
      <c r="F898" s="218"/>
      <c r="G898" s="306" t="s">
        <v>4248</v>
      </c>
      <c r="H898" s="627"/>
      <c r="I898" s="610"/>
      <c r="J898" s="628"/>
      <c r="K898" s="533"/>
      <c r="L898" s="533"/>
      <c r="M898" s="533"/>
      <c r="N898" s="533"/>
      <c r="O898" s="533"/>
      <c r="P898" s="533"/>
      <c r="Q898" s="533"/>
      <c r="R898" s="533"/>
      <c r="S898" s="533"/>
      <c r="T898" s="533"/>
      <c r="U898" s="533"/>
      <c r="V898" s="533"/>
      <c r="W898" s="533"/>
      <c r="X898" s="533"/>
      <c r="Y898" s="533"/>
    </row>
    <row r="899" spans="1:25" s="88" customFormat="1" hidden="1" x14ac:dyDescent="0.25">
      <c r="A899" s="261"/>
      <c r="B899" s="256"/>
      <c r="C899" s="276" t="s">
        <v>4072</v>
      </c>
      <c r="D899" s="219"/>
      <c r="E899" s="219"/>
      <c r="F899" s="277"/>
      <c r="G899" s="307" t="s">
        <v>4074</v>
      </c>
      <c r="H899" s="627"/>
      <c r="I899" s="610"/>
      <c r="J899" s="628"/>
      <c r="K899" s="533"/>
      <c r="L899" s="533"/>
      <c r="M899" s="533"/>
      <c r="N899" s="533"/>
      <c r="O899" s="533"/>
      <c r="P899" s="533"/>
      <c r="Q899" s="533"/>
      <c r="R899" s="533"/>
      <c r="S899" s="533"/>
      <c r="T899" s="533"/>
      <c r="U899" s="533"/>
      <c r="V899" s="533"/>
      <c r="W899" s="533"/>
      <c r="X899" s="533"/>
      <c r="Y899" s="533"/>
    </row>
    <row r="900" spans="1:25" s="88" customFormat="1" hidden="1" x14ac:dyDescent="0.25">
      <c r="A900" s="261"/>
      <c r="B900" s="256"/>
      <c r="C900" s="265"/>
      <c r="D900" s="312">
        <v>620</v>
      </c>
      <c r="E900" s="312"/>
      <c r="F900" s="312"/>
      <c r="G900" s="325" t="s">
        <v>182</v>
      </c>
      <c r="H900" s="627"/>
      <c r="I900" s="610"/>
      <c r="J900" s="628"/>
      <c r="K900" s="533"/>
      <c r="L900" s="533"/>
      <c r="M900" s="533"/>
      <c r="N900" s="533"/>
      <c r="O900" s="533"/>
      <c r="P900" s="533"/>
      <c r="Q900" s="533"/>
      <c r="R900" s="533"/>
      <c r="S900" s="533"/>
      <c r="T900" s="533"/>
      <c r="U900" s="533"/>
      <c r="V900" s="533"/>
      <c r="W900" s="533"/>
      <c r="X900" s="533"/>
      <c r="Y900" s="533"/>
    </row>
    <row r="901" spans="1:25" s="88" customFormat="1" hidden="1" x14ac:dyDescent="0.25">
      <c r="A901" s="509"/>
      <c r="B901" s="256"/>
      <c r="C901" s="265"/>
      <c r="D901" s="312"/>
      <c r="E901" s="312"/>
      <c r="F901" s="218">
        <v>411</v>
      </c>
      <c r="G901" s="520" t="s">
        <v>4189</v>
      </c>
      <c r="H901" s="627"/>
      <c r="I901" s="610"/>
      <c r="J901" s="628"/>
      <c r="K901" s="533"/>
      <c r="L901" s="533"/>
      <c r="M901" s="533"/>
      <c r="N901" s="533"/>
      <c r="O901" s="533"/>
      <c r="P901" s="533"/>
      <c r="Q901" s="533"/>
      <c r="R901" s="533"/>
      <c r="S901" s="533"/>
      <c r="T901" s="533"/>
      <c r="U901" s="533"/>
      <c r="V901" s="533"/>
      <c r="W901" s="533"/>
      <c r="X901" s="533"/>
      <c r="Y901" s="533"/>
    </row>
    <row r="902" spans="1:25" s="88" customFormat="1" hidden="1" x14ac:dyDescent="0.25">
      <c r="A902" s="509"/>
      <c r="B902" s="256"/>
      <c r="C902" s="265"/>
      <c r="D902" s="312"/>
      <c r="E902" s="312"/>
      <c r="F902" s="218">
        <v>412</v>
      </c>
      <c r="G902" s="516" t="s">
        <v>3784</v>
      </c>
      <c r="H902" s="627"/>
      <c r="I902" s="610"/>
      <c r="J902" s="628"/>
      <c r="K902" s="533"/>
      <c r="L902" s="533"/>
      <c r="M902" s="533"/>
      <c r="N902" s="533"/>
      <c r="O902" s="533"/>
      <c r="P902" s="533"/>
      <c r="Q902" s="533"/>
      <c r="R902" s="533"/>
      <c r="S902" s="533"/>
      <c r="T902" s="533"/>
      <c r="U902" s="533"/>
      <c r="V902" s="533"/>
      <c r="W902" s="533"/>
      <c r="X902" s="533"/>
      <c r="Y902" s="533"/>
    </row>
    <row r="903" spans="1:25" s="88" customFormat="1" hidden="1" x14ac:dyDescent="0.25">
      <c r="A903" s="261"/>
      <c r="B903" s="256"/>
      <c r="C903" s="316"/>
      <c r="D903" s="251"/>
      <c r="E903" s="251"/>
      <c r="F903" s="263">
        <v>422</v>
      </c>
      <c r="G903" s="295" t="s">
        <v>3798</v>
      </c>
      <c r="H903" s="627"/>
      <c r="I903" s="610"/>
      <c r="J903" s="628"/>
      <c r="K903" s="533"/>
      <c r="L903" s="533"/>
      <c r="M903" s="533"/>
      <c r="N903" s="533"/>
      <c r="O903" s="533"/>
      <c r="P903" s="533"/>
      <c r="Q903" s="533"/>
      <c r="R903" s="533"/>
      <c r="S903" s="533"/>
      <c r="T903" s="533"/>
      <c r="U903" s="533"/>
      <c r="V903" s="533"/>
      <c r="W903" s="533"/>
      <c r="X903" s="533"/>
      <c r="Y903" s="533"/>
    </row>
    <row r="904" spans="1:25" s="88" customFormat="1" hidden="1" x14ac:dyDescent="0.25">
      <c r="A904" s="261"/>
      <c r="B904" s="256"/>
      <c r="C904" s="316"/>
      <c r="D904" s="251"/>
      <c r="E904" s="251"/>
      <c r="F904" s="263">
        <v>423</v>
      </c>
      <c r="G904" s="295" t="s">
        <v>3799</v>
      </c>
      <c r="H904" s="627"/>
      <c r="I904" s="610"/>
      <c r="J904" s="628"/>
      <c r="K904" s="533"/>
      <c r="L904" s="533"/>
      <c r="M904" s="533"/>
      <c r="N904" s="533"/>
      <c r="O904" s="533"/>
      <c r="P904" s="533"/>
      <c r="Q904" s="533"/>
      <c r="R904" s="533"/>
      <c r="S904" s="533"/>
      <c r="T904" s="533"/>
      <c r="U904" s="533"/>
      <c r="V904" s="533"/>
      <c r="W904" s="533"/>
      <c r="X904" s="533"/>
      <c r="Y904" s="533"/>
    </row>
    <row r="905" spans="1:25" s="88" customFormat="1" hidden="1" x14ac:dyDescent="0.25">
      <c r="A905" s="261"/>
      <c r="B905" s="256"/>
      <c r="C905" s="316"/>
      <c r="D905" s="251"/>
      <c r="E905" s="251"/>
      <c r="F905" s="263">
        <v>424</v>
      </c>
      <c r="G905" s="295" t="s">
        <v>3801</v>
      </c>
      <c r="H905" s="627"/>
      <c r="I905" s="610"/>
      <c r="J905" s="628"/>
      <c r="K905" s="533"/>
      <c r="L905" s="533"/>
      <c r="M905" s="533"/>
      <c r="N905" s="533"/>
      <c r="O905" s="533"/>
      <c r="P905" s="533"/>
      <c r="Q905" s="533"/>
      <c r="R905" s="533"/>
      <c r="S905" s="533"/>
      <c r="T905" s="533"/>
      <c r="U905" s="533"/>
      <c r="V905" s="533"/>
      <c r="W905" s="533"/>
      <c r="X905" s="533"/>
      <c r="Y905" s="533"/>
    </row>
    <row r="906" spans="1:25" s="88" customFormat="1" hidden="1" x14ac:dyDescent="0.25">
      <c r="A906" s="261"/>
      <c r="B906" s="256"/>
      <c r="C906" s="316"/>
      <c r="D906" s="251"/>
      <c r="E906" s="251"/>
      <c r="F906" s="263">
        <v>425</v>
      </c>
      <c r="G906" s="295" t="s">
        <v>4202</v>
      </c>
      <c r="H906" s="627"/>
      <c r="I906" s="610"/>
      <c r="J906" s="628"/>
      <c r="K906" s="533"/>
      <c r="L906" s="533"/>
      <c r="M906" s="533"/>
      <c r="N906" s="533"/>
      <c r="O906" s="533"/>
      <c r="P906" s="533"/>
      <c r="Q906" s="533"/>
      <c r="R906" s="533"/>
      <c r="S906" s="533"/>
      <c r="T906" s="533"/>
      <c r="U906" s="533"/>
      <c r="V906" s="533"/>
      <c r="W906" s="533"/>
      <c r="X906" s="533"/>
      <c r="Y906" s="533"/>
    </row>
    <row r="907" spans="1:25" s="88" customFormat="1" hidden="1" x14ac:dyDescent="0.25">
      <c r="A907" s="261"/>
      <c r="B907" s="256"/>
      <c r="C907" s="316"/>
      <c r="D907" s="251"/>
      <c r="E907" s="251"/>
      <c r="F907" s="263">
        <v>426</v>
      </c>
      <c r="G907" s="295" t="s">
        <v>3805</v>
      </c>
      <c r="H907" s="627"/>
      <c r="I907" s="610"/>
      <c r="J907" s="628"/>
      <c r="K907" s="533"/>
      <c r="L907" s="533"/>
      <c r="M907" s="533"/>
      <c r="N907" s="533"/>
      <c r="O907" s="533"/>
      <c r="P907" s="533"/>
      <c r="Q907" s="533"/>
      <c r="R907" s="533"/>
      <c r="S907" s="533"/>
      <c r="T907" s="533"/>
      <c r="U907" s="533"/>
      <c r="V907" s="533"/>
      <c r="W907" s="533"/>
      <c r="X907" s="533"/>
      <c r="Y907" s="533"/>
    </row>
    <row r="908" spans="1:25" s="88" customFormat="1" hidden="1" x14ac:dyDescent="0.25">
      <c r="A908" s="261"/>
      <c r="B908" s="256"/>
      <c r="C908" s="316"/>
      <c r="D908" s="251"/>
      <c r="E908" s="251"/>
      <c r="F908" s="263">
        <v>482</v>
      </c>
      <c r="G908" s="295" t="s">
        <v>4212</v>
      </c>
      <c r="H908" s="627"/>
      <c r="I908" s="610"/>
      <c r="J908" s="628"/>
      <c r="K908" s="533"/>
      <c r="L908" s="533"/>
      <c r="M908" s="533"/>
      <c r="N908" s="533"/>
      <c r="O908" s="533"/>
      <c r="P908" s="533"/>
      <c r="Q908" s="533"/>
      <c r="R908" s="533"/>
      <c r="S908" s="533"/>
      <c r="T908" s="533"/>
      <c r="U908" s="533"/>
      <c r="V908" s="533"/>
      <c r="W908" s="533"/>
      <c r="X908" s="533"/>
      <c r="Y908" s="533"/>
    </row>
    <row r="909" spans="1:25" s="88" customFormat="1" ht="15.75" hidden="1" thickBot="1" x14ac:dyDescent="0.3">
      <c r="A909" s="261"/>
      <c r="B909" s="256"/>
      <c r="C909" s="316"/>
      <c r="D909" s="251"/>
      <c r="E909" s="251"/>
      <c r="F909" s="263">
        <v>511</v>
      </c>
      <c r="G909" s="298" t="s">
        <v>4216</v>
      </c>
      <c r="H909" s="627"/>
      <c r="I909" s="610"/>
      <c r="J909" s="628"/>
      <c r="K909" s="533"/>
      <c r="L909" s="533"/>
      <c r="M909" s="533"/>
      <c r="N909" s="533"/>
      <c r="O909" s="533"/>
      <c r="P909" s="533"/>
      <c r="Q909" s="533"/>
      <c r="R909" s="533"/>
      <c r="S909" s="533"/>
      <c r="T909" s="533"/>
      <c r="U909" s="533"/>
      <c r="V909" s="533"/>
      <c r="W909" s="533"/>
      <c r="X909" s="533"/>
      <c r="Y909" s="533"/>
    </row>
    <row r="910" spans="1:25" hidden="1" x14ac:dyDescent="0.25">
      <c r="E910" s="293"/>
      <c r="F910" s="301"/>
      <c r="G910" s="327" t="s">
        <v>4368</v>
      </c>
      <c r="H910" s="596"/>
      <c r="I910" s="622"/>
      <c r="J910" s="597"/>
    </row>
    <row r="911" spans="1:25" ht="15.75" hidden="1" thickBot="1" x14ac:dyDescent="0.3">
      <c r="E911" s="222"/>
      <c r="F911" s="249" t="s">
        <v>234</v>
      </c>
      <c r="G911" s="252" t="s">
        <v>235</v>
      </c>
      <c r="H911" s="598">
        <f>SUM(H901:H909)</f>
        <v>0</v>
      </c>
      <c r="I911" s="599"/>
      <c r="J911" s="599">
        <f t="shared" ref="J911:J926" si="28">SUM(H911:I911)</f>
        <v>0</v>
      </c>
    </row>
    <row r="912" spans="1:25" hidden="1" x14ac:dyDescent="0.25">
      <c r="F912" s="249" t="s">
        <v>236</v>
      </c>
      <c r="G912" s="252" t="s">
        <v>237</v>
      </c>
      <c r="J912" s="599">
        <f t="shared" si="28"/>
        <v>0</v>
      </c>
    </row>
    <row r="913" spans="5:10" hidden="1" x14ac:dyDescent="0.25">
      <c r="F913" s="249" t="s">
        <v>238</v>
      </c>
      <c r="G913" s="252" t="s">
        <v>239</v>
      </c>
      <c r="J913" s="599">
        <f t="shared" si="28"/>
        <v>0</v>
      </c>
    </row>
    <row r="914" spans="5:10" hidden="1" x14ac:dyDescent="0.25">
      <c r="F914" s="249" t="s">
        <v>240</v>
      </c>
      <c r="G914" s="252" t="s">
        <v>241</v>
      </c>
      <c r="J914" s="599">
        <f t="shared" si="28"/>
        <v>0</v>
      </c>
    </row>
    <row r="915" spans="5:10" hidden="1" x14ac:dyDescent="0.25">
      <c r="F915" s="249" t="s">
        <v>242</v>
      </c>
      <c r="G915" s="252" t="s">
        <v>243</v>
      </c>
      <c r="J915" s="599">
        <f t="shared" si="28"/>
        <v>0</v>
      </c>
    </row>
    <row r="916" spans="5:10" hidden="1" x14ac:dyDescent="0.25">
      <c r="F916" s="249" t="s">
        <v>244</v>
      </c>
      <c r="G916" s="252" t="s">
        <v>245</v>
      </c>
      <c r="J916" s="599">
        <f t="shared" si="28"/>
        <v>0</v>
      </c>
    </row>
    <row r="917" spans="5:10" hidden="1" x14ac:dyDescent="0.25">
      <c r="F917" s="249" t="s">
        <v>246</v>
      </c>
      <c r="G917" s="252" t="s">
        <v>247</v>
      </c>
      <c r="J917" s="599">
        <f t="shared" si="28"/>
        <v>0</v>
      </c>
    </row>
    <row r="918" spans="5:10" hidden="1" x14ac:dyDescent="0.25">
      <c r="F918" s="249" t="s">
        <v>248</v>
      </c>
      <c r="G918" s="252" t="s">
        <v>249</v>
      </c>
      <c r="J918" s="599">
        <f t="shared" si="28"/>
        <v>0</v>
      </c>
    </row>
    <row r="919" spans="5:10" hidden="1" x14ac:dyDescent="0.25">
      <c r="F919" s="249" t="s">
        <v>250</v>
      </c>
      <c r="G919" s="252" t="s">
        <v>57</v>
      </c>
      <c r="J919" s="599">
        <f t="shared" si="28"/>
        <v>0</v>
      </c>
    </row>
    <row r="920" spans="5:10" hidden="1" x14ac:dyDescent="0.25">
      <c r="F920" s="249" t="s">
        <v>251</v>
      </c>
      <c r="G920" s="252" t="s">
        <v>252</v>
      </c>
      <c r="J920" s="599">
        <f t="shared" si="28"/>
        <v>0</v>
      </c>
    </row>
    <row r="921" spans="5:10" hidden="1" x14ac:dyDescent="0.25">
      <c r="F921" s="249" t="s">
        <v>253</v>
      </c>
      <c r="G921" s="252" t="s">
        <v>254</v>
      </c>
      <c r="J921" s="599">
        <f t="shared" si="28"/>
        <v>0</v>
      </c>
    </row>
    <row r="922" spans="5:10" ht="30" hidden="1" x14ac:dyDescent="0.25">
      <c r="F922" s="249" t="s">
        <v>255</v>
      </c>
      <c r="G922" s="252" t="s">
        <v>256</v>
      </c>
      <c r="J922" s="599">
        <f t="shared" si="28"/>
        <v>0</v>
      </c>
    </row>
    <row r="923" spans="5:10" hidden="1" x14ac:dyDescent="0.25">
      <c r="F923" s="249" t="s">
        <v>257</v>
      </c>
      <c r="G923" s="252" t="s">
        <v>258</v>
      </c>
      <c r="J923" s="599">
        <f t="shared" si="28"/>
        <v>0</v>
      </c>
    </row>
    <row r="924" spans="5:10" ht="30" hidden="1" x14ac:dyDescent="0.25">
      <c r="F924" s="249" t="s">
        <v>259</v>
      </c>
      <c r="G924" s="252" t="s">
        <v>260</v>
      </c>
      <c r="J924" s="599">
        <f t="shared" si="28"/>
        <v>0</v>
      </c>
    </row>
    <row r="925" spans="5:10" hidden="1" x14ac:dyDescent="0.25">
      <c r="F925" s="249" t="s">
        <v>261</v>
      </c>
      <c r="G925" s="252" t="s">
        <v>262</v>
      </c>
      <c r="J925" s="599">
        <f t="shared" si="28"/>
        <v>0</v>
      </c>
    </row>
    <row r="926" spans="5:10" ht="15.75" hidden="1" thickBot="1" x14ac:dyDescent="0.3">
      <c r="F926" s="249" t="s">
        <v>263</v>
      </c>
      <c r="G926" s="252" t="s">
        <v>264</v>
      </c>
      <c r="H926" s="598"/>
      <c r="I926" s="599"/>
      <c r="J926" s="599">
        <f t="shared" si="28"/>
        <v>0</v>
      </c>
    </row>
    <row r="927" spans="5:10" ht="15.75" hidden="1" thickBot="1" x14ac:dyDescent="0.3">
      <c r="G927" s="229" t="s">
        <v>4369</v>
      </c>
      <c r="H927" s="600">
        <f>SUM(H911:H926)</f>
        <v>0</v>
      </c>
      <c r="I927" s="601">
        <f>SUM(I912:I926)</f>
        <v>0</v>
      </c>
      <c r="J927" s="601">
        <f>SUM(J911:J926)</f>
        <v>0</v>
      </c>
    </row>
    <row r="928" spans="5:10" ht="28.5" hidden="1" collapsed="1" x14ac:dyDescent="0.25">
      <c r="E928" s="293"/>
      <c r="F928" s="301"/>
      <c r="G928" s="231" t="s">
        <v>4370</v>
      </c>
      <c r="H928" s="602"/>
      <c r="I928" s="623"/>
      <c r="J928" s="603"/>
    </row>
    <row r="929" spans="5:10" ht="15.75" hidden="1" thickBot="1" x14ac:dyDescent="0.3">
      <c r="E929" s="222"/>
      <c r="F929" s="249" t="s">
        <v>234</v>
      </c>
      <c r="G929" s="252" t="s">
        <v>235</v>
      </c>
      <c r="H929" s="598">
        <f>SUM(H901:H909)</f>
        <v>0</v>
      </c>
      <c r="I929" s="599"/>
      <c r="J929" s="599">
        <f>SUM(H929:I929)</f>
        <v>0</v>
      </c>
    </row>
    <row r="930" spans="5:10" hidden="1" x14ac:dyDescent="0.25">
      <c r="F930" s="249" t="s">
        <v>236</v>
      </c>
      <c r="G930" s="252" t="s">
        <v>237</v>
      </c>
      <c r="J930" s="599">
        <f t="shared" ref="J930:J944" si="29">SUM(H930:I930)</f>
        <v>0</v>
      </c>
    </row>
    <row r="931" spans="5:10" hidden="1" x14ac:dyDescent="0.25">
      <c r="F931" s="249" t="s">
        <v>238</v>
      </c>
      <c r="G931" s="252" t="s">
        <v>239</v>
      </c>
      <c r="J931" s="599">
        <f t="shared" si="29"/>
        <v>0</v>
      </c>
    </row>
    <row r="932" spans="5:10" hidden="1" x14ac:dyDescent="0.25">
      <c r="F932" s="249" t="s">
        <v>240</v>
      </c>
      <c r="G932" s="252" t="s">
        <v>241</v>
      </c>
      <c r="J932" s="599">
        <f t="shared" si="29"/>
        <v>0</v>
      </c>
    </row>
    <row r="933" spans="5:10" hidden="1" x14ac:dyDescent="0.25">
      <c r="F933" s="249" t="s">
        <v>242</v>
      </c>
      <c r="G933" s="252" t="s">
        <v>243</v>
      </c>
      <c r="J933" s="599">
        <f t="shared" si="29"/>
        <v>0</v>
      </c>
    </row>
    <row r="934" spans="5:10" hidden="1" x14ac:dyDescent="0.25">
      <c r="F934" s="249" t="s">
        <v>244</v>
      </c>
      <c r="G934" s="252" t="s">
        <v>245</v>
      </c>
      <c r="J934" s="599">
        <f t="shared" si="29"/>
        <v>0</v>
      </c>
    </row>
    <row r="935" spans="5:10" hidden="1" x14ac:dyDescent="0.25">
      <c r="F935" s="249" t="s">
        <v>246</v>
      </c>
      <c r="G935" s="252" t="s">
        <v>247</v>
      </c>
      <c r="J935" s="599">
        <f t="shared" si="29"/>
        <v>0</v>
      </c>
    </row>
    <row r="936" spans="5:10" hidden="1" x14ac:dyDescent="0.25">
      <c r="F936" s="249" t="s">
        <v>248</v>
      </c>
      <c r="G936" s="252" t="s">
        <v>249</v>
      </c>
      <c r="J936" s="599">
        <f t="shared" si="29"/>
        <v>0</v>
      </c>
    </row>
    <row r="937" spans="5:10" hidden="1" x14ac:dyDescent="0.25">
      <c r="F937" s="249" t="s">
        <v>250</v>
      </c>
      <c r="G937" s="252" t="s">
        <v>57</v>
      </c>
      <c r="J937" s="599">
        <f t="shared" si="29"/>
        <v>0</v>
      </c>
    </row>
    <row r="938" spans="5:10" hidden="1" x14ac:dyDescent="0.25">
      <c r="F938" s="249" t="s">
        <v>251</v>
      </c>
      <c r="G938" s="252" t="s">
        <v>252</v>
      </c>
      <c r="J938" s="599">
        <f t="shared" si="29"/>
        <v>0</v>
      </c>
    </row>
    <row r="939" spans="5:10" hidden="1" x14ac:dyDescent="0.25">
      <c r="F939" s="249" t="s">
        <v>253</v>
      </c>
      <c r="G939" s="252" t="s">
        <v>254</v>
      </c>
      <c r="J939" s="599">
        <f t="shared" si="29"/>
        <v>0</v>
      </c>
    </row>
    <row r="940" spans="5:10" ht="30" hidden="1" x14ac:dyDescent="0.25">
      <c r="F940" s="249" t="s">
        <v>255</v>
      </c>
      <c r="G940" s="252" t="s">
        <v>256</v>
      </c>
      <c r="J940" s="599">
        <f t="shared" si="29"/>
        <v>0</v>
      </c>
    </row>
    <row r="941" spans="5:10" hidden="1" x14ac:dyDescent="0.25">
      <c r="F941" s="249" t="s">
        <v>257</v>
      </c>
      <c r="G941" s="252" t="s">
        <v>258</v>
      </c>
      <c r="J941" s="599">
        <f t="shared" si="29"/>
        <v>0</v>
      </c>
    </row>
    <row r="942" spans="5:10" ht="30" hidden="1" x14ac:dyDescent="0.25">
      <c r="F942" s="249" t="s">
        <v>259</v>
      </c>
      <c r="G942" s="252" t="s">
        <v>260</v>
      </c>
      <c r="J942" s="599">
        <f t="shared" si="29"/>
        <v>0</v>
      </c>
    </row>
    <row r="943" spans="5:10" hidden="1" x14ac:dyDescent="0.25">
      <c r="F943" s="249" t="s">
        <v>261</v>
      </c>
      <c r="G943" s="252" t="s">
        <v>262</v>
      </c>
      <c r="J943" s="599">
        <f t="shared" si="29"/>
        <v>0</v>
      </c>
    </row>
    <row r="944" spans="5:10" ht="15.75" hidden="1" thickBot="1" x14ac:dyDescent="0.3">
      <c r="F944" s="249" t="s">
        <v>263</v>
      </c>
      <c r="G944" s="252" t="s">
        <v>264</v>
      </c>
      <c r="H944" s="598"/>
      <c r="I944" s="599"/>
      <c r="J944" s="599">
        <f t="shared" si="29"/>
        <v>0</v>
      </c>
    </row>
    <row r="945" spans="1:25" ht="15.75" hidden="1" collapsed="1" thickBot="1" x14ac:dyDescent="0.3">
      <c r="G945" s="229" t="s">
        <v>4371</v>
      </c>
      <c r="H945" s="600">
        <f>SUM(H929:H944)</f>
        <v>0</v>
      </c>
      <c r="I945" s="601">
        <f>SUM(I930:I944)</f>
        <v>0</v>
      </c>
      <c r="J945" s="601">
        <f>SUM(J929:J944)</f>
        <v>0</v>
      </c>
    </row>
    <row r="946" spans="1:25" hidden="1" x14ac:dyDescent="0.25">
      <c r="G946" s="286"/>
      <c r="H946" s="604"/>
      <c r="I946" s="605"/>
      <c r="J946" s="605"/>
    </row>
    <row r="947" spans="1:25" s="88" customFormat="1" hidden="1" x14ac:dyDescent="0.25">
      <c r="A947" s="509"/>
      <c r="B947" s="256"/>
      <c r="C947" s="276" t="s">
        <v>5122</v>
      </c>
      <c r="D947" s="219"/>
      <c r="E947" s="219"/>
      <c r="F947" s="277"/>
      <c r="G947" s="307" t="s">
        <v>5123</v>
      </c>
      <c r="H947" s="627"/>
      <c r="I947" s="610"/>
      <c r="J947" s="628"/>
      <c r="K947" s="533"/>
      <c r="L947" s="533"/>
      <c r="M947" s="533"/>
      <c r="N947" s="533"/>
      <c r="O947" s="533"/>
      <c r="P947" s="533"/>
      <c r="Q947" s="533"/>
      <c r="R947" s="533"/>
      <c r="S947" s="533"/>
      <c r="T947" s="533"/>
      <c r="U947" s="533"/>
      <c r="V947" s="533"/>
      <c r="W947" s="533"/>
      <c r="X947" s="533"/>
      <c r="Y947" s="533"/>
    </row>
    <row r="948" spans="1:25" s="88" customFormat="1" hidden="1" x14ac:dyDescent="0.25">
      <c r="A948" s="509"/>
      <c r="B948" s="256"/>
      <c r="C948" s="265"/>
      <c r="D948" s="312">
        <v>620</v>
      </c>
      <c r="E948" s="312"/>
      <c r="F948" s="312"/>
      <c r="G948" s="325" t="s">
        <v>182</v>
      </c>
      <c r="H948" s="627"/>
      <c r="I948" s="610"/>
      <c r="J948" s="628"/>
      <c r="K948" s="533"/>
      <c r="L948" s="533"/>
      <c r="M948" s="533"/>
      <c r="N948" s="533"/>
      <c r="O948" s="533"/>
      <c r="P948" s="533"/>
      <c r="Q948" s="533"/>
      <c r="R948" s="533"/>
      <c r="S948" s="533"/>
      <c r="T948" s="533"/>
      <c r="U948" s="533"/>
      <c r="V948" s="533"/>
      <c r="W948" s="533"/>
      <c r="X948" s="533"/>
      <c r="Y948" s="533"/>
    </row>
    <row r="949" spans="1:25" s="88" customFormat="1" hidden="1" x14ac:dyDescent="0.25">
      <c r="A949" s="509"/>
      <c r="B949" s="256"/>
      <c r="C949" s="265"/>
      <c r="D949" s="312"/>
      <c r="E949" s="312"/>
      <c r="F949" s="218">
        <v>411</v>
      </c>
      <c r="G949" s="520" t="s">
        <v>4189</v>
      </c>
      <c r="H949" s="627"/>
      <c r="I949" s="610"/>
      <c r="J949" s="628"/>
      <c r="K949" s="533"/>
      <c r="L949" s="533"/>
      <c r="M949" s="533"/>
      <c r="N949" s="533"/>
      <c r="O949" s="533"/>
      <c r="P949" s="533"/>
      <c r="Q949" s="533"/>
      <c r="R949" s="533"/>
      <c r="S949" s="533"/>
      <c r="T949" s="533"/>
      <c r="U949" s="533"/>
      <c r="V949" s="533"/>
      <c r="W949" s="533"/>
      <c r="X949" s="533"/>
      <c r="Y949" s="533"/>
    </row>
    <row r="950" spans="1:25" s="88" customFormat="1" hidden="1" x14ac:dyDescent="0.25">
      <c r="A950" s="509"/>
      <c r="B950" s="256"/>
      <c r="C950" s="265"/>
      <c r="D950" s="312"/>
      <c r="E950" s="312"/>
      <c r="F950" s="218">
        <v>412</v>
      </c>
      <c r="G950" s="516" t="s">
        <v>3784</v>
      </c>
      <c r="H950" s="627"/>
      <c r="I950" s="610"/>
      <c r="J950" s="628"/>
      <c r="K950" s="533"/>
      <c r="L950" s="533"/>
      <c r="M950" s="533"/>
      <c r="N950" s="533"/>
      <c r="O950" s="533"/>
      <c r="P950" s="533"/>
      <c r="Q950" s="533"/>
      <c r="R950" s="533"/>
      <c r="S950" s="533"/>
      <c r="T950" s="533"/>
      <c r="U950" s="533"/>
      <c r="V950" s="533"/>
      <c r="W950" s="533"/>
      <c r="X950" s="533"/>
      <c r="Y950" s="533"/>
    </row>
    <row r="951" spans="1:25" s="88" customFormat="1" hidden="1" x14ac:dyDescent="0.25">
      <c r="A951" s="509"/>
      <c r="B951" s="256"/>
      <c r="C951" s="316"/>
      <c r="D951" s="251"/>
      <c r="E951" s="251"/>
      <c r="F951" s="527">
        <v>422</v>
      </c>
      <c r="G951" s="520" t="s">
        <v>3798</v>
      </c>
      <c r="H951" s="627"/>
      <c r="I951" s="610"/>
      <c r="J951" s="628"/>
      <c r="K951" s="533"/>
      <c r="L951" s="533"/>
      <c r="M951" s="533"/>
      <c r="N951" s="533"/>
      <c r="O951" s="533"/>
      <c r="P951" s="533"/>
      <c r="Q951" s="533"/>
      <c r="R951" s="533"/>
      <c r="S951" s="533"/>
      <c r="T951" s="533"/>
      <c r="U951" s="533"/>
      <c r="V951" s="533"/>
      <c r="W951" s="533"/>
      <c r="X951" s="533"/>
      <c r="Y951" s="533"/>
    </row>
    <row r="952" spans="1:25" s="88" customFormat="1" hidden="1" x14ac:dyDescent="0.25">
      <c r="A952" s="509"/>
      <c r="B952" s="256"/>
      <c r="C952" s="316"/>
      <c r="D952" s="251"/>
      <c r="E952" s="251"/>
      <c r="F952" s="527">
        <v>423</v>
      </c>
      <c r="G952" s="520" t="s">
        <v>3799</v>
      </c>
      <c r="H952" s="627"/>
      <c r="I952" s="610"/>
      <c r="J952" s="628"/>
      <c r="K952" s="533"/>
      <c r="L952" s="533"/>
      <c r="M952" s="533"/>
      <c r="N952" s="533"/>
      <c r="O952" s="533"/>
      <c r="P952" s="533"/>
      <c r="Q952" s="533"/>
      <c r="R952" s="533"/>
      <c r="S952" s="533"/>
      <c r="T952" s="533"/>
      <c r="U952" s="533"/>
      <c r="V952" s="533"/>
      <c r="W952" s="533"/>
      <c r="X952" s="533"/>
      <c r="Y952" s="533"/>
    </row>
    <row r="953" spans="1:25" s="88" customFormat="1" hidden="1" x14ac:dyDescent="0.25">
      <c r="A953" s="509"/>
      <c r="B953" s="256"/>
      <c r="C953" s="316"/>
      <c r="D953" s="251"/>
      <c r="E953" s="251"/>
      <c r="F953" s="527">
        <v>424</v>
      </c>
      <c r="G953" s="520" t="s">
        <v>3801</v>
      </c>
      <c r="H953" s="627"/>
      <c r="I953" s="610"/>
      <c r="J953" s="628"/>
      <c r="K953" s="533"/>
      <c r="L953" s="533"/>
      <c r="M953" s="533"/>
      <c r="N953" s="533"/>
      <c r="O953" s="533"/>
      <c r="P953" s="533"/>
      <c r="Q953" s="533"/>
      <c r="R953" s="533"/>
      <c r="S953" s="533"/>
      <c r="T953" s="533"/>
      <c r="U953" s="533"/>
      <c r="V953" s="533"/>
      <c r="W953" s="533"/>
      <c r="X953" s="533"/>
      <c r="Y953" s="533"/>
    </row>
    <row r="954" spans="1:25" s="88" customFormat="1" hidden="1" x14ac:dyDescent="0.25">
      <c r="A954" s="509"/>
      <c r="B954" s="256"/>
      <c r="C954" s="316"/>
      <c r="D954" s="251"/>
      <c r="E954" s="251"/>
      <c r="F954" s="527">
        <v>425</v>
      </c>
      <c r="G954" s="520" t="s">
        <v>4202</v>
      </c>
      <c r="H954" s="627"/>
      <c r="I954" s="610"/>
      <c r="J954" s="628"/>
      <c r="K954" s="533"/>
      <c r="L954" s="533"/>
      <c r="M954" s="533"/>
      <c r="N954" s="533"/>
      <c r="O954" s="533"/>
      <c r="P954" s="533"/>
      <c r="Q954" s="533"/>
      <c r="R954" s="533"/>
      <c r="S954" s="533"/>
      <c r="T954" s="533"/>
      <c r="U954" s="533"/>
      <c r="V954" s="533"/>
      <c r="W954" s="533"/>
      <c r="X954" s="533"/>
      <c r="Y954" s="533"/>
    </row>
    <row r="955" spans="1:25" s="88" customFormat="1" hidden="1" x14ac:dyDescent="0.25">
      <c r="A955" s="509"/>
      <c r="B955" s="256"/>
      <c r="C955" s="316"/>
      <c r="D955" s="251"/>
      <c r="E955" s="251"/>
      <c r="F955" s="527">
        <v>426</v>
      </c>
      <c r="G955" s="520" t="s">
        <v>3805</v>
      </c>
      <c r="H955" s="627"/>
      <c r="I955" s="610"/>
      <c r="J955" s="628"/>
      <c r="K955" s="533"/>
      <c r="L955" s="533"/>
      <c r="M955" s="533"/>
      <c r="N955" s="533"/>
      <c r="O955" s="533"/>
      <c r="P955" s="533"/>
      <c r="Q955" s="533"/>
      <c r="R955" s="533"/>
      <c r="S955" s="533"/>
      <c r="T955" s="533"/>
      <c r="U955" s="533"/>
      <c r="V955" s="533"/>
      <c r="W955" s="533"/>
      <c r="X955" s="533"/>
      <c r="Y955" s="533"/>
    </row>
    <row r="956" spans="1:25" s="88" customFormat="1" hidden="1" x14ac:dyDescent="0.25">
      <c r="A956" s="509"/>
      <c r="B956" s="256"/>
      <c r="C956" s="316"/>
      <c r="D956" s="251"/>
      <c r="E956" s="251"/>
      <c r="F956" s="527">
        <v>482</v>
      </c>
      <c r="G956" s="520" t="s">
        <v>4212</v>
      </c>
      <c r="H956" s="627"/>
      <c r="I956" s="610"/>
      <c r="J956" s="628"/>
      <c r="K956" s="533"/>
      <c r="L956" s="533"/>
      <c r="M956" s="533"/>
      <c r="N956" s="533"/>
      <c r="O956" s="533"/>
      <c r="P956" s="533"/>
      <c r="Q956" s="533"/>
      <c r="R956" s="533"/>
      <c r="S956" s="533"/>
      <c r="T956" s="533"/>
      <c r="U956" s="533"/>
      <c r="V956" s="533"/>
      <c r="W956" s="533"/>
      <c r="X956" s="533"/>
      <c r="Y956" s="533"/>
    </row>
    <row r="957" spans="1:25" s="88" customFormat="1" hidden="1" x14ac:dyDescent="0.25">
      <c r="A957" s="509"/>
      <c r="B957" s="256"/>
      <c r="C957" s="316"/>
      <c r="D957" s="251"/>
      <c r="E957" s="251"/>
      <c r="F957" s="527">
        <v>511</v>
      </c>
      <c r="G957" s="524" t="s">
        <v>4216</v>
      </c>
      <c r="H957" s="627"/>
      <c r="I957" s="610"/>
      <c r="J957" s="628"/>
      <c r="K957" s="533"/>
      <c r="L957" s="533"/>
      <c r="M957" s="533"/>
      <c r="N957" s="533"/>
      <c r="O957" s="533"/>
      <c r="P957" s="533"/>
      <c r="Q957" s="533"/>
      <c r="R957" s="533"/>
      <c r="S957" s="533"/>
      <c r="T957" s="533"/>
      <c r="U957" s="533"/>
      <c r="V957" s="533"/>
      <c r="W957" s="533"/>
      <c r="X957" s="533"/>
      <c r="Y957" s="533"/>
    </row>
    <row r="958" spans="1:25" s="88" customFormat="1" ht="15.75" hidden="1" thickBot="1" x14ac:dyDescent="0.3">
      <c r="A958" s="509"/>
      <c r="B958" s="256"/>
      <c r="C958" s="316"/>
      <c r="D958" s="251"/>
      <c r="E958" s="251"/>
      <c r="F958" s="527">
        <v>541</v>
      </c>
      <c r="G958" s="524" t="s">
        <v>4222</v>
      </c>
      <c r="H958" s="627"/>
      <c r="I958" s="610"/>
      <c r="J958" s="628"/>
      <c r="K958" s="533"/>
      <c r="L958" s="533"/>
      <c r="M958" s="533"/>
      <c r="N958" s="533"/>
      <c r="O958" s="533"/>
      <c r="P958" s="533"/>
      <c r="Q958" s="533"/>
      <c r="R958" s="533"/>
      <c r="S958" s="533"/>
      <c r="T958" s="533"/>
      <c r="U958" s="533"/>
      <c r="V958" s="533"/>
      <c r="W958" s="533"/>
      <c r="X958" s="533"/>
      <c r="Y958" s="533"/>
    </row>
    <row r="959" spans="1:25" hidden="1" x14ac:dyDescent="0.25">
      <c r="E959" s="517"/>
      <c r="F959" s="528"/>
      <c r="G959" s="327" t="s">
        <v>4368</v>
      </c>
      <c r="H959" s="596"/>
      <c r="I959" s="622"/>
      <c r="J959" s="597"/>
    </row>
    <row r="960" spans="1:25" ht="15.75" hidden="1" thickBot="1" x14ac:dyDescent="0.3">
      <c r="E960" s="222"/>
      <c r="F960" s="249" t="s">
        <v>234</v>
      </c>
      <c r="G960" s="252" t="s">
        <v>235</v>
      </c>
      <c r="H960" s="598">
        <f>SUM(H949:H958)</f>
        <v>0</v>
      </c>
      <c r="I960" s="599"/>
      <c r="J960" s="599">
        <f t="shared" ref="J960:J975" si="30">SUM(H960:I960)</f>
        <v>0</v>
      </c>
    </row>
    <row r="961" spans="6:10" ht="15.75" hidden="1" thickBot="1" x14ac:dyDescent="0.3">
      <c r="F961" s="249" t="s">
        <v>236</v>
      </c>
      <c r="G961" s="252" t="s">
        <v>237</v>
      </c>
      <c r="J961" s="599">
        <f t="shared" si="30"/>
        <v>0</v>
      </c>
    </row>
    <row r="962" spans="6:10" ht="15.75" hidden="1" thickBot="1" x14ac:dyDescent="0.3">
      <c r="F962" s="249" t="s">
        <v>238</v>
      </c>
      <c r="G962" s="252" t="s">
        <v>239</v>
      </c>
      <c r="J962" s="599">
        <f t="shared" si="30"/>
        <v>0</v>
      </c>
    </row>
    <row r="963" spans="6:10" ht="15.75" hidden="1" thickBot="1" x14ac:dyDescent="0.3">
      <c r="F963" s="249" t="s">
        <v>240</v>
      </c>
      <c r="G963" s="252" t="s">
        <v>241</v>
      </c>
      <c r="J963" s="599">
        <f t="shared" si="30"/>
        <v>0</v>
      </c>
    </row>
    <row r="964" spans="6:10" ht="15.75" hidden="1" thickBot="1" x14ac:dyDescent="0.3">
      <c r="F964" s="249" t="s">
        <v>242</v>
      </c>
      <c r="G964" s="252" t="s">
        <v>243</v>
      </c>
      <c r="J964" s="599">
        <f t="shared" si="30"/>
        <v>0</v>
      </c>
    </row>
    <row r="965" spans="6:10" ht="15.75" hidden="1" thickBot="1" x14ac:dyDescent="0.3">
      <c r="F965" s="249" t="s">
        <v>244</v>
      </c>
      <c r="G965" s="252" t="s">
        <v>245</v>
      </c>
      <c r="J965" s="599">
        <f t="shared" si="30"/>
        <v>0</v>
      </c>
    </row>
    <row r="966" spans="6:10" ht="15.75" hidden="1" thickBot="1" x14ac:dyDescent="0.3">
      <c r="F966" s="249" t="s">
        <v>246</v>
      </c>
      <c r="G966" s="252" t="s">
        <v>247</v>
      </c>
      <c r="J966" s="599">
        <f t="shared" si="30"/>
        <v>0</v>
      </c>
    </row>
    <row r="967" spans="6:10" ht="15.75" hidden="1" thickBot="1" x14ac:dyDescent="0.3">
      <c r="F967" s="249" t="s">
        <v>248</v>
      </c>
      <c r="G967" s="252" t="s">
        <v>249</v>
      </c>
      <c r="J967" s="599">
        <f t="shared" si="30"/>
        <v>0</v>
      </c>
    </row>
    <row r="968" spans="6:10" ht="15.75" hidden="1" thickBot="1" x14ac:dyDescent="0.3">
      <c r="F968" s="249" t="s">
        <v>250</v>
      </c>
      <c r="G968" s="252" t="s">
        <v>57</v>
      </c>
      <c r="J968" s="599">
        <f t="shared" si="30"/>
        <v>0</v>
      </c>
    </row>
    <row r="969" spans="6:10" ht="15.75" hidden="1" thickBot="1" x14ac:dyDescent="0.3">
      <c r="F969" s="249" t="s">
        <v>251</v>
      </c>
      <c r="G969" s="252" t="s">
        <v>252</v>
      </c>
      <c r="J969" s="599">
        <f t="shared" si="30"/>
        <v>0</v>
      </c>
    </row>
    <row r="970" spans="6:10" ht="15.75" hidden="1" thickBot="1" x14ac:dyDescent="0.3">
      <c r="F970" s="249" t="s">
        <v>253</v>
      </c>
      <c r="G970" s="252" t="s">
        <v>254</v>
      </c>
      <c r="J970" s="599">
        <f t="shared" si="30"/>
        <v>0</v>
      </c>
    </row>
    <row r="971" spans="6:10" ht="30.75" hidden="1" thickBot="1" x14ac:dyDescent="0.3">
      <c r="F971" s="249" t="s">
        <v>255</v>
      </c>
      <c r="G971" s="252" t="s">
        <v>256</v>
      </c>
      <c r="J971" s="599">
        <f t="shared" si="30"/>
        <v>0</v>
      </c>
    </row>
    <row r="972" spans="6:10" ht="15.75" hidden="1" thickBot="1" x14ac:dyDescent="0.3">
      <c r="F972" s="249" t="s">
        <v>257</v>
      </c>
      <c r="G972" s="252" t="s">
        <v>258</v>
      </c>
      <c r="J972" s="599">
        <f t="shared" si="30"/>
        <v>0</v>
      </c>
    </row>
    <row r="973" spans="6:10" ht="30.75" hidden="1" thickBot="1" x14ac:dyDescent="0.3">
      <c r="F973" s="249" t="s">
        <v>259</v>
      </c>
      <c r="G973" s="252" t="s">
        <v>260</v>
      </c>
      <c r="J973" s="599">
        <f t="shared" si="30"/>
        <v>0</v>
      </c>
    </row>
    <row r="974" spans="6:10" ht="15.75" hidden="1" thickBot="1" x14ac:dyDescent="0.3">
      <c r="F974" s="249" t="s">
        <v>261</v>
      </c>
      <c r="G974" s="252" t="s">
        <v>262</v>
      </c>
      <c r="J974" s="599">
        <f t="shared" si="30"/>
        <v>0</v>
      </c>
    </row>
    <row r="975" spans="6:10" ht="15.75" hidden="1" thickBot="1" x14ac:dyDescent="0.3">
      <c r="F975" s="249" t="s">
        <v>263</v>
      </c>
      <c r="G975" s="252" t="s">
        <v>264</v>
      </c>
      <c r="H975" s="598"/>
      <c r="I975" s="599"/>
      <c r="J975" s="599">
        <f t="shared" si="30"/>
        <v>0</v>
      </c>
    </row>
    <row r="976" spans="6:10" ht="15.75" hidden="1" thickBot="1" x14ac:dyDescent="0.3">
      <c r="G976" s="229" t="s">
        <v>4369</v>
      </c>
      <c r="H976" s="600">
        <f>SUM(H960:H975)</f>
        <v>0</v>
      </c>
      <c r="I976" s="601">
        <f>SUM(I961:I975)</f>
        <v>0</v>
      </c>
      <c r="J976" s="601">
        <f>SUM(J960:J975)</f>
        <v>0</v>
      </c>
    </row>
    <row r="977" spans="5:10" ht="28.5" hidden="1" collapsed="1" x14ac:dyDescent="0.25">
      <c r="E977" s="517"/>
      <c r="F977" s="528"/>
      <c r="G977" s="231" t="s">
        <v>4420</v>
      </c>
      <c r="H977" s="602"/>
      <c r="I977" s="623"/>
      <c r="J977" s="603"/>
    </row>
    <row r="978" spans="5:10" ht="15.75" hidden="1" thickBot="1" x14ac:dyDescent="0.3">
      <c r="E978" s="222"/>
      <c r="F978" s="249" t="s">
        <v>234</v>
      </c>
      <c r="G978" s="252" t="s">
        <v>235</v>
      </c>
      <c r="H978" s="598">
        <f>SUM(H949:H958)</f>
        <v>0</v>
      </c>
      <c r="I978" s="599"/>
      <c r="J978" s="599">
        <f>SUM(H978:I978)</f>
        <v>0</v>
      </c>
    </row>
    <row r="979" spans="5:10" ht="15.75" hidden="1" thickBot="1" x14ac:dyDescent="0.3">
      <c r="F979" s="249" t="s">
        <v>236</v>
      </c>
      <c r="G979" s="252" t="s">
        <v>237</v>
      </c>
      <c r="J979" s="599">
        <f t="shared" ref="J979:J993" si="31">SUM(H979:I979)</f>
        <v>0</v>
      </c>
    </row>
    <row r="980" spans="5:10" ht="15.75" hidden="1" thickBot="1" x14ac:dyDescent="0.3">
      <c r="F980" s="249" t="s">
        <v>238</v>
      </c>
      <c r="G980" s="252" t="s">
        <v>239</v>
      </c>
      <c r="J980" s="599">
        <f t="shared" si="31"/>
        <v>0</v>
      </c>
    </row>
    <row r="981" spans="5:10" ht="15.75" hidden="1" thickBot="1" x14ac:dyDescent="0.3">
      <c r="F981" s="249" t="s">
        <v>240</v>
      </c>
      <c r="G981" s="252" t="s">
        <v>241</v>
      </c>
      <c r="J981" s="599">
        <f t="shared" si="31"/>
        <v>0</v>
      </c>
    </row>
    <row r="982" spans="5:10" ht="15.75" hidden="1" thickBot="1" x14ac:dyDescent="0.3">
      <c r="F982" s="249" t="s">
        <v>242</v>
      </c>
      <c r="G982" s="252" t="s">
        <v>243</v>
      </c>
      <c r="J982" s="599">
        <f t="shared" si="31"/>
        <v>0</v>
      </c>
    </row>
    <row r="983" spans="5:10" ht="15.75" hidden="1" thickBot="1" x14ac:dyDescent="0.3">
      <c r="F983" s="249" t="s">
        <v>244</v>
      </c>
      <c r="G983" s="252" t="s">
        <v>245</v>
      </c>
      <c r="J983" s="599">
        <f t="shared" si="31"/>
        <v>0</v>
      </c>
    </row>
    <row r="984" spans="5:10" ht="15.75" hidden="1" thickBot="1" x14ac:dyDescent="0.3">
      <c r="F984" s="249" t="s">
        <v>246</v>
      </c>
      <c r="G984" s="252" t="s">
        <v>247</v>
      </c>
      <c r="J984" s="599">
        <f t="shared" si="31"/>
        <v>0</v>
      </c>
    </row>
    <row r="985" spans="5:10" ht="15.75" hidden="1" thickBot="1" x14ac:dyDescent="0.3">
      <c r="F985" s="249" t="s">
        <v>248</v>
      </c>
      <c r="G985" s="252" t="s">
        <v>249</v>
      </c>
      <c r="J985" s="599">
        <f t="shared" si="31"/>
        <v>0</v>
      </c>
    </row>
    <row r="986" spans="5:10" ht="15.75" hidden="1" thickBot="1" x14ac:dyDescent="0.3">
      <c r="F986" s="249" t="s">
        <v>250</v>
      </c>
      <c r="G986" s="252" t="s">
        <v>57</v>
      </c>
      <c r="J986" s="599">
        <f t="shared" si="31"/>
        <v>0</v>
      </c>
    </row>
    <row r="987" spans="5:10" ht="15.75" hidden="1" thickBot="1" x14ac:dyDescent="0.3">
      <c r="F987" s="249" t="s">
        <v>251</v>
      </c>
      <c r="G987" s="252" t="s">
        <v>252</v>
      </c>
      <c r="J987" s="599">
        <f t="shared" si="31"/>
        <v>0</v>
      </c>
    </row>
    <row r="988" spans="5:10" ht="15.75" hidden="1" thickBot="1" x14ac:dyDescent="0.3">
      <c r="F988" s="249" t="s">
        <v>253</v>
      </c>
      <c r="G988" s="252" t="s">
        <v>254</v>
      </c>
      <c r="J988" s="599">
        <f t="shared" si="31"/>
        <v>0</v>
      </c>
    </row>
    <row r="989" spans="5:10" ht="30.75" hidden="1" thickBot="1" x14ac:dyDescent="0.3">
      <c r="F989" s="249" t="s">
        <v>255</v>
      </c>
      <c r="G989" s="252" t="s">
        <v>256</v>
      </c>
      <c r="J989" s="599">
        <f t="shared" si="31"/>
        <v>0</v>
      </c>
    </row>
    <row r="990" spans="5:10" ht="15.75" hidden="1" thickBot="1" x14ac:dyDescent="0.3">
      <c r="F990" s="249" t="s">
        <v>257</v>
      </c>
      <c r="G990" s="252" t="s">
        <v>258</v>
      </c>
      <c r="J990" s="599">
        <f t="shared" si="31"/>
        <v>0</v>
      </c>
    </row>
    <row r="991" spans="5:10" ht="30.75" hidden="1" thickBot="1" x14ac:dyDescent="0.3">
      <c r="F991" s="249" t="s">
        <v>259</v>
      </c>
      <c r="G991" s="252" t="s">
        <v>260</v>
      </c>
      <c r="J991" s="599">
        <f t="shared" si="31"/>
        <v>0</v>
      </c>
    </row>
    <row r="992" spans="5:10" ht="15.75" hidden="1" thickBot="1" x14ac:dyDescent="0.3">
      <c r="F992" s="249" t="s">
        <v>261</v>
      </c>
      <c r="G992" s="252" t="s">
        <v>262</v>
      </c>
      <c r="J992" s="599">
        <f t="shared" si="31"/>
        <v>0</v>
      </c>
    </row>
    <row r="993" spans="1:25" ht="15.75" hidden="1" thickBot="1" x14ac:dyDescent="0.3">
      <c r="F993" s="249" t="s">
        <v>263</v>
      </c>
      <c r="G993" s="252" t="s">
        <v>264</v>
      </c>
      <c r="H993" s="598"/>
      <c r="I993" s="599"/>
      <c r="J993" s="599">
        <f t="shared" si="31"/>
        <v>0</v>
      </c>
    </row>
    <row r="994" spans="1:25" ht="15.75" hidden="1" collapsed="1" thickBot="1" x14ac:dyDescent="0.3">
      <c r="G994" s="229" t="s">
        <v>4421</v>
      </c>
      <c r="H994" s="600">
        <f>SUM(H978:H993)</f>
        <v>0</v>
      </c>
      <c r="I994" s="601">
        <f>SUM(I979:I993)</f>
        <v>0</v>
      </c>
      <c r="J994" s="601">
        <f>SUM(J978:J993)</f>
        <v>0</v>
      </c>
    </row>
    <row r="995" spans="1:25" hidden="1" x14ac:dyDescent="0.25">
      <c r="G995" s="286"/>
      <c r="H995" s="604"/>
      <c r="I995" s="605"/>
      <c r="J995" s="605"/>
    </row>
    <row r="996" spans="1:25" s="88" customFormat="1" hidden="1" x14ac:dyDescent="0.25">
      <c r="A996" s="261"/>
      <c r="B996" s="256"/>
      <c r="C996" s="316" t="s">
        <v>4508</v>
      </c>
      <c r="D996" s="251"/>
      <c r="E996" s="251"/>
      <c r="F996" s="257"/>
      <c r="G996" s="518" t="s">
        <v>4533</v>
      </c>
      <c r="H996" s="627"/>
      <c r="I996" s="610"/>
      <c r="J996" s="628"/>
      <c r="K996" s="533"/>
      <c r="L996" s="533"/>
      <c r="M996" s="533"/>
      <c r="N996" s="533"/>
      <c r="O996" s="533"/>
      <c r="P996" s="533"/>
      <c r="Q996" s="533"/>
      <c r="R996" s="533"/>
      <c r="S996" s="533"/>
      <c r="T996" s="533"/>
      <c r="U996" s="533"/>
      <c r="V996" s="533"/>
      <c r="W996" s="533"/>
      <c r="X996" s="533"/>
      <c r="Y996" s="533"/>
    </row>
    <row r="997" spans="1:25" s="88" customFormat="1" hidden="1" x14ac:dyDescent="0.25">
      <c r="A997" s="297"/>
      <c r="B997" s="256"/>
      <c r="C997" s="265"/>
      <c r="D997" s="312">
        <v>620</v>
      </c>
      <c r="E997" s="312"/>
      <c r="F997" s="312"/>
      <c r="G997" s="325" t="s">
        <v>182</v>
      </c>
      <c r="H997" s="627"/>
      <c r="I997" s="610"/>
      <c r="J997" s="628"/>
      <c r="K997" s="533"/>
      <c r="L997" s="533"/>
      <c r="M997" s="533"/>
      <c r="N997" s="533"/>
      <c r="O997" s="533"/>
      <c r="P997" s="533"/>
      <c r="Q997" s="533"/>
      <c r="R997" s="533"/>
      <c r="S997" s="533"/>
      <c r="T997" s="533"/>
      <c r="U997" s="533"/>
      <c r="V997" s="533"/>
      <c r="W997" s="533"/>
      <c r="X997" s="533"/>
      <c r="Y997" s="533"/>
    </row>
    <row r="998" spans="1:25" s="88" customFormat="1" hidden="1" x14ac:dyDescent="0.25">
      <c r="A998" s="261"/>
      <c r="B998" s="256"/>
      <c r="C998" s="316"/>
      <c r="D998" s="251"/>
      <c r="E998" s="251"/>
      <c r="F998" s="263">
        <v>422</v>
      </c>
      <c r="G998" s="295" t="s">
        <v>3798</v>
      </c>
      <c r="H998" s="627"/>
      <c r="I998" s="610"/>
      <c r="J998" s="628"/>
      <c r="K998" s="533"/>
      <c r="L998" s="533"/>
      <c r="M998" s="533"/>
      <c r="N998" s="533"/>
      <c r="O998" s="533"/>
      <c r="P998" s="533"/>
      <c r="Q998" s="533"/>
      <c r="R998" s="533"/>
      <c r="S998" s="533"/>
      <c r="T998" s="533"/>
      <c r="U998" s="533"/>
      <c r="V998" s="533"/>
      <c r="W998" s="533"/>
      <c r="X998" s="533"/>
      <c r="Y998" s="533"/>
    </row>
    <row r="999" spans="1:25" s="88" customFormat="1" hidden="1" x14ac:dyDescent="0.25">
      <c r="A999" s="261"/>
      <c r="B999" s="256"/>
      <c r="C999" s="316"/>
      <c r="D999" s="251"/>
      <c r="E999" s="251"/>
      <c r="F999" s="263">
        <v>423</v>
      </c>
      <c r="G999" s="295" t="s">
        <v>3799</v>
      </c>
      <c r="H999" s="627"/>
      <c r="I999" s="610"/>
      <c r="J999" s="628"/>
      <c r="K999" s="533"/>
      <c r="L999" s="533"/>
      <c r="M999" s="533"/>
      <c r="N999" s="533"/>
      <c r="O999" s="533"/>
      <c r="P999" s="533"/>
      <c r="Q999" s="533"/>
      <c r="R999" s="533"/>
      <c r="S999" s="533"/>
      <c r="T999" s="533"/>
      <c r="U999" s="533"/>
      <c r="V999" s="533"/>
      <c r="W999" s="533"/>
      <c r="X999" s="533"/>
      <c r="Y999" s="533"/>
    </row>
    <row r="1000" spans="1:25" s="88" customFormat="1" hidden="1" x14ac:dyDescent="0.25">
      <c r="A1000" s="261"/>
      <c r="B1000" s="256"/>
      <c r="C1000" s="316"/>
      <c r="D1000" s="251"/>
      <c r="E1000" s="251"/>
      <c r="F1000" s="263">
        <v>424</v>
      </c>
      <c r="G1000" s="295" t="s">
        <v>3801</v>
      </c>
      <c r="H1000" s="627"/>
      <c r="I1000" s="610"/>
      <c r="J1000" s="628"/>
      <c r="K1000" s="533"/>
      <c r="L1000" s="533"/>
      <c r="M1000" s="533"/>
      <c r="N1000" s="533"/>
      <c r="O1000" s="533"/>
      <c r="P1000" s="533"/>
      <c r="Q1000" s="533"/>
      <c r="R1000" s="533"/>
      <c r="S1000" s="533"/>
      <c r="T1000" s="533"/>
      <c r="U1000" s="533"/>
      <c r="V1000" s="533"/>
      <c r="W1000" s="533"/>
      <c r="X1000" s="533"/>
      <c r="Y1000" s="533"/>
    </row>
    <row r="1001" spans="1:25" s="88" customFormat="1" ht="15.75" hidden="1" thickBot="1" x14ac:dyDescent="0.3">
      <c r="A1001" s="261"/>
      <c r="B1001" s="256"/>
      <c r="C1001" s="316"/>
      <c r="D1001" s="251"/>
      <c r="E1001" s="251"/>
      <c r="F1001" s="257">
        <v>482</v>
      </c>
      <c r="G1001" s="295" t="s">
        <v>4212</v>
      </c>
      <c r="H1001" s="627"/>
      <c r="I1001" s="610"/>
      <c r="J1001" s="628"/>
      <c r="K1001" s="533"/>
      <c r="L1001" s="533"/>
      <c r="M1001" s="533"/>
      <c r="N1001" s="533"/>
      <c r="O1001" s="533"/>
      <c r="P1001" s="533"/>
      <c r="Q1001" s="533"/>
      <c r="R1001" s="533"/>
      <c r="S1001" s="533"/>
      <c r="T1001" s="533"/>
      <c r="U1001" s="533"/>
      <c r="V1001" s="533"/>
      <c r="W1001" s="533"/>
      <c r="X1001" s="533"/>
      <c r="Y1001" s="533"/>
    </row>
    <row r="1002" spans="1:25" hidden="1" x14ac:dyDescent="0.25">
      <c r="E1002" s="293"/>
      <c r="F1002" s="301"/>
      <c r="G1002" s="326" t="s">
        <v>4368</v>
      </c>
      <c r="H1002" s="596"/>
      <c r="I1002" s="622"/>
      <c r="J1002" s="597"/>
    </row>
    <row r="1003" spans="1:25" ht="15.75" hidden="1" thickBot="1" x14ac:dyDescent="0.3">
      <c r="E1003" s="222"/>
      <c r="F1003" s="249" t="s">
        <v>234</v>
      </c>
      <c r="G1003" s="252" t="s">
        <v>235</v>
      </c>
      <c r="H1003" s="598">
        <f>SUM(H998:H1001)</f>
        <v>0</v>
      </c>
      <c r="I1003" s="599"/>
      <c r="J1003" s="599">
        <f>SUM(H1003:I1003)</f>
        <v>0</v>
      </c>
    </row>
    <row r="1004" spans="1:25" hidden="1" x14ac:dyDescent="0.25">
      <c r="F1004" s="249" t="s">
        <v>236</v>
      </c>
      <c r="G1004" s="252" t="s">
        <v>237</v>
      </c>
      <c r="J1004" s="599">
        <f t="shared" ref="J1004:J1018" si="32">SUM(H1004:I1004)</f>
        <v>0</v>
      </c>
    </row>
    <row r="1005" spans="1:25" hidden="1" x14ac:dyDescent="0.25">
      <c r="F1005" s="249" t="s">
        <v>238</v>
      </c>
      <c r="G1005" s="252" t="s">
        <v>239</v>
      </c>
      <c r="J1005" s="599">
        <f t="shared" si="32"/>
        <v>0</v>
      </c>
    </row>
    <row r="1006" spans="1:25" hidden="1" x14ac:dyDescent="0.25">
      <c r="F1006" s="249" t="s">
        <v>240</v>
      </c>
      <c r="G1006" s="252" t="s">
        <v>241</v>
      </c>
      <c r="J1006" s="599">
        <f t="shared" si="32"/>
        <v>0</v>
      </c>
    </row>
    <row r="1007" spans="1:25" hidden="1" x14ac:dyDescent="0.25">
      <c r="F1007" s="249" t="s">
        <v>242</v>
      </c>
      <c r="G1007" s="252" t="s">
        <v>243</v>
      </c>
      <c r="J1007" s="599">
        <f t="shared" si="32"/>
        <v>0</v>
      </c>
    </row>
    <row r="1008" spans="1:25" hidden="1" x14ac:dyDescent="0.25">
      <c r="F1008" s="249" t="s">
        <v>244</v>
      </c>
      <c r="G1008" s="252" t="s">
        <v>245</v>
      </c>
      <c r="J1008" s="599">
        <f t="shared" si="32"/>
        <v>0</v>
      </c>
    </row>
    <row r="1009" spans="5:10" hidden="1" x14ac:dyDescent="0.25">
      <c r="F1009" s="249" t="s">
        <v>246</v>
      </c>
      <c r="G1009" s="252" t="s">
        <v>247</v>
      </c>
      <c r="J1009" s="599">
        <f t="shared" si="32"/>
        <v>0</v>
      </c>
    </row>
    <row r="1010" spans="5:10" hidden="1" x14ac:dyDescent="0.25">
      <c r="F1010" s="249" t="s">
        <v>248</v>
      </c>
      <c r="G1010" s="252" t="s">
        <v>249</v>
      </c>
      <c r="J1010" s="599">
        <f t="shared" si="32"/>
        <v>0</v>
      </c>
    </row>
    <row r="1011" spans="5:10" hidden="1" x14ac:dyDescent="0.25">
      <c r="F1011" s="249" t="s">
        <v>250</v>
      </c>
      <c r="G1011" s="252" t="s">
        <v>57</v>
      </c>
      <c r="J1011" s="599">
        <f t="shared" si="32"/>
        <v>0</v>
      </c>
    </row>
    <row r="1012" spans="5:10" hidden="1" x14ac:dyDescent="0.25">
      <c r="F1012" s="249" t="s">
        <v>251</v>
      </c>
      <c r="G1012" s="252" t="s">
        <v>252</v>
      </c>
      <c r="J1012" s="599">
        <f t="shared" si="32"/>
        <v>0</v>
      </c>
    </row>
    <row r="1013" spans="5:10" hidden="1" x14ac:dyDescent="0.25">
      <c r="F1013" s="249" t="s">
        <v>253</v>
      </c>
      <c r="G1013" s="252" t="s">
        <v>254</v>
      </c>
      <c r="J1013" s="599">
        <f t="shared" si="32"/>
        <v>0</v>
      </c>
    </row>
    <row r="1014" spans="5:10" ht="30" hidden="1" x14ac:dyDescent="0.25">
      <c r="F1014" s="249" t="s">
        <v>255</v>
      </c>
      <c r="G1014" s="252" t="s">
        <v>256</v>
      </c>
      <c r="J1014" s="599">
        <f t="shared" si="32"/>
        <v>0</v>
      </c>
    </row>
    <row r="1015" spans="5:10" hidden="1" x14ac:dyDescent="0.25">
      <c r="F1015" s="249" t="s">
        <v>257</v>
      </c>
      <c r="G1015" s="252" t="s">
        <v>258</v>
      </c>
      <c r="J1015" s="599">
        <f t="shared" si="32"/>
        <v>0</v>
      </c>
    </row>
    <row r="1016" spans="5:10" ht="30" hidden="1" x14ac:dyDescent="0.25">
      <c r="F1016" s="249" t="s">
        <v>259</v>
      </c>
      <c r="G1016" s="252" t="s">
        <v>260</v>
      </c>
      <c r="J1016" s="599">
        <f t="shared" si="32"/>
        <v>0</v>
      </c>
    </row>
    <row r="1017" spans="5:10" hidden="1" x14ac:dyDescent="0.25">
      <c r="F1017" s="249" t="s">
        <v>261</v>
      </c>
      <c r="G1017" s="252" t="s">
        <v>262</v>
      </c>
      <c r="J1017" s="599">
        <f t="shared" si="32"/>
        <v>0</v>
      </c>
    </row>
    <row r="1018" spans="5:10" ht="15.75" hidden="1" thickBot="1" x14ac:dyDescent="0.3">
      <c r="F1018" s="249" t="s">
        <v>263</v>
      </c>
      <c r="G1018" s="252" t="s">
        <v>264</v>
      </c>
      <c r="H1018" s="598"/>
      <c r="I1018" s="599"/>
      <c r="J1018" s="599">
        <f t="shared" si="32"/>
        <v>0</v>
      </c>
    </row>
    <row r="1019" spans="5:10" ht="15.75" hidden="1" thickBot="1" x14ac:dyDescent="0.3">
      <c r="G1019" s="229" t="s">
        <v>4369</v>
      </c>
      <c r="H1019" s="600">
        <f>SUM(H1003:H1018)</f>
        <v>0</v>
      </c>
      <c r="I1019" s="601">
        <f>SUM(I1004:I1018)</f>
        <v>0</v>
      </c>
      <c r="J1019" s="601">
        <f>SUM(J1003:J1018)</f>
        <v>0</v>
      </c>
    </row>
    <row r="1020" spans="5:10" hidden="1" collapsed="1" x14ac:dyDescent="0.25">
      <c r="E1020" s="293"/>
      <c r="F1020" s="301"/>
      <c r="G1020" s="231" t="s">
        <v>5071</v>
      </c>
      <c r="H1020" s="602"/>
      <c r="I1020" s="623"/>
      <c r="J1020" s="603"/>
    </row>
    <row r="1021" spans="5:10" ht="15.75" hidden="1" thickBot="1" x14ac:dyDescent="0.3">
      <c r="E1021" s="222"/>
      <c r="F1021" s="249" t="s">
        <v>234</v>
      </c>
      <c r="G1021" s="252" t="s">
        <v>235</v>
      </c>
      <c r="H1021" s="598">
        <f>SUM(H998:H1001)</f>
        <v>0</v>
      </c>
      <c r="I1021" s="599"/>
      <c r="J1021" s="599">
        <f>SUM(H1021:I1021)</f>
        <v>0</v>
      </c>
    </row>
    <row r="1022" spans="5:10" hidden="1" x14ac:dyDescent="0.25">
      <c r="F1022" s="249" t="s">
        <v>236</v>
      </c>
      <c r="G1022" s="252" t="s">
        <v>237</v>
      </c>
      <c r="J1022" s="599">
        <f t="shared" ref="J1022:J1036" si="33">SUM(H1022:I1022)</f>
        <v>0</v>
      </c>
    </row>
    <row r="1023" spans="5:10" hidden="1" x14ac:dyDescent="0.25">
      <c r="F1023" s="249" t="s">
        <v>238</v>
      </c>
      <c r="G1023" s="252" t="s">
        <v>239</v>
      </c>
      <c r="J1023" s="599">
        <f t="shared" si="33"/>
        <v>0</v>
      </c>
    </row>
    <row r="1024" spans="5:10" hidden="1" x14ac:dyDescent="0.25">
      <c r="F1024" s="249" t="s">
        <v>240</v>
      </c>
      <c r="G1024" s="252" t="s">
        <v>241</v>
      </c>
      <c r="J1024" s="599">
        <f t="shared" si="33"/>
        <v>0</v>
      </c>
    </row>
    <row r="1025" spans="1:25" hidden="1" x14ac:dyDescent="0.25">
      <c r="F1025" s="249" t="s">
        <v>242</v>
      </c>
      <c r="G1025" s="252" t="s">
        <v>243</v>
      </c>
      <c r="J1025" s="599">
        <f t="shared" si="33"/>
        <v>0</v>
      </c>
    </row>
    <row r="1026" spans="1:25" hidden="1" x14ac:dyDescent="0.25">
      <c r="F1026" s="249" t="s">
        <v>244</v>
      </c>
      <c r="G1026" s="252" t="s">
        <v>245</v>
      </c>
      <c r="J1026" s="599">
        <f t="shared" si="33"/>
        <v>0</v>
      </c>
    </row>
    <row r="1027" spans="1:25" hidden="1" x14ac:dyDescent="0.25">
      <c r="F1027" s="249" t="s">
        <v>246</v>
      </c>
      <c r="G1027" s="252" t="s">
        <v>247</v>
      </c>
      <c r="J1027" s="599">
        <f t="shared" si="33"/>
        <v>0</v>
      </c>
    </row>
    <row r="1028" spans="1:25" hidden="1" x14ac:dyDescent="0.25">
      <c r="F1028" s="249" t="s">
        <v>248</v>
      </c>
      <c r="G1028" s="252" t="s">
        <v>249</v>
      </c>
      <c r="J1028" s="599">
        <f t="shared" si="33"/>
        <v>0</v>
      </c>
    </row>
    <row r="1029" spans="1:25" hidden="1" x14ac:dyDescent="0.25">
      <c r="F1029" s="249" t="s">
        <v>250</v>
      </c>
      <c r="G1029" s="252" t="s">
        <v>57</v>
      </c>
      <c r="J1029" s="599">
        <f t="shared" si="33"/>
        <v>0</v>
      </c>
    </row>
    <row r="1030" spans="1:25" hidden="1" x14ac:dyDescent="0.25">
      <c r="F1030" s="249" t="s">
        <v>251</v>
      </c>
      <c r="G1030" s="252" t="s">
        <v>252</v>
      </c>
      <c r="J1030" s="599">
        <f t="shared" si="33"/>
        <v>0</v>
      </c>
    </row>
    <row r="1031" spans="1:25" hidden="1" x14ac:dyDescent="0.25">
      <c r="F1031" s="249" t="s">
        <v>253</v>
      </c>
      <c r="G1031" s="252" t="s">
        <v>254</v>
      </c>
      <c r="J1031" s="599">
        <f t="shared" si="33"/>
        <v>0</v>
      </c>
    </row>
    <row r="1032" spans="1:25" ht="30" hidden="1" x14ac:dyDescent="0.25">
      <c r="F1032" s="249" t="s">
        <v>255</v>
      </c>
      <c r="G1032" s="252" t="s">
        <v>256</v>
      </c>
      <c r="J1032" s="599">
        <f t="shared" si="33"/>
        <v>0</v>
      </c>
    </row>
    <row r="1033" spans="1:25" hidden="1" x14ac:dyDescent="0.25">
      <c r="F1033" s="249" t="s">
        <v>257</v>
      </c>
      <c r="G1033" s="252" t="s">
        <v>258</v>
      </c>
      <c r="J1033" s="599">
        <f t="shared" si="33"/>
        <v>0</v>
      </c>
    </row>
    <row r="1034" spans="1:25" ht="30" hidden="1" x14ac:dyDescent="0.25">
      <c r="F1034" s="249" t="s">
        <v>259</v>
      </c>
      <c r="G1034" s="252" t="s">
        <v>260</v>
      </c>
      <c r="J1034" s="599">
        <f t="shared" si="33"/>
        <v>0</v>
      </c>
    </row>
    <row r="1035" spans="1:25" hidden="1" x14ac:dyDescent="0.25">
      <c r="F1035" s="249" t="s">
        <v>261</v>
      </c>
      <c r="G1035" s="252" t="s">
        <v>262</v>
      </c>
      <c r="J1035" s="599">
        <f t="shared" si="33"/>
        <v>0</v>
      </c>
    </row>
    <row r="1036" spans="1:25" ht="15.75" hidden="1" thickBot="1" x14ac:dyDescent="0.3">
      <c r="F1036" s="249" t="s">
        <v>263</v>
      </c>
      <c r="G1036" s="252" t="s">
        <v>264</v>
      </c>
      <c r="H1036" s="598"/>
      <c r="I1036" s="599"/>
      <c r="J1036" s="599">
        <f t="shared" si="33"/>
        <v>0</v>
      </c>
    </row>
    <row r="1037" spans="1:25" ht="15.75" hidden="1" thickBot="1" x14ac:dyDescent="0.3">
      <c r="G1037" s="229" t="s">
        <v>4532</v>
      </c>
      <c r="H1037" s="600">
        <f>SUM(H1021:H1036)</f>
        <v>0</v>
      </c>
      <c r="I1037" s="601">
        <f>SUM(I1022:I1036)</f>
        <v>0</v>
      </c>
      <c r="J1037" s="601">
        <f>SUM(J1021:J1036)</f>
        <v>0</v>
      </c>
    </row>
    <row r="1038" spans="1:25" s="88" customFormat="1" hidden="1" x14ac:dyDescent="0.25">
      <c r="A1038" s="261"/>
      <c r="B1038" s="256"/>
      <c r="C1038" s="316"/>
      <c r="D1038" s="251"/>
      <c r="E1038" s="251"/>
      <c r="F1038" s="257"/>
      <c r="G1038" s="294"/>
      <c r="H1038" s="627"/>
      <c r="I1038" s="610"/>
      <c r="J1038" s="628"/>
      <c r="K1038" s="533"/>
      <c r="L1038" s="533"/>
      <c r="M1038" s="533"/>
      <c r="N1038" s="533"/>
      <c r="O1038" s="533"/>
      <c r="P1038" s="533"/>
      <c r="Q1038" s="533"/>
      <c r="R1038" s="533"/>
      <c r="S1038" s="533"/>
      <c r="T1038" s="533"/>
      <c r="U1038" s="533"/>
      <c r="V1038" s="533"/>
      <c r="W1038" s="533"/>
      <c r="X1038" s="533"/>
      <c r="Y1038" s="533"/>
    </row>
    <row r="1039" spans="1:25" s="88" customFormat="1" hidden="1" x14ac:dyDescent="0.25">
      <c r="A1039" s="261"/>
      <c r="B1039" s="256"/>
      <c r="C1039" s="316"/>
      <c r="D1039" s="251"/>
      <c r="E1039" s="251"/>
      <c r="F1039" s="264"/>
      <c r="G1039" s="250" t="s">
        <v>4249</v>
      </c>
      <c r="H1039" s="606"/>
      <c r="I1039" s="624"/>
      <c r="J1039" s="607"/>
      <c r="K1039" s="533"/>
      <c r="L1039" s="533"/>
      <c r="M1039" s="533"/>
      <c r="N1039" s="533"/>
      <c r="O1039" s="533"/>
      <c r="P1039" s="533"/>
      <c r="Q1039" s="533"/>
      <c r="R1039" s="533"/>
      <c r="S1039" s="533"/>
      <c r="T1039" s="533"/>
      <c r="U1039" s="533"/>
      <c r="V1039" s="533"/>
      <c r="W1039" s="533"/>
      <c r="X1039" s="533"/>
      <c r="Y1039" s="533"/>
    </row>
    <row r="1040" spans="1:25" s="88" customFormat="1" ht="15.75" hidden="1" thickBot="1" x14ac:dyDescent="0.3">
      <c r="A1040" s="261"/>
      <c r="B1040" s="256"/>
      <c r="C1040" s="316"/>
      <c r="D1040" s="251"/>
      <c r="E1040" s="251"/>
      <c r="F1040" s="249" t="s">
        <v>234</v>
      </c>
      <c r="G1040" s="252" t="s">
        <v>235</v>
      </c>
      <c r="H1040" s="598">
        <f>SUM(H1021,H929,H978)</f>
        <v>0</v>
      </c>
      <c r="I1040" s="599"/>
      <c r="J1040" s="599">
        <f>SUM(H1040:I1040)</f>
        <v>0</v>
      </c>
      <c r="K1040" s="533"/>
      <c r="L1040" s="533"/>
      <c r="M1040" s="533"/>
      <c r="N1040" s="533"/>
      <c r="O1040" s="533"/>
      <c r="P1040" s="533"/>
      <c r="Q1040" s="533"/>
      <c r="R1040" s="533"/>
      <c r="S1040" s="533"/>
      <c r="T1040" s="533"/>
      <c r="U1040" s="533"/>
      <c r="V1040" s="533"/>
      <c r="W1040" s="533"/>
      <c r="X1040" s="533"/>
      <c r="Y1040" s="533"/>
    </row>
    <row r="1041" spans="1:25" s="88" customFormat="1" hidden="1" x14ac:dyDescent="0.25">
      <c r="A1041" s="261"/>
      <c r="B1041" s="256"/>
      <c r="C1041" s="316"/>
      <c r="D1041" s="251"/>
      <c r="E1041" s="251"/>
      <c r="F1041" s="249" t="s">
        <v>236</v>
      </c>
      <c r="G1041" s="252" t="s">
        <v>237</v>
      </c>
      <c r="H1041" s="594"/>
      <c r="I1041" s="595"/>
      <c r="J1041" s="599">
        <f t="shared" ref="J1041:J1055" si="34">SUM(H1041:I1041)</f>
        <v>0</v>
      </c>
      <c r="K1041" s="533"/>
      <c r="L1041" s="533"/>
      <c r="M1041" s="533"/>
      <c r="N1041" s="533"/>
      <c r="O1041" s="533"/>
      <c r="P1041" s="533"/>
      <c r="Q1041" s="533"/>
      <c r="R1041" s="533"/>
      <c r="S1041" s="533"/>
      <c r="T1041" s="533"/>
      <c r="U1041" s="533"/>
      <c r="V1041" s="533"/>
      <c r="W1041" s="533"/>
      <c r="X1041" s="533"/>
      <c r="Y1041" s="533"/>
    </row>
    <row r="1042" spans="1:25" s="88" customFormat="1" hidden="1" x14ac:dyDescent="0.25">
      <c r="A1042" s="261"/>
      <c r="B1042" s="256"/>
      <c r="C1042" s="316"/>
      <c r="D1042" s="251"/>
      <c r="E1042" s="251"/>
      <c r="F1042" s="249" t="s">
        <v>238</v>
      </c>
      <c r="G1042" s="252" t="s">
        <v>239</v>
      </c>
      <c r="H1042" s="594"/>
      <c r="I1042" s="595"/>
      <c r="J1042" s="599">
        <f t="shared" si="34"/>
        <v>0</v>
      </c>
      <c r="K1042" s="533"/>
      <c r="L1042" s="533"/>
      <c r="M1042" s="533"/>
      <c r="N1042" s="533"/>
      <c r="O1042" s="533"/>
      <c r="P1042" s="533"/>
      <c r="Q1042" s="533"/>
      <c r="R1042" s="533"/>
      <c r="S1042" s="533"/>
      <c r="T1042" s="533"/>
      <c r="U1042" s="533"/>
      <c r="V1042" s="533"/>
      <c r="W1042" s="533"/>
      <c r="X1042" s="533"/>
      <c r="Y1042" s="533"/>
    </row>
    <row r="1043" spans="1:25" s="88" customFormat="1" hidden="1" x14ac:dyDescent="0.25">
      <c r="A1043" s="261"/>
      <c r="B1043" s="256"/>
      <c r="C1043" s="316"/>
      <c r="D1043" s="251"/>
      <c r="E1043" s="251"/>
      <c r="F1043" s="249" t="s">
        <v>240</v>
      </c>
      <c r="G1043" s="252" t="s">
        <v>241</v>
      </c>
      <c r="H1043" s="594"/>
      <c r="I1043" s="595"/>
      <c r="J1043" s="599">
        <f t="shared" si="34"/>
        <v>0</v>
      </c>
      <c r="K1043" s="533"/>
      <c r="L1043" s="533"/>
      <c r="M1043" s="533"/>
      <c r="N1043" s="533"/>
      <c r="O1043" s="533"/>
      <c r="P1043" s="533"/>
      <c r="Q1043" s="533"/>
      <c r="R1043" s="533"/>
      <c r="S1043" s="533"/>
      <c r="T1043" s="533"/>
      <c r="U1043" s="533"/>
      <c r="V1043" s="533"/>
      <c r="W1043" s="533"/>
      <c r="X1043" s="533"/>
      <c r="Y1043" s="533"/>
    </row>
    <row r="1044" spans="1:25" s="88" customFormat="1" hidden="1" x14ac:dyDescent="0.25">
      <c r="A1044" s="261"/>
      <c r="B1044" s="256"/>
      <c r="C1044" s="316"/>
      <c r="D1044" s="251"/>
      <c r="E1044" s="251"/>
      <c r="F1044" s="249" t="s">
        <v>242</v>
      </c>
      <c r="G1044" s="252" t="s">
        <v>243</v>
      </c>
      <c r="H1044" s="594"/>
      <c r="I1044" s="595"/>
      <c r="J1044" s="599">
        <f t="shared" si="34"/>
        <v>0</v>
      </c>
      <c r="K1044" s="533"/>
      <c r="L1044" s="533"/>
      <c r="M1044" s="533"/>
      <c r="N1044" s="533"/>
      <c r="O1044" s="533"/>
      <c r="P1044" s="533"/>
      <c r="Q1044" s="533"/>
      <c r="R1044" s="533"/>
      <c r="S1044" s="533"/>
      <c r="T1044" s="533"/>
      <c r="U1044" s="533"/>
      <c r="V1044" s="533"/>
      <c r="W1044" s="533"/>
      <c r="X1044" s="533"/>
      <c r="Y1044" s="533"/>
    </row>
    <row r="1045" spans="1:25" s="88" customFormat="1" hidden="1" x14ac:dyDescent="0.25">
      <c r="A1045" s="261"/>
      <c r="B1045" s="256"/>
      <c r="C1045" s="316"/>
      <c r="D1045" s="251"/>
      <c r="E1045" s="251"/>
      <c r="F1045" s="249" t="s">
        <v>244</v>
      </c>
      <c r="G1045" s="252" t="s">
        <v>245</v>
      </c>
      <c r="H1045" s="594"/>
      <c r="I1045" s="595"/>
      <c r="J1045" s="599">
        <f t="shared" si="34"/>
        <v>0</v>
      </c>
      <c r="K1045" s="533"/>
      <c r="L1045" s="533"/>
      <c r="M1045" s="533"/>
      <c r="N1045" s="533"/>
      <c r="O1045" s="533"/>
      <c r="P1045" s="533"/>
      <c r="Q1045" s="533"/>
      <c r="R1045" s="533"/>
      <c r="S1045" s="533"/>
      <c r="T1045" s="533"/>
      <c r="U1045" s="533"/>
      <c r="V1045" s="533"/>
      <c r="W1045" s="533"/>
      <c r="X1045" s="533"/>
      <c r="Y1045" s="533"/>
    </row>
    <row r="1046" spans="1:25" s="88" customFormat="1" hidden="1" x14ac:dyDescent="0.25">
      <c r="A1046" s="261"/>
      <c r="B1046" s="256"/>
      <c r="C1046" s="316"/>
      <c r="D1046" s="251"/>
      <c r="E1046" s="251"/>
      <c r="F1046" s="249" t="s">
        <v>246</v>
      </c>
      <c r="G1046" s="252" t="s">
        <v>247</v>
      </c>
      <c r="H1046" s="594"/>
      <c r="I1046" s="595"/>
      <c r="J1046" s="599">
        <f t="shared" si="34"/>
        <v>0</v>
      </c>
      <c r="K1046" s="533"/>
      <c r="L1046" s="533"/>
      <c r="M1046" s="533"/>
      <c r="N1046" s="533"/>
      <c r="O1046" s="533"/>
      <c r="P1046" s="533"/>
      <c r="Q1046" s="533"/>
      <c r="R1046" s="533"/>
      <c r="S1046" s="533"/>
      <c r="T1046" s="533"/>
      <c r="U1046" s="533"/>
      <c r="V1046" s="533"/>
      <c r="W1046" s="533"/>
      <c r="X1046" s="533"/>
      <c r="Y1046" s="533"/>
    </row>
    <row r="1047" spans="1:25" s="88" customFormat="1" hidden="1" x14ac:dyDescent="0.25">
      <c r="A1047" s="261"/>
      <c r="B1047" s="256"/>
      <c r="C1047" s="316"/>
      <c r="D1047" s="251"/>
      <c r="E1047" s="251"/>
      <c r="F1047" s="249" t="s">
        <v>248</v>
      </c>
      <c r="G1047" s="252" t="s">
        <v>249</v>
      </c>
      <c r="H1047" s="594"/>
      <c r="I1047" s="595"/>
      <c r="J1047" s="599">
        <f t="shared" si="34"/>
        <v>0</v>
      </c>
      <c r="K1047" s="533"/>
      <c r="L1047" s="533"/>
      <c r="M1047" s="533"/>
      <c r="N1047" s="533"/>
      <c r="O1047" s="533"/>
      <c r="P1047" s="533"/>
      <c r="Q1047" s="533"/>
      <c r="R1047" s="533"/>
      <c r="S1047" s="533"/>
      <c r="T1047" s="533"/>
      <c r="U1047" s="533"/>
      <c r="V1047" s="533"/>
      <c r="W1047" s="533"/>
      <c r="X1047" s="533"/>
      <c r="Y1047" s="533"/>
    </row>
    <row r="1048" spans="1:25" s="88" customFormat="1" hidden="1" x14ac:dyDescent="0.25">
      <c r="A1048" s="261"/>
      <c r="B1048" s="256"/>
      <c r="C1048" s="316"/>
      <c r="D1048" s="251"/>
      <c r="E1048" s="251"/>
      <c r="F1048" s="249" t="s">
        <v>250</v>
      </c>
      <c r="G1048" s="252" t="s">
        <v>57</v>
      </c>
      <c r="H1048" s="594"/>
      <c r="I1048" s="595"/>
      <c r="J1048" s="599">
        <f t="shared" si="34"/>
        <v>0</v>
      </c>
      <c r="K1048" s="533"/>
      <c r="L1048" s="533"/>
      <c r="M1048" s="533"/>
      <c r="N1048" s="533"/>
      <c r="O1048" s="533"/>
      <c r="P1048" s="533"/>
      <c r="Q1048" s="533"/>
      <c r="R1048" s="533"/>
      <c r="S1048" s="533"/>
      <c r="T1048" s="533"/>
      <c r="U1048" s="533"/>
      <c r="V1048" s="533"/>
      <c r="W1048" s="533"/>
      <c r="X1048" s="533"/>
      <c r="Y1048" s="533"/>
    </row>
    <row r="1049" spans="1:25" s="88" customFormat="1" hidden="1" x14ac:dyDescent="0.25">
      <c r="A1049" s="261"/>
      <c r="B1049" s="256"/>
      <c r="C1049" s="316"/>
      <c r="D1049" s="251"/>
      <c r="E1049" s="251"/>
      <c r="F1049" s="249" t="s">
        <v>251</v>
      </c>
      <c r="G1049" s="252" t="s">
        <v>252</v>
      </c>
      <c r="H1049" s="594"/>
      <c r="I1049" s="595"/>
      <c r="J1049" s="599">
        <f t="shared" si="34"/>
        <v>0</v>
      </c>
      <c r="K1049" s="533"/>
      <c r="L1049" s="533"/>
      <c r="M1049" s="533"/>
      <c r="N1049" s="533"/>
      <c r="O1049" s="533"/>
      <c r="P1049" s="533"/>
      <c r="Q1049" s="533"/>
      <c r="R1049" s="533"/>
      <c r="S1049" s="533"/>
      <c r="T1049" s="533"/>
      <c r="U1049" s="533"/>
      <c r="V1049" s="533"/>
      <c r="W1049" s="533"/>
      <c r="X1049" s="533"/>
      <c r="Y1049" s="533"/>
    </row>
    <row r="1050" spans="1:25" s="88" customFormat="1" hidden="1" x14ac:dyDescent="0.25">
      <c r="A1050" s="261"/>
      <c r="B1050" s="256"/>
      <c r="C1050" s="316"/>
      <c r="D1050" s="251"/>
      <c r="E1050" s="251"/>
      <c r="F1050" s="249" t="s">
        <v>253</v>
      </c>
      <c r="G1050" s="252" t="s">
        <v>254</v>
      </c>
      <c r="H1050" s="594"/>
      <c r="I1050" s="595"/>
      <c r="J1050" s="599">
        <f t="shared" si="34"/>
        <v>0</v>
      </c>
      <c r="K1050" s="533"/>
      <c r="L1050" s="533"/>
      <c r="M1050" s="533"/>
      <c r="N1050" s="533"/>
      <c r="O1050" s="533"/>
      <c r="P1050" s="533"/>
      <c r="Q1050" s="533"/>
      <c r="R1050" s="533"/>
      <c r="S1050" s="533"/>
      <c r="T1050" s="533"/>
      <c r="U1050" s="533"/>
      <c r="V1050" s="533"/>
      <c r="W1050" s="533"/>
      <c r="X1050" s="533"/>
      <c r="Y1050" s="533"/>
    </row>
    <row r="1051" spans="1:25" s="88" customFormat="1" ht="30" hidden="1" x14ac:dyDescent="0.25">
      <c r="A1051" s="261"/>
      <c r="B1051" s="256"/>
      <c r="C1051" s="316"/>
      <c r="D1051" s="251"/>
      <c r="E1051" s="251"/>
      <c r="F1051" s="249" t="s">
        <v>255</v>
      </c>
      <c r="G1051" s="252" t="s">
        <v>256</v>
      </c>
      <c r="H1051" s="594"/>
      <c r="I1051" s="595"/>
      <c r="J1051" s="599">
        <f t="shared" si="34"/>
        <v>0</v>
      </c>
      <c r="K1051" s="533"/>
      <c r="L1051" s="533"/>
      <c r="M1051" s="533"/>
      <c r="N1051" s="533"/>
      <c r="O1051" s="533"/>
      <c r="P1051" s="533"/>
      <c r="Q1051" s="533"/>
      <c r="R1051" s="533"/>
      <c r="S1051" s="533"/>
      <c r="T1051" s="533"/>
      <c r="U1051" s="533"/>
      <c r="V1051" s="533"/>
      <c r="W1051" s="533"/>
      <c r="X1051" s="533"/>
      <c r="Y1051" s="533"/>
    </row>
    <row r="1052" spans="1:25" s="88" customFormat="1" hidden="1" x14ac:dyDescent="0.25">
      <c r="A1052" s="261"/>
      <c r="B1052" s="256"/>
      <c r="C1052" s="316"/>
      <c r="D1052" s="251"/>
      <c r="E1052" s="251"/>
      <c r="F1052" s="249" t="s">
        <v>257</v>
      </c>
      <c r="G1052" s="252" t="s">
        <v>258</v>
      </c>
      <c r="H1052" s="594"/>
      <c r="I1052" s="595"/>
      <c r="J1052" s="599">
        <f t="shared" si="34"/>
        <v>0</v>
      </c>
      <c r="K1052" s="533"/>
      <c r="L1052" s="533"/>
      <c r="M1052" s="533"/>
      <c r="N1052" s="533"/>
      <c r="O1052" s="533"/>
      <c r="P1052" s="533"/>
      <c r="Q1052" s="533"/>
      <c r="R1052" s="533"/>
      <c r="S1052" s="533"/>
      <c r="T1052" s="533"/>
      <c r="U1052" s="533"/>
      <c r="V1052" s="533"/>
      <c r="W1052" s="533"/>
      <c r="X1052" s="533"/>
      <c r="Y1052" s="533"/>
    </row>
    <row r="1053" spans="1:25" s="88" customFormat="1" ht="30" hidden="1" x14ac:dyDescent="0.25">
      <c r="A1053" s="261"/>
      <c r="B1053" s="256"/>
      <c r="C1053" s="316"/>
      <c r="D1053" s="251"/>
      <c r="E1053" s="251"/>
      <c r="F1053" s="249" t="s">
        <v>259</v>
      </c>
      <c r="G1053" s="252" t="s">
        <v>260</v>
      </c>
      <c r="H1053" s="594"/>
      <c r="I1053" s="595"/>
      <c r="J1053" s="599">
        <f t="shared" si="34"/>
        <v>0</v>
      </c>
      <c r="K1053" s="533"/>
      <c r="L1053" s="533"/>
      <c r="M1053" s="533"/>
      <c r="N1053" s="533"/>
      <c r="O1053" s="533"/>
      <c r="P1053" s="533"/>
      <c r="Q1053" s="533"/>
      <c r="R1053" s="533"/>
      <c r="S1053" s="533"/>
      <c r="T1053" s="533"/>
      <c r="U1053" s="533"/>
      <c r="V1053" s="533"/>
      <c r="W1053" s="533"/>
      <c r="X1053" s="533"/>
      <c r="Y1053" s="533"/>
    </row>
    <row r="1054" spans="1:25" s="88" customFormat="1" hidden="1" x14ac:dyDescent="0.25">
      <c r="A1054" s="261"/>
      <c r="B1054" s="256"/>
      <c r="C1054" s="316"/>
      <c r="D1054" s="251"/>
      <c r="E1054" s="251"/>
      <c r="F1054" s="249" t="s">
        <v>261</v>
      </c>
      <c r="G1054" s="252" t="s">
        <v>262</v>
      </c>
      <c r="H1054" s="594"/>
      <c r="I1054" s="595"/>
      <c r="J1054" s="599">
        <f t="shared" si="34"/>
        <v>0</v>
      </c>
      <c r="K1054" s="533"/>
      <c r="L1054" s="533"/>
      <c r="M1054" s="533"/>
      <c r="N1054" s="533"/>
      <c r="O1054" s="533"/>
      <c r="P1054" s="533"/>
      <c r="Q1054" s="533"/>
      <c r="R1054" s="533"/>
      <c r="S1054" s="533"/>
      <c r="T1054" s="533"/>
      <c r="U1054" s="533"/>
      <c r="V1054" s="533"/>
      <c r="W1054" s="533"/>
      <c r="X1054" s="533"/>
      <c r="Y1054" s="533"/>
    </row>
    <row r="1055" spans="1:25" s="88" customFormat="1" ht="15.75" hidden="1" thickBot="1" x14ac:dyDescent="0.3">
      <c r="A1055" s="261"/>
      <c r="B1055" s="256"/>
      <c r="C1055" s="316"/>
      <c r="D1055" s="251"/>
      <c r="E1055" s="251"/>
      <c r="F1055" s="249" t="s">
        <v>263</v>
      </c>
      <c r="G1055" s="252" t="s">
        <v>264</v>
      </c>
      <c r="H1055" s="598"/>
      <c r="I1055" s="599"/>
      <c r="J1055" s="599">
        <f t="shared" si="34"/>
        <v>0</v>
      </c>
      <c r="K1055" s="533"/>
      <c r="L1055" s="533"/>
      <c r="M1055" s="533"/>
      <c r="N1055" s="533"/>
      <c r="O1055" s="533"/>
      <c r="P1055" s="533"/>
      <c r="Q1055" s="533"/>
      <c r="R1055" s="533"/>
      <c r="S1055" s="533"/>
      <c r="T1055" s="533"/>
      <c r="U1055" s="533"/>
      <c r="V1055" s="533"/>
      <c r="W1055" s="533"/>
      <c r="X1055" s="533"/>
      <c r="Y1055" s="533"/>
    </row>
    <row r="1056" spans="1:25" s="88" customFormat="1" ht="15.75" hidden="1" thickBot="1" x14ac:dyDescent="0.3">
      <c r="A1056" s="261"/>
      <c r="B1056" s="256"/>
      <c r="C1056" s="316"/>
      <c r="D1056" s="251"/>
      <c r="E1056" s="251"/>
      <c r="F1056" s="218"/>
      <c r="G1056" s="229" t="s">
        <v>4250</v>
      </c>
      <c r="H1056" s="600">
        <f>SUM(H1040:H1055)</f>
        <v>0</v>
      </c>
      <c r="I1056" s="601">
        <f>SUM(I1041:I1055)</f>
        <v>0</v>
      </c>
      <c r="J1056" s="601">
        <f>SUM(J1040:J1055)</f>
        <v>0</v>
      </c>
      <c r="K1056" s="533"/>
      <c r="L1056" s="533"/>
      <c r="M1056" s="533"/>
      <c r="N1056" s="533"/>
      <c r="O1056" s="533"/>
      <c r="P1056" s="533"/>
      <c r="Q1056" s="533"/>
      <c r="R1056" s="533"/>
      <c r="S1056" s="533"/>
      <c r="T1056" s="533"/>
      <c r="U1056" s="533"/>
      <c r="V1056" s="533"/>
      <c r="W1056" s="533"/>
      <c r="X1056" s="533"/>
      <c r="Y1056" s="533"/>
    </row>
    <row r="1057" spans="1:25" s="88" customFormat="1" hidden="1" x14ac:dyDescent="0.25">
      <c r="A1057" s="261"/>
      <c r="B1057" s="256"/>
      <c r="C1057" s="316"/>
      <c r="D1057" s="251"/>
      <c r="E1057" s="251"/>
      <c r="F1057" s="257"/>
      <c r="G1057" s="294"/>
      <c r="H1057" s="627"/>
      <c r="I1057" s="610"/>
      <c r="J1057" s="628"/>
      <c r="K1057" s="533"/>
      <c r="L1057" s="533"/>
      <c r="M1057" s="533"/>
      <c r="N1057" s="268"/>
      <c r="O1057" s="533"/>
      <c r="P1057" s="533"/>
      <c r="Q1057" s="533"/>
      <c r="R1057" s="533"/>
      <c r="S1057" s="533"/>
      <c r="T1057" s="533"/>
      <c r="U1057" s="533"/>
      <c r="V1057" s="533"/>
      <c r="W1057" s="533"/>
      <c r="X1057" s="533"/>
      <c r="Y1057" s="533"/>
    </row>
    <row r="1058" spans="1:25" s="88" customFormat="1" hidden="1" x14ac:dyDescent="0.25">
      <c r="A1058" s="261"/>
      <c r="B1058" s="256"/>
      <c r="C1058" s="316"/>
      <c r="D1058" s="251"/>
      <c r="E1058" s="251"/>
      <c r="F1058" s="257"/>
      <c r="G1058" s="294"/>
      <c r="H1058" s="627"/>
      <c r="I1058" s="610"/>
      <c r="J1058" s="628"/>
      <c r="K1058" s="533"/>
      <c r="L1058" s="533"/>
      <c r="M1058" s="533"/>
      <c r="N1058" s="268"/>
      <c r="O1058" s="533"/>
      <c r="P1058" s="533"/>
      <c r="Q1058" s="533"/>
      <c r="R1058" s="533"/>
      <c r="S1058" s="533"/>
      <c r="T1058" s="533"/>
      <c r="U1058" s="533"/>
      <c r="V1058" s="533"/>
      <c r="W1058" s="533"/>
      <c r="X1058" s="533"/>
      <c r="Y1058" s="533"/>
    </row>
    <row r="1059" spans="1:25" s="88" customFormat="1" hidden="1" x14ac:dyDescent="0.25">
      <c r="A1059" s="261"/>
      <c r="B1059" s="256"/>
      <c r="C1059" s="265" t="s">
        <v>3572</v>
      </c>
      <c r="D1059" s="265"/>
      <c r="E1059" s="248"/>
      <c r="F1059" s="248"/>
      <c r="G1059" s="306" t="s">
        <v>4282</v>
      </c>
      <c r="H1059" s="611"/>
      <c r="I1059" s="612"/>
      <c r="J1059" s="612"/>
      <c r="K1059" s="533"/>
      <c r="L1059" s="533"/>
      <c r="M1059" s="533"/>
      <c r="N1059" s="533"/>
      <c r="O1059" s="533"/>
      <c r="P1059" s="533"/>
      <c r="Q1059" s="533"/>
      <c r="R1059" s="533"/>
      <c r="S1059" s="533"/>
      <c r="T1059" s="533"/>
      <c r="U1059" s="533"/>
      <c r="V1059" s="533"/>
      <c r="W1059" s="533"/>
      <c r="X1059" s="533"/>
      <c r="Y1059" s="533"/>
    </row>
    <row r="1060" spans="1:25" hidden="1" x14ac:dyDescent="0.25">
      <c r="C1060" s="228" t="s">
        <v>4103</v>
      </c>
      <c r="D1060" s="219"/>
      <c r="G1060" s="262" t="s">
        <v>5097</v>
      </c>
    </row>
    <row r="1061" spans="1:25" s="88" customFormat="1" hidden="1" x14ac:dyDescent="0.25">
      <c r="A1061" s="261"/>
      <c r="B1061" s="256"/>
      <c r="C1061" s="265"/>
      <c r="D1061" s="328">
        <v>411</v>
      </c>
      <c r="E1061" s="329"/>
      <c r="F1061" s="329"/>
      <c r="G1061" s="330" t="s">
        <v>135</v>
      </c>
      <c r="H1061" s="611"/>
      <c r="I1061" s="612"/>
      <c r="J1061" s="612"/>
      <c r="K1061" s="533"/>
      <c r="L1061" s="533"/>
      <c r="M1061" s="533"/>
      <c r="N1061" s="533"/>
      <c r="O1061" s="533"/>
      <c r="P1061" s="533"/>
      <c r="Q1061" s="533"/>
      <c r="R1061" s="533"/>
      <c r="S1061" s="533"/>
      <c r="T1061" s="533"/>
      <c r="U1061" s="533"/>
      <c r="V1061" s="533"/>
      <c r="W1061" s="533"/>
      <c r="X1061" s="533"/>
      <c r="Y1061" s="533"/>
    </row>
    <row r="1062" spans="1:25" hidden="1" x14ac:dyDescent="0.25">
      <c r="F1062" s="263">
        <v>411</v>
      </c>
      <c r="G1062" s="295" t="s">
        <v>4189</v>
      </c>
      <c r="J1062" s="595">
        <f>SUM(H1062:I1062)</f>
        <v>0</v>
      </c>
      <c r="L1062" s="536"/>
      <c r="M1062" s="536"/>
      <c r="N1062" s="273"/>
    </row>
    <row r="1063" spans="1:25" hidden="1" x14ac:dyDescent="0.25">
      <c r="F1063" s="263">
        <v>412</v>
      </c>
      <c r="G1063" s="292" t="s">
        <v>3784</v>
      </c>
      <c r="J1063" s="595">
        <f t="shared" ref="J1063:J1121" si="35">SUM(H1063:I1063)</f>
        <v>0</v>
      </c>
    </row>
    <row r="1064" spans="1:25" hidden="1" x14ac:dyDescent="0.25">
      <c r="F1064" s="263">
        <v>413</v>
      </c>
      <c r="G1064" s="295" t="s">
        <v>4190</v>
      </c>
      <c r="J1064" s="595">
        <f t="shared" si="35"/>
        <v>0</v>
      </c>
    </row>
    <row r="1065" spans="1:25" hidden="1" x14ac:dyDescent="0.25">
      <c r="F1065" s="263">
        <v>414</v>
      </c>
      <c r="G1065" s="295" t="s">
        <v>3787</v>
      </c>
      <c r="J1065" s="595">
        <f t="shared" si="35"/>
        <v>0</v>
      </c>
    </row>
    <row r="1066" spans="1:25" hidden="1" x14ac:dyDescent="0.25">
      <c r="F1066" s="263">
        <v>415</v>
      </c>
      <c r="G1066" s="295" t="s">
        <v>4199</v>
      </c>
      <c r="J1066" s="595">
        <f t="shared" si="35"/>
        <v>0</v>
      </c>
    </row>
    <row r="1067" spans="1:25" hidden="1" x14ac:dyDescent="0.25">
      <c r="F1067" s="263">
        <v>416</v>
      </c>
      <c r="G1067" s="295" t="s">
        <v>4200</v>
      </c>
      <c r="J1067" s="595">
        <f t="shared" si="35"/>
        <v>0</v>
      </c>
    </row>
    <row r="1068" spans="1:25" hidden="1" x14ac:dyDescent="0.25">
      <c r="F1068" s="263">
        <v>417</v>
      </c>
      <c r="G1068" s="295" t="s">
        <v>4201</v>
      </c>
      <c r="J1068" s="595">
        <f t="shared" si="35"/>
        <v>0</v>
      </c>
    </row>
    <row r="1069" spans="1:25" hidden="1" x14ac:dyDescent="0.25">
      <c r="F1069" s="263">
        <v>418</v>
      </c>
      <c r="G1069" s="295" t="s">
        <v>3793</v>
      </c>
      <c r="J1069" s="595">
        <f t="shared" si="35"/>
        <v>0</v>
      </c>
    </row>
    <row r="1070" spans="1:25" hidden="1" x14ac:dyDescent="0.25">
      <c r="F1070" s="263">
        <v>421</v>
      </c>
      <c r="G1070" s="295" t="s">
        <v>3797</v>
      </c>
      <c r="J1070" s="595">
        <f t="shared" si="35"/>
        <v>0</v>
      </c>
    </row>
    <row r="1071" spans="1:25" hidden="1" x14ac:dyDescent="0.25">
      <c r="F1071" s="263">
        <v>422</v>
      </c>
      <c r="G1071" s="295" t="s">
        <v>3798</v>
      </c>
      <c r="J1071" s="595">
        <f t="shared" si="35"/>
        <v>0</v>
      </c>
    </row>
    <row r="1072" spans="1:25" hidden="1" x14ac:dyDescent="0.25">
      <c r="F1072" s="263">
        <v>423</v>
      </c>
      <c r="G1072" s="295" t="s">
        <v>3799</v>
      </c>
      <c r="J1072" s="595">
        <f t="shared" si="35"/>
        <v>0</v>
      </c>
    </row>
    <row r="1073" spans="6:10" hidden="1" x14ac:dyDescent="0.25">
      <c r="F1073" s="263">
        <v>424</v>
      </c>
      <c r="G1073" s="295" t="s">
        <v>3801</v>
      </c>
      <c r="J1073" s="595">
        <f t="shared" si="35"/>
        <v>0</v>
      </c>
    </row>
    <row r="1074" spans="6:10" hidden="1" x14ac:dyDescent="0.25">
      <c r="F1074" s="263">
        <v>425</v>
      </c>
      <c r="G1074" s="295" t="s">
        <v>4202</v>
      </c>
      <c r="J1074" s="595">
        <f t="shared" si="35"/>
        <v>0</v>
      </c>
    </row>
    <row r="1075" spans="6:10" hidden="1" x14ac:dyDescent="0.25">
      <c r="F1075" s="263">
        <v>426</v>
      </c>
      <c r="G1075" s="295" t="s">
        <v>3805</v>
      </c>
      <c r="J1075" s="595">
        <f t="shared" si="35"/>
        <v>0</v>
      </c>
    </row>
    <row r="1076" spans="6:10" hidden="1" x14ac:dyDescent="0.25">
      <c r="F1076" s="263">
        <v>431</v>
      </c>
      <c r="G1076" s="295" t="s">
        <v>4203</v>
      </c>
      <c r="J1076" s="595">
        <f t="shared" si="35"/>
        <v>0</v>
      </c>
    </row>
    <row r="1077" spans="6:10" hidden="1" x14ac:dyDescent="0.25">
      <c r="F1077" s="263">
        <v>432</v>
      </c>
      <c r="G1077" s="295" t="s">
        <v>4204</v>
      </c>
      <c r="J1077" s="595">
        <f t="shared" si="35"/>
        <v>0</v>
      </c>
    </row>
    <row r="1078" spans="6:10" hidden="1" x14ac:dyDescent="0.25">
      <c r="F1078" s="263">
        <v>433</v>
      </c>
      <c r="G1078" s="295" t="s">
        <v>4205</v>
      </c>
      <c r="J1078" s="595">
        <f t="shared" si="35"/>
        <v>0</v>
      </c>
    </row>
    <row r="1079" spans="6:10" hidden="1" x14ac:dyDescent="0.25">
      <c r="F1079" s="263">
        <v>434</v>
      </c>
      <c r="G1079" s="295" t="s">
        <v>4206</v>
      </c>
      <c r="J1079" s="595">
        <f t="shared" si="35"/>
        <v>0</v>
      </c>
    </row>
    <row r="1080" spans="6:10" hidden="1" x14ac:dyDescent="0.25">
      <c r="F1080" s="263">
        <v>435</v>
      </c>
      <c r="G1080" s="295" t="s">
        <v>3812</v>
      </c>
      <c r="J1080" s="595">
        <f t="shared" si="35"/>
        <v>0</v>
      </c>
    </row>
    <row r="1081" spans="6:10" hidden="1" x14ac:dyDescent="0.25">
      <c r="F1081" s="263">
        <v>441</v>
      </c>
      <c r="G1081" s="295" t="s">
        <v>4207</v>
      </c>
      <c r="J1081" s="595">
        <f t="shared" si="35"/>
        <v>0</v>
      </c>
    </row>
    <row r="1082" spans="6:10" hidden="1" x14ac:dyDescent="0.25">
      <c r="F1082" s="263">
        <v>442</v>
      </c>
      <c r="G1082" s="295" t="s">
        <v>4208</v>
      </c>
      <c r="J1082" s="595">
        <f t="shared" si="35"/>
        <v>0</v>
      </c>
    </row>
    <row r="1083" spans="6:10" hidden="1" x14ac:dyDescent="0.25">
      <c r="F1083" s="263">
        <v>443</v>
      </c>
      <c r="G1083" s="295" t="s">
        <v>3817</v>
      </c>
      <c r="J1083" s="595">
        <f t="shared" si="35"/>
        <v>0</v>
      </c>
    </row>
    <row r="1084" spans="6:10" hidden="1" x14ac:dyDescent="0.25">
      <c r="F1084" s="263">
        <v>444</v>
      </c>
      <c r="G1084" s="295" t="s">
        <v>3818</v>
      </c>
      <c r="J1084" s="595">
        <f t="shared" si="35"/>
        <v>0</v>
      </c>
    </row>
    <row r="1085" spans="6:10" ht="30" hidden="1" x14ac:dyDescent="0.25">
      <c r="F1085" s="263">
        <v>4511</v>
      </c>
      <c r="G1085" s="223" t="s">
        <v>1692</v>
      </c>
      <c r="J1085" s="595">
        <f t="shared" si="35"/>
        <v>0</v>
      </c>
    </row>
    <row r="1086" spans="6:10" ht="30" hidden="1" x14ac:dyDescent="0.25">
      <c r="F1086" s="263">
        <v>4512</v>
      </c>
      <c r="G1086" s="223" t="s">
        <v>1701</v>
      </c>
      <c r="J1086" s="595">
        <f t="shared" si="35"/>
        <v>0</v>
      </c>
    </row>
    <row r="1087" spans="6:10" hidden="1" x14ac:dyDescent="0.25">
      <c r="F1087" s="263">
        <v>452</v>
      </c>
      <c r="G1087" s="295" t="s">
        <v>4209</v>
      </c>
      <c r="J1087" s="595">
        <f t="shared" si="35"/>
        <v>0</v>
      </c>
    </row>
    <row r="1088" spans="6:10" hidden="1" x14ac:dyDescent="0.25">
      <c r="F1088" s="263">
        <v>453</v>
      </c>
      <c r="G1088" s="295" t="s">
        <v>4210</v>
      </c>
      <c r="J1088" s="595">
        <f t="shared" si="35"/>
        <v>0</v>
      </c>
    </row>
    <row r="1089" spans="6:10" hidden="1" x14ac:dyDescent="0.25">
      <c r="F1089" s="263">
        <v>454</v>
      </c>
      <c r="G1089" s="295" t="s">
        <v>3823</v>
      </c>
      <c r="J1089" s="595">
        <f t="shared" si="35"/>
        <v>0</v>
      </c>
    </row>
    <row r="1090" spans="6:10" hidden="1" x14ac:dyDescent="0.25">
      <c r="F1090" s="263">
        <v>461</v>
      </c>
      <c r="G1090" s="295" t="s">
        <v>4191</v>
      </c>
      <c r="J1090" s="595">
        <f t="shared" si="35"/>
        <v>0</v>
      </c>
    </row>
    <row r="1091" spans="6:10" hidden="1" x14ac:dyDescent="0.25">
      <c r="F1091" s="263">
        <v>462</v>
      </c>
      <c r="G1091" s="295" t="s">
        <v>3826</v>
      </c>
      <c r="J1091" s="595">
        <f t="shared" si="35"/>
        <v>0</v>
      </c>
    </row>
    <row r="1092" spans="6:10" hidden="1" x14ac:dyDescent="0.25">
      <c r="F1092" s="263">
        <v>4631</v>
      </c>
      <c r="G1092" s="295" t="s">
        <v>3827</v>
      </c>
      <c r="J1092" s="595">
        <f t="shared" si="35"/>
        <v>0</v>
      </c>
    </row>
    <row r="1093" spans="6:10" hidden="1" x14ac:dyDescent="0.25">
      <c r="F1093" s="263">
        <v>4632</v>
      </c>
      <c r="G1093" s="295" t="s">
        <v>3828</v>
      </c>
      <c r="J1093" s="595">
        <f t="shared" si="35"/>
        <v>0</v>
      </c>
    </row>
    <row r="1094" spans="6:10" hidden="1" x14ac:dyDescent="0.25">
      <c r="F1094" s="263">
        <v>464</v>
      </c>
      <c r="G1094" s="295" t="s">
        <v>3829</v>
      </c>
      <c r="J1094" s="595">
        <f t="shared" si="35"/>
        <v>0</v>
      </c>
    </row>
    <row r="1095" spans="6:10" hidden="1" x14ac:dyDescent="0.25">
      <c r="F1095" s="263">
        <v>465</v>
      </c>
      <c r="G1095" s="295" t="s">
        <v>4192</v>
      </c>
      <c r="J1095" s="595">
        <f t="shared" si="35"/>
        <v>0</v>
      </c>
    </row>
    <row r="1096" spans="6:10" hidden="1" x14ac:dyDescent="0.25">
      <c r="F1096" s="263">
        <v>472</v>
      </c>
      <c r="G1096" s="295" t="s">
        <v>3833</v>
      </c>
      <c r="J1096" s="595">
        <f t="shared" si="35"/>
        <v>0</v>
      </c>
    </row>
    <row r="1097" spans="6:10" hidden="1" x14ac:dyDescent="0.25">
      <c r="F1097" s="263">
        <v>481</v>
      </c>
      <c r="G1097" s="295" t="s">
        <v>4211</v>
      </c>
      <c r="J1097" s="595">
        <f t="shared" si="35"/>
        <v>0</v>
      </c>
    </row>
    <row r="1098" spans="6:10" hidden="1" x14ac:dyDescent="0.25">
      <c r="F1098" s="263">
        <v>482</v>
      </c>
      <c r="G1098" s="295" t="s">
        <v>4212</v>
      </c>
      <c r="J1098" s="595">
        <f t="shared" si="35"/>
        <v>0</v>
      </c>
    </row>
    <row r="1099" spans="6:10" hidden="1" x14ac:dyDescent="0.25">
      <c r="F1099" s="263">
        <v>483</v>
      </c>
      <c r="G1099" s="298" t="s">
        <v>4213</v>
      </c>
      <c r="J1099" s="595">
        <f t="shared" si="35"/>
        <v>0</v>
      </c>
    </row>
    <row r="1100" spans="6:10" ht="30" hidden="1" x14ac:dyDescent="0.25">
      <c r="F1100" s="263">
        <v>484</v>
      </c>
      <c r="G1100" s="295" t="s">
        <v>4214</v>
      </c>
      <c r="J1100" s="595">
        <f t="shared" si="35"/>
        <v>0</v>
      </c>
    </row>
    <row r="1101" spans="6:10" ht="30" hidden="1" x14ac:dyDescent="0.25">
      <c r="F1101" s="263">
        <v>485</v>
      </c>
      <c r="G1101" s="295" t="s">
        <v>4215</v>
      </c>
      <c r="J1101" s="595">
        <f t="shared" si="35"/>
        <v>0</v>
      </c>
    </row>
    <row r="1102" spans="6:10" ht="30" hidden="1" x14ac:dyDescent="0.25">
      <c r="F1102" s="263">
        <v>489</v>
      </c>
      <c r="G1102" s="295" t="s">
        <v>3841</v>
      </c>
      <c r="J1102" s="595">
        <f t="shared" si="35"/>
        <v>0</v>
      </c>
    </row>
    <row r="1103" spans="6:10" hidden="1" x14ac:dyDescent="0.25">
      <c r="F1103" s="263">
        <v>494</v>
      </c>
      <c r="G1103" s="295" t="s">
        <v>4193</v>
      </c>
      <c r="J1103" s="595">
        <f t="shared" si="35"/>
        <v>0</v>
      </c>
    </row>
    <row r="1104" spans="6:10" ht="30" hidden="1" x14ac:dyDescent="0.25">
      <c r="F1104" s="263">
        <v>495</v>
      </c>
      <c r="G1104" s="295" t="s">
        <v>4194</v>
      </c>
      <c r="J1104" s="595">
        <f t="shared" si="35"/>
        <v>0</v>
      </c>
    </row>
    <row r="1105" spans="6:10" ht="30" hidden="1" x14ac:dyDescent="0.25">
      <c r="F1105" s="263">
        <v>496</v>
      </c>
      <c r="G1105" s="295" t="s">
        <v>4195</v>
      </c>
      <c r="J1105" s="595">
        <f t="shared" si="35"/>
        <v>0</v>
      </c>
    </row>
    <row r="1106" spans="6:10" hidden="1" x14ac:dyDescent="0.25">
      <c r="F1106" s="263">
        <v>499</v>
      </c>
      <c r="G1106" s="295" t="s">
        <v>4196</v>
      </c>
      <c r="J1106" s="595">
        <f t="shared" si="35"/>
        <v>0</v>
      </c>
    </row>
    <row r="1107" spans="6:10" hidden="1" x14ac:dyDescent="0.25">
      <c r="F1107" s="263">
        <v>511</v>
      </c>
      <c r="G1107" s="298" t="s">
        <v>4216</v>
      </c>
      <c r="J1107" s="595">
        <f t="shared" si="35"/>
        <v>0</v>
      </c>
    </row>
    <row r="1108" spans="6:10" ht="15.75" hidden="1" thickBot="1" x14ac:dyDescent="0.3">
      <c r="F1108" s="263">
        <v>512</v>
      </c>
      <c r="G1108" s="298" t="s">
        <v>4217</v>
      </c>
      <c r="J1108" s="595">
        <f t="shared" si="35"/>
        <v>0</v>
      </c>
    </row>
    <row r="1109" spans="6:10" hidden="1" x14ac:dyDescent="0.25">
      <c r="F1109" s="263">
        <v>513</v>
      </c>
      <c r="G1109" s="298" t="s">
        <v>4218</v>
      </c>
      <c r="J1109" s="595">
        <f t="shared" si="35"/>
        <v>0</v>
      </c>
    </row>
    <row r="1110" spans="6:10" hidden="1" x14ac:dyDescent="0.25">
      <c r="F1110" s="263">
        <v>514</v>
      </c>
      <c r="G1110" s="295" t="s">
        <v>4219</v>
      </c>
      <c r="J1110" s="595">
        <f t="shared" si="35"/>
        <v>0</v>
      </c>
    </row>
    <row r="1111" spans="6:10" hidden="1" x14ac:dyDescent="0.25">
      <c r="F1111" s="263">
        <v>515</v>
      </c>
      <c r="G1111" s="295" t="s">
        <v>3852</v>
      </c>
      <c r="J1111" s="595">
        <f t="shared" si="35"/>
        <v>0</v>
      </c>
    </row>
    <row r="1112" spans="6:10" hidden="1" x14ac:dyDescent="0.25">
      <c r="F1112" s="263">
        <v>521</v>
      </c>
      <c r="G1112" s="295" t="s">
        <v>4220</v>
      </c>
      <c r="J1112" s="595">
        <f t="shared" si="35"/>
        <v>0</v>
      </c>
    </row>
    <row r="1113" spans="6:10" hidden="1" x14ac:dyDescent="0.25">
      <c r="F1113" s="263">
        <v>522</v>
      </c>
      <c r="G1113" s="295" t="s">
        <v>4221</v>
      </c>
      <c r="J1113" s="595">
        <f t="shared" si="35"/>
        <v>0</v>
      </c>
    </row>
    <row r="1114" spans="6:10" hidden="1" x14ac:dyDescent="0.25">
      <c r="F1114" s="263">
        <v>523</v>
      </c>
      <c r="G1114" s="295" t="s">
        <v>3857</v>
      </c>
      <c r="J1114" s="595">
        <f t="shared" si="35"/>
        <v>0</v>
      </c>
    </row>
    <row r="1115" spans="6:10" hidden="1" x14ac:dyDescent="0.25">
      <c r="F1115" s="263">
        <v>531</v>
      </c>
      <c r="G1115" s="292" t="s">
        <v>4197</v>
      </c>
      <c r="J1115" s="595">
        <f t="shared" si="35"/>
        <v>0</v>
      </c>
    </row>
    <row r="1116" spans="6:10" hidden="1" x14ac:dyDescent="0.25">
      <c r="F1116" s="263">
        <v>541</v>
      </c>
      <c r="G1116" s="295" t="s">
        <v>4222</v>
      </c>
      <c r="J1116" s="595">
        <f t="shared" si="35"/>
        <v>0</v>
      </c>
    </row>
    <row r="1117" spans="6:10" hidden="1" x14ac:dyDescent="0.25">
      <c r="F1117" s="263">
        <v>542</v>
      </c>
      <c r="G1117" s="295" t="s">
        <v>4223</v>
      </c>
      <c r="J1117" s="595">
        <f t="shared" si="35"/>
        <v>0</v>
      </c>
    </row>
    <row r="1118" spans="6:10" hidden="1" x14ac:dyDescent="0.25">
      <c r="F1118" s="263">
        <v>543</v>
      </c>
      <c r="G1118" s="295" t="s">
        <v>3862</v>
      </c>
      <c r="J1118" s="595">
        <f t="shared" si="35"/>
        <v>0</v>
      </c>
    </row>
    <row r="1119" spans="6:10" ht="30" hidden="1" x14ac:dyDescent="0.25">
      <c r="F1119" s="263">
        <v>551</v>
      </c>
      <c r="G1119" s="295" t="s">
        <v>4198</v>
      </c>
      <c r="J1119" s="595">
        <f t="shared" si="35"/>
        <v>0</v>
      </c>
    </row>
    <row r="1120" spans="6:10" hidden="1" x14ac:dyDescent="0.25">
      <c r="F1120" s="264">
        <v>611</v>
      </c>
      <c r="G1120" s="299" t="s">
        <v>3868</v>
      </c>
      <c r="J1120" s="595">
        <f t="shared" si="35"/>
        <v>0</v>
      </c>
    </row>
    <row r="1121" spans="5:10" ht="15.75" hidden="1" thickBot="1" x14ac:dyDescent="0.3">
      <c r="F1121" s="264">
        <v>620</v>
      </c>
      <c r="G1121" s="299" t="s">
        <v>88</v>
      </c>
      <c r="J1121" s="595">
        <f t="shared" si="35"/>
        <v>0</v>
      </c>
    </row>
    <row r="1122" spans="5:10" hidden="1" x14ac:dyDescent="0.25">
      <c r="E1122" s="293"/>
      <c r="F1122" s="301"/>
      <c r="G1122" s="327" t="s">
        <v>4372</v>
      </c>
      <c r="H1122" s="596"/>
      <c r="I1122" s="622"/>
      <c r="J1122" s="597"/>
    </row>
    <row r="1123" spans="5:10" ht="15.75" hidden="1" thickBot="1" x14ac:dyDescent="0.3">
      <c r="E1123" s="222"/>
      <c r="F1123" s="249" t="s">
        <v>234</v>
      </c>
      <c r="G1123" s="252" t="s">
        <v>235</v>
      </c>
      <c r="H1123" s="598">
        <f>SUM(H1062:H1121)</f>
        <v>0</v>
      </c>
      <c r="I1123" s="599"/>
      <c r="J1123" s="599">
        <f t="shared" ref="J1123:J1138" si="36">SUM(H1123:I1123)</f>
        <v>0</v>
      </c>
    </row>
    <row r="1124" spans="5:10" hidden="1" x14ac:dyDescent="0.25">
      <c r="F1124" s="249" t="s">
        <v>236</v>
      </c>
      <c r="G1124" s="252" t="s">
        <v>237</v>
      </c>
      <c r="J1124" s="599">
        <f t="shared" si="36"/>
        <v>0</v>
      </c>
    </row>
    <row r="1125" spans="5:10" hidden="1" x14ac:dyDescent="0.25">
      <c r="F1125" s="249" t="s">
        <v>238</v>
      </c>
      <c r="G1125" s="252" t="s">
        <v>239</v>
      </c>
      <c r="J1125" s="599">
        <f t="shared" si="36"/>
        <v>0</v>
      </c>
    </row>
    <row r="1126" spans="5:10" hidden="1" x14ac:dyDescent="0.25">
      <c r="F1126" s="249" t="s">
        <v>240</v>
      </c>
      <c r="G1126" s="252" t="s">
        <v>241</v>
      </c>
      <c r="J1126" s="599">
        <f t="shared" si="36"/>
        <v>0</v>
      </c>
    </row>
    <row r="1127" spans="5:10" hidden="1" x14ac:dyDescent="0.25">
      <c r="F1127" s="249" t="s">
        <v>242</v>
      </c>
      <c r="G1127" s="252" t="s">
        <v>243</v>
      </c>
      <c r="J1127" s="599">
        <f t="shared" si="36"/>
        <v>0</v>
      </c>
    </row>
    <row r="1128" spans="5:10" hidden="1" x14ac:dyDescent="0.25">
      <c r="F1128" s="249" t="s">
        <v>244</v>
      </c>
      <c r="G1128" s="252" t="s">
        <v>245</v>
      </c>
      <c r="J1128" s="599">
        <f t="shared" si="36"/>
        <v>0</v>
      </c>
    </row>
    <row r="1129" spans="5:10" hidden="1" x14ac:dyDescent="0.25">
      <c r="F1129" s="249" t="s">
        <v>246</v>
      </c>
      <c r="G1129" s="252" t="s">
        <v>247</v>
      </c>
      <c r="J1129" s="599">
        <f t="shared" si="36"/>
        <v>0</v>
      </c>
    </row>
    <row r="1130" spans="5:10" hidden="1" x14ac:dyDescent="0.25">
      <c r="F1130" s="249" t="s">
        <v>248</v>
      </c>
      <c r="G1130" s="252" t="s">
        <v>249</v>
      </c>
      <c r="J1130" s="599">
        <f t="shared" si="36"/>
        <v>0</v>
      </c>
    </row>
    <row r="1131" spans="5:10" hidden="1" x14ac:dyDescent="0.25">
      <c r="F1131" s="249" t="s">
        <v>250</v>
      </c>
      <c r="G1131" s="252" t="s">
        <v>57</v>
      </c>
      <c r="J1131" s="599">
        <f t="shared" si="36"/>
        <v>0</v>
      </c>
    </row>
    <row r="1132" spans="5:10" hidden="1" x14ac:dyDescent="0.25">
      <c r="F1132" s="249" t="s">
        <v>251</v>
      </c>
      <c r="G1132" s="252" t="s">
        <v>252</v>
      </c>
      <c r="J1132" s="599">
        <f t="shared" si="36"/>
        <v>0</v>
      </c>
    </row>
    <row r="1133" spans="5:10" hidden="1" x14ac:dyDescent="0.25">
      <c r="F1133" s="249" t="s">
        <v>253</v>
      </c>
      <c r="G1133" s="252" t="s">
        <v>254</v>
      </c>
      <c r="J1133" s="599">
        <f t="shared" si="36"/>
        <v>0</v>
      </c>
    </row>
    <row r="1134" spans="5:10" ht="30" hidden="1" x14ac:dyDescent="0.25">
      <c r="F1134" s="249" t="s">
        <v>255</v>
      </c>
      <c r="G1134" s="252" t="s">
        <v>256</v>
      </c>
      <c r="J1134" s="599">
        <f t="shared" si="36"/>
        <v>0</v>
      </c>
    </row>
    <row r="1135" spans="5:10" hidden="1" x14ac:dyDescent="0.25">
      <c r="F1135" s="249" t="s">
        <v>257</v>
      </c>
      <c r="G1135" s="252" t="s">
        <v>258</v>
      </c>
      <c r="J1135" s="599">
        <f t="shared" si="36"/>
        <v>0</v>
      </c>
    </row>
    <row r="1136" spans="5:10" ht="30" hidden="1" x14ac:dyDescent="0.25">
      <c r="F1136" s="249" t="s">
        <v>259</v>
      </c>
      <c r="G1136" s="252" t="s">
        <v>260</v>
      </c>
      <c r="J1136" s="599">
        <f t="shared" si="36"/>
        <v>0</v>
      </c>
    </row>
    <row r="1137" spans="5:10" hidden="1" x14ac:dyDescent="0.25">
      <c r="F1137" s="249" t="s">
        <v>261</v>
      </c>
      <c r="G1137" s="252" t="s">
        <v>262</v>
      </c>
      <c r="J1137" s="599">
        <f t="shared" si="36"/>
        <v>0</v>
      </c>
    </row>
    <row r="1138" spans="5:10" ht="15.75" hidden="1" thickBot="1" x14ac:dyDescent="0.3">
      <c r="F1138" s="249" t="s">
        <v>263</v>
      </c>
      <c r="G1138" s="252" t="s">
        <v>264</v>
      </c>
      <c r="H1138" s="598"/>
      <c r="I1138" s="599"/>
      <c r="J1138" s="599">
        <f t="shared" si="36"/>
        <v>0</v>
      </c>
    </row>
    <row r="1139" spans="5:10" ht="15.75" hidden="1" thickBot="1" x14ac:dyDescent="0.3">
      <c r="G1139" s="229" t="s">
        <v>4373</v>
      </c>
      <c r="H1139" s="600">
        <f>SUM(H1123:H1138)</f>
        <v>0</v>
      </c>
      <c r="I1139" s="601">
        <f>SUM(I1124:I1138)</f>
        <v>0</v>
      </c>
      <c r="J1139" s="601">
        <f>SUM(J1123:J1138)</f>
        <v>0</v>
      </c>
    </row>
    <row r="1140" spans="5:10" ht="28.5" hidden="1" collapsed="1" x14ac:dyDescent="0.25">
      <c r="E1140" s="293"/>
      <c r="F1140" s="301"/>
      <c r="G1140" s="231" t="s">
        <v>4374</v>
      </c>
      <c r="H1140" s="602"/>
      <c r="I1140" s="623"/>
      <c r="J1140" s="603"/>
    </row>
    <row r="1141" spans="5:10" ht="15.75" hidden="1" thickBot="1" x14ac:dyDescent="0.3">
      <c r="E1141" s="222"/>
      <c r="F1141" s="249" t="s">
        <v>234</v>
      </c>
      <c r="G1141" s="252" t="s">
        <v>235</v>
      </c>
      <c r="H1141" s="598">
        <f>SUM(H1062:H1121)</f>
        <v>0</v>
      </c>
      <c r="I1141" s="599"/>
      <c r="J1141" s="599">
        <f>SUM(H1141:I1141)</f>
        <v>0</v>
      </c>
    </row>
    <row r="1142" spans="5:10" hidden="1" x14ac:dyDescent="0.25">
      <c r="F1142" s="249" t="s">
        <v>236</v>
      </c>
      <c r="G1142" s="252" t="s">
        <v>237</v>
      </c>
      <c r="J1142" s="599">
        <f t="shared" ref="J1142:J1156" si="37">SUM(H1142:I1142)</f>
        <v>0</v>
      </c>
    </row>
    <row r="1143" spans="5:10" hidden="1" x14ac:dyDescent="0.25">
      <c r="F1143" s="249" t="s">
        <v>238</v>
      </c>
      <c r="G1143" s="252" t="s">
        <v>239</v>
      </c>
      <c r="J1143" s="599">
        <f t="shared" si="37"/>
        <v>0</v>
      </c>
    </row>
    <row r="1144" spans="5:10" hidden="1" x14ac:dyDescent="0.25">
      <c r="F1144" s="249" t="s">
        <v>240</v>
      </c>
      <c r="G1144" s="252" t="s">
        <v>241</v>
      </c>
      <c r="J1144" s="599">
        <f t="shared" si="37"/>
        <v>0</v>
      </c>
    </row>
    <row r="1145" spans="5:10" hidden="1" x14ac:dyDescent="0.25">
      <c r="F1145" s="249" t="s">
        <v>242</v>
      </c>
      <c r="G1145" s="252" t="s">
        <v>243</v>
      </c>
      <c r="J1145" s="599">
        <f t="shared" si="37"/>
        <v>0</v>
      </c>
    </row>
    <row r="1146" spans="5:10" hidden="1" x14ac:dyDescent="0.25">
      <c r="F1146" s="249" t="s">
        <v>244</v>
      </c>
      <c r="G1146" s="252" t="s">
        <v>245</v>
      </c>
      <c r="J1146" s="599">
        <f t="shared" si="37"/>
        <v>0</v>
      </c>
    </row>
    <row r="1147" spans="5:10" hidden="1" x14ac:dyDescent="0.25">
      <c r="F1147" s="249" t="s">
        <v>246</v>
      </c>
      <c r="G1147" s="252" t="s">
        <v>247</v>
      </c>
      <c r="J1147" s="599">
        <f t="shared" si="37"/>
        <v>0</v>
      </c>
    </row>
    <row r="1148" spans="5:10" hidden="1" x14ac:dyDescent="0.25">
      <c r="F1148" s="249" t="s">
        <v>248</v>
      </c>
      <c r="G1148" s="252" t="s">
        <v>249</v>
      </c>
      <c r="J1148" s="599">
        <f t="shared" si="37"/>
        <v>0</v>
      </c>
    </row>
    <row r="1149" spans="5:10" hidden="1" x14ac:dyDescent="0.25">
      <c r="F1149" s="249" t="s">
        <v>250</v>
      </c>
      <c r="G1149" s="252" t="s">
        <v>57</v>
      </c>
      <c r="J1149" s="599">
        <f t="shared" si="37"/>
        <v>0</v>
      </c>
    </row>
    <row r="1150" spans="5:10" hidden="1" x14ac:dyDescent="0.25">
      <c r="F1150" s="249" t="s">
        <v>251</v>
      </c>
      <c r="G1150" s="252" t="s">
        <v>252</v>
      </c>
      <c r="J1150" s="599">
        <f t="shared" si="37"/>
        <v>0</v>
      </c>
    </row>
    <row r="1151" spans="5:10" hidden="1" x14ac:dyDescent="0.25">
      <c r="F1151" s="249" t="s">
        <v>253</v>
      </c>
      <c r="G1151" s="252" t="s">
        <v>254</v>
      </c>
      <c r="J1151" s="599">
        <f t="shared" si="37"/>
        <v>0</v>
      </c>
    </row>
    <row r="1152" spans="5:10" ht="30" hidden="1" x14ac:dyDescent="0.25">
      <c r="F1152" s="249" t="s">
        <v>255</v>
      </c>
      <c r="G1152" s="252" t="s">
        <v>256</v>
      </c>
      <c r="J1152" s="599">
        <f t="shared" si="37"/>
        <v>0</v>
      </c>
    </row>
    <row r="1153" spans="1:25" hidden="1" x14ac:dyDescent="0.25">
      <c r="F1153" s="249" t="s">
        <v>257</v>
      </c>
      <c r="G1153" s="252" t="s">
        <v>258</v>
      </c>
      <c r="J1153" s="599">
        <f t="shared" si="37"/>
        <v>0</v>
      </c>
    </row>
    <row r="1154" spans="1:25" ht="30" hidden="1" x14ac:dyDescent="0.25">
      <c r="F1154" s="249" t="s">
        <v>259</v>
      </c>
      <c r="G1154" s="252" t="s">
        <v>260</v>
      </c>
      <c r="J1154" s="599">
        <f t="shared" si="37"/>
        <v>0</v>
      </c>
    </row>
    <row r="1155" spans="1:25" hidden="1" x14ac:dyDescent="0.25">
      <c r="F1155" s="249" t="s">
        <v>261</v>
      </c>
      <c r="G1155" s="252" t="s">
        <v>262</v>
      </c>
      <c r="J1155" s="599">
        <f t="shared" si="37"/>
        <v>0</v>
      </c>
    </row>
    <row r="1156" spans="1:25" ht="15.75" hidden="1" thickBot="1" x14ac:dyDescent="0.3">
      <c r="F1156" s="249" t="s">
        <v>263</v>
      </c>
      <c r="G1156" s="252" t="s">
        <v>264</v>
      </c>
      <c r="H1156" s="598"/>
      <c r="I1156" s="599"/>
      <c r="J1156" s="599">
        <f t="shared" si="37"/>
        <v>0</v>
      </c>
    </row>
    <row r="1157" spans="1:25" ht="15.75" hidden="1" collapsed="1" thickBot="1" x14ac:dyDescent="0.3">
      <c r="G1157" s="229" t="s">
        <v>4375</v>
      </c>
      <c r="H1157" s="600">
        <f>SUM(H1141:H1156)</f>
        <v>0</v>
      </c>
      <c r="I1157" s="601">
        <f>SUM(I1142:I1156)</f>
        <v>0</v>
      </c>
      <c r="J1157" s="601">
        <f>SUM(J1141:J1156)</f>
        <v>0</v>
      </c>
    </row>
    <row r="1158" spans="1:25" s="88" customFormat="1" hidden="1" x14ac:dyDescent="0.25">
      <c r="A1158" s="261"/>
      <c r="B1158" s="256"/>
      <c r="C1158" s="316"/>
      <c r="D1158" s="251"/>
      <c r="E1158" s="251"/>
      <c r="F1158" s="257"/>
      <c r="G1158" s="294"/>
      <c r="H1158" s="627"/>
      <c r="I1158" s="610"/>
      <c r="J1158" s="628"/>
      <c r="K1158" s="533"/>
      <c r="L1158" s="533"/>
      <c r="M1158" s="533"/>
      <c r="N1158" s="268"/>
      <c r="O1158" s="533"/>
      <c r="P1158" s="533"/>
      <c r="Q1158" s="533"/>
      <c r="R1158" s="533"/>
      <c r="S1158" s="533"/>
      <c r="T1158" s="533"/>
      <c r="U1158" s="533"/>
      <c r="V1158" s="533"/>
      <c r="W1158" s="533"/>
      <c r="X1158" s="533"/>
      <c r="Y1158" s="533"/>
    </row>
    <row r="1159" spans="1:25" hidden="1" x14ac:dyDescent="0.25">
      <c r="C1159" s="228"/>
      <c r="D1159" s="219"/>
      <c r="G1159" s="262" t="s">
        <v>4104</v>
      </c>
    </row>
    <row r="1160" spans="1:25" hidden="1" x14ac:dyDescent="0.25">
      <c r="C1160" s="228"/>
      <c r="D1160" s="328">
        <v>411</v>
      </c>
      <c r="E1160" s="329"/>
      <c r="F1160" s="329"/>
      <c r="G1160" s="330" t="s">
        <v>135</v>
      </c>
    </row>
    <row r="1161" spans="1:25" hidden="1" x14ac:dyDescent="0.25">
      <c r="F1161" s="263">
        <v>411</v>
      </c>
      <c r="G1161" s="295" t="s">
        <v>4189</v>
      </c>
      <c r="J1161" s="595">
        <f>SUM(H1161:I1161)</f>
        <v>0</v>
      </c>
      <c r="L1161" s="536"/>
      <c r="M1161" s="536"/>
      <c r="N1161" s="273"/>
    </row>
    <row r="1162" spans="1:25" hidden="1" x14ac:dyDescent="0.25">
      <c r="F1162" s="263">
        <v>412</v>
      </c>
      <c r="G1162" s="292" t="s">
        <v>3784</v>
      </c>
      <c r="J1162" s="595">
        <f t="shared" ref="J1162:J1220" si="38">SUM(H1162:I1162)</f>
        <v>0</v>
      </c>
    </row>
    <row r="1163" spans="1:25" hidden="1" x14ac:dyDescent="0.25">
      <c r="F1163" s="263">
        <v>413</v>
      </c>
      <c r="G1163" s="295" t="s">
        <v>4190</v>
      </c>
      <c r="J1163" s="595">
        <f t="shared" si="38"/>
        <v>0</v>
      </c>
    </row>
    <row r="1164" spans="1:25" hidden="1" x14ac:dyDescent="0.25">
      <c r="F1164" s="263">
        <v>414</v>
      </c>
      <c r="G1164" s="295" t="s">
        <v>3787</v>
      </c>
      <c r="J1164" s="595">
        <f t="shared" si="38"/>
        <v>0</v>
      </c>
    </row>
    <row r="1165" spans="1:25" hidden="1" x14ac:dyDescent="0.25">
      <c r="F1165" s="263">
        <v>415</v>
      </c>
      <c r="G1165" s="295" t="s">
        <v>4199</v>
      </c>
      <c r="J1165" s="595">
        <f t="shared" si="38"/>
        <v>0</v>
      </c>
    </row>
    <row r="1166" spans="1:25" hidden="1" x14ac:dyDescent="0.25">
      <c r="F1166" s="263">
        <v>416</v>
      </c>
      <c r="G1166" s="295" t="s">
        <v>4200</v>
      </c>
      <c r="J1166" s="595">
        <f t="shared" si="38"/>
        <v>0</v>
      </c>
    </row>
    <row r="1167" spans="1:25" hidden="1" x14ac:dyDescent="0.25">
      <c r="F1167" s="263">
        <v>417</v>
      </c>
      <c r="G1167" s="295" t="s">
        <v>4201</v>
      </c>
      <c r="J1167" s="595">
        <f t="shared" si="38"/>
        <v>0</v>
      </c>
    </row>
    <row r="1168" spans="1:25" hidden="1" x14ac:dyDescent="0.25">
      <c r="F1168" s="263">
        <v>418</v>
      </c>
      <c r="G1168" s="295" t="s">
        <v>3793</v>
      </c>
      <c r="J1168" s="595">
        <f t="shared" si="38"/>
        <v>0</v>
      </c>
    </row>
    <row r="1169" spans="6:10" hidden="1" x14ac:dyDescent="0.25">
      <c r="F1169" s="263">
        <v>421</v>
      </c>
      <c r="G1169" s="295" t="s">
        <v>3797</v>
      </c>
      <c r="J1169" s="595">
        <f t="shared" si="38"/>
        <v>0</v>
      </c>
    </row>
    <row r="1170" spans="6:10" hidden="1" x14ac:dyDescent="0.25">
      <c r="F1170" s="263">
        <v>422</v>
      </c>
      <c r="G1170" s="295" t="s">
        <v>3798</v>
      </c>
      <c r="J1170" s="595">
        <f t="shared" si="38"/>
        <v>0</v>
      </c>
    </row>
    <row r="1171" spans="6:10" hidden="1" x14ac:dyDescent="0.25">
      <c r="F1171" s="263">
        <v>423</v>
      </c>
      <c r="G1171" s="295" t="s">
        <v>3799</v>
      </c>
      <c r="J1171" s="595">
        <f t="shared" si="38"/>
        <v>0</v>
      </c>
    </row>
    <row r="1172" spans="6:10" hidden="1" x14ac:dyDescent="0.25">
      <c r="F1172" s="263">
        <v>424</v>
      </c>
      <c r="G1172" s="295" t="s">
        <v>3801</v>
      </c>
      <c r="J1172" s="595">
        <f t="shared" si="38"/>
        <v>0</v>
      </c>
    </row>
    <row r="1173" spans="6:10" hidden="1" x14ac:dyDescent="0.25">
      <c r="F1173" s="263">
        <v>425</v>
      </c>
      <c r="G1173" s="295" t="s">
        <v>4202</v>
      </c>
      <c r="J1173" s="595">
        <f t="shared" si="38"/>
        <v>0</v>
      </c>
    </row>
    <row r="1174" spans="6:10" hidden="1" x14ac:dyDescent="0.25">
      <c r="F1174" s="263">
        <v>426</v>
      </c>
      <c r="G1174" s="295" t="s">
        <v>3805</v>
      </c>
      <c r="J1174" s="595">
        <f t="shared" si="38"/>
        <v>0</v>
      </c>
    </row>
    <row r="1175" spans="6:10" hidden="1" x14ac:dyDescent="0.25">
      <c r="F1175" s="263">
        <v>431</v>
      </c>
      <c r="G1175" s="295" t="s">
        <v>4203</v>
      </c>
      <c r="J1175" s="595">
        <f t="shared" si="38"/>
        <v>0</v>
      </c>
    </row>
    <row r="1176" spans="6:10" hidden="1" x14ac:dyDescent="0.25">
      <c r="F1176" s="263">
        <v>432</v>
      </c>
      <c r="G1176" s="295" t="s">
        <v>4204</v>
      </c>
      <c r="J1176" s="595">
        <f t="shared" si="38"/>
        <v>0</v>
      </c>
    </row>
    <row r="1177" spans="6:10" hidden="1" x14ac:dyDescent="0.25">
      <c r="F1177" s="263">
        <v>433</v>
      </c>
      <c r="G1177" s="295" t="s">
        <v>4205</v>
      </c>
      <c r="J1177" s="595">
        <f t="shared" si="38"/>
        <v>0</v>
      </c>
    </row>
    <row r="1178" spans="6:10" hidden="1" x14ac:dyDescent="0.25">
      <c r="F1178" s="263">
        <v>434</v>
      </c>
      <c r="G1178" s="295" t="s">
        <v>4206</v>
      </c>
      <c r="J1178" s="595">
        <f t="shared" si="38"/>
        <v>0</v>
      </c>
    </row>
    <row r="1179" spans="6:10" hidden="1" x14ac:dyDescent="0.25">
      <c r="F1179" s="263">
        <v>435</v>
      </c>
      <c r="G1179" s="295" t="s">
        <v>3812</v>
      </c>
      <c r="J1179" s="595">
        <f t="shared" si="38"/>
        <v>0</v>
      </c>
    </row>
    <row r="1180" spans="6:10" hidden="1" x14ac:dyDescent="0.25">
      <c r="F1180" s="263">
        <v>441</v>
      </c>
      <c r="G1180" s="295" t="s">
        <v>4207</v>
      </c>
      <c r="J1180" s="595">
        <f t="shared" si="38"/>
        <v>0</v>
      </c>
    </row>
    <row r="1181" spans="6:10" hidden="1" x14ac:dyDescent="0.25">
      <c r="F1181" s="263">
        <v>442</v>
      </c>
      <c r="G1181" s="295" t="s">
        <v>4208</v>
      </c>
      <c r="J1181" s="595">
        <f t="shared" si="38"/>
        <v>0</v>
      </c>
    </row>
    <row r="1182" spans="6:10" hidden="1" x14ac:dyDescent="0.25">
      <c r="F1182" s="263">
        <v>443</v>
      </c>
      <c r="G1182" s="295" t="s">
        <v>3817</v>
      </c>
      <c r="J1182" s="595">
        <f t="shared" si="38"/>
        <v>0</v>
      </c>
    </row>
    <row r="1183" spans="6:10" hidden="1" x14ac:dyDescent="0.25">
      <c r="F1183" s="263">
        <v>444</v>
      </c>
      <c r="G1183" s="295" t="s">
        <v>3818</v>
      </c>
      <c r="J1183" s="595">
        <f t="shared" si="38"/>
        <v>0</v>
      </c>
    </row>
    <row r="1184" spans="6:10" ht="30" hidden="1" x14ac:dyDescent="0.25">
      <c r="F1184" s="263">
        <v>4511</v>
      </c>
      <c r="G1184" s="223" t="s">
        <v>1692</v>
      </c>
      <c r="J1184" s="595">
        <f t="shared" si="38"/>
        <v>0</v>
      </c>
    </row>
    <row r="1185" spans="6:10" ht="30" hidden="1" x14ac:dyDescent="0.25">
      <c r="F1185" s="263">
        <v>4512</v>
      </c>
      <c r="G1185" s="223" t="s">
        <v>1701</v>
      </c>
      <c r="J1185" s="595">
        <f t="shared" si="38"/>
        <v>0</v>
      </c>
    </row>
    <row r="1186" spans="6:10" hidden="1" x14ac:dyDescent="0.25">
      <c r="F1186" s="263">
        <v>452</v>
      </c>
      <c r="G1186" s="295" t="s">
        <v>4209</v>
      </c>
      <c r="J1186" s="595">
        <f t="shared" si="38"/>
        <v>0</v>
      </c>
    </row>
    <row r="1187" spans="6:10" hidden="1" x14ac:dyDescent="0.25">
      <c r="F1187" s="263">
        <v>453</v>
      </c>
      <c r="G1187" s="295" t="s">
        <v>4210</v>
      </c>
      <c r="J1187" s="595">
        <f t="shared" si="38"/>
        <v>0</v>
      </c>
    </row>
    <row r="1188" spans="6:10" hidden="1" x14ac:dyDescent="0.25">
      <c r="F1188" s="263">
        <v>454</v>
      </c>
      <c r="G1188" s="295" t="s">
        <v>3823</v>
      </c>
      <c r="J1188" s="595">
        <f t="shared" si="38"/>
        <v>0</v>
      </c>
    </row>
    <row r="1189" spans="6:10" hidden="1" x14ac:dyDescent="0.25">
      <c r="F1189" s="263">
        <v>461</v>
      </c>
      <c r="G1189" s="295" t="s">
        <v>4191</v>
      </c>
      <c r="J1189" s="595">
        <f t="shared" si="38"/>
        <v>0</v>
      </c>
    </row>
    <row r="1190" spans="6:10" hidden="1" x14ac:dyDescent="0.25">
      <c r="F1190" s="263">
        <v>462</v>
      </c>
      <c r="G1190" s="295" t="s">
        <v>3826</v>
      </c>
      <c r="J1190" s="595">
        <f t="shared" si="38"/>
        <v>0</v>
      </c>
    </row>
    <row r="1191" spans="6:10" hidden="1" x14ac:dyDescent="0.25">
      <c r="F1191" s="263">
        <v>4631</v>
      </c>
      <c r="G1191" s="295" t="s">
        <v>3827</v>
      </c>
      <c r="J1191" s="595">
        <f t="shared" si="38"/>
        <v>0</v>
      </c>
    </row>
    <row r="1192" spans="6:10" hidden="1" x14ac:dyDescent="0.25">
      <c r="F1192" s="263">
        <v>4632</v>
      </c>
      <c r="G1192" s="295" t="s">
        <v>3828</v>
      </c>
      <c r="J1192" s="595">
        <f t="shared" si="38"/>
        <v>0</v>
      </c>
    </row>
    <row r="1193" spans="6:10" hidden="1" x14ac:dyDescent="0.25">
      <c r="F1193" s="263">
        <v>464</v>
      </c>
      <c r="G1193" s="295" t="s">
        <v>3829</v>
      </c>
      <c r="J1193" s="595">
        <f t="shared" si="38"/>
        <v>0</v>
      </c>
    </row>
    <row r="1194" spans="6:10" hidden="1" x14ac:dyDescent="0.25">
      <c r="F1194" s="263">
        <v>465</v>
      </c>
      <c r="G1194" s="295" t="s">
        <v>4192</v>
      </c>
      <c r="J1194" s="595">
        <f t="shared" si="38"/>
        <v>0</v>
      </c>
    </row>
    <row r="1195" spans="6:10" hidden="1" x14ac:dyDescent="0.25">
      <c r="F1195" s="263">
        <v>472</v>
      </c>
      <c r="G1195" s="295" t="s">
        <v>3833</v>
      </c>
      <c r="J1195" s="595">
        <f t="shared" si="38"/>
        <v>0</v>
      </c>
    </row>
    <row r="1196" spans="6:10" hidden="1" x14ac:dyDescent="0.25">
      <c r="F1196" s="263">
        <v>481</v>
      </c>
      <c r="G1196" s="295" t="s">
        <v>4211</v>
      </c>
      <c r="J1196" s="595">
        <f t="shared" si="38"/>
        <v>0</v>
      </c>
    </row>
    <row r="1197" spans="6:10" hidden="1" x14ac:dyDescent="0.25">
      <c r="F1197" s="263">
        <v>482</v>
      </c>
      <c r="G1197" s="295" t="s">
        <v>4212</v>
      </c>
      <c r="J1197" s="595">
        <f t="shared" si="38"/>
        <v>0</v>
      </c>
    </row>
    <row r="1198" spans="6:10" hidden="1" x14ac:dyDescent="0.25">
      <c r="F1198" s="263">
        <v>483</v>
      </c>
      <c r="G1198" s="298" t="s">
        <v>4213</v>
      </c>
      <c r="J1198" s="595">
        <f t="shared" si="38"/>
        <v>0</v>
      </c>
    </row>
    <row r="1199" spans="6:10" ht="30" hidden="1" x14ac:dyDescent="0.25">
      <c r="F1199" s="263">
        <v>484</v>
      </c>
      <c r="G1199" s="295" t="s">
        <v>4214</v>
      </c>
      <c r="J1199" s="595">
        <f t="shared" si="38"/>
        <v>0</v>
      </c>
    </row>
    <row r="1200" spans="6:10" ht="30" hidden="1" x14ac:dyDescent="0.25">
      <c r="F1200" s="263">
        <v>485</v>
      </c>
      <c r="G1200" s="295" t="s">
        <v>4215</v>
      </c>
      <c r="J1200" s="595">
        <f t="shared" si="38"/>
        <v>0</v>
      </c>
    </row>
    <row r="1201" spans="6:10" ht="30" hidden="1" x14ac:dyDescent="0.25">
      <c r="F1201" s="263">
        <v>489</v>
      </c>
      <c r="G1201" s="295" t="s">
        <v>3841</v>
      </c>
      <c r="J1201" s="595">
        <f t="shared" si="38"/>
        <v>0</v>
      </c>
    </row>
    <row r="1202" spans="6:10" hidden="1" x14ac:dyDescent="0.25">
      <c r="F1202" s="263">
        <v>494</v>
      </c>
      <c r="G1202" s="295" t="s">
        <v>4193</v>
      </c>
      <c r="J1202" s="595">
        <f t="shared" si="38"/>
        <v>0</v>
      </c>
    </row>
    <row r="1203" spans="6:10" ht="30" hidden="1" x14ac:dyDescent="0.25">
      <c r="F1203" s="263">
        <v>495</v>
      </c>
      <c r="G1203" s="295" t="s">
        <v>4194</v>
      </c>
      <c r="J1203" s="595">
        <f t="shared" si="38"/>
        <v>0</v>
      </c>
    </row>
    <row r="1204" spans="6:10" ht="30" hidden="1" x14ac:dyDescent="0.25">
      <c r="F1204" s="263">
        <v>496</v>
      </c>
      <c r="G1204" s="295" t="s">
        <v>4195</v>
      </c>
      <c r="J1204" s="595">
        <f t="shared" si="38"/>
        <v>0</v>
      </c>
    </row>
    <row r="1205" spans="6:10" hidden="1" x14ac:dyDescent="0.25">
      <c r="F1205" s="263">
        <v>499</v>
      </c>
      <c r="G1205" s="295" t="s">
        <v>4196</v>
      </c>
      <c r="J1205" s="595">
        <f t="shared" si="38"/>
        <v>0</v>
      </c>
    </row>
    <row r="1206" spans="6:10" hidden="1" x14ac:dyDescent="0.25">
      <c r="F1206" s="263">
        <v>511</v>
      </c>
      <c r="G1206" s="298" t="s">
        <v>4216</v>
      </c>
      <c r="J1206" s="595">
        <f t="shared" si="38"/>
        <v>0</v>
      </c>
    </row>
    <row r="1207" spans="6:10" hidden="1" x14ac:dyDescent="0.25">
      <c r="F1207" s="263">
        <v>512</v>
      </c>
      <c r="G1207" s="298" t="s">
        <v>4217</v>
      </c>
      <c r="J1207" s="595">
        <f t="shared" si="38"/>
        <v>0</v>
      </c>
    </row>
    <row r="1208" spans="6:10" hidden="1" x14ac:dyDescent="0.25">
      <c r="F1208" s="263">
        <v>513</v>
      </c>
      <c r="G1208" s="298" t="s">
        <v>4218</v>
      </c>
      <c r="J1208" s="595">
        <f t="shared" si="38"/>
        <v>0</v>
      </c>
    </row>
    <row r="1209" spans="6:10" hidden="1" x14ac:dyDescent="0.25">
      <c r="F1209" s="263">
        <v>514</v>
      </c>
      <c r="G1209" s="295" t="s">
        <v>4219</v>
      </c>
      <c r="J1209" s="595">
        <f t="shared" si="38"/>
        <v>0</v>
      </c>
    </row>
    <row r="1210" spans="6:10" hidden="1" x14ac:dyDescent="0.25">
      <c r="F1210" s="263">
        <v>515</v>
      </c>
      <c r="G1210" s="295" t="s">
        <v>3852</v>
      </c>
      <c r="J1210" s="595">
        <f t="shared" si="38"/>
        <v>0</v>
      </c>
    </row>
    <row r="1211" spans="6:10" hidden="1" x14ac:dyDescent="0.25">
      <c r="F1211" s="263">
        <v>521</v>
      </c>
      <c r="G1211" s="295" t="s">
        <v>4220</v>
      </c>
      <c r="J1211" s="595">
        <f t="shared" si="38"/>
        <v>0</v>
      </c>
    </row>
    <row r="1212" spans="6:10" hidden="1" x14ac:dyDescent="0.25">
      <c r="F1212" s="263">
        <v>522</v>
      </c>
      <c r="G1212" s="295" t="s">
        <v>4221</v>
      </c>
      <c r="J1212" s="595">
        <f t="shared" si="38"/>
        <v>0</v>
      </c>
    </row>
    <row r="1213" spans="6:10" hidden="1" x14ac:dyDescent="0.25">
      <c r="F1213" s="263">
        <v>523</v>
      </c>
      <c r="G1213" s="295" t="s">
        <v>3857</v>
      </c>
      <c r="J1213" s="595">
        <f t="shared" si="38"/>
        <v>0</v>
      </c>
    </row>
    <row r="1214" spans="6:10" hidden="1" x14ac:dyDescent="0.25">
      <c r="F1214" s="263">
        <v>531</v>
      </c>
      <c r="G1214" s="292" t="s">
        <v>4197</v>
      </c>
      <c r="J1214" s="595">
        <f t="shared" si="38"/>
        <v>0</v>
      </c>
    </row>
    <row r="1215" spans="6:10" hidden="1" x14ac:dyDescent="0.25">
      <c r="F1215" s="263">
        <v>541</v>
      </c>
      <c r="G1215" s="295" t="s">
        <v>4222</v>
      </c>
      <c r="J1215" s="595">
        <f t="shared" si="38"/>
        <v>0</v>
      </c>
    </row>
    <row r="1216" spans="6:10" hidden="1" x14ac:dyDescent="0.25">
      <c r="F1216" s="263">
        <v>542</v>
      </c>
      <c r="G1216" s="295" t="s">
        <v>4223</v>
      </c>
      <c r="J1216" s="595">
        <f t="shared" si="38"/>
        <v>0</v>
      </c>
    </row>
    <row r="1217" spans="5:10" hidden="1" x14ac:dyDescent="0.25">
      <c r="F1217" s="263">
        <v>543</v>
      </c>
      <c r="G1217" s="295" t="s">
        <v>3862</v>
      </c>
      <c r="J1217" s="595">
        <f t="shared" si="38"/>
        <v>0</v>
      </c>
    </row>
    <row r="1218" spans="5:10" ht="30" hidden="1" x14ac:dyDescent="0.25">
      <c r="F1218" s="263">
        <v>551</v>
      </c>
      <c r="G1218" s="295" t="s">
        <v>4198</v>
      </c>
      <c r="J1218" s="595">
        <f t="shared" si="38"/>
        <v>0</v>
      </c>
    </row>
    <row r="1219" spans="5:10" hidden="1" x14ac:dyDescent="0.25">
      <c r="F1219" s="264">
        <v>611</v>
      </c>
      <c r="G1219" s="299" t="s">
        <v>3868</v>
      </c>
      <c r="J1219" s="595">
        <f t="shared" si="38"/>
        <v>0</v>
      </c>
    </row>
    <row r="1220" spans="5:10" ht="15.75" hidden="1" thickBot="1" x14ac:dyDescent="0.3">
      <c r="F1220" s="264">
        <v>620</v>
      </c>
      <c r="G1220" s="299" t="s">
        <v>88</v>
      </c>
      <c r="J1220" s="595">
        <f t="shared" si="38"/>
        <v>0</v>
      </c>
    </row>
    <row r="1221" spans="5:10" hidden="1" x14ac:dyDescent="0.25">
      <c r="E1221" s="293"/>
      <c r="F1221" s="301"/>
      <c r="G1221" s="326" t="s">
        <v>4372</v>
      </c>
      <c r="H1221" s="596"/>
      <c r="I1221" s="622"/>
      <c r="J1221" s="597"/>
    </row>
    <row r="1222" spans="5:10" hidden="1" x14ac:dyDescent="0.25">
      <c r="E1222" s="222"/>
      <c r="F1222" s="249" t="s">
        <v>234</v>
      </c>
      <c r="G1222" s="252" t="s">
        <v>235</v>
      </c>
      <c r="H1222" s="598">
        <f>SUM(H1161:H1220)</f>
        <v>0</v>
      </c>
      <c r="I1222" s="599"/>
      <c r="J1222" s="599">
        <f>SUM(H1222:I1222)</f>
        <v>0</v>
      </c>
    </row>
    <row r="1223" spans="5:10" hidden="1" x14ac:dyDescent="0.25">
      <c r="F1223" s="249" t="s">
        <v>236</v>
      </c>
      <c r="G1223" s="252" t="s">
        <v>237</v>
      </c>
      <c r="J1223" s="599">
        <f t="shared" ref="J1223:J1237" si="39">SUM(H1223:I1223)</f>
        <v>0</v>
      </c>
    </row>
    <row r="1224" spans="5:10" hidden="1" x14ac:dyDescent="0.25">
      <c r="F1224" s="249" t="s">
        <v>238</v>
      </c>
      <c r="G1224" s="252" t="s">
        <v>239</v>
      </c>
      <c r="J1224" s="599">
        <f t="shared" si="39"/>
        <v>0</v>
      </c>
    </row>
    <row r="1225" spans="5:10" hidden="1" x14ac:dyDescent="0.25">
      <c r="F1225" s="249" t="s">
        <v>240</v>
      </c>
      <c r="G1225" s="252" t="s">
        <v>241</v>
      </c>
      <c r="J1225" s="599">
        <f t="shared" si="39"/>
        <v>0</v>
      </c>
    </row>
    <row r="1226" spans="5:10" hidden="1" x14ac:dyDescent="0.25">
      <c r="F1226" s="249" t="s">
        <v>242</v>
      </c>
      <c r="G1226" s="252" t="s">
        <v>243</v>
      </c>
      <c r="J1226" s="599">
        <f t="shared" si="39"/>
        <v>0</v>
      </c>
    </row>
    <row r="1227" spans="5:10" hidden="1" x14ac:dyDescent="0.25">
      <c r="F1227" s="249" t="s">
        <v>244</v>
      </c>
      <c r="G1227" s="252" t="s">
        <v>245</v>
      </c>
      <c r="J1227" s="599">
        <f t="shared" si="39"/>
        <v>0</v>
      </c>
    </row>
    <row r="1228" spans="5:10" hidden="1" x14ac:dyDescent="0.25">
      <c r="F1228" s="249" t="s">
        <v>246</v>
      </c>
      <c r="G1228" s="252" t="s">
        <v>247</v>
      </c>
      <c r="J1228" s="599">
        <f t="shared" si="39"/>
        <v>0</v>
      </c>
    </row>
    <row r="1229" spans="5:10" hidden="1" x14ac:dyDescent="0.25">
      <c r="F1229" s="249" t="s">
        <v>248</v>
      </c>
      <c r="G1229" s="252" t="s">
        <v>249</v>
      </c>
      <c r="J1229" s="599">
        <f t="shared" si="39"/>
        <v>0</v>
      </c>
    </row>
    <row r="1230" spans="5:10" hidden="1" x14ac:dyDescent="0.25">
      <c r="F1230" s="249" t="s">
        <v>250</v>
      </c>
      <c r="G1230" s="252" t="s">
        <v>57</v>
      </c>
      <c r="J1230" s="599">
        <f t="shared" si="39"/>
        <v>0</v>
      </c>
    </row>
    <row r="1231" spans="5:10" hidden="1" x14ac:dyDescent="0.25">
      <c r="F1231" s="249" t="s">
        <v>251</v>
      </c>
      <c r="G1231" s="252" t="s">
        <v>252</v>
      </c>
      <c r="J1231" s="599">
        <f t="shared" si="39"/>
        <v>0</v>
      </c>
    </row>
    <row r="1232" spans="5:10" hidden="1" x14ac:dyDescent="0.25">
      <c r="F1232" s="249" t="s">
        <v>253</v>
      </c>
      <c r="G1232" s="252" t="s">
        <v>254</v>
      </c>
      <c r="J1232" s="599">
        <f t="shared" si="39"/>
        <v>0</v>
      </c>
    </row>
    <row r="1233" spans="5:10" ht="30" hidden="1" x14ac:dyDescent="0.25">
      <c r="F1233" s="249" t="s">
        <v>255</v>
      </c>
      <c r="G1233" s="252" t="s">
        <v>256</v>
      </c>
      <c r="J1233" s="599">
        <f t="shared" si="39"/>
        <v>0</v>
      </c>
    </row>
    <row r="1234" spans="5:10" hidden="1" x14ac:dyDescent="0.25">
      <c r="F1234" s="249" t="s">
        <v>257</v>
      </c>
      <c r="G1234" s="252" t="s">
        <v>258</v>
      </c>
      <c r="J1234" s="599">
        <f t="shared" si="39"/>
        <v>0</v>
      </c>
    </row>
    <row r="1235" spans="5:10" ht="30" hidden="1" x14ac:dyDescent="0.25">
      <c r="F1235" s="249" t="s">
        <v>259</v>
      </c>
      <c r="G1235" s="252" t="s">
        <v>260</v>
      </c>
      <c r="J1235" s="599">
        <f t="shared" si="39"/>
        <v>0</v>
      </c>
    </row>
    <row r="1236" spans="5:10" hidden="1" x14ac:dyDescent="0.25">
      <c r="F1236" s="249" t="s">
        <v>261</v>
      </c>
      <c r="G1236" s="252" t="s">
        <v>262</v>
      </c>
      <c r="J1236" s="599">
        <f t="shared" si="39"/>
        <v>0</v>
      </c>
    </row>
    <row r="1237" spans="5:10" ht="15.75" hidden="1" thickBot="1" x14ac:dyDescent="0.3">
      <c r="F1237" s="249" t="s">
        <v>263</v>
      </c>
      <c r="G1237" s="252" t="s">
        <v>264</v>
      </c>
      <c r="H1237" s="598"/>
      <c r="I1237" s="599"/>
      <c r="J1237" s="599">
        <f t="shared" si="39"/>
        <v>0</v>
      </c>
    </row>
    <row r="1238" spans="5:10" ht="15.75" hidden="1" thickBot="1" x14ac:dyDescent="0.3">
      <c r="G1238" s="229" t="s">
        <v>4373</v>
      </c>
      <c r="H1238" s="600">
        <f>SUM(H1222:H1237)</f>
        <v>0</v>
      </c>
      <c r="I1238" s="601">
        <f>SUM(I1223:I1237)</f>
        <v>0</v>
      </c>
      <c r="J1238" s="601">
        <f>SUM(J1222:J1237)</f>
        <v>0</v>
      </c>
    </row>
    <row r="1239" spans="5:10" ht="28.5" hidden="1" collapsed="1" x14ac:dyDescent="0.25">
      <c r="E1239" s="260"/>
      <c r="F1239" s="264"/>
      <c r="G1239" s="231" t="s">
        <v>4376</v>
      </c>
      <c r="H1239" s="602"/>
      <c r="I1239" s="623"/>
      <c r="J1239" s="603"/>
    </row>
    <row r="1240" spans="5:10" hidden="1" x14ac:dyDescent="0.25">
      <c r="E1240" s="222"/>
      <c r="F1240" s="249" t="s">
        <v>234</v>
      </c>
      <c r="G1240" s="252" t="s">
        <v>235</v>
      </c>
      <c r="H1240" s="598">
        <f>SUM(H1161:H1220)</f>
        <v>0</v>
      </c>
      <c r="I1240" s="599"/>
      <c r="J1240" s="599">
        <f>SUM(H1240:I1240)</f>
        <v>0</v>
      </c>
    </row>
    <row r="1241" spans="5:10" hidden="1" x14ac:dyDescent="0.25">
      <c r="F1241" s="249" t="s">
        <v>236</v>
      </c>
      <c r="G1241" s="252" t="s">
        <v>237</v>
      </c>
      <c r="J1241" s="599">
        <f t="shared" ref="J1241:J1255" si="40">SUM(H1241:I1241)</f>
        <v>0</v>
      </c>
    </row>
    <row r="1242" spans="5:10" hidden="1" x14ac:dyDescent="0.25">
      <c r="F1242" s="249" t="s">
        <v>238</v>
      </c>
      <c r="G1242" s="252" t="s">
        <v>239</v>
      </c>
      <c r="J1242" s="599">
        <f t="shared" si="40"/>
        <v>0</v>
      </c>
    </row>
    <row r="1243" spans="5:10" hidden="1" x14ac:dyDescent="0.25">
      <c r="F1243" s="249" t="s">
        <v>240</v>
      </c>
      <c r="G1243" s="252" t="s">
        <v>241</v>
      </c>
      <c r="J1243" s="599">
        <f t="shared" si="40"/>
        <v>0</v>
      </c>
    </row>
    <row r="1244" spans="5:10" hidden="1" x14ac:dyDescent="0.25">
      <c r="F1244" s="249" t="s">
        <v>242</v>
      </c>
      <c r="G1244" s="252" t="s">
        <v>243</v>
      </c>
      <c r="J1244" s="599">
        <f t="shared" si="40"/>
        <v>0</v>
      </c>
    </row>
    <row r="1245" spans="5:10" hidden="1" x14ac:dyDescent="0.25">
      <c r="F1245" s="249" t="s">
        <v>244</v>
      </c>
      <c r="G1245" s="252" t="s">
        <v>245</v>
      </c>
      <c r="J1245" s="599">
        <f t="shared" si="40"/>
        <v>0</v>
      </c>
    </row>
    <row r="1246" spans="5:10" hidden="1" x14ac:dyDescent="0.25">
      <c r="F1246" s="249" t="s">
        <v>246</v>
      </c>
      <c r="G1246" s="252" t="s">
        <v>247</v>
      </c>
      <c r="J1246" s="599">
        <f t="shared" si="40"/>
        <v>0</v>
      </c>
    </row>
    <row r="1247" spans="5:10" hidden="1" x14ac:dyDescent="0.25">
      <c r="F1247" s="249" t="s">
        <v>248</v>
      </c>
      <c r="G1247" s="252" t="s">
        <v>249</v>
      </c>
      <c r="J1247" s="599">
        <f t="shared" si="40"/>
        <v>0</v>
      </c>
    </row>
    <row r="1248" spans="5:10" hidden="1" x14ac:dyDescent="0.25">
      <c r="F1248" s="249" t="s">
        <v>250</v>
      </c>
      <c r="G1248" s="252" t="s">
        <v>57</v>
      </c>
      <c r="J1248" s="599">
        <f t="shared" si="40"/>
        <v>0</v>
      </c>
    </row>
    <row r="1249" spans="3:14" hidden="1" x14ac:dyDescent="0.25">
      <c r="F1249" s="249" t="s">
        <v>251</v>
      </c>
      <c r="G1249" s="252" t="s">
        <v>252</v>
      </c>
      <c r="J1249" s="599">
        <f t="shared" si="40"/>
        <v>0</v>
      </c>
    </row>
    <row r="1250" spans="3:14" hidden="1" x14ac:dyDescent="0.25">
      <c r="F1250" s="249" t="s">
        <v>253</v>
      </c>
      <c r="G1250" s="252" t="s">
        <v>254</v>
      </c>
      <c r="J1250" s="599">
        <f t="shared" si="40"/>
        <v>0</v>
      </c>
    </row>
    <row r="1251" spans="3:14" ht="30" hidden="1" x14ac:dyDescent="0.25">
      <c r="F1251" s="249" t="s">
        <v>255</v>
      </c>
      <c r="G1251" s="252" t="s">
        <v>256</v>
      </c>
      <c r="J1251" s="599">
        <f t="shared" si="40"/>
        <v>0</v>
      </c>
    </row>
    <row r="1252" spans="3:14" hidden="1" x14ac:dyDescent="0.25">
      <c r="F1252" s="249" t="s">
        <v>257</v>
      </c>
      <c r="G1252" s="252" t="s">
        <v>258</v>
      </c>
      <c r="J1252" s="599">
        <f t="shared" si="40"/>
        <v>0</v>
      </c>
    </row>
    <row r="1253" spans="3:14" ht="30" hidden="1" x14ac:dyDescent="0.25">
      <c r="F1253" s="249" t="s">
        <v>259</v>
      </c>
      <c r="G1253" s="252" t="s">
        <v>260</v>
      </c>
      <c r="J1253" s="599">
        <f t="shared" si="40"/>
        <v>0</v>
      </c>
    </row>
    <row r="1254" spans="3:14" hidden="1" x14ac:dyDescent="0.25">
      <c r="F1254" s="249" t="s">
        <v>261</v>
      </c>
      <c r="G1254" s="252" t="s">
        <v>262</v>
      </c>
      <c r="J1254" s="599">
        <f t="shared" si="40"/>
        <v>0</v>
      </c>
    </row>
    <row r="1255" spans="3:14" ht="15.75" hidden="1" thickBot="1" x14ac:dyDescent="0.3">
      <c r="F1255" s="249" t="s">
        <v>263</v>
      </c>
      <c r="G1255" s="252" t="s">
        <v>264</v>
      </c>
      <c r="H1255" s="598"/>
      <c r="I1255" s="599"/>
      <c r="J1255" s="599">
        <f t="shared" si="40"/>
        <v>0</v>
      </c>
    </row>
    <row r="1256" spans="3:14" ht="15.75" hidden="1" collapsed="1" thickBot="1" x14ac:dyDescent="0.3">
      <c r="G1256" s="229" t="s">
        <v>4377</v>
      </c>
      <c r="H1256" s="600">
        <f>SUM(H1240:H1255)</f>
        <v>0</v>
      </c>
      <c r="I1256" s="601">
        <f>SUM(I1241:I1255)</f>
        <v>0</v>
      </c>
      <c r="J1256" s="601">
        <f>SUM(J1240:J1255)</f>
        <v>0</v>
      </c>
    </row>
    <row r="1257" spans="3:14" hidden="1" x14ac:dyDescent="0.25">
      <c r="C1257" s="228" t="s">
        <v>4105</v>
      </c>
      <c r="D1257" s="219"/>
      <c r="G1257" s="262" t="s">
        <v>5098</v>
      </c>
    </row>
    <row r="1258" spans="3:14" hidden="1" x14ac:dyDescent="0.25">
      <c r="C1258" s="228"/>
      <c r="D1258" s="328">
        <v>411</v>
      </c>
      <c r="E1258" s="329"/>
      <c r="F1258" s="329"/>
      <c r="G1258" s="330" t="s">
        <v>135</v>
      </c>
    </row>
    <row r="1259" spans="3:14" hidden="1" x14ac:dyDescent="0.25">
      <c r="F1259" s="263">
        <v>411</v>
      </c>
      <c r="G1259" s="295" t="s">
        <v>4189</v>
      </c>
      <c r="J1259" s="595">
        <f>SUM(H1259:I1259)</f>
        <v>0</v>
      </c>
      <c r="L1259" s="536"/>
      <c r="M1259" s="536"/>
      <c r="N1259" s="273"/>
    </row>
    <row r="1260" spans="3:14" hidden="1" x14ac:dyDescent="0.25">
      <c r="F1260" s="263">
        <v>412</v>
      </c>
      <c r="G1260" s="292" t="s">
        <v>3784</v>
      </c>
      <c r="J1260" s="595">
        <f t="shared" ref="J1260:J1318" si="41">SUM(H1260:I1260)</f>
        <v>0</v>
      </c>
    </row>
    <row r="1261" spans="3:14" hidden="1" x14ac:dyDescent="0.25">
      <c r="F1261" s="263">
        <v>413</v>
      </c>
      <c r="G1261" s="295" t="s">
        <v>4190</v>
      </c>
      <c r="J1261" s="595">
        <f t="shared" si="41"/>
        <v>0</v>
      </c>
    </row>
    <row r="1262" spans="3:14" hidden="1" x14ac:dyDescent="0.25">
      <c r="F1262" s="263">
        <v>414</v>
      </c>
      <c r="G1262" s="295" t="s">
        <v>3787</v>
      </c>
      <c r="J1262" s="595">
        <f t="shared" si="41"/>
        <v>0</v>
      </c>
    </row>
    <row r="1263" spans="3:14" hidden="1" x14ac:dyDescent="0.25">
      <c r="F1263" s="263">
        <v>415</v>
      </c>
      <c r="G1263" s="295" t="s">
        <v>4199</v>
      </c>
      <c r="J1263" s="595">
        <f t="shared" si="41"/>
        <v>0</v>
      </c>
    </row>
    <row r="1264" spans="3:14" hidden="1" x14ac:dyDescent="0.25">
      <c r="F1264" s="263">
        <v>416</v>
      </c>
      <c r="G1264" s="295" t="s">
        <v>4200</v>
      </c>
      <c r="J1264" s="595">
        <f t="shared" si="41"/>
        <v>0</v>
      </c>
    </row>
    <row r="1265" spans="6:10" hidden="1" x14ac:dyDescent="0.25">
      <c r="F1265" s="263">
        <v>417</v>
      </c>
      <c r="G1265" s="295" t="s">
        <v>4201</v>
      </c>
      <c r="J1265" s="595">
        <f t="shared" si="41"/>
        <v>0</v>
      </c>
    </row>
    <row r="1266" spans="6:10" hidden="1" x14ac:dyDescent="0.25">
      <c r="F1266" s="263">
        <v>418</v>
      </c>
      <c r="G1266" s="295" t="s">
        <v>3793</v>
      </c>
      <c r="J1266" s="595">
        <f t="shared" si="41"/>
        <v>0</v>
      </c>
    </row>
    <row r="1267" spans="6:10" hidden="1" x14ac:dyDescent="0.25">
      <c r="F1267" s="263">
        <v>421</v>
      </c>
      <c r="G1267" s="295" t="s">
        <v>3797</v>
      </c>
      <c r="J1267" s="595">
        <f t="shared" si="41"/>
        <v>0</v>
      </c>
    </row>
    <row r="1268" spans="6:10" hidden="1" x14ac:dyDescent="0.25">
      <c r="F1268" s="263">
        <v>422</v>
      </c>
      <c r="G1268" s="295" t="s">
        <v>3798</v>
      </c>
      <c r="J1268" s="595">
        <f t="shared" si="41"/>
        <v>0</v>
      </c>
    </row>
    <row r="1269" spans="6:10" hidden="1" x14ac:dyDescent="0.25">
      <c r="F1269" s="263">
        <v>423</v>
      </c>
      <c r="G1269" s="295" t="s">
        <v>3799</v>
      </c>
      <c r="J1269" s="595">
        <f t="shared" si="41"/>
        <v>0</v>
      </c>
    </row>
    <row r="1270" spans="6:10" hidden="1" x14ac:dyDescent="0.25">
      <c r="F1270" s="263">
        <v>424</v>
      </c>
      <c r="G1270" s="295" t="s">
        <v>3801</v>
      </c>
      <c r="J1270" s="595">
        <f t="shared" si="41"/>
        <v>0</v>
      </c>
    </row>
    <row r="1271" spans="6:10" hidden="1" x14ac:dyDescent="0.25">
      <c r="F1271" s="263">
        <v>425</v>
      </c>
      <c r="G1271" s="295" t="s">
        <v>4202</v>
      </c>
      <c r="J1271" s="595">
        <f t="shared" si="41"/>
        <v>0</v>
      </c>
    </row>
    <row r="1272" spans="6:10" hidden="1" x14ac:dyDescent="0.25">
      <c r="F1272" s="263">
        <v>426</v>
      </c>
      <c r="G1272" s="295" t="s">
        <v>3805</v>
      </c>
      <c r="J1272" s="595">
        <f t="shared" si="41"/>
        <v>0</v>
      </c>
    </row>
    <row r="1273" spans="6:10" hidden="1" x14ac:dyDescent="0.25">
      <c r="F1273" s="263">
        <v>431</v>
      </c>
      <c r="G1273" s="295" t="s">
        <v>4203</v>
      </c>
      <c r="J1273" s="595">
        <f t="shared" si="41"/>
        <v>0</v>
      </c>
    </row>
    <row r="1274" spans="6:10" hidden="1" x14ac:dyDescent="0.25">
      <c r="F1274" s="263">
        <v>432</v>
      </c>
      <c r="G1274" s="295" t="s">
        <v>4204</v>
      </c>
      <c r="J1274" s="595">
        <f t="shared" si="41"/>
        <v>0</v>
      </c>
    </row>
    <row r="1275" spans="6:10" hidden="1" x14ac:dyDescent="0.25">
      <c r="F1275" s="263">
        <v>433</v>
      </c>
      <c r="G1275" s="295" t="s">
        <v>4205</v>
      </c>
      <c r="J1275" s="595">
        <f t="shared" si="41"/>
        <v>0</v>
      </c>
    </row>
    <row r="1276" spans="6:10" hidden="1" x14ac:dyDescent="0.25">
      <c r="F1276" s="263">
        <v>434</v>
      </c>
      <c r="G1276" s="295" t="s">
        <v>4206</v>
      </c>
      <c r="J1276" s="595">
        <f t="shared" si="41"/>
        <v>0</v>
      </c>
    </row>
    <row r="1277" spans="6:10" hidden="1" x14ac:dyDescent="0.25">
      <c r="F1277" s="263">
        <v>435</v>
      </c>
      <c r="G1277" s="295" t="s">
        <v>3812</v>
      </c>
      <c r="J1277" s="595">
        <f t="shared" si="41"/>
        <v>0</v>
      </c>
    </row>
    <row r="1278" spans="6:10" hidden="1" x14ac:dyDescent="0.25">
      <c r="F1278" s="263">
        <v>441</v>
      </c>
      <c r="G1278" s="295" t="s">
        <v>4207</v>
      </c>
      <c r="J1278" s="595">
        <f t="shared" si="41"/>
        <v>0</v>
      </c>
    </row>
    <row r="1279" spans="6:10" hidden="1" x14ac:dyDescent="0.25">
      <c r="F1279" s="263">
        <v>442</v>
      </c>
      <c r="G1279" s="295" t="s">
        <v>4208</v>
      </c>
      <c r="J1279" s="595">
        <f t="shared" si="41"/>
        <v>0</v>
      </c>
    </row>
    <row r="1280" spans="6:10" hidden="1" x14ac:dyDescent="0.25">
      <c r="F1280" s="263">
        <v>443</v>
      </c>
      <c r="G1280" s="295" t="s">
        <v>3817</v>
      </c>
      <c r="J1280" s="595">
        <f t="shared" si="41"/>
        <v>0</v>
      </c>
    </row>
    <row r="1281" spans="6:10" hidden="1" x14ac:dyDescent="0.25">
      <c r="F1281" s="263">
        <v>444</v>
      </c>
      <c r="G1281" s="295" t="s">
        <v>3818</v>
      </c>
      <c r="J1281" s="595">
        <f t="shared" si="41"/>
        <v>0</v>
      </c>
    </row>
    <row r="1282" spans="6:10" ht="30.75" hidden="1" thickBot="1" x14ac:dyDescent="0.3">
      <c r="F1282" s="263">
        <v>4511</v>
      </c>
      <c r="G1282" s="223" t="s">
        <v>1692</v>
      </c>
      <c r="J1282" s="595">
        <f t="shared" si="41"/>
        <v>0</v>
      </c>
    </row>
    <row r="1283" spans="6:10" ht="30" hidden="1" x14ac:dyDescent="0.25">
      <c r="F1283" s="263">
        <v>4512</v>
      </c>
      <c r="G1283" s="223" t="s">
        <v>1701</v>
      </c>
      <c r="J1283" s="595">
        <f t="shared" si="41"/>
        <v>0</v>
      </c>
    </row>
    <row r="1284" spans="6:10" hidden="1" x14ac:dyDescent="0.25">
      <c r="F1284" s="263">
        <v>452</v>
      </c>
      <c r="G1284" s="295" t="s">
        <v>4209</v>
      </c>
      <c r="J1284" s="595">
        <f t="shared" si="41"/>
        <v>0</v>
      </c>
    </row>
    <row r="1285" spans="6:10" hidden="1" x14ac:dyDescent="0.25">
      <c r="F1285" s="263">
        <v>453</v>
      </c>
      <c r="G1285" s="295" t="s">
        <v>4210</v>
      </c>
      <c r="J1285" s="595">
        <f t="shared" si="41"/>
        <v>0</v>
      </c>
    </row>
    <row r="1286" spans="6:10" hidden="1" x14ac:dyDescent="0.25">
      <c r="F1286" s="263">
        <v>454</v>
      </c>
      <c r="G1286" s="295" t="s">
        <v>3823</v>
      </c>
      <c r="J1286" s="595">
        <f t="shared" si="41"/>
        <v>0</v>
      </c>
    </row>
    <row r="1287" spans="6:10" hidden="1" x14ac:dyDescent="0.25">
      <c r="F1287" s="263">
        <v>461</v>
      </c>
      <c r="G1287" s="295" t="s">
        <v>4191</v>
      </c>
      <c r="J1287" s="595">
        <f t="shared" si="41"/>
        <v>0</v>
      </c>
    </row>
    <row r="1288" spans="6:10" hidden="1" x14ac:dyDescent="0.25">
      <c r="F1288" s="263">
        <v>462</v>
      </c>
      <c r="G1288" s="295" t="s">
        <v>3826</v>
      </c>
      <c r="J1288" s="595">
        <f t="shared" si="41"/>
        <v>0</v>
      </c>
    </row>
    <row r="1289" spans="6:10" hidden="1" x14ac:dyDescent="0.25">
      <c r="F1289" s="263">
        <v>4631</v>
      </c>
      <c r="G1289" s="295" t="s">
        <v>3827</v>
      </c>
      <c r="J1289" s="595">
        <f t="shared" si="41"/>
        <v>0</v>
      </c>
    </row>
    <row r="1290" spans="6:10" hidden="1" x14ac:dyDescent="0.25">
      <c r="F1290" s="263">
        <v>4632</v>
      </c>
      <c r="G1290" s="295" t="s">
        <v>3828</v>
      </c>
      <c r="J1290" s="595">
        <f t="shared" si="41"/>
        <v>0</v>
      </c>
    </row>
    <row r="1291" spans="6:10" hidden="1" x14ac:dyDescent="0.25">
      <c r="F1291" s="263">
        <v>464</v>
      </c>
      <c r="G1291" s="295" t="s">
        <v>3829</v>
      </c>
      <c r="J1291" s="595">
        <f t="shared" si="41"/>
        <v>0</v>
      </c>
    </row>
    <row r="1292" spans="6:10" hidden="1" x14ac:dyDescent="0.25">
      <c r="F1292" s="263">
        <v>465</v>
      </c>
      <c r="G1292" s="295" t="s">
        <v>4192</v>
      </c>
      <c r="J1292" s="595">
        <f t="shared" si="41"/>
        <v>0</v>
      </c>
    </row>
    <row r="1293" spans="6:10" hidden="1" x14ac:dyDescent="0.25">
      <c r="F1293" s="263">
        <v>472</v>
      </c>
      <c r="G1293" s="295" t="s">
        <v>3833</v>
      </c>
      <c r="J1293" s="595">
        <f t="shared" si="41"/>
        <v>0</v>
      </c>
    </row>
    <row r="1294" spans="6:10" hidden="1" x14ac:dyDescent="0.25">
      <c r="F1294" s="263">
        <v>481</v>
      </c>
      <c r="G1294" s="295" t="s">
        <v>4211</v>
      </c>
      <c r="J1294" s="595">
        <f t="shared" si="41"/>
        <v>0</v>
      </c>
    </row>
    <row r="1295" spans="6:10" hidden="1" x14ac:dyDescent="0.25">
      <c r="F1295" s="263">
        <v>482</v>
      </c>
      <c r="G1295" s="295" t="s">
        <v>4212</v>
      </c>
      <c r="J1295" s="595">
        <f t="shared" si="41"/>
        <v>0</v>
      </c>
    </row>
    <row r="1296" spans="6:10" hidden="1" x14ac:dyDescent="0.25">
      <c r="F1296" s="263">
        <v>483</v>
      </c>
      <c r="G1296" s="298" t="s">
        <v>4213</v>
      </c>
      <c r="J1296" s="595">
        <f t="shared" si="41"/>
        <v>0</v>
      </c>
    </row>
    <row r="1297" spans="6:10" ht="30" hidden="1" x14ac:dyDescent="0.25">
      <c r="F1297" s="263">
        <v>484</v>
      </c>
      <c r="G1297" s="295" t="s">
        <v>4214</v>
      </c>
      <c r="J1297" s="595">
        <f t="shared" si="41"/>
        <v>0</v>
      </c>
    </row>
    <row r="1298" spans="6:10" ht="30" hidden="1" x14ac:dyDescent="0.25">
      <c r="F1298" s="263">
        <v>485</v>
      </c>
      <c r="G1298" s="295" t="s">
        <v>4215</v>
      </c>
      <c r="J1298" s="595">
        <f t="shared" si="41"/>
        <v>0</v>
      </c>
    </row>
    <row r="1299" spans="6:10" ht="30" hidden="1" x14ac:dyDescent="0.25">
      <c r="F1299" s="263">
        <v>489</v>
      </c>
      <c r="G1299" s="295" t="s">
        <v>3841</v>
      </c>
      <c r="J1299" s="595">
        <f t="shared" si="41"/>
        <v>0</v>
      </c>
    </row>
    <row r="1300" spans="6:10" hidden="1" x14ac:dyDescent="0.25">
      <c r="F1300" s="263">
        <v>494</v>
      </c>
      <c r="G1300" s="295" t="s">
        <v>4193</v>
      </c>
      <c r="J1300" s="595">
        <f t="shared" si="41"/>
        <v>0</v>
      </c>
    </row>
    <row r="1301" spans="6:10" ht="30" hidden="1" x14ac:dyDescent="0.25">
      <c r="F1301" s="263">
        <v>495</v>
      </c>
      <c r="G1301" s="295" t="s">
        <v>4194</v>
      </c>
      <c r="J1301" s="595">
        <f t="shared" si="41"/>
        <v>0</v>
      </c>
    </row>
    <row r="1302" spans="6:10" ht="30" hidden="1" x14ac:dyDescent="0.25">
      <c r="F1302" s="263">
        <v>496</v>
      </c>
      <c r="G1302" s="295" t="s">
        <v>4195</v>
      </c>
      <c r="J1302" s="595">
        <f t="shared" si="41"/>
        <v>0</v>
      </c>
    </row>
    <row r="1303" spans="6:10" hidden="1" x14ac:dyDescent="0.25">
      <c r="F1303" s="263">
        <v>499</v>
      </c>
      <c r="G1303" s="295" t="s">
        <v>4196</v>
      </c>
      <c r="J1303" s="595">
        <f t="shared" si="41"/>
        <v>0</v>
      </c>
    </row>
    <row r="1304" spans="6:10" hidden="1" x14ac:dyDescent="0.25">
      <c r="F1304" s="263">
        <v>511</v>
      </c>
      <c r="G1304" s="298" t="s">
        <v>4216</v>
      </c>
      <c r="J1304" s="595">
        <f t="shared" si="41"/>
        <v>0</v>
      </c>
    </row>
    <row r="1305" spans="6:10" ht="15.75" hidden="1" thickBot="1" x14ac:dyDescent="0.3">
      <c r="F1305" s="263">
        <v>512</v>
      </c>
      <c r="G1305" s="298" t="s">
        <v>4217</v>
      </c>
      <c r="J1305" s="595">
        <f t="shared" si="41"/>
        <v>0</v>
      </c>
    </row>
    <row r="1306" spans="6:10" hidden="1" x14ac:dyDescent="0.25">
      <c r="F1306" s="263">
        <v>513</v>
      </c>
      <c r="G1306" s="298" t="s">
        <v>4218</v>
      </c>
      <c r="J1306" s="595">
        <f t="shared" si="41"/>
        <v>0</v>
      </c>
    </row>
    <row r="1307" spans="6:10" hidden="1" x14ac:dyDescent="0.25">
      <c r="F1307" s="263">
        <v>514</v>
      </c>
      <c r="G1307" s="295" t="s">
        <v>4219</v>
      </c>
      <c r="J1307" s="595">
        <f t="shared" si="41"/>
        <v>0</v>
      </c>
    </row>
    <row r="1308" spans="6:10" hidden="1" x14ac:dyDescent="0.25">
      <c r="F1308" s="263">
        <v>515</v>
      </c>
      <c r="G1308" s="295" t="s">
        <v>3852</v>
      </c>
      <c r="J1308" s="595">
        <f t="shared" si="41"/>
        <v>0</v>
      </c>
    </row>
    <row r="1309" spans="6:10" hidden="1" x14ac:dyDescent="0.25">
      <c r="F1309" s="263">
        <v>521</v>
      </c>
      <c r="G1309" s="295" t="s">
        <v>4220</v>
      </c>
      <c r="J1309" s="595">
        <f t="shared" si="41"/>
        <v>0</v>
      </c>
    </row>
    <row r="1310" spans="6:10" hidden="1" x14ac:dyDescent="0.25">
      <c r="F1310" s="263">
        <v>522</v>
      </c>
      <c r="G1310" s="295" t="s">
        <v>4221</v>
      </c>
      <c r="J1310" s="595">
        <f t="shared" si="41"/>
        <v>0</v>
      </c>
    </row>
    <row r="1311" spans="6:10" hidden="1" x14ac:dyDescent="0.25">
      <c r="F1311" s="263">
        <v>523</v>
      </c>
      <c r="G1311" s="295" t="s">
        <v>3857</v>
      </c>
      <c r="J1311" s="595">
        <f t="shared" si="41"/>
        <v>0</v>
      </c>
    </row>
    <row r="1312" spans="6:10" hidden="1" x14ac:dyDescent="0.25">
      <c r="F1312" s="263">
        <v>531</v>
      </c>
      <c r="G1312" s="292" t="s">
        <v>4197</v>
      </c>
      <c r="J1312" s="595">
        <f t="shared" si="41"/>
        <v>0</v>
      </c>
    </row>
    <row r="1313" spans="5:10" hidden="1" x14ac:dyDescent="0.25">
      <c r="F1313" s="263">
        <v>541</v>
      </c>
      <c r="G1313" s="295" t="s">
        <v>4222</v>
      </c>
      <c r="J1313" s="595">
        <f t="shared" si="41"/>
        <v>0</v>
      </c>
    </row>
    <row r="1314" spans="5:10" hidden="1" x14ac:dyDescent="0.25">
      <c r="F1314" s="263">
        <v>542</v>
      </c>
      <c r="G1314" s="295" t="s">
        <v>4223</v>
      </c>
      <c r="J1314" s="595">
        <f t="shared" si="41"/>
        <v>0</v>
      </c>
    </row>
    <row r="1315" spans="5:10" hidden="1" x14ac:dyDescent="0.25">
      <c r="F1315" s="263">
        <v>543</v>
      </c>
      <c r="G1315" s="295" t="s">
        <v>3862</v>
      </c>
      <c r="J1315" s="595">
        <f t="shared" si="41"/>
        <v>0</v>
      </c>
    </row>
    <row r="1316" spans="5:10" ht="30" hidden="1" x14ac:dyDescent="0.25">
      <c r="F1316" s="263">
        <v>551</v>
      </c>
      <c r="G1316" s="295" t="s">
        <v>4198</v>
      </c>
      <c r="J1316" s="595">
        <f t="shared" si="41"/>
        <v>0</v>
      </c>
    </row>
    <row r="1317" spans="5:10" hidden="1" x14ac:dyDescent="0.25">
      <c r="F1317" s="264">
        <v>611</v>
      </c>
      <c r="G1317" s="299" t="s">
        <v>3868</v>
      </c>
      <c r="J1317" s="595">
        <f t="shared" si="41"/>
        <v>0</v>
      </c>
    </row>
    <row r="1318" spans="5:10" ht="15.75" hidden="1" thickBot="1" x14ac:dyDescent="0.3">
      <c r="F1318" s="264">
        <v>620</v>
      </c>
      <c r="G1318" s="299" t="s">
        <v>88</v>
      </c>
      <c r="J1318" s="595">
        <f t="shared" si="41"/>
        <v>0</v>
      </c>
    </row>
    <row r="1319" spans="5:10" hidden="1" x14ac:dyDescent="0.25">
      <c r="E1319" s="293"/>
      <c r="F1319" s="301"/>
      <c r="G1319" s="327" t="s">
        <v>4372</v>
      </c>
      <c r="H1319" s="596"/>
      <c r="I1319" s="622"/>
      <c r="J1319" s="597"/>
    </row>
    <row r="1320" spans="5:10" ht="15.75" hidden="1" thickBot="1" x14ac:dyDescent="0.3">
      <c r="E1320" s="222"/>
      <c r="F1320" s="249" t="s">
        <v>234</v>
      </c>
      <c r="G1320" s="252" t="s">
        <v>235</v>
      </c>
      <c r="H1320" s="598">
        <f>SUM(H1259:H1318)</f>
        <v>0</v>
      </c>
      <c r="I1320" s="599"/>
      <c r="J1320" s="599">
        <f t="shared" ref="J1320:J1335" si="42">SUM(H1320:I1320)</f>
        <v>0</v>
      </c>
    </row>
    <row r="1321" spans="5:10" hidden="1" x14ac:dyDescent="0.25">
      <c r="F1321" s="249" t="s">
        <v>236</v>
      </c>
      <c r="G1321" s="252" t="s">
        <v>237</v>
      </c>
      <c r="J1321" s="599">
        <f t="shared" si="42"/>
        <v>0</v>
      </c>
    </row>
    <row r="1322" spans="5:10" hidden="1" x14ac:dyDescent="0.25">
      <c r="F1322" s="249" t="s">
        <v>238</v>
      </c>
      <c r="G1322" s="252" t="s">
        <v>239</v>
      </c>
      <c r="J1322" s="599">
        <f t="shared" si="42"/>
        <v>0</v>
      </c>
    </row>
    <row r="1323" spans="5:10" hidden="1" x14ac:dyDescent="0.25">
      <c r="F1323" s="249" t="s">
        <v>240</v>
      </c>
      <c r="G1323" s="252" t="s">
        <v>241</v>
      </c>
      <c r="J1323" s="599">
        <f t="shared" si="42"/>
        <v>0</v>
      </c>
    </row>
    <row r="1324" spans="5:10" hidden="1" x14ac:dyDescent="0.25">
      <c r="F1324" s="249" t="s">
        <v>242</v>
      </c>
      <c r="G1324" s="252" t="s">
        <v>243</v>
      </c>
      <c r="J1324" s="599">
        <f t="shared" si="42"/>
        <v>0</v>
      </c>
    </row>
    <row r="1325" spans="5:10" hidden="1" x14ac:dyDescent="0.25">
      <c r="F1325" s="249" t="s">
        <v>244</v>
      </c>
      <c r="G1325" s="252" t="s">
        <v>245</v>
      </c>
      <c r="J1325" s="599">
        <f t="shared" si="42"/>
        <v>0</v>
      </c>
    </row>
    <row r="1326" spans="5:10" hidden="1" x14ac:dyDescent="0.25">
      <c r="F1326" s="249" t="s">
        <v>246</v>
      </c>
      <c r="G1326" s="252" t="s">
        <v>247</v>
      </c>
      <c r="J1326" s="599">
        <f t="shared" si="42"/>
        <v>0</v>
      </c>
    </row>
    <row r="1327" spans="5:10" hidden="1" x14ac:dyDescent="0.25">
      <c r="F1327" s="249" t="s">
        <v>248</v>
      </c>
      <c r="G1327" s="252" t="s">
        <v>249</v>
      </c>
      <c r="J1327" s="599">
        <f t="shared" si="42"/>
        <v>0</v>
      </c>
    </row>
    <row r="1328" spans="5:10" hidden="1" x14ac:dyDescent="0.25">
      <c r="F1328" s="249" t="s">
        <v>250</v>
      </c>
      <c r="G1328" s="252" t="s">
        <v>57</v>
      </c>
      <c r="J1328" s="599">
        <f t="shared" si="42"/>
        <v>0</v>
      </c>
    </row>
    <row r="1329" spans="5:10" hidden="1" x14ac:dyDescent="0.25">
      <c r="F1329" s="249" t="s">
        <v>251</v>
      </c>
      <c r="G1329" s="252" t="s">
        <v>252</v>
      </c>
      <c r="J1329" s="599">
        <f t="shared" si="42"/>
        <v>0</v>
      </c>
    </row>
    <row r="1330" spans="5:10" hidden="1" x14ac:dyDescent="0.25">
      <c r="F1330" s="249" t="s">
        <v>253</v>
      </c>
      <c r="G1330" s="252" t="s">
        <v>254</v>
      </c>
      <c r="J1330" s="599">
        <f t="shared" si="42"/>
        <v>0</v>
      </c>
    </row>
    <row r="1331" spans="5:10" ht="30" hidden="1" x14ac:dyDescent="0.25">
      <c r="F1331" s="249" t="s">
        <v>255</v>
      </c>
      <c r="G1331" s="252" t="s">
        <v>256</v>
      </c>
      <c r="J1331" s="599">
        <f t="shared" si="42"/>
        <v>0</v>
      </c>
    </row>
    <row r="1332" spans="5:10" hidden="1" x14ac:dyDescent="0.25">
      <c r="F1332" s="249" t="s">
        <v>257</v>
      </c>
      <c r="G1332" s="252" t="s">
        <v>258</v>
      </c>
      <c r="J1332" s="599">
        <f t="shared" si="42"/>
        <v>0</v>
      </c>
    </row>
    <row r="1333" spans="5:10" ht="30" hidden="1" x14ac:dyDescent="0.25">
      <c r="F1333" s="249" t="s">
        <v>259</v>
      </c>
      <c r="G1333" s="252" t="s">
        <v>260</v>
      </c>
      <c r="J1333" s="599">
        <f t="shared" si="42"/>
        <v>0</v>
      </c>
    </row>
    <row r="1334" spans="5:10" hidden="1" x14ac:dyDescent="0.25">
      <c r="F1334" s="249" t="s">
        <v>261</v>
      </c>
      <c r="G1334" s="252" t="s">
        <v>262</v>
      </c>
      <c r="J1334" s="599">
        <f t="shared" si="42"/>
        <v>0</v>
      </c>
    </row>
    <row r="1335" spans="5:10" ht="15.75" hidden="1" thickBot="1" x14ac:dyDescent="0.3">
      <c r="F1335" s="249" t="s">
        <v>263</v>
      </c>
      <c r="G1335" s="252" t="s">
        <v>264</v>
      </c>
      <c r="H1335" s="598"/>
      <c r="I1335" s="599"/>
      <c r="J1335" s="599">
        <f t="shared" si="42"/>
        <v>0</v>
      </c>
    </row>
    <row r="1336" spans="5:10" ht="15.75" hidden="1" thickBot="1" x14ac:dyDescent="0.3">
      <c r="G1336" s="229" t="s">
        <v>4373</v>
      </c>
      <c r="H1336" s="600">
        <f>SUM(H1320:H1335)</f>
        <v>0</v>
      </c>
      <c r="I1336" s="601">
        <f>SUM(I1321:I1335)</f>
        <v>0</v>
      </c>
      <c r="J1336" s="601">
        <f>SUM(J1320:J1335)</f>
        <v>0</v>
      </c>
    </row>
    <row r="1337" spans="5:10" ht="28.5" hidden="1" collapsed="1" x14ac:dyDescent="0.25">
      <c r="E1337" s="260"/>
      <c r="F1337" s="264"/>
      <c r="G1337" s="231" t="s">
        <v>4378</v>
      </c>
      <c r="H1337" s="602"/>
      <c r="I1337" s="623"/>
      <c r="J1337" s="603"/>
    </row>
    <row r="1338" spans="5:10" ht="15.75" hidden="1" thickBot="1" x14ac:dyDescent="0.3">
      <c r="E1338" s="222"/>
      <c r="F1338" s="249" t="s">
        <v>234</v>
      </c>
      <c r="G1338" s="252" t="s">
        <v>235</v>
      </c>
      <c r="H1338" s="598">
        <f>SUM(H1259:H1318)</f>
        <v>0</v>
      </c>
      <c r="I1338" s="599"/>
      <c r="J1338" s="599">
        <f>SUM(H1338:I1338)</f>
        <v>0</v>
      </c>
    </row>
    <row r="1339" spans="5:10" hidden="1" x14ac:dyDescent="0.25">
      <c r="F1339" s="249" t="s">
        <v>236</v>
      </c>
      <c r="G1339" s="252" t="s">
        <v>237</v>
      </c>
      <c r="J1339" s="599">
        <f t="shared" ref="J1339:J1353" si="43">SUM(H1339:I1339)</f>
        <v>0</v>
      </c>
    </row>
    <row r="1340" spans="5:10" hidden="1" x14ac:dyDescent="0.25">
      <c r="F1340" s="249" t="s">
        <v>238</v>
      </c>
      <c r="G1340" s="252" t="s">
        <v>239</v>
      </c>
      <c r="J1340" s="599">
        <f t="shared" si="43"/>
        <v>0</v>
      </c>
    </row>
    <row r="1341" spans="5:10" hidden="1" x14ac:dyDescent="0.25">
      <c r="F1341" s="249" t="s">
        <v>240</v>
      </c>
      <c r="G1341" s="252" t="s">
        <v>241</v>
      </c>
      <c r="J1341" s="599">
        <f t="shared" si="43"/>
        <v>0</v>
      </c>
    </row>
    <row r="1342" spans="5:10" hidden="1" x14ac:dyDescent="0.25">
      <c r="F1342" s="249" t="s">
        <v>242</v>
      </c>
      <c r="G1342" s="252" t="s">
        <v>243</v>
      </c>
      <c r="J1342" s="599">
        <f t="shared" si="43"/>
        <v>0</v>
      </c>
    </row>
    <row r="1343" spans="5:10" hidden="1" x14ac:dyDescent="0.25">
      <c r="F1343" s="249" t="s">
        <v>244</v>
      </c>
      <c r="G1343" s="252" t="s">
        <v>245</v>
      </c>
      <c r="J1343" s="599">
        <f t="shared" si="43"/>
        <v>0</v>
      </c>
    </row>
    <row r="1344" spans="5:10" hidden="1" x14ac:dyDescent="0.25">
      <c r="F1344" s="249" t="s">
        <v>246</v>
      </c>
      <c r="G1344" s="252" t="s">
        <v>247</v>
      </c>
      <c r="J1344" s="599">
        <f t="shared" si="43"/>
        <v>0</v>
      </c>
    </row>
    <row r="1345" spans="1:25" hidden="1" x14ac:dyDescent="0.25">
      <c r="F1345" s="249" t="s">
        <v>248</v>
      </c>
      <c r="G1345" s="252" t="s">
        <v>249</v>
      </c>
      <c r="J1345" s="599">
        <f t="shared" si="43"/>
        <v>0</v>
      </c>
    </row>
    <row r="1346" spans="1:25" hidden="1" x14ac:dyDescent="0.25">
      <c r="F1346" s="249" t="s">
        <v>250</v>
      </c>
      <c r="G1346" s="252" t="s">
        <v>57</v>
      </c>
      <c r="J1346" s="599">
        <f t="shared" si="43"/>
        <v>0</v>
      </c>
    </row>
    <row r="1347" spans="1:25" hidden="1" x14ac:dyDescent="0.25">
      <c r="F1347" s="249" t="s">
        <v>251</v>
      </c>
      <c r="G1347" s="252" t="s">
        <v>252</v>
      </c>
      <c r="J1347" s="599">
        <f t="shared" si="43"/>
        <v>0</v>
      </c>
    </row>
    <row r="1348" spans="1:25" hidden="1" x14ac:dyDescent="0.25">
      <c r="F1348" s="249" t="s">
        <v>253</v>
      </c>
      <c r="G1348" s="252" t="s">
        <v>254</v>
      </c>
      <c r="J1348" s="599">
        <f t="shared" si="43"/>
        <v>0</v>
      </c>
    </row>
    <row r="1349" spans="1:25" ht="30" hidden="1" x14ac:dyDescent="0.25">
      <c r="F1349" s="249" t="s">
        <v>255</v>
      </c>
      <c r="G1349" s="252" t="s">
        <v>256</v>
      </c>
      <c r="J1349" s="599">
        <f t="shared" si="43"/>
        <v>0</v>
      </c>
    </row>
    <row r="1350" spans="1:25" hidden="1" x14ac:dyDescent="0.25">
      <c r="F1350" s="249" t="s">
        <v>257</v>
      </c>
      <c r="G1350" s="252" t="s">
        <v>258</v>
      </c>
      <c r="J1350" s="599">
        <f t="shared" si="43"/>
        <v>0</v>
      </c>
    </row>
    <row r="1351" spans="1:25" ht="30" hidden="1" x14ac:dyDescent="0.25">
      <c r="F1351" s="249" t="s">
        <v>259</v>
      </c>
      <c r="G1351" s="252" t="s">
        <v>260</v>
      </c>
      <c r="J1351" s="599">
        <f t="shared" si="43"/>
        <v>0</v>
      </c>
    </row>
    <row r="1352" spans="1:25" hidden="1" x14ac:dyDescent="0.25">
      <c r="F1352" s="249" t="s">
        <v>261</v>
      </c>
      <c r="G1352" s="252" t="s">
        <v>262</v>
      </c>
      <c r="J1352" s="599">
        <f t="shared" si="43"/>
        <v>0</v>
      </c>
    </row>
    <row r="1353" spans="1:25" ht="15.75" hidden="1" thickBot="1" x14ac:dyDescent="0.3">
      <c r="F1353" s="249" t="s">
        <v>263</v>
      </c>
      <c r="G1353" s="252" t="s">
        <v>264</v>
      </c>
      <c r="H1353" s="598"/>
      <c r="I1353" s="599"/>
      <c r="J1353" s="599">
        <f t="shared" si="43"/>
        <v>0</v>
      </c>
    </row>
    <row r="1354" spans="1:25" ht="15.75" hidden="1" collapsed="1" thickBot="1" x14ac:dyDescent="0.3">
      <c r="G1354" s="229" t="s">
        <v>4283</v>
      </c>
      <c r="H1354" s="600">
        <f>SUM(H1338:H1353)</f>
        <v>0</v>
      </c>
      <c r="I1354" s="601">
        <f>SUM(I1339:I1353)</f>
        <v>0</v>
      </c>
      <c r="J1354" s="601">
        <f>SUM(J1338:J1353)</f>
        <v>0</v>
      </c>
    </row>
    <row r="1355" spans="1:25" s="88" customFormat="1" hidden="1" x14ac:dyDescent="0.25">
      <c r="A1355" s="261"/>
      <c r="B1355" s="256"/>
      <c r="C1355" s="316"/>
      <c r="D1355" s="251"/>
      <c r="E1355" s="251"/>
      <c r="F1355" s="257"/>
      <c r="G1355" s="294"/>
      <c r="H1355" s="627"/>
      <c r="I1355" s="610"/>
      <c r="J1355" s="628"/>
      <c r="K1355" s="533"/>
      <c r="L1355" s="533"/>
      <c r="M1355" s="533"/>
      <c r="N1355" s="268"/>
      <c r="O1355" s="533"/>
      <c r="P1355" s="533"/>
      <c r="Q1355" s="533"/>
      <c r="R1355" s="533"/>
      <c r="S1355" s="533"/>
      <c r="T1355" s="533"/>
      <c r="U1355" s="533"/>
      <c r="V1355" s="533"/>
      <c r="W1355" s="533"/>
      <c r="X1355" s="533"/>
      <c r="Y1355" s="533"/>
    </row>
    <row r="1356" spans="1:25" ht="28.5" hidden="1" x14ac:dyDescent="0.25">
      <c r="C1356" s="228" t="s">
        <v>4107</v>
      </c>
      <c r="D1356" s="219"/>
      <c r="G1356" s="262" t="s">
        <v>5099</v>
      </c>
    </row>
    <row r="1357" spans="1:25" hidden="1" x14ac:dyDescent="0.25">
      <c r="C1357" s="228"/>
      <c r="D1357" s="328">
        <v>411</v>
      </c>
      <c r="E1357" s="329"/>
      <c r="F1357" s="329"/>
      <c r="G1357" s="330" t="s">
        <v>135</v>
      </c>
    </row>
    <row r="1358" spans="1:25" hidden="1" x14ac:dyDescent="0.25">
      <c r="F1358" s="263">
        <v>411</v>
      </c>
      <c r="G1358" s="295" t="s">
        <v>4189</v>
      </c>
      <c r="J1358" s="595">
        <f>SUM(H1358:I1358)</f>
        <v>0</v>
      </c>
      <c r="L1358" s="536"/>
      <c r="M1358" s="536"/>
      <c r="N1358" s="273"/>
    </row>
    <row r="1359" spans="1:25" hidden="1" x14ac:dyDescent="0.25">
      <c r="F1359" s="263">
        <v>412</v>
      </c>
      <c r="G1359" s="292" t="s">
        <v>3784</v>
      </c>
      <c r="J1359" s="595">
        <f t="shared" ref="J1359:J1417" si="44">SUM(H1359:I1359)</f>
        <v>0</v>
      </c>
    </row>
    <row r="1360" spans="1:25" hidden="1" x14ac:dyDescent="0.25">
      <c r="F1360" s="263">
        <v>413</v>
      </c>
      <c r="G1360" s="295" t="s">
        <v>4190</v>
      </c>
      <c r="J1360" s="595">
        <f t="shared" si="44"/>
        <v>0</v>
      </c>
    </row>
    <row r="1361" spans="6:10" hidden="1" x14ac:dyDescent="0.25">
      <c r="F1361" s="263">
        <v>414</v>
      </c>
      <c r="G1361" s="295" t="s">
        <v>3787</v>
      </c>
      <c r="J1361" s="595">
        <f t="shared" si="44"/>
        <v>0</v>
      </c>
    </row>
    <row r="1362" spans="6:10" hidden="1" x14ac:dyDescent="0.25">
      <c r="F1362" s="263">
        <v>415</v>
      </c>
      <c r="G1362" s="295" t="s">
        <v>4199</v>
      </c>
      <c r="J1362" s="595">
        <f t="shared" si="44"/>
        <v>0</v>
      </c>
    </row>
    <row r="1363" spans="6:10" hidden="1" x14ac:dyDescent="0.25">
      <c r="F1363" s="263">
        <v>416</v>
      </c>
      <c r="G1363" s="295" t="s">
        <v>4200</v>
      </c>
      <c r="J1363" s="595">
        <f t="shared" si="44"/>
        <v>0</v>
      </c>
    </row>
    <row r="1364" spans="6:10" hidden="1" x14ac:dyDescent="0.25">
      <c r="F1364" s="263">
        <v>417</v>
      </c>
      <c r="G1364" s="295" t="s">
        <v>4201</v>
      </c>
      <c r="J1364" s="595">
        <f t="shared" si="44"/>
        <v>0</v>
      </c>
    </row>
    <row r="1365" spans="6:10" hidden="1" x14ac:dyDescent="0.25">
      <c r="F1365" s="263">
        <v>418</v>
      </c>
      <c r="G1365" s="295" t="s">
        <v>3793</v>
      </c>
      <c r="J1365" s="595">
        <f t="shared" si="44"/>
        <v>0</v>
      </c>
    </row>
    <row r="1366" spans="6:10" hidden="1" x14ac:dyDescent="0.25">
      <c r="F1366" s="263">
        <v>421</v>
      </c>
      <c r="G1366" s="295" t="s">
        <v>3797</v>
      </c>
      <c r="J1366" s="595">
        <f t="shared" si="44"/>
        <v>0</v>
      </c>
    </row>
    <row r="1367" spans="6:10" hidden="1" x14ac:dyDescent="0.25">
      <c r="F1367" s="263">
        <v>422</v>
      </c>
      <c r="G1367" s="295" t="s">
        <v>3798</v>
      </c>
      <c r="J1367" s="595">
        <f t="shared" si="44"/>
        <v>0</v>
      </c>
    </row>
    <row r="1368" spans="6:10" hidden="1" x14ac:dyDescent="0.25">
      <c r="F1368" s="263">
        <v>423</v>
      </c>
      <c r="G1368" s="295" t="s">
        <v>3799</v>
      </c>
      <c r="J1368" s="595">
        <f t="shared" si="44"/>
        <v>0</v>
      </c>
    </row>
    <row r="1369" spans="6:10" hidden="1" x14ac:dyDescent="0.25">
      <c r="F1369" s="263">
        <v>424</v>
      </c>
      <c r="G1369" s="295" t="s">
        <v>3801</v>
      </c>
      <c r="J1369" s="595">
        <f t="shared" si="44"/>
        <v>0</v>
      </c>
    </row>
    <row r="1370" spans="6:10" hidden="1" x14ac:dyDescent="0.25">
      <c r="F1370" s="263">
        <v>425</v>
      </c>
      <c r="G1370" s="295" t="s">
        <v>4202</v>
      </c>
      <c r="J1370" s="595">
        <f t="shared" si="44"/>
        <v>0</v>
      </c>
    </row>
    <row r="1371" spans="6:10" hidden="1" x14ac:dyDescent="0.25">
      <c r="F1371" s="263">
        <v>426</v>
      </c>
      <c r="G1371" s="295" t="s">
        <v>3805</v>
      </c>
      <c r="J1371" s="595">
        <f t="shared" si="44"/>
        <v>0</v>
      </c>
    </row>
    <row r="1372" spans="6:10" hidden="1" x14ac:dyDescent="0.25">
      <c r="F1372" s="263">
        <v>431</v>
      </c>
      <c r="G1372" s="295" t="s">
        <v>4203</v>
      </c>
      <c r="J1372" s="595">
        <f t="shared" si="44"/>
        <v>0</v>
      </c>
    </row>
    <row r="1373" spans="6:10" hidden="1" x14ac:dyDescent="0.25">
      <c r="F1373" s="263">
        <v>432</v>
      </c>
      <c r="G1373" s="295" t="s">
        <v>4204</v>
      </c>
      <c r="J1373" s="595">
        <f t="shared" si="44"/>
        <v>0</v>
      </c>
    </row>
    <row r="1374" spans="6:10" hidden="1" x14ac:dyDescent="0.25">
      <c r="F1374" s="263">
        <v>433</v>
      </c>
      <c r="G1374" s="295" t="s">
        <v>4205</v>
      </c>
      <c r="J1374" s="595">
        <f t="shared" si="44"/>
        <v>0</v>
      </c>
    </row>
    <row r="1375" spans="6:10" hidden="1" x14ac:dyDescent="0.25">
      <c r="F1375" s="263">
        <v>434</v>
      </c>
      <c r="G1375" s="295" t="s">
        <v>4206</v>
      </c>
      <c r="J1375" s="595">
        <f t="shared" si="44"/>
        <v>0</v>
      </c>
    </row>
    <row r="1376" spans="6:10" hidden="1" x14ac:dyDescent="0.25">
      <c r="F1376" s="263">
        <v>435</v>
      </c>
      <c r="G1376" s="295" t="s">
        <v>3812</v>
      </c>
      <c r="J1376" s="595">
        <f t="shared" si="44"/>
        <v>0</v>
      </c>
    </row>
    <row r="1377" spans="6:10" hidden="1" x14ac:dyDescent="0.25">
      <c r="F1377" s="263">
        <v>441</v>
      </c>
      <c r="G1377" s="295" t="s">
        <v>4207</v>
      </c>
      <c r="J1377" s="595">
        <f t="shared" si="44"/>
        <v>0</v>
      </c>
    </row>
    <row r="1378" spans="6:10" hidden="1" x14ac:dyDescent="0.25">
      <c r="F1378" s="263">
        <v>442</v>
      </c>
      <c r="G1378" s="295" t="s">
        <v>4208</v>
      </c>
      <c r="J1378" s="595">
        <f t="shared" si="44"/>
        <v>0</v>
      </c>
    </row>
    <row r="1379" spans="6:10" hidden="1" x14ac:dyDescent="0.25">
      <c r="F1379" s="263">
        <v>443</v>
      </c>
      <c r="G1379" s="295" t="s">
        <v>3817</v>
      </c>
      <c r="J1379" s="595">
        <f t="shared" si="44"/>
        <v>0</v>
      </c>
    </row>
    <row r="1380" spans="6:10" hidden="1" x14ac:dyDescent="0.25">
      <c r="F1380" s="263">
        <v>444</v>
      </c>
      <c r="G1380" s="295" t="s">
        <v>3818</v>
      </c>
      <c r="J1380" s="595">
        <f t="shared" si="44"/>
        <v>0</v>
      </c>
    </row>
    <row r="1381" spans="6:10" ht="30.75" hidden="1" thickBot="1" x14ac:dyDescent="0.3">
      <c r="F1381" s="263">
        <v>4511</v>
      </c>
      <c r="G1381" s="223" t="s">
        <v>1692</v>
      </c>
      <c r="J1381" s="595">
        <f t="shared" si="44"/>
        <v>0</v>
      </c>
    </row>
    <row r="1382" spans="6:10" ht="30" hidden="1" x14ac:dyDescent="0.25">
      <c r="F1382" s="263">
        <v>4512</v>
      </c>
      <c r="G1382" s="223" t="s">
        <v>1701</v>
      </c>
      <c r="J1382" s="595">
        <f t="shared" si="44"/>
        <v>0</v>
      </c>
    </row>
    <row r="1383" spans="6:10" hidden="1" x14ac:dyDescent="0.25">
      <c r="F1383" s="263">
        <v>452</v>
      </c>
      <c r="G1383" s="295" t="s">
        <v>4209</v>
      </c>
      <c r="J1383" s="595">
        <f t="shared" si="44"/>
        <v>0</v>
      </c>
    </row>
    <row r="1384" spans="6:10" hidden="1" x14ac:dyDescent="0.25">
      <c r="F1384" s="263">
        <v>453</v>
      </c>
      <c r="G1384" s="295" t="s">
        <v>4210</v>
      </c>
      <c r="J1384" s="595">
        <f t="shared" si="44"/>
        <v>0</v>
      </c>
    </row>
    <row r="1385" spans="6:10" hidden="1" x14ac:dyDescent="0.25">
      <c r="F1385" s="263">
        <v>454</v>
      </c>
      <c r="G1385" s="295" t="s">
        <v>3823</v>
      </c>
      <c r="J1385" s="595">
        <f t="shared" si="44"/>
        <v>0</v>
      </c>
    </row>
    <row r="1386" spans="6:10" hidden="1" x14ac:dyDescent="0.25">
      <c r="F1386" s="263">
        <v>461</v>
      </c>
      <c r="G1386" s="295" t="s">
        <v>4191</v>
      </c>
      <c r="J1386" s="595">
        <f t="shared" si="44"/>
        <v>0</v>
      </c>
    </row>
    <row r="1387" spans="6:10" hidden="1" x14ac:dyDescent="0.25">
      <c r="F1387" s="263">
        <v>462</v>
      </c>
      <c r="G1387" s="295" t="s">
        <v>3826</v>
      </c>
      <c r="J1387" s="595">
        <f t="shared" si="44"/>
        <v>0</v>
      </c>
    </row>
    <row r="1388" spans="6:10" hidden="1" x14ac:dyDescent="0.25">
      <c r="F1388" s="263">
        <v>4631</v>
      </c>
      <c r="G1388" s="295" t="s">
        <v>3827</v>
      </c>
      <c r="J1388" s="595">
        <f t="shared" si="44"/>
        <v>0</v>
      </c>
    </row>
    <row r="1389" spans="6:10" hidden="1" x14ac:dyDescent="0.25">
      <c r="F1389" s="263">
        <v>4632</v>
      </c>
      <c r="G1389" s="295" t="s">
        <v>3828</v>
      </c>
      <c r="J1389" s="595">
        <f t="shared" si="44"/>
        <v>0</v>
      </c>
    </row>
    <row r="1390" spans="6:10" hidden="1" x14ac:dyDescent="0.25">
      <c r="F1390" s="263">
        <v>464</v>
      </c>
      <c r="G1390" s="295" t="s">
        <v>3829</v>
      </c>
      <c r="J1390" s="595">
        <f t="shared" si="44"/>
        <v>0</v>
      </c>
    </row>
    <row r="1391" spans="6:10" hidden="1" x14ac:dyDescent="0.25">
      <c r="F1391" s="263">
        <v>465</v>
      </c>
      <c r="G1391" s="295" t="s">
        <v>4192</v>
      </c>
      <c r="J1391" s="595">
        <f t="shared" si="44"/>
        <v>0</v>
      </c>
    </row>
    <row r="1392" spans="6:10" hidden="1" x14ac:dyDescent="0.25">
      <c r="F1392" s="263">
        <v>472</v>
      </c>
      <c r="G1392" s="295" t="s">
        <v>3833</v>
      </c>
      <c r="J1392" s="595">
        <f t="shared" si="44"/>
        <v>0</v>
      </c>
    </row>
    <row r="1393" spans="6:10" hidden="1" x14ac:dyDescent="0.25">
      <c r="F1393" s="263">
        <v>481</v>
      </c>
      <c r="G1393" s="295" t="s">
        <v>4211</v>
      </c>
      <c r="J1393" s="595">
        <f t="shared" si="44"/>
        <v>0</v>
      </c>
    </row>
    <row r="1394" spans="6:10" hidden="1" x14ac:dyDescent="0.25">
      <c r="F1394" s="263">
        <v>482</v>
      </c>
      <c r="G1394" s="295" t="s">
        <v>4212</v>
      </c>
      <c r="J1394" s="595">
        <f t="shared" si="44"/>
        <v>0</v>
      </c>
    </row>
    <row r="1395" spans="6:10" hidden="1" x14ac:dyDescent="0.25">
      <c r="F1395" s="263">
        <v>483</v>
      </c>
      <c r="G1395" s="298" t="s">
        <v>4213</v>
      </c>
      <c r="J1395" s="595">
        <f t="shared" si="44"/>
        <v>0</v>
      </c>
    </row>
    <row r="1396" spans="6:10" ht="30" hidden="1" x14ac:dyDescent="0.25">
      <c r="F1396" s="263">
        <v>484</v>
      </c>
      <c r="G1396" s="295" t="s">
        <v>4214</v>
      </c>
      <c r="J1396" s="595">
        <f t="shared" si="44"/>
        <v>0</v>
      </c>
    </row>
    <row r="1397" spans="6:10" ht="30" hidden="1" x14ac:dyDescent="0.25">
      <c r="F1397" s="263">
        <v>485</v>
      </c>
      <c r="G1397" s="295" t="s">
        <v>4215</v>
      </c>
      <c r="J1397" s="595">
        <f t="shared" si="44"/>
        <v>0</v>
      </c>
    </row>
    <row r="1398" spans="6:10" ht="30" hidden="1" x14ac:dyDescent="0.25">
      <c r="F1398" s="263">
        <v>489</v>
      </c>
      <c r="G1398" s="295" t="s">
        <v>3841</v>
      </c>
      <c r="J1398" s="595">
        <f t="shared" si="44"/>
        <v>0</v>
      </c>
    </row>
    <row r="1399" spans="6:10" hidden="1" x14ac:dyDescent="0.25">
      <c r="F1399" s="263">
        <v>494</v>
      </c>
      <c r="G1399" s="295" t="s">
        <v>4193</v>
      </c>
      <c r="J1399" s="595">
        <f t="shared" si="44"/>
        <v>0</v>
      </c>
    </row>
    <row r="1400" spans="6:10" ht="30" hidden="1" x14ac:dyDescent="0.25">
      <c r="F1400" s="263">
        <v>495</v>
      </c>
      <c r="G1400" s="295" t="s">
        <v>4194</v>
      </c>
      <c r="J1400" s="595">
        <f t="shared" si="44"/>
        <v>0</v>
      </c>
    </row>
    <row r="1401" spans="6:10" ht="30" hidden="1" x14ac:dyDescent="0.25">
      <c r="F1401" s="263">
        <v>496</v>
      </c>
      <c r="G1401" s="295" t="s">
        <v>4195</v>
      </c>
      <c r="J1401" s="595">
        <f t="shared" si="44"/>
        <v>0</v>
      </c>
    </row>
    <row r="1402" spans="6:10" hidden="1" x14ac:dyDescent="0.25">
      <c r="F1402" s="263">
        <v>499</v>
      </c>
      <c r="G1402" s="295" t="s">
        <v>4196</v>
      </c>
      <c r="J1402" s="595">
        <f t="shared" si="44"/>
        <v>0</v>
      </c>
    </row>
    <row r="1403" spans="6:10" hidden="1" x14ac:dyDescent="0.25">
      <c r="F1403" s="263">
        <v>511</v>
      </c>
      <c r="G1403" s="298" t="s">
        <v>4216</v>
      </c>
      <c r="J1403" s="595">
        <f t="shared" si="44"/>
        <v>0</v>
      </c>
    </row>
    <row r="1404" spans="6:10" hidden="1" x14ac:dyDescent="0.25">
      <c r="F1404" s="263">
        <v>512</v>
      </c>
      <c r="G1404" s="298" t="s">
        <v>4217</v>
      </c>
      <c r="J1404" s="595">
        <f t="shared" si="44"/>
        <v>0</v>
      </c>
    </row>
    <row r="1405" spans="6:10" hidden="1" x14ac:dyDescent="0.25">
      <c r="F1405" s="263">
        <v>513</v>
      </c>
      <c r="G1405" s="298" t="s">
        <v>4218</v>
      </c>
      <c r="J1405" s="595">
        <f t="shared" si="44"/>
        <v>0</v>
      </c>
    </row>
    <row r="1406" spans="6:10" hidden="1" x14ac:dyDescent="0.25">
      <c r="F1406" s="263">
        <v>514</v>
      </c>
      <c r="G1406" s="295" t="s">
        <v>4219</v>
      </c>
      <c r="J1406" s="595">
        <f t="shared" si="44"/>
        <v>0</v>
      </c>
    </row>
    <row r="1407" spans="6:10" hidden="1" x14ac:dyDescent="0.25">
      <c r="F1407" s="263">
        <v>515</v>
      </c>
      <c r="G1407" s="295" t="s">
        <v>3852</v>
      </c>
      <c r="J1407" s="595">
        <f t="shared" si="44"/>
        <v>0</v>
      </c>
    </row>
    <row r="1408" spans="6:10" hidden="1" x14ac:dyDescent="0.25">
      <c r="F1408" s="263">
        <v>521</v>
      </c>
      <c r="G1408" s="295" t="s">
        <v>4220</v>
      </c>
      <c r="J1408" s="595">
        <f t="shared" si="44"/>
        <v>0</v>
      </c>
    </row>
    <row r="1409" spans="5:10" hidden="1" x14ac:dyDescent="0.25">
      <c r="F1409" s="263">
        <v>522</v>
      </c>
      <c r="G1409" s="295" t="s">
        <v>4221</v>
      </c>
      <c r="J1409" s="595">
        <f t="shared" si="44"/>
        <v>0</v>
      </c>
    </row>
    <row r="1410" spans="5:10" hidden="1" x14ac:dyDescent="0.25">
      <c r="F1410" s="263">
        <v>523</v>
      </c>
      <c r="G1410" s="295" t="s">
        <v>3857</v>
      </c>
      <c r="J1410" s="595">
        <f t="shared" si="44"/>
        <v>0</v>
      </c>
    </row>
    <row r="1411" spans="5:10" hidden="1" x14ac:dyDescent="0.25">
      <c r="F1411" s="263">
        <v>531</v>
      </c>
      <c r="G1411" s="292" t="s">
        <v>4197</v>
      </c>
      <c r="J1411" s="595">
        <f t="shared" si="44"/>
        <v>0</v>
      </c>
    </row>
    <row r="1412" spans="5:10" hidden="1" x14ac:dyDescent="0.25">
      <c r="F1412" s="263">
        <v>541</v>
      </c>
      <c r="G1412" s="295" t="s">
        <v>4222</v>
      </c>
      <c r="J1412" s="595">
        <f t="shared" si="44"/>
        <v>0</v>
      </c>
    </row>
    <row r="1413" spans="5:10" hidden="1" x14ac:dyDescent="0.25">
      <c r="F1413" s="263">
        <v>542</v>
      </c>
      <c r="G1413" s="295" t="s">
        <v>4223</v>
      </c>
      <c r="J1413" s="595">
        <f t="shared" si="44"/>
        <v>0</v>
      </c>
    </row>
    <row r="1414" spans="5:10" hidden="1" x14ac:dyDescent="0.25">
      <c r="F1414" s="263">
        <v>543</v>
      </c>
      <c r="G1414" s="295" t="s">
        <v>3862</v>
      </c>
      <c r="J1414" s="595">
        <f t="shared" si="44"/>
        <v>0</v>
      </c>
    </row>
    <row r="1415" spans="5:10" ht="30" hidden="1" x14ac:dyDescent="0.25">
      <c r="F1415" s="263">
        <v>551</v>
      </c>
      <c r="G1415" s="295" t="s">
        <v>4198</v>
      </c>
      <c r="J1415" s="595">
        <f t="shared" si="44"/>
        <v>0</v>
      </c>
    </row>
    <row r="1416" spans="5:10" hidden="1" x14ac:dyDescent="0.25">
      <c r="F1416" s="264">
        <v>611</v>
      </c>
      <c r="G1416" s="299" t="s">
        <v>3868</v>
      </c>
      <c r="J1416" s="595">
        <f t="shared" si="44"/>
        <v>0</v>
      </c>
    </row>
    <row r="1417" spans="5:10" ht="15.75" hidden="1" thickBot="1" x14ac:dyDescent="0.3">
      <c r="F1417" s="264">
        <v>620</v>
      </c>
      <c r="G1417" s="299" t="s">
        <v>88</v>
      </c>
      <c r="J1417" s="595">
        <f t="shared" si="44"/>
        <v>0</v>
      </c>
    </row>
    <row r="1418" spans="5:10" hidden="1" x14ac:dyDescent="0.25">
      <c r="E1418" s="293"/>
      <c r="F1418" s="301"/>
      <c r="G1418" s="327" t="s">
        <v>4372</v>
      </c>
      <c r="H1418" s="596"/>
      <c r="I1418" s="622"/>
      <c r="J1418" s="597"/>
    </row>
    <row r="1419" spans="5:10" ht="15.75" hidden="1" thickBot="1" x14ac:dyDescent="0.3">
      <c r="E1419" s="222"/>
      <c r="F1419" s="249" t="s">
        <v>234</v>
      </c>
      <c r="G1419" s="252" t="s">
        <v>235</v>
      </c>
      <c r="H1419" s="598">
        <f>SUM(H1358:H1417)</f>
        <v>0</v>
      </c>
      <c r="I1419" s="599"/>
      <c r="J1419" s="599">
        <f t="shared" ref="J1419:J1434" si="45">SUM(H1419:I1419)</f>
        <v>0</v>
      </c>
    </row>
    <row r="1420" spans="5:10" hidden="1" x14ac:dyDescent="0.25">
      <c r="F1420" s="249" t="s">
        <v>236</v>
      </c>
      <c r="G1420" s="252" t="s">
        <v>237</v>
      </c>
      <c r="J1420" s="599">
        <f t="shared" si="45"/>
        <v>0</v>
      </c>
    </row>
    <row r="1421" spans="5:10" hidden="1" x14ac:dyDescent="0.25">
      <c r="F1421" s="249" t="s">
        <v>238</v>
      </c>
      <c r="G1421" s="252" t="s">
        <v>239</v>
      </c>
      <c r="J1421" s="599">
        <f t="shared" si="45"/>
        <v>0</v>
      </c>
    </row>
    <row r="1422" spans="5:10" hidden="1" x14ac:dyDescent="0.25">
      <c r="F1422" s="249" t="s">
        <v>240</v>
      </c>
      <c r="G1422" s="252" t="s">
        <v>241</v>
      </c>
      <c r="J1422" s="599">
        <f t="shared" si="45"/>
        <v>0</v>
      </c>
    </row>
    <row r="1423" spans="5:10" hidden="1" x14ac:dyDescent="0.25">
      <c r="F1423" s="249" t="s">
        <v>242</v>
      </c>
      <c r="G1423" s="252" t="s">
        <v>243</v>
      </c>
      <c r="J1423" s="599">
        <f t="shared" si="45"/>
        <v>0</v>
      </c>
    </row>
    <row r="1424" spans="5:10" hidden="1" x14ac:dyDescent="0.25">
      <c r="F1424" s="249" t="s">
        <v>244</v>
      </c>
      <c r="G1424" s="252" t="s">
        <v>245</v>
      </c>
      <c r="J1424" s="599">
        <f t="shared" si="45"/>
        <v>0</v>
      </c>
    </row>
    <row r="1425" spans="5:10" hidden="1" x14ac:dyDescent="0.25">
      <c r="F1425" s="249" t="s">
        <v>246</v>
      </c>
      <c r="G1425" s="252" t="s">
        <v>247</v>
      </c>
      <c r="J1425" s="599">
        <f t="shared" si="45"/>
        <v>0</v>
      </c>
    </row>
    <row r="1426" spans="5:10" hidden="1" x14ac:dyDescent="0.25">
      <c r="F1426" s="249" t="s">
        <v>248</v>
      </c>
      <c r="G1426" s="252" t="s">
        <v>249</v>
      </c>
      <c r="J1426" s="599">
        <f t="shared" si="45"/>
        <v>0</v>
      </c>
    </row>
    <row r="1427" spans="5:10" hidden="1" x14ac:dyDescent="0.25">
      <c r="F1427" s="249" t="s">
        <v>250</v>
      </c>
      <c r="G1427" s="252" t="s">
        <v>57</v>
      </c>
      <c r="J1427" s="599">
        <f t="shared" si="45"/>
        <v>0</v>
      </c>
    </row>
    <row r="1428" spans="5:10" hidden="1" x14ac:dyDescent="0.25">
      <c r="F1428" s="249" t="s">
        <v>251</v>
      </c>
      <c r="G1428" s="252" t="s">
        <v>252</v>
      </c>
      <c r="J1428" s="599">
        <f t="shared" si="45"/>
        <v>0</v>
      </c>
    </row>
    <row r="1429" spans="5:10" hidden="1" x14ac:dyDescent="0.25">
      <c r="F1429" s="249" t="s">
        <v>253</v>
      </c>
      <c r="G1429" s="252" t="s">
        <v>254</v>
      </c>
      <c r="J1429" s="599">
        <f t="shared" si="45"/>
        <v>0</v>
      </c>
    </row>
    <row r="1430" spans="5:10" ht="30" hidden="1" x14ac:dyDescent="0.25">
      <c r="F1430" s="249" t="s">
        <v>255</v>
      </c>
      <c r="G1430" s="252" t="s">
        <v>256</v>
      </c>
      <c r="J1430" s="599">
        <f t="shared" si="45"/>
        <v>0</v>
      </c>
    </row>
    <row r="1431" spans="5:10" hidden="1" x14ac:dyDescent="0.25">
      <c r="F1431" s="249" t="s">
        <v>257</v>
      </c>
      <c r="G1431" s="252" t="s">
        <v>258</v>
      </c>
      <c r="J1431" s="599">
        <f t="shared" si="45"/>
        <v>0</v>
      </c>
    </row>
    <row r="1432" spans="5:10" ht="30" hidden="1" x14ac:dyDescent="0.25">
      <c r="F1432" s="249" t="s">
        <v>259</v>
      </c>
      <c r="G1432" s="252" t="s">
        <v>260</v>
      </c>
      <c r="J1432" s="599">
        <f t="shared" si="45"/>
        <v>0</v>
      </c>
    </row>
    <row r="1433" spans="5:10" hidden="1" x14ac:dyDescent="0.25">
      <c r="F1433" s="249" t="s">
        <v>261</v>
      </c>
      <c r="G1433" s="252" t="s">
        <v>262</v>
      </c>
      <c r="J1433" s="599">
        <f t="shared" si="45"/>
        <v>0</v>
      </c>
    </row>
    <row r="1434" spans="5:10" ht="15.75" hidden="1" thickBot="1" x14ac:dyDescent="0.3">
      <c r="F1434" s="249" t="s">
        <v>263</v>
      </c>
      <c r="G1434" s="252" t="s">
        <v>264</v>
      </c>
      <c r="H1434" s="598"/>
      <c r="I1434" s="599"/>
      <c r="J1434" s="599">
        <f t="shared" si="45"/>
        <v>0</v>
      </c>
    </row>
    <row r="1435" spans="5:10" ht="15.75" hidden="1" thickBot="1" x14ac:dyDescent="0.3">
      <c r="G1435" s="229" t="s">
        <v>4373</v>
      </c>
      <c r="H1435" s="600">
        <f>SUM(H1419:H1434)</f>
        <v>0</v>
      </c>
      <c r="I1435" s="601">
        <f>SUM(I1420:I1434)</f>
        <v>0</v>
      </c>
      <c r="J1435" s="601">
        <f>SUM(J1419:J1434)</f>
        <v>0</v>
      </c>
    </row>
    <row r="1436" spans="5:10" ht="28.5" hidden="1" collapsed="1" x14ac:dyDescent="0.25">
      <c r="E1436" s="260"/>
      <c r="F1436" s="264"/>
      <c r="G1436" s="231" t="s">
        <v>4379</v>
      </c>
      <c r="H1436" s="602"/>
      <c r="I1436" s="623"/>
      <c r="J1436" s="603"/>
    </row>
    <row r="1437" spans="5:10" ht="15.75" hidden="1" thickBot="1" x14ac:dyDescent="0.3">
      <c r="E1437" s="222"/>
      <c r="F1437" s="249" t="s">
        <v>234</v>
      </c>
      <c r="G1437" s="252" t="s">
        <v>235</v>
      </c>
      <c r="H1437" s="598">
        <f>SUM(H1358:H1417)</f>
        <v>0</v>
      </c>
      <c r="I1437" s="599"/>
      <c r="J1437" s="599">
        <f>SUM(H1437:I1437)</f>
        <v>0</v>
      </c>
    </row>
    <row r="1438" spans="5:10" hidden="1" x14ac:dyDescent="0.25">
      <c r="F1438" s="249" t="s">
        <v>236</v>
      </c>
      <c r="G1438" s="252" t="s">
        <v>237</v>
      </c>
      <c r="J1438" s="599">
        <f t="shared" ref="J1438:J1452" si="46">SUM(H1438:I1438)</f>
        <v>0</v>
      </c>
    </row>
    <row r="1439" spans="5:10" hidden="1" x14ac:dyDescent="0.25">
      <c r="F1439" s="249" t="s">
        <v>238</v>
      </c>
      <c r="G1439" s="252" t="s">
        <v>239</v>
      </c>
      <c r="J1439" s="599">
        <f t="shared" si="46"/>
        <v>0</v>
      </c>
    </row>
    <row r="1440" spans="5:10" hidden="1" x14ac:dyDescent="0.25">
      <c r="F1440" s="249" t="s">
        <v>240</v>
      </c>
      <c r="G1440" s="252" t="s">
        <v>241</v>
      </c>
      <c r="J1440" s="599">
        <f t="shared" si="46"/>
        <v>0</v>
      </c>
    </row>
    <row r="1441" spans="1:25" hidden="1" x14ac:dyDescent="0.25">
      <c r="F1441" s="249" t="s">
        <v>242</v>
      </c>
      <c r="G1441" s="252" t="s">
        <v>243</v>
      </c>
      <c r="J1441" s="599">
        <f t="shared" si="46"/>
        <v>0</v>
      </c>
    </row>
    <row r="1442" spans="1:25" hidden="1" x14ac:dyDescent="0.25">
      <c r="F1442" s="249" t="s">
        <v>244</v>
      </c>
      <c r="G1442" s="252" t="s">
        <v>245</v>
      </c>
      <c r="J1442" s="599">
        <f t="shared" si="46"/>
        <v>0</v>
      </c>
    </row>
    <row r="1443" spans="1:25" hidden="1" x14ac:dyDescent="0.25">
      <c r="F1443" s="249" t="s">
        <v>246</v>
      </c>
      <c r="G1443" s="252" t="s">
        <v>247</v>
      </c>
      <c r="J1443" s="599">
        <f t="shared" si="46"/>
        <v>0</v>
      </c>
    </row>
    <row r="1444" spans="1:25" hidden="1" x14ac:dyDescent="0.25">
      <c r="F1444" s="249" t="s">
        <v>248</v>
      </c>
      <c r="G1444" s="252" t="s">
        <v>249</v>
      </c>
      <c r="J1444" s="599">
        <f t="shared" si="46"/>
        <v>0</v>
      </c>
    </row>
    <row r="1445" spans="1:25" hidden="1" x14ac:dyDescent="0.25">
      <c r="F1445" s="249" t="s">
        <v>250</v>
      </c>
      <c r="G1445" s="252" t="s">
        <v>57</v>
      </c>
      <c r="J1445" s="599">
        <f t="shared" si="46"/>
        <v>0</v>
      </c>
    </row>
    <row r="1446" spans="1:25" hidden="1" x14ac:dyDescent="0.25">
      <c r="F1446" s="249" t="s">
        <v>251</v>
      </c>
      <c r="G1446" s="252" t="s">
        <v>252</v>
      </c>
      <c r="J1446" s="599">
        <f t="shared" si="46"/>
        <v>0</v>
      </c>
    </row>
    <row r="1447" spans="1:25" hidden="1" x14ac:dyDescent="0.25">
      <c r="F1447" s="249" t="s">
        <v>253</v>
      </c>
      <c r="G1447" s="252" t="s">
        <v>254</v>
      </c>
      <c r="J1447" s="599">
        <f t="shared" si="46"/>
        <v>0</v>
      </c>
    </row>
    <row r="1448" spans="1:25" ht="30" hidden="1" x14ac:dyDescent="0.25">
      <c r="F1448" s="249" t="s">
        <v>255</v>
      </c>
      <c r="G1448" s="252" t="s">
        <v>256</v>
      </c>
      <c r="J1448" s="599">
        <f t="shared" si="46"/>
        <v>0</v>
      </c>
    </row>
    <row r="1449" spans="1:25" hidden="1" x14ac:dyDescent="0.25">
      <c r="F1449" s="249" t="s">
        <v>257</v>
      </c>
      <c r="G1449" s="252" t="s">
        <v>258</v>
      </c>
      <c r="J1449" s="599">
        <f t="shared" si="46"/>
        <v>0</v>
      </c>
    </row>
    <row r="1450" spans="1:25" ht="30" hidden="1" x14ac:dyDescent="0.25">
      <c r="F1450" s="249" t="s">
        <v>259</v>
      </c>
      <c r="G1450" s="252" t="s">
        <v>260</v>
      </c>
      <c r="J1450" s="599">
        <f t="shared" si="46"/>
        <v>0</v>
      </c>
    </row>
    <row r="1451" spans="1:25" hidden="1" x14ac:dyDescent="0.25">
      <c r="F1451" s="249" t="s">
        <v>261</v>
      </c>
      <c r="G1451" s="252" t="s">
        <v>262</v>
      </c>
      <c r="J1451" s="599">
        <f t="shared" si="46"/>
        <v>0</v>
      </c>
    </row>
    <row r="1452" spans="1:25" ht="15.75" hidden="1" thickBot="1" x14ac:dyDescent="0.3">
      <c r="F1452" s="249" t="s">
        <v>263</v>
      </c>
      <c r="G1452" s="252" t="s">
        <v>264</v>
      </c>
      <c r="H1452" s="598"/>
      <c r="I1452" s="599"/>
      <c r="J1452" s="599">
        <f t="shared" si="46"/>
        <v>0</v>
      </c>
    </row>
    <row r="1453" spans="1:25" ht="15.75" hidden="1" collapsed="1" thickBot="1" x14ac:dyDescent="0.3">
      <c r="G1453" s="229" t="s">
        <v>4285</v>
      </c>
      <c r="H1453" s="600">
        <f>SUM(H1437:H1452)</f>
        <v>0</v>
      </c>
      <c r="I1453" s="601">
        <f>SUM(I1438:I1452)</f>
        <v>0</v>
      </c>
      <c r="J1453" s="601">
        <f>SUM(J1437:J1452)</f>
        <v>0</v>
      </c>
    </row>
    <row r="1454" spans="1:25" s="88" customFormat="1" hidden="1" x14ac:dyDescent="0.25">
      <c r="A1454" s="261"/>
      <c r="B1454" s="256"/>
      <c r="C1454" s="316"/>
      <c r="D1454" s="251"/>
      <c r="E1454" s="251"/>
      <c r="F1454" s="257"/>
      <c r="G1454" s="294"/>
      <c r="H1454" s="627"/>
      <c r="I1454" s="610"/>
      <c r="J1454" s="628"/>
      <c r="K1454" s="533"/>
      <c r="L1454" s="533"/>
      <c r="M1454" s="533"/>
      <c r="N1454" s="268"/>
      <c r="O1454" s="533"/>
      <c r="P1454" s="533"/>
      <c r="Q1454" s="533"/>
      <c r="R1454" s="533"/>
      <c r="S1454" s="533"/>
      <c r="T1454" s="533"/>
      <c r="U1454" s="533"/>
      <c r="V1454" s="533"/>
      <c r="W1454" s="533"/>
      <c r="X1454" s="533"/>
      <c r="Y1454" s="533"/>
    </row>
    <row r="1455" spans="1:25" ht="28.5" hidden="1" x14ac:dyDescent="0.25">
      <c r="C1455" s="228" t="s">
        <v>4109</v>
      </c>
      <c r="D1455" s="219"/>
      <c r="G1455" s="262" t="s">
        <v>5100</v>
      </c>
    </row>
    <row r="1456" spans="1:25" hidden="1" x14ac:dyDescent="0.25">
      <c r="C1456" s="228"/>
      <c r="D1456" s="328">
        <v>411</v>
      </c>
      <c r="E1456" s="329"/>
      <c r="F1456" s="329"/>
      <c r="G1456" s="330" t="s">
        <v>135</v>
      </c>
    </row>
    <row r="1457" spans="6:14" hidden="1" x14ac:dyDescent="0.25">
      <c r="F1457" s="263">
        <v>411</v>
      </c>
      <c r="G1457" s="295" t="s">
        <v>4189</v>
      </c>
      <c r="J1457" s="595">
        <f>SUM(H1457:I1457)</f>
        <v>0</v>
      </c>
      <c r="L1457" s="536"/>
      <c r="M1457" s="536"/>
      <c r="N1457" s="273"/>
    </row>
    <row r="1458" spans="6:14" hidden="1" x14ac:dyDescent="0.25">
      <c r="F1458" s="263">
        <v>412</v>
      </c>
      <c r="G1458" s="292" t="s">
        <v>3784</v>
      </c>
      <c r="J1458" s="595">
        <f t="shared" ref="J1458:J1516" si="47">SUM(H1458:I1458)</f>
        <v>0</v>
      </c>
    </row>
    <row r="1459" spans="6:14" hidden="1" x14ac:dyDescent="0.25">
      <c r="F1459" s="263">
        <v>413</v>
      </c>
      <c r="G1459" s="295" t="s">
        <v>4190</v>
      </c>
      <c r="J1459" s="595">
        <f t="shared" si="47"/>
        <v>0</v>
      </c>
    </row>
    <row r="1460" spans="6:14" hidden="1" x14ac:dyDescent="0.25">
      <c r="F1460" s="263">
        <v>414</v>
      </c>
      <c r="G1460" s="295" t="s">
        <v>3787</v>
      </c>
      <c r="J1460" s="595">
        <f t="shared" si="47"/>
        <v>0</v>
      </c>
    </row>
    <row r="1461" spans="6:14" hidden="1" x14ac:dyDescent="0.25">
      <c r="F1461" s="263">
        <v>415</v>
      </c>
      <c r="G1461" s="295" t="s">
        <v>4199</v>
      </c>
      <c r="J1461" s="595">
        <f t="shared" si="47"/>
        <v>0</v>
      </c>
    </row>
    <row r="1462" spans="6:14" hidden="1" x14ac:dyDescent="0.25">
      <c r="F1462" s="263">
        <v>416</v>
      </c>
      <c r="G1462" s="295" t="s">
        <v>4200</v>
      </c>
      <c r="J1462" s="595">
        <f t="shared" si="47"/>
        <v>0</v>
      </c>
    </row>
    <row r="1463" spans="6:14" hidden="1" x14ac:dyDescent="0.25">
      <c r="F1463" s="263">
        <v>417</v>
      </c>
      <c r="G1463" s="295" t="s">
        <v>4201</v>
      </c>
      <c r="J1463" s="595">
        <f t="shared" si="47"/>
        <v>0</v>
      </c>
    </row>
    <row r="1464" spans="6:14" hidden="1" x14ac:dyDescent="0.25">
      <c r="F1464" s="263">
        <v>418</v>
      </c>
      <c r="G1464" s="295" t="s">
        <v>3793</v>
      </c>
      <c r="J1464" s="595">
        <f t="shared" si="47"/>
        <v>0</v>
      </c>
    </row>
    <row r="1465" spans="6:14" hidden="1" x14ac:dyDescent="0.25">
      <c r="F1465" s="263">
        <v>421</v>
      </c>
      <c r="G1465" s="295" t="s">
        <v>3797</v>
      </c>
      <c r="J1465" s="595">
        <f t="shared" si="47"/>
        <v>0</v>
      </c>
    </row>
    <row r="1466" spans="6:14" hidden="1" x14ac:dyDescent="0.25">
      <c r="F1466" s="263">
        <v>422</v>
      </c>
      <c r="G1466" s="295" t="s">
        <v>3798</v>
      </c>
      <c r="J1466" s="595">
        <f t="shared" si="47"/>
        <v>0</v>
      </c>
    </row>
    <row r="1467" spans="6:14" hidden="1" x14ac:dyDescent="0.25">
      <c r="F1467" s="263">
        <v>423</v>
      </c>
      <c r="G1467" s="295" t="s">
        <v>3799</v>
      </c>
      <c r="J1467" s="595">
        <f t="shared" si="47"/>
        <v>0</v>
      </c>
    </row>
    <row r="1468" spans="6:14" hidden="1" x14ac:dyDescent="0.25">
      <c r="F1468" s="263">
        <v>424</v>
      </c>
      <c r="G1468" s="295" t="s">
        <v>3801</v>
      </c>
      <c r="J1468" s="595">
        <f t="shared" si="47"/>
        <v>0</v>
      </c>
    </row>
    <row r="1469" spans="6:14" hidden="1" x14ac:dyDescent="0.25">
      <c r="F1469" s="263">
        <v>425</v>
      </c>
      <c r="G1469" s="295" t="s">
        <v>4202</v>
      </c>
      <c r="J1469" s="595">
        <f t="shared" si="47"/>
        <v>0</v>
      </c>
    </row>
    <row r="1470" spans="6:14" hidden="1" x14ac:dyDescent="0.25">
      <c r="F1470" s="263">
        <v>426</v>
      </c>
      <c r="G1470" s="295" t="s">
        <v>3805</v>
      </c>
      <c r="J1470" s="595">
        <f t="shared" si="47"/>
        <v>0</v>
      </c>
    </row>
    <row r="1471" spans="6:14" hidden="1" x14ac:dyDescent="0.25">
      <c r="F1471" s="263">
        <v>431</v>
      </c>
      <c r="G1471" s="295" t="s">
        <v>4203</v>
      </c>
      <c r="J1471" s="595">
        <f t="shared" si="47"/>
        <v>0</v>
      </c>
    </row>
    <row r="1472" spans="6:14" hidden="1" x14ac:dyDescent="0.25">
      <c r="F1472" s="263">
        <v>432</v>
      </c>
      <c r="G1472" s="295" t="s">
        <v>4204</v>
      </c>
      <c r="J1472" s="595">
        <f t="shared" si="47"/>
        <v>0</v>
      </c>
    </row>
    <row r="1473" spans="6:10" hidden="1" x14ac:dyDescent="0.25">
      <c r="F1473" s="263">
        <v>433</v>
      </c>
      <c r="G1473" s="295" t="s">
        <v>4205</v>
      </c>
      <c r="J1473" s="595">
        <f t="shared" si="47"/>
        <v>0</v>
      </c>
    </row>
    <row r="1474" spans="6:10" hidden="1" x14ac:dyDescent="0.25">
      <c r="F1474" s="263">
        <v>434</v>
      </c>
      <c r="G1474" s="295" t="s">
        <v>4206</v>
      </c>
      <c r="J1474" s="595">
        <f t="shared" si="47"/>
        <v>0</v>
      </c>
    </row>
    <row r="1475" spans="6:10" hidden="1" x14ac:dyDescent="0.25">
      <c r="F1475" s="263">
        <v>435</v>
      </c>
      <c r="G1475" s="295" t="s">
        <v>3812</v>
      </c>
      <c r="J1475" s="595">
        <f t="shared" si="47"/>
        <v>0</v>
      </c>
    </row>
    <row r="1476" spans="6:10" ht="15.75" hidden="1" thickBot="1" x14ac:dyDescent="0.3">
      <c r="F1476" s="263">
        <v>441</v>
      </c>
      <c r="G1476" s="295" t="s">
        <v>4207</v>
      </c>
      <c r="J1476" s="595">
        <f t="shared" si="47"/>
        <v>0</v>
      </c>
    </row>
    <row r="1477" spans="6:10" hidden="1" x14ac:dyDescent="0.25">
      <c r="F1477" s="263">
        <v>442</v>
      </c>
      <c r="G1477" s="295" t="s">
        <v>4208</v>
      </c>
      <c r="J1477" s="595">
        <f t="shared" si="47"/>
        <v>0</v>
      </c>
    </row>
    <row r="1478" spans="6:10" hidden="1" x14ac:dyDescent="0.25">
      <c r="F1478" s="263">
        <v>443</v>
      </c>
      <c r="G1478" s="295" t="s">
        <v>3817</v>
      </c>
      <c r="J1478" s="595">
        <f t="shared" si="47"/>
        <v>0</v>
      </c>
    </row>
    <row r="1479" spans="6:10" ht="15.75" hidden="1" thickBot="1" x14ac:dyDescent="0.3">
      <c r="F1479" s="263">
        <v>444</v>
      </c>
      <c r="G1479" s="295" t="s">
        <v>3818</v>
      </c>
      <c r="J1479" s="595">
        <f t="shared" si="47"/>
        <v>0</v>
      </c>
    </row>
    <row r="1480" spans="6:10" ht="30" hidden="1" x14ac:dyDescent="0.25">
      <c r="F1480" s="263">
        <v>4511</v>
      </c>
      <c r="G1480" s="223" t="s">
        <v>1692</v>
      </c>
      <c r="J1480" s="595">
        <f t="shared" si="47"/>
        <v>0</v>
      </c>
    </row>
    <row r="1481" spans="6:10" ht="30" hidden="1" x14ac:dyDescent="0.25">
      <c r="F1481" s="263">
        <v>4512</v>
      </c>
      <c r="G1481" s="223" t="s">
        <v>1701</v>
      </c>
      <c r="J1481" s="595">
        <f t="shared" si="47"/>
        <v>0</v>
      </c>
    </row>
    <row r="1482" spans="6:10" hidden="1" x14ac:dyDescent="0.25">
      <c r="F1482" s="263">
        <v>452</v>
      </c>
      <c r="G1482" s="295" t="s">
        <v>4209</v>
      </c>
      <c r="J1482" s="595">
        <f t="shared" si="47"/>
        <v>0</v>
      </c>
    </row>
    <row r="1483" spans="6:10" hidden="1" x14ac:dyDescent="0.25">
      <c r="F1483" s="263">
        <v>453</v>
      </c>
      <c r="G1483" s="295" t="s">
        <v>4210</v>
      </c>
      <c r="J1483" s="595">
        <f t="shared" si="47"/>
        <v>0</v>
      </c>
    </row>
    <row r="1484" spans="6:10" hidden="1" x14ac:dyDescent="0.25">
      <c r="F1484" s="263">
        <v>454</v>
      </c>
      <c r="G1484" s="295" t="s">
        <v>3823</v>
      </c>
      <c r="J1484" s="595">
        <f t="shared" si="47"/>
        <v>0</v>
      </c>
    </row>
    <row r="1485" spans="6:10" hidden="1" x14ac:dyDescent="0.25">
      <c r="F1485" s="263">
        <v>461</v>
      </c>
      <c r="G1485" s="295" t="s">
        <v>4191</v>
      </c>
      <c r="J1485" s="595">
        <f t="shared" si="47"/>
        <v>0</v>
      </c>
    </row>
    <row r="1486" spans="6:10" hidden="1" x14ac:dyDescent="0.25">
      <c r="F1486" s="263">
        <v>462</v>
      </c>
      <c r="G1486" s="295" t="s">
        <v>3826</v>
      </c>
      <c r="J1486" s="595">
        <f t="shared" si="47"/>
        <v>0</v>
      </c>
    </row>
    <row r="1487" spans="6:10" hidden="1" x14ac:dyDescent="0.25">
      <c r="F1487" s="263">
        <v>4631</v>
      </c>
      <c r="G1487" s="295" t="s">
        <v>3827</v>
      </c>
      <c r="J1487" s="595">
        <f t="shared" si="47"/>
        <v>0</v>
      </c>
    </row>
    <row r="1488" spans="6:10" hidden="1" x14ac:dyDescent="0.25">
      <c r="F1488" s="263">
        <v>4632</v>
      </c>
      <c r="G1488" s="295" t="s">
        <v>3828</v>
      </c>
      <c r="J1488" s="595">
        <f t="shared" si="47"/>
        <v>0</v>
      </c>
    </row>
    <row r="1489" spans="6:10" hidden="1" x14ac:dyDescent="0.25">
      <c r="F1489" s="263">
        <v>464</v>
      </c>
      <c r="G1489" s="295" t="s">
        <v>3829</v>
      </c>
      <c r="J1489" s="595">
        <f t="shared" si="47"/>
        <v>0</v>
      </c>
    </row>
    <row r="1490" spans="6:10" hidden="1" x14ac:dyDescent="0.25">
      <c r="F1490" s="263">
        <v>465</v>
      </c>
      <c r="G1490" s="295" t="s">
        <v>4192</v>
      </c>
      <c r="J1490" s="595">
        <f t="shared" si="47"/>
        <v>0</v>
      </c>
    </row>
    <row r="1491" spans="6:10" hidden="1" x14ac:dyDescent="0.25">
      <c r="F1491" s="263">
        <v>472</v>
      </c>
      <c r="G1491" s="295" t="s">
        <v>3833</v>
      </c>
      <c r="J1491" s="595">
        <f t="shared" si="47"/>
        <v>0</v>
      </c>
    </row>
    <row r="1492" spans="6:10" hidden="1" x14ac:dyDescent="0.25">
      <c r="F1492" s="263">
        <v>481</v>
      </c>
      <c r="G1492" s="295" t="s">
        <v>4211</v>
      </c>
      <c r="J1492" s="595">
        <f t="shared" si="47"/>
        <v>0</v>
      </c>
    </row>
    <row r="1493" spans="6:10" hidden="1" x14ac:dyDescent="0.25">
      <c r="F1493" s="263">
        <v>482</v>
      </c>
      <c r="G1493" s="295" t="s">
        <v>4212</v>
      </c>
      <c r="J1493" s="595">
        <f t="shared" si="47"/>
        <v>0</v>
      </c>
    </row>
    <row r="1494" spans="6:10" hidden="1" x14ac:dyDescent="0.25">
      <c r="F1494" s="263">
        <v>483</v>
      </c>
      <c r="G1494" s="298" t="s">
        <v>4213</v>
      </c>
      <c r="J1494" s="595">
        <f t="shared" si="47"/>
        <v>0</v>
      </c>
    </row>
    <row r="1495" spans="6:10" ht="30" hidden="1" x14ac:dyDescent="0.25">
      <c r="F1495" s="263">
        <v>484</v>
      </c>
      <c r="G1495" s="295" t="s">
        <v>4214</v>
      </c>
      <c r="J1495" s="595">
        <f t="shared" si="47"/>
        <v>0</v>
      </c>
    </row>
    <row r="1496" spans="6:10" ht="30" hidden="1" x14ac:dyDescent="0.25">
      <c r="F1496" s="263">
        <v>485</v>
      </c>
      <c r="G1496" s="295" t="s">
        <v>4215</v>
      </c>
      <c r="J1496" s="595">
        <f t="shared" si="47"/>
        <v>0</v>
      </c>
    </row>
    <row r="1497" spans="6:10" ht="30" hidden="1" x14ac:dyDescent="0.25">
      <c r="F1497" s="263">
        <v>489</v>
      </c>
      <c r="G1497" s="295" t="s">
        <v>3841</v>
      </c>
      <c r="J1497" s="595">
        <f t="shared" si="47"/>
        <v>0</v>
      </c>
    </row>
    <row r="1498" spans="6:10" hidden="1" x14ac:dyDescent="0.25">
      <c r="F1498" s="263">
        <v>494</v>
      </c>
      <c r="G1498" s="295" t="s">
        <v>4193</v>
      </c>
      <c r="J1498" s="595">
        <f t="shared" si="47"/>
        <v>0</v>
      </c>
    </row>
    <row r="1499" spans="6:10" ht="30" hidden="1" x14ac:dyDescent="0.25">
      <c r="F1499" s="263">
        <v>495</v>
      </c>
      <c r="G1499" s="295" t="s">
        <v>4194</v>
      </c>
      <c r="J1499" s="595">
        <f t="shared" si="47"/>
        <v>0</v>
      </c>
    </row>
    <row r="1500" spans="6:10" ht="30" hidden="1" x14ac:dyDescent="0.25">
      <c r="F1500" s="263">
        <v>496</v>
      </c>
      <c r="G1500" s="295" t="s">
        <v>4195</v>
      </c>
      <c r="J1500" s="595">
        <f t="shared" si="47"/>
        <v>0</v>
      </c>
    </row>
    <row r="1501" spans="6:10" hidden="1" x14ac:dyDescent="0.25">
      <c r="F1501" s="263">
        <v>499</v>
      </c>
      <c r="G1501" s="295" t="s">
        <v>4196</v>
      </c>
      <c r="J1501" s="595">
        <f t="shared" si="47"/>
        <v>0</v>
      </c>
    </row>
    <row r="1502" spans="6:10" hidden="1" x14ac:dyDescent="0.25">
      <c r="F1502" s="263">
        <v>511</v>
      </c>
      <c r="G1502" s="298" t="s">
        <v>4216</v>
      </c>
      <c r="J1502" s="595">
        <f t="shared" si="47"/>
        <v>0</v>
      </c>
    </row>
    <row r="1503" spans="6:10" hidden="1" x14ac:dyDescent="0.25">
      <c r="F1503" s="263">
        <v>512</v>
      </c>
      <c r="G1503" s="298" t="s">
        <v>4217</v>
      </c>
      <c r="J1503" s="595">
        <f t="shared" si="47"/>
        <v>0</v>
      </c>
    </row>
    <row r="1504" spans="6:10" hidden="1" x14ac:dyDescent="0.25">
      <c r="F1504" s="263">
        <v>513</v>
      </c>
      <c r="G1504" s="298" t="s">
        <v>4218</v>
      </c>
      <c r="J1504" s="595">
        <f t="shared" si="47"/>
        <v>0</v>
      </c>
    </row>
    <row r="1505" spans="5:10" hidden="1" x14ac:dyDescent="0.25">
      <c r="F1505" s="263">
        <v>514</v>
      </c>
      <c r="G1505" s="295" t="s">
        <v>4219</v>
      </c>
      <c r="J1505" s="595">
        <f t="shared" si="47"/>
        <v>0</v>
      </c>
    </row>
    <row r="1506" spans="5:10" hidden="1" x14ac:dyDescent="0.25">
      <c r="F1506" s="263">
        <v>515</v>
      </c>
      <c r="G1506" s="295" t="s">
        <v>3852</v>
      </c>
      <c r="J1506" s="595">
        <f t="shared" si="47"/>
        <v>0</v>
      </c>
    </row>
    <row r="1507" spans="5:10" hidden="1" x14ac:dyDescent="0.25">
      <c r="F1507" s="263">
        <v>521</v>
      </c>
      <c r="G1507" s="295" t="s">
        <v>4220</v>
      </c>
      <c r="J1507" s="595">
        <f t="shared" si="47"/>
        <v>0</v>
      </c>
    </row>
    <row r="1508" spans="5:10" hidden="1" x14ac:dyDescent="0.25">
      <c r="F1508" s="263">
        <v>522</v>
      </c>
      <c r="G1508" s="295" t="s">
        <v>4221</v>
      </c>
      <c r="J1508" s="595">
        <f t="shared" si="47"/>
        <v>0</v>
      </c>
    </row>
    <row r="1509" spans="5:10" hidden="1" x14ac:dyDescent="0.25">
      <c r="F1509" s="263">
        <v>523</v>
      </c>
      <c r="G1509" s="295" t="s">
        <v>3857</v>
      </c>
      <c r="J1509" s="595">
        <f t="shared" si="47"/>
        <v>0</v>
      </c>
    </row>
    <row r="1510" spans="5:10" hidden="1" x14ac:dyDescent="0.25">
      <c r="F1510" s="263">
        <v>531</v>
      </c>
      <c r="G1510" s="292" t="s">
        <v>4197</v>
      </c>
      <c r="J1510" s="595">
        <f t="shared" si="47"/>
        <v>0</v>
      </c>
    </row>
    <row r="1511" spans="5:10" hidden="1" x14ac:dyDescent="0.25">
      <c r="F1511" s="263">
        <v>541</v>
      </c>
      <c r="G1511" s="295" t="s">
        <v>4222</v>
      </c>
      <c r="J1511" s="595">
        <f t="shared" si="47"/>
        <v>0</v>
      </c>
    </row>
    <row r="1512" spans="5:10" hidden="1" x14ac:dyDescent="0.25">
      <c r="F1512" s="263">
        <v>542</v>
      </c>
      <c r="G1512" s="295" t="s">
        <v>4223</v>
      </c>
      <c r="J1512" s="595">
        <f t="shared" si="47"/>
        <v>0</v>
      </c>
    </row>
    <row r="1513" spans="5:10" hidden="1" x14ac:dyDescent="0.25">
      <c r="F1513" s="263">
        <v>543</v>
      </c>
      <c r="G1513" s="295" t="s">
        <v>3862</v>
      </c>
      <c r="J1513" s="595">
        <f t="shared" si="47"/>
        <v>0</v>
      </c>
    </row>
    <row r="1514" spans="5:10" ht="30" hidden="1" x14ac:dyDescent="0.25">
      <c r="F1514" s="263">
        <v>551</v>
      </c>
      <c r="G1514" s="295" t="s">
        <v>4198</v>
      </c>
      <c r="J1514" s="595">
        <f t="shared" si="47"/>
        <v>0</v>
      </c>
    </row>
    <row r="1515" spans="5:10" hidden="1" x14ac:dyDescent="0.25">
      <c r="F1515" s="264">
        <v>611</v>
      </c>
      <c r="G1515" s="299" t="s">
        <v>3868</v>
      </c>
      <c r="J1515" s="595">
        <f t="shared" si="47"/>
        <v>0</v>
      </c>
    </row>
    <row r="1516" spans="5:10" ht="15.75" hidden="1" thickBot="1" x14ac:dyDescent="0.3">
      <c r="F1516" s="264">
        <v>620</v>
      </c>
      <c r="G1516" s="299" t="s">
        <v>88</v>
      </c>
      <c r="J1516" s="595">
        <f t="shared" si="47"/>
        <v>0</v>
      </c>
    </row>
    <row r="1517" spans="5:10" hidden="1" x14ac:dyDescent="0.25">
      <c r="E1517" s="293"/>
      <c r="F1517" s="301"/>
      <c r="G1517" s="327" t="s">
        <v>4372</v>
      </c>
      <c r="H1517" s="596"/>
      <c r="I1517" s="622"/>
      <c r="J1517" s="597"/>
    </row>
    <row r="1518" spans="5:10" ht="15.75" hidden="1" thickBot="1" x14ac:dyDescent="0.3">
      <c r="E1518" s="222"/>
      <c r="F1518" s="249" t="s">
        <v>234</v>
      </c>
      <c r="G1518" s="252" t="s">
        <v>235</v>
      </c>
      <c r="H1518" s="598">
        <f>SUM(H1457:H1516)</f>
        <v>0</v>
      </c>
      <c r="I1518" s="599"/>
      <c r="J1518" s="599">
        <f t="shared" ref="J1518:J1533" si="48">SUM(H1518:I1518)</f>
        <v>0</v>
      </c>
    </row>
    <row r="1519" spans="5:10" hidden="1" x14ac:dyDescent="0.25">
      <c r="F1519" s="249" t="s">
        <v>236</v>
      </c>
      <c r="G1519" s="252" t="s">
        <v>237</v>
      </c>
      <c r="J1519" s="599">
        <f t="shared" si="48"/>
        <v>0</v>
      </c>
    </row>
    <row r="1520" spans="5:10" hidden="1" x14ac:dyDescent="0.25">
      <c r="F1520" s="249" t="s">
        <v>238</v>
      </c>
      <c r="G1520" s="252" t="s">
        <v>239</v>
      </c>
      <c r="J1520" s="599">
        <f t="shared" si="48"/>
        <v>0</v>
      </c>
    </row>
    <row r="1521" spans="5:10" hidden="1" x14ac:dyDescent="0.25">
      <c r="F1521" s="249" t="s">
        <v>240</v>
      </c>
      <c r="G1521" s="252" t="s">
        <v>241</v>
      </c>
      <c r="J1521" s="599">
        <f t="shared" si="48"/>
        <v>0</v>
      </c>
    </row>
    <row r="1522" spans="5:10" hidden="1" x14ac:dyDescent="0.25">
      <c r="F1522" s="249" t="s">
        <v>242</v>
      </c>
      <c r="G1522" s="252" t="s">
        <v>243</v>
      </c>
      <c r="J1522" s="599">
        <f t="shared" si="48"/>
        <v>0</v>
      </c>
    </row>
    <row r="1523" spans="5:10" hidden="1" x14ac:dyDescent="0.25">
      <c r="F1523" s="249" t="s">
        <v>244</v>
      </c>
      <c r="G1523" s="252" t="s">
        <v>245</v>
      </c>
      <c r="J1523" s="599">
        <f t="shared" si="48"/>
        <v>0</v>
      </c>
    </row>
    <row r="1524" spans="5:10" hidden="1" x14ac:dyDescent="0.25">
      <c r="F1524" s="249" t="s">
        <v>246</v>
      </c>
      <c r="G1524" s="252" t="s">
        <v>247</v>
      </c>
      <c r="J1524" s="599">
        <f t="shared" si="48"/>
        <v>0</v>
      </c>
    </row>
    <row r="1525" spans="5:10" hidden="1" x14ac:dyDescent="0.25">
      <c r="F1525" s="249" t="s">
        <v>248</v>
      </c>
      <c r="G1525" s="252" t="s">
        <v>249</v>
      </c>
      <c r="J1525" s="599">
        <f t="shared" si="48"/>
        <v>0</v>
      </c>
    </row>
    <row r="1526" spans="5:10" hidden="1" x14ac:dyDescent="0.25">
      <c r="F1526" s="249" t="s">
        <v>250</v>
      </c>
      <c r="G1526" s="252" t="s">
        <v>57</v>
      </c>
      <c r="J1526" s="599">
        <f t="shared" si="48"/>
        <v>0</v>
      </c>
    </row>
    <row r="1527" spans="5:10" hidden="1" x14ac:dyDescent="0.25">
      <c r="F1527" s="249" t="s">
        <v>251</v>
      </c>
      <c r="G1527" s="252" t="s">
        <v>252</v>
      </c>
      <c r="J1527" s="599">
        <f t="shared" si="48"/>
        <v>0</v>
      </c>
    </row>
    <row r="1528" spans="5:10" hidden="1" x14ac:dyDescent="0.25">
      <c r="F1528" s="249" t="s">
        <v>253</v>
      </c>
      <c r="G1528" s="252" t="s">
        <v>254</v>
      </c>
      <c r="J1528" s="599">
        <f t="shared" si="48"/>
        <v>0</v>
      </c>
    </row>
    <row r="1529" spans="5:10" ht="30" hidden="1" x14ac:dyDescent="0.25">
      <c r="F1529" s="249" t="s">
        <v>255</v>
      </c>
      <c r="G1529" s="252" t="s">
        <v>256</v>
      </c>
      <c r="J1529" s="599">
        <f t="shared" si="48"/>
        <v>0</v>
      </c>
    </row>
    <row r="1530" spans="5:10" hidden="1" x14ac:dyDescent="0.25">
      <c r="F1530" s="249" t="s">
        <v>257</v>
      </c>
      <c r="G1530" s="252" t="s">
        <v>258</v>
      </c>
      <c r="J1530" s="599">
        <f t="shared" si="48"/>
        <v>0</v>
      </c>
    </row>
    <row r="1531" spans="5:10" ht="30" hidden="1" x14ac:dyDescent="0.25">
      <c r="F1531" s="249" t="s">
        <v>259</v>
      </c>
      <c r="G1531" s="252" t="s">
        <v>260</v>
      </c>
      <c r="J1531" s="599">
        <f t="shared" si="48"/>
        <v>0</v>
      </c>
    </row>
    <row r="1532" spans="5:10" hidden="1" x14ac:dyDescent="0.25">
      <c r="F1532" s="249" t="s">
        <v>261</v>
      </c>
      <c r="G1532" s="252" t="s">
        <v>262</v>
      </c>
      <c r="J1532" s="599">
        <f t="shared" si="48"/>
        <v>0</v>
      </c>
    </row>
    <row r="1533" spans="5:10" ht="15.75" hidden="1" thickBot="1" x14ac:dyDescent="0.3">
      <c r="F1533" s="249" t="s">
        <v>263</v>
      </c>
      <c r="G1533" s="252" t="s">
        <v>264</v>
      </c>
      <c r="H1533" s="598"/>
      <c r="I1533" s="599"/>
      <c r="J1533" s="599">
        <f t="shared" si="48"/>
        <v>0</v>
      </c>
    </row>
    <row r="1534" spans="5:10" ht="15.75" hidden="1" thickBot="1" x14ac:dyDescent="0.3">
      <c r="G1534" s="229" t="s">
        <v>4373</v>
      </c>
      <c r="H1534" s="600">
        <f>SUM(H1518:H1533)</f>
        <v>0</v>
      </c>
      <c r="I1534" s="601">
        <f>SUM(I1519:I1533)</f>
        <v>0</v>
      </c>
      <c r="J1534" s="601">
        <f>SUM(J1518:J1533)</f>
        <v>0</v>
      </c>
    </row>
    <row r="1535" spans="5:10" ht="28.5" hidden="1" collapsed="1" x14ac:dyDescent="0.25">
      <c r="E1535" s="260"/>
      <c r="F1535" s="264"/>
      <c r="G1535" s="231" t="s">
        <v>4284</v>
      </c>
      <c r="H1535" s="602"/>
      <c r="I1535" s="623"/>
      <c r="J1535" s="603"/>
    </row>
    <row r="1536" spans="5:10" ht="15.75" hidden="1" thickBot="1" x14ac:dyDescent="0.3">
      <c r="E1536" s="222"/>
      <c r="F1536" s="249" t="s">
        <v>234</v>
      </c>
      <c r="G1536" s="252" t="s">
        <v>235</v>
      </c>
      <c r="H1536" s="598">
        <f>SUM(H1457:H1516)</f>
        <v>0</v>
      </c>
      <c r="I1536" s="599"/>
      <c r="J1536" s="599">
        <f>SUM(H1536:I1536)</f>
        <v>0</v>
      </c>
    </row>
    <row r="1537" spans="6:10" hidden="1" x14ac:dyDescent="0.25">
      <c r="F1537" s="249" t="s">
        <v>236</v>
      </c>
      <c r="G1537" s="252" t="s">
        <v>237</v>
      </c>
      <c r="J1537" s="599">
        <f t="shared" ref="J1537:J1551" si="49">SUM(H1537:I1537)</f>
        <v>0</v>
      </c>
    </row>
    <row r="1538" spans="6:10" hidden="1" x14ac:dyDescent="0.25">
      <c r="F1538" s="249" t="s">
        <v>238</v>
      </c>
      <c r="G1538" s="252" t="s">
        <v>239</v>
      </c>
      <c r="J1538" s="599">
        <f t="shared" si="49"/>
        <v>0</v>
      </c>
    </row>
    <row r="1539" spans="6:10" hidden="1" x14ac:dyDescent="0.25">
      <c r="F1539" s="249" t="s">
        <v>240</v>
      </c>
      <c r="G1539" s="252" t="s">
        <v>241</v>
      </c>
      <c r="J1539" s="599">
        <f t="shared" si="49"/>
        <v>0</v>
      </c>
    </row>
    <row r="1540" spans="6:10" hidden="1" x14ac:dyDescent="0.25">
      <c r="F1540" s="249" t="s">
        <v>242</v>
      </c>
      <c r="G1540" s="252" t="s">
        <v>243</v>
      </c>
      <c r="J1540" s="599">
        <f t="shared" si="49"/>
        <v>0</v>
      </c>
    </row>
    <row r="1541" spans="6:10" hidden="1" x14ac:dyDescent="0.25">
      <c r="F1541" s="249" t="s">
        <v>244</v>
      </c>
      <c r="G1541" s="252" t="s">
        <v>245</v>
      </c>
      <c r="J1541" s="599">
        <f t="shared" si="49"/>
        <v>0</v>
      </c>
    </row>
    <row r="1542" spans="6:10" hidden="1" x14ac:dyDescent="0.25">
      <c r="F1542" s="249" t="s">
        <v>246</v>
      </c>
      <c r="G1542" s="252" t="s">
        <v>247</v>
      </c>
      <c r="J1542" s="599">
        <f t="shared" si="49"/>
        <v>0</v>
      </c>
    </row>
    <row r="1543" spans="6:10" hidden="1" x14ac:dyDescent="0.25">
      <c r="F1543" s="249" t="s">
        <v>248</v>
      </c>
      <c r="G1543" s="252" t="s">
        <v>249</v>
      </c>
      <c r="J1543" s="599">
        <f t="shared" si="49"/>
        <v>0</v>
      </c>
    </row>
    <row r="1544" spans="6:10" hidden="1" x14ac:dyDescent="0.25">
      <c r="F1544" s="249" t="s">
        <v>250</v>
      </c>
      <c r="G1544" s="252" t="s">
        <v>57</v>
      </c>
      <c r="J1544" s="599">
        <f t="shared" si="49"/>
        <v>0</v>
      </c>
    </row>
    <row r="1545" spans="6:10" hidden="1" x14ac:dyDescent="0.25">
      <c r="F1545" s="249" t="s">
        <v>251</v>
      </c>
      <c r="G1545" s="252" t="s">
        <v>252</v>
      </c>
      <c r="J1545" s="599">
        <f t="shared" si="49"/>
        <v>0</v>
      </c>
    </row>
    <row r="1546" spans="6:10" hidden="1" x14ac:dyDescent="0.25">
      <c r="F1546" s="249" t="s">
        <v>253</v>
      </c>
      <c r="G1546" s="252" t="s">
        <v>254</v>
      </c>
      <c r="J1546" s="599">
        <f t="shared" si="49"/>
        <v>0</v>
      </c>
    </row>
    <row r="1547" spans="6:10" ht="30" hidden="1" x14ac:dyDescent="0.25">
      <c r="F1547" s="249" t="s">
        <v>255</v>
      </c>
      <c r="G1547" s="252" t="s">
        <v>256</v>
      </c>
      <c r="J1547" s="599">
        <f t="shared" si="49"/>
        <v>0</v>
      </c>
    </row>
    <row r="1548" spans="6:10" hidden="1" x14ac:dyDescent="0.25">
      <c r="F1548" s="249" t="s">
        <v>257</v>
      </c>
      <c r="G1548" s="252" t="s">
        <v>258</v>
      </c>
      <c r="J1548" s="599">
        <f t="shared" si="49"/>
        <v>0</v>
      </c>
    </row>
    <row r="1549" spans="6:10" ht="30" hidden="1" x14ac:dyDescent="0.25">
      <c r="F1549" s="249" t="s">
        <v>259</v>
      </c>
      <c r="G1549" s="252" t="s">
        <v>260</v>
      </c>
      <c r="J1549" s="599">
        <f t="shared" si="49"/>
        <v>0</v>
      </c>
    </row>
    <row r="1550" spans="6:10" hidden="1" x14ac:dyDescent="0.25">
      <c r="F1550" s="249" t="s">
        <v>261</v>
      </c>
      <c r="G1550" s="252" t="s">
        <v>262</v>
      </c>
      <c r="J1550" s="599">
        <f t="shared" si="49"/>
        <v>0</v>
      </c>
    </row>
    <row r="1551" spans="6:10" ht="15.75" hidden="1" thickBot="1" x14ac:dyDescent="0.3">
      <c r="F1551" s="249" t="s">
        <v>263</v>
      </c>
      <c r="G1551" s="252" t="s">
        <v>264</v>
      </c>
      <c r="H1551" s="598"/>
      <c r="I1551" s="599"/>
      <c r="J1551" s="599">
        <f t="shared" si="49"/>
        <v>0</v>
      </c>
    </row>
    <row r="1552" spans="6:10" ht="15.75" hidden="1" collapsed="1" thickBot="1" x14ac:dyDescent="0.3">
      <c r="G1552" s="229" t="s">
        <v>4285</v>
      </c>
      <c r="H1552" s="600">
        <f>SUM(H1536:H1551)</f>
        <v>0</v>
      </c>
      <c r="I1552" s="601">
        <f>SUM(I1537:I1551)</f>
        <v>0</v>
      </c>
      <c r="J1552" s="601">
        <f>SUM(J1536:J1551)</f>
        <v>0</v>
      </c>
    </row>
    <row r="1553" spans="1:25" s="88" customFormat="1" hidden="1" x14ac:dyDescent="0.25">
      <c r="A1553" s="261"/>
      <c r="B1553" s="256"/>
      <c r="C1553" s="317"/>
      <c r="E1553" s="251"/>
      <c r="F1553" s="257"/>
      <c r="G1553" s="308"/>
      <c r="H1553" s="627"/>
      <c r="I1553" s="610"/>
      <c r="J1553" s="628"/>
      <c r="K1553" s="533"/>
      <c r="L1553" s="533"/>
      <c r="M1553" s="533"/>
      <c r="N1553" s="268"/>
      <c r="O1553" s="533"/>
      <c r="P1553" s="533"/>
      <c r="Q1553" s="533"/>
      <c r="R1553" s="533"/>
      <c r="S1553" s="533"/>
      <c r="T1553" s="533"/>
      <c r="U1553" s="533"/>
      <c r="V1553" s="533"/>
      <c r="W1553" s="533"/>
      <c r="X1553" s="533"/>
      <c r="Y1553" s="533"/>
    </row>
    <row r="1554" spans="1:25" hidden="1" x14ac:dyDescent="0.25">
      <c r="C1554" s="228" t="s">
        <v>4584</v>
      </c>
      <c r="D1554" s="219"/>
      <c r="G1554" s="511" t="s">
        <v>5101</v>
      </c>
    </row>
    <row r="1555" spans="1:25" hidden="1" x14ac:dyDescent="0.25">
      <c r="C1555" s="228"/>
      <c r="D1555" s="328">
        <v>411</v>
      </c>
      <c r="E1555" s="329"/>
      <c r="F1555" s="329"/>
      <c r="G1555" s="330" t="s">
        <v>135</v>
      </c>
    </row>
    <row r="1556" spans="1:25" hidden="1" x14ac:dyDescent="0.25">
      <c r="F1556" s="527">
        <v>411</v>
      </c>
      <c r="G1556" s="520" t="s">
        <v>4189</v>
      </c>
      <c r="J1556" s="595">
        <f>SUM(H1556:I1556)</f>
        <v>0</v>
      </c>
      <c r="L1556" s="536"/>
      <c r="M1556" s="536"/>
      <c r="N1556" s="273"/>
    </row>
    <row r="1557" spans="1:25" hidden="1" x14ac:dyDescent="0.25">
      <c r="F1557" s="527">
        <v>412</v>
      </c>
      <c r="G1557" s="516" t="s">
        <v>3784</v>
      </c>
      <c r="J1557" s="595">
        <f t="shared" ref="J1557:J1615" si="50">SUM(H1557:I1557)</f>
        <v>0</v>
      </c>
    </row>
    <row r="1558" spans="1:25" hidden="1" x14ac:dyDescent="0.25">
      <c r="F1558" s="527">
        <v>413</v>
      </c>
      <c r="G1558" s="520" t="s">
        <v>4190</v>
      </c>
      <c r="J1558" s="595">
        <f t="shared" si="50"/>
        <v>0</v>
      </c>
    </row>
    <row r="1559" spans="1:25" hidden="1" x14ac:dyDescent="0.25">
      <c r="F1559" s="527">
        <v>414</v>
      </c>
      <c r="G1559" s="520" t="s">
        <v>3787</v>
      </c>
      <c r="J1559" s="595">
        <f t="shared" si="50"/>
        <v>0</v>
      </c>
    </row>
    <row r="1560" spans="1:25" hidden="1" x14ac:dyDescent="0.25">
      <c r="F1560" s="527">
        <v>415</v>
      </c>
      <c r="G1560" s="520" t="s">
        <v>4199</v>
      </c>
      <c r="J1560" s="595">
        <f t="shared" si="50"/>
        <v>0</v>
      </c>
    </row>
    <row r="1561" spans="1:25" hidden="1" x14ac:dyDescent="0.25">
      <c r="F1561" s="527">
        <v>416</v>
      </c>
      <c r="G1561" s="520" t="s">
        <v>4200</v>
      </c>
      <c r="J1561" s="595">
        <f t="shared" si="50"/>
        <v>0</v>
      </c>
    </row>
    <row r="1562" spans="1:25" hidden="1" x14ac:dyDescent="0.25">
      <c r="F1562" s="527">
        <v>417</v>
      </c>
      <c r="G1562" s="520" t="s">
        <v>4201</v>
      </c>
      <c r="J1562" s="595">
        <f t="shared" si="50"/>
        <v>0</v>
      </c>
    </row>
    <row r="1563" spans="1:25" hidden="1" x14ac:dyDescent="0.25">
      <c r="F1563" s="527">
        <v>418</v>
      </c>
      <c r="G1563" s="520" t="s">
        <v>3793</v>
      </c>
      <c r="J1563" s="595">
        <f t="shared" si="50"/>
        <v>0</v>
      </c>
    </row>
    <row r="1564" spans="1:25" hidden="1" x14ac:dyDescent="0.25">
      <c r="F1564" s="527">
        <v>421</v>
      </c>
      <c r="G1564" s="520" t="s">
        <v>3797</v>
      </c>
      <c r="J1564" s="595">
        <f t="shared" si="50"/>
        <v>0</v>
      </c>
    </row>
    <row r="1565" spans="1:25" hidden="1" x14ac:dyDescent="0.25">
      <c r="F1565" s="527">
        <v>422</v>
      </c>
      <c r="G1565" s="520" t="s">
        <v>3798</v>
      </c>
      <c r="J1565" s="595">
        <f t="shared" si="50"/>
        <v>0</v>
      </c>
    </row>
    <row r="1566" spans="1:25" hidden="1" x14ac:dyDescent="0.25">
      <c r="F1566" s="527">
        <v>423</v>
      </c>
      <c r="G1566" s="520" t="s">
        <v>3799</v>
      </c>
      <c r="J1566" s="595">
        <f t="shared" si="50"/>
        <v>0</v>
      </c>
    </row>
    <row r="1567" spans="1:25" hidden="1" x14ac:dyDescent="0.25">
      <c r="F1567" s="527">
        <v>424</v>
      </c>
      <c r="G1567" s="520" t="s">
        <v>3801</v>
      </c>
      <c r="J1567" s="595">
        <f t="shared" si="50"/>
        <v>0</v>
      </c>
    </row>
    <row r="1568" spans="1:25" hidden="1" x14ac:dyDescent="0.25">
      <c r="F1568" s="527">
        <v>425</v>
      </c>
      <c r="G1568" s="520" t="s">
        <v>4202</v>
      </c>
      <c r="J1568" s="595">
        <f t="shared" si="50"/>
        <v>0</v>
      </c>
    </row>
    <row r="1569" spans="6:10" hidden="1" x14ac:dyDescent="0.25">
      <c r="F1569" s="527">
        <v>426</v>
      </c>
      <c r="G1569" s="520" t="s">
        <v>3805</v>
      </c>
      <c r="J1569" s="595">
        <f t="shared" si="50"/>
        <v>0</v>
      </c>
    </row>
    <row r="1570" spans="6:10" hidden="1" x14ac:dyDescent="0.25">
      <c r="F1570" s="527">
        <v>431</v>
      </c>
      <c r="G1570" s="520" t="s">
        <v>4203</v>
      </c>
      <c r="J1570" s="595">
        <f t="shared" si="50"/>
        <v>0</v>
      </c>
    </row>
    <row r="1571" spans="6:10" hidden="1" x14ac:dyDescent="0.25">
      <c r="F1571" s="527">
        <v>432</v>
      </c>
      <c r="G1571" s="520" t="s">
        <v>4204</v>
      </c>
      <c r="J1571" s="595">
        <f t="shared" si="50"/>
        <v>0</v>
      </c>
    </row>
    <row r="1572" spans="6:10" hidden="1" x14ac:dyDescent="0.25">
      <c r="F1572" s="527">
        <v>433</v>
      </c>
      <c r="G1572" s="520" t="s">
        <v>4205</v>
      </c>
      <c r="J1572" s="595">
        <f t="shared" si="50"/>
        <v>0</v>
      </c>
    </row>
    <row r="1573" spans="6:10" hidden="1" x14ac:dyDescent="0.25">
      <c r="F1573" s="527">
        <v>434</v>
      </c>
      <c r="G1573" s="520" t="s">
        <v>4206</v>
      </c>
      <c r="J1573" s="595">
        <f t="shared" si="50"/>
        <v>0</v>
      </c>
    </row>
    <row r="1574" spans="6:10" hidden="1" x14ac:dyDescent="0.25">
      <c r="F1574" s="527">
        <v>435</v>
      </c>
      <c r="G1574" s="520" t="s">
        <v>3812</v>
      </c>
      <c r="J1574" s="595">
        <f t="shared" si="50"/>
        <v>0</v>
      </c>
    </row>
    <row r="1575" spans="6:10" hidden="1" x14ac:dyDescent="0.25">
      <c r="F1575" s="527">
        <v>441</v>
      </c>
      <c r="G1575" s="520" t="s">
        <v>4207</v>
      </c>
      <c r="J1575" s="595">
        <f t="shared" si="50"/>
        <v>0</v>
      </c>
    </row>
    <row r="1576" spans="6:10" hidden="1" x14ac:dyDescent="0.25">
      <c r="F1576" s="527">
        <v>442</v>
      </c>
      <c r="G1576" s="520" t="s">
        <v>4208</v>
      </c>
      <c r="J1576" s="595">
        <f t="shared" si="50"/>
        <v>0</v>
      </c>
    </row>
    <row r="1577" spans="6:10" hidden="1" x14ac:dyDescent="0.25">
      <c r="F1577" s="527">
        <v>443</v>
      </c>
      <c r="G1577" s="520" t="s">
        <v>3817</v>
      </c>
      <c r="J1577" s="595">
        <f t="shared" si="50"/>
        <v>0</v>
      </c>
    </row>
    <row r="1578" spans="6:10" hidden="1" x14ac:dyDescent="0.25">
      <c r="F1578" s="527">
        <v>444</v>
      </c>
      <c r="G1578" s="520" t="s">
        <v>3818</v>
      </c>
      <c r="J1578" s="595">
        <f t="shared" si="50"/>
        <v>0</v>
      </c>
    </row>
    <row r="1579" spans="6:10" ht="30" hidden="1" x14ac:dyDescent="0.25">
      <c r="F1579" s="527">
        <v>4511</v>
      </c>
      <c r="G1579" s="223" t="s">
        <v>1692</v>
      </c>
      <c r="J1579" s="595">
        <f t="shared" si="50"/>
        <v>0</v>
      </c>
    </row>
    <row r="1580" spans="6:10" ht="30" hidden="1" x14ac:dyDescent="0.25">
      <c r="F1580" s="527">
        <v>4512</v>
      </c>
      <c r="G1580" s="223" t="s">
        <v>1701</v>
      </c>
      <c r="J1580" s="595">
        <f t="shared" si="50"/>
        <v>0</v>
      </c>
    </row>
    <row r="1581" spans="6:10" hidden="1" x14ac:dyDescent="0.25">
      <c r="F1581" s="527">
        <v>452</v>
      </c>
      <c r="G1581" s="520" t="s">
        <v>4209</v>
      </c>
      <c r="J1581" s="595">
        <f t="shared" si="50"/>
        <v>0</v>
      </c>
    </row>
    <row r="1582" spans="6:10" hidden="1" x14ac:dyDescent="0.25">
      <c r="F1582" s="527">
        <v>453</v>
      </c>
      <c r="G1582" s="520" t="s">
        <v>4210</v>
      </c>
      <c r="J1582" s="595">
        <f t="shared" si="50"/>
        <v>0</v>
      </c>
    </row>
    <row r="1583" spans="6:10" hidden="1" x14ac:dyDescent="0.25">
      <c r="F1583" s="527">
        <v>454</v>
      </c>
      <c r="G1583" s="520" t="s">
        <v>3823</v>
      </c>
      <c r="J1583" s="595">
        <f t="shared" si="50"/>
        <v>0</v>
      </c>
    </row>
    <row r="1584" spans="6:10" hidden="1" x14ac:dyDescent="0.25">
      <c r="F1584" s="527">
        <v>461</v>
      </c>
      <c r="G1584" s="520" t="s">
        <v>4191</v>
      </c>
      <c r="J1584" s="595">
        <f t="shared" si="50"/>
        <v>0</v>
      </c>
    </row>
    <row r="1585" spans="6:10" hidden="1" x14ac:dyDescent="0.25">
      <c r="F1585" s="527">
        <v>462</v>
      </c>
      <c r="G1585" s="520" t="s">
        <v>3826</v>
      </c>
      <c r="J1585" s="595">
        <f t="shared" si="50"/>
        <v>0</v>
      </c>
    </row>
    <row r="1586" spans="6:10" ht="15.75" hidden="1" thickBot="1" x14ac:dyDescent="0.3">
      <c r="F1586" s="527">
        <v>4631</v>
      </c>
      <c r="G1586" s="520" t="s">
        <v>3827</v>
      </c>
      <c r="J1586" s="595">
        <f t="shared" si="50"/>
        <v>0</v>
      </c>
    </row>
    <row r="1587" spans="6:10" hidden="1" x14ac:dyDescent="0.25">
      <c r="F1587" s="527">
        <v>4632</v>
      </c>
      <c r="G1587" s="520" t="s">
        <v>3828</v>
      </c>
      <c r="J1587" s="595">
        <f t="shared" si="50"/>
        <v>0</v>
      </c>
    </row>
    <row r="1588" spans="6:10" hidden="1" x14ac:dyDescent="0.25">
      <c r="F1588" s="527">
        <v>464</v>
      </c>
      <c r="G1588" s="520" t="s">
        <v>3829</v>
      </c>
      <c r="J1588" s="595">
        <f t="shared" si="50"/>
        <v>0</v>
      </c>
    </row>
    <row r="1589" spans="6:10" hidden="1" x14ac:dyDescent="0.25">
      <c r="F1589" s="527">
        <v>465</v>
      </c>
      <c r="G1589" s="520" t="s">
        <v>4192</v>
      </c>
      <c r="J1589" s="595">
        <f t="shared" si="50"/>
        <v>0</v>
      </c>
    </row>
    <row r="1590" spans="6:10" hidden="1" x14ac:dyDescent="0.25">
      <c r="F1590" s="527">
        <v>472</v>
      </c>
      <c r="G1590" s="520" t="s">
        <v>3833</v>
      </c>
      <c r="J1590" s="595">
        <f t="shared" si="50"/>
        <v>0</v>
      </c>
    </row>
    <row r="1591" spans="6:10" hidden="1" x14ac:dyDescent="0.25">
      <c r="F1591" s="527">
        <v>481</v>
      </c>
      <c r="G1591" s="520" t="s">
        <v>4211</v>
      </c>
      <c r="J1591" s="595">
        <f t="shared" si="50"/>
        <v>0</v>
      </c>
    </row>
    <row r="1592" spans="6:10" hidden="1" x14ac:dyDescent="0.25">
      <c r="F1592" s="527">
        <v>482</v>
      </c>
      <c r="G1592" s="520" t="s">
        <v>4212</v>
      </c>
      <c r="J1592" s="595">
        <f t="shared" si="50"/>
        <v>0</v>
      </c>
    </row>
    <row r="1593" spans="6:10" hidden="1" x14ac:dyDescent="0.25">
      <c r="F1593" s="527">
        <v>483</v>
      </c>
      <c r="G1593" s="524" t="s">
        <v>4213</v>
      </c>
      <c r="J1593" s="595">
        <f t="shared" si="50"/>
        <v>0</v>
      </c>
    </row>
    <row r="1594" spans="6:10" ht="30" hidden="1" x14ac:dyDescent="0.25">
      <c r="F1594" s="527">
        <v>484</v>
      </c>
      <c r="G1594" s="520" t="s">
        <v>4214</v>
      </c>
      <c r="J1594" s="595">
        <f t="shared" si="50"/>
        <v>0</v>
      </c>
    </row>
    <row r="1595" spans="6:10" ht="30" hidden="1" x14ac:dyDescent="0.25">
      <c r="F1595" s="527">
        <v>485</v>
      </c>
      <c r="G1595" s="520" t="s">
        <v>4215</v>
      </c>
      <c r="J1595" s="595">
        <f t="shared" si="50"/>
        <v>0</v>
      </c>
    </row>
    <row r="1596" spans="6:10" ht="30" hidden="1" x14ac:dyDescent="0.25">
      <c r="F1596" s="527">
        <v>489</v>
      </c>
      <c r="G1596" s="520" t="s">
        <v>3841</v>
      </c>
      <c r="J1596" s="595">
        <f t="shared" si="50"/>
        <v>0</v>
      </c>
    </row>
    <row r="1597" spans="6:10" hidden="1" x14ac:dyDescent="0.25">
      <c r="F1597" s="527">
        <v>494</v>
      </c>
      <c r="G1597" s="520" t="s">
        <v>4193</v>
      </c>
      <c r="J1597" s="595">
        <f t="shared" si="50"/>
        <v>0</v>
      </c>
    </row>
    <row r="1598" spans="6:10" ht="30" hidden="1" x14ac:dyDescent="0.25">
      <c r="F1598" s="527">
        <v>495</v>
      </c>
      <c r="G1598" s="520" t="s">
        <v>4194</v>
      </c>
      <c r="J1598" s="595">
        <f t="shared" si="50"/>
        <v>0</v>
      </c>
    </row>
    <row r="1599" spans="6:10" ht="30" hidden="1" x14ac:dyDescent="0.25">
      <c r="F1599" s="527">
        <v>496</v>
      </c>
      <c r="G1599" s="520" t="s">
        <v>4195</v>
      </c>
      <c r="J1599" s="595">
        <f t="shared" si="50"/>
        <v>0</v>
      </c>
    </row>
    <row r="1600" spans="6:10" hidden="1" x14ac:dyDescent="0.25">
      <c r="F1600" s="527">
        <v>499</v>
      </c>
      <c r="G1600" s="520" t="s">
        <v>4196</v>
      </c>
      <c r="J1600" s="595">
        <f t="shared" si="50"/>
        <v>0</v>
      </c>
    </row>
    <row r="1601" spans="5:10" hidden="1" x14ac:dyDescent="0.25">
      <c r="F1601" s="527">
        <v>511</v>
      </c>
      <c r="G1601" s="524" t="s">
        <v>4216</v>
      </c>
      <c r="J1601" s="595">
        <f t="shared" si="50"/>
        <v>0</v>
      </c>
    </row>
    <row r="1602" spans="5:10" hidden="1" x14ac:dyDescent="0.25">
      <c r="F1602" s="527">
        <v>512</v>
      </c>
      <c r="G1602" s="524" t="s">
        <v>4217</v>
      </c>
      <c r="J1602" s="595">
        <f t="shared" si="50"/>
        <v>0</v>
      </c>
    </row>
    <row r="1603" spans="5:10" hidden="1" x14ac:dyDescent="0.25">
      <c r="F1603" s="527">
        <v>513</v>
      </c>
      <c r="G1603" s="524" t="s">
        <v>4218</v>
      </c>
      <c r="J1603" s="595">
        <f t="shared" si="50"/>
        <v>0</v>
      </c>
    </row>
    <row r="1604" spans="5:10" hidden="1" x14ac:dyDescent="0.25">
      <c r="F1604" s="527">
        <v>514</v>
      </c>
      <c r="G1604" s="520" t="s">
        <v>4219</v>
      </c>
      <c r="J1604" s="595">
        <f t="shared" si="50"/>
        <v>0</v>
      </c>
    </row>
    <row r="1605" spans="5:10" hidden="1" x14ac:dyDescent="0.25">
      <c r="F1605" s="527">
        <v>515</v>
      </c>
      <c r="G1605" s="520" t="s">
        <v>3852</v>
      </c>
      <c r="J1605" s="595">
        <f t="shared" si="50"/>
        <v>0</v>
      </c>
    </row>
    <row r="1606" spans="5:10" hidden="1" x14ac:dyDescent="0.25">
      <c r="F1606" s="527">
        <v>521</v>
      </c>
      <c r="G1606" s="520" t="s">
        <v>4220</v>
      </c>
      <c r="J1606" s="595">
        <f t="shared" si="50"/>
        <v>0</v>
      </c>
    </row>
    <row r="1607" spans="5:10" hidden="1" x14ac:dyDescent="0.25">
      <c r="F1607" s="527">
        <v>522</v>
      </c>
      <c r="G1607" s="520" t="s">
        <v>4221</v>
      </c>
      <c r="J1607" s="595">
        <f t="shared" si="50"/>
        <v>0</v>
      </c>
    </row>
    <row r="1608" spans="5:10" hidden="1" x14ac:dyDescent="0.25">
      <c r="F1608" s="527">
        <v>523</v>
      </c>
      <c r="G1608" s="520" t="s">
        <v>3857</v>
      </c>
      <c r="J1608" s="595">
        <f t="shared" si="50"/>
        <v>0</v>
      </c>
    </row>
    <row r="1609" spans="5:10" hidden="1" x14ac:dyDescent="0.25">
      <c r="F1609" s="527">
        <v>531</v>
      </c>
      <c r="G1609" s="516" t="s">
        <v>4197</v>
      </c>
      <c r="J1609" s="595">
        <f t="shared" si="50"/>
        <v>0</v>
      </c>
    </row>
    <row r="1610" spans="5:10" hidden="1" x14ac:dyDescent="0.25">
      <c r="F1610" s="527">
        <v>541</v>
      </c>
      <c r="G1610" s="520" t="s">
        <v>4222</v>
      </c>
      <c r="J1610" s="595">
        <f t="shared" si="50"/>
        <v>0</v>
      </c>
    </row>
    <row r="1611" spans="5:10" hidden="1" x14ac:dyDescent="0.25">
      <c r="F1611" s="527">
        <v>542</v>
      </c>
      <c r="G1611" s="520" t="s">
        <v>4223</v>
      </c>
      <c r="J1611" s="595">
        <f t="shared" si="50"/>
        <v>0</v>
      </c>
    </row>
    <row r="1612" spans="5:10" hidden="1" x14ac:dyDescent="0.25">
      <c r="F1612" s="527">
        <v>543</v>
      </c>
      <c r="G1612" s="520" t="s">
        <v>3862</v>
      </c>
      <c r="J1612" s="595">
        <f t="shared" si="50"/>
        <v>0</v>
      </c>
    </row>
    <row r="1613" spans="5:10" ht="30" hidden="1" x14ac:dyDescent="0.25">
      <c r="F1613" s="527">
        <v>551</v>
      </c>
      <c r="G1613" s="520" t="s">
        <v>4198</v>
      </c>
      <c r="J1613" s="595">
        <f t="shared" si="50"/>
        <v>0</v>
      </c>
    </row>
    <row r="1614" spans="5:10" hidden="1" x14ac:dyDescent="0.25">
      <c r="F1614" s="528">
        <v>611</v>
      </c>
      <c r="G1614" s="526" t="s">
        <v>3868</v>
      </c>
      <c r="J1614" s="595">
        <f t="shared" si="50"/>
        <v>0</v>
      </c>
    </row>
    <row r="1615" spans="5:10" ht="15.75" hidden="1" thickBot="1" x14ac:dyDescent="0.3">
      <c r="F1615" s="528">
        <v>620</v>
      </c>
      <c r="G1615" s="526" t="s">
        <v>88</v>
      </c>
      <c r="J1615" s="595">
        <f t="shared" si="50"/>
        <v>0</v>
      </c>
    </row>
    <row r="1616" spans="5:10" hidden="1" x14ac:dyDescent="0.25">
      <c r="E1616" s="517"/>
      <c r="F1616" s="528"/>
      <c r="G1616" s="327" t="s">
        <v>4372</v>
      </c>
      <c r="H1616" s="596"/>
      <c r="I1616" s="622"/>
      <c r="J1616" s="597"/>
    </row>
    <row r="1617" spans="5:10" ht="15.75" hidden="1" thickBot="1" x14ac:dyDescent="0.3">
      <c r="E1617" s="222"/>
      <c r="F1617" s="249" t="s">
        <v>234</v>
      </c>
      <c r="G1617" s="252" t="s">
        <v>235</v>
      </c>
      <c r="H1617" s="598">
        <f>SUM(H1556:H1615)</f>
        <v>0</v>
      </c>
      <c r="I1617" s="599"/>
      <c r="J1617" s="599">
        <f t="shared" ref="J1617:J1632" si="51">SUM(H1617:I1617)</f>
        <v>0</v>
      </c>
    </row>
    <row r="1618" spans="5:10" ht="15.75" hidden="1" thickBot="1" x14ac:dyDescent="0.3">
      <c r="F1618" s="249" t="s">
        <v>236</v>
      </c>
      <c r="G1618" s="252" t="s">
        <v>237</v>
      </c>
      <c r="J1618" s="599">
        <f t="shared" si="51"/>
        <v>0</v>
      </c>
    </row>
    <row r="1619" spans="5:10" ht="15.75" hidden="1" thickBot="1" x14ac:dyDescent="0.3">
      <c r="F1619" s="249" t="s">
        <v>238</v>
      </c>
      <c r="G1619" s="252" t="s">
        <v>239</v>
      </c>
      <c r="J1619" s="599">
        <f t="shared" si="51"/>
        <v>0</v>
      </c>
    </row>
    <row r="1620" spans="5:10" ht="15.75" hidden="1" thickBot="1" x14ac:dyDescent="0.3">
      <c r="F1620" s="249" t="s">
        <v>240</v>
      </c>
      <c r="G1620" s="252" t="s">
        <v>241</v>
      </c>
      <c r="J1620" s="599">
        <f t="shared" si="51"/>
        <v>0</v>
      </c>
    </row>
    <row r="1621" spans="5:10" ht="15.75" hidden="1" thickBot="1" x14ac:dyDescent="0.3">
      <c r="F1621" s="249" t="s">
        <v>242</v>
      </c>
      <c r="G1621" s="252" t="s">
        <v>243</v>
      </c>
      <c r="J1621" s="599">
        <f t="shared" si="51"/>
        <v>0</v>
      </c>
    </row>
    <row r="1622" spans="5:10" ht="15.75" hidden="1" thickBot="1" x14ac:dyDescent="0.3">
      <c r="F1622" s="249" t="s">
        <v>244</v>
      </c>
      <c r="G1622" s="252" t="s">
        <v>245</v>
      </c>
      <c r="J1622" s="599">
        <f t="shared" si="51"/>
        <v>0</v>
      </c>
    </row>
    <row r="1623" spans="5:10" ht="15.75" hidden="1" thickBot="1" x14ac:dyDescent="0.3">
      <c r="F1623" s="249" t="s">
        <v>246</v>
      </c>
      <c r="G1623" s="252" t="s">
        <v>247</v>
      </c>
      <c r="J1623" s="599">
        <f t="shared" si="51"/>
        <v>0</v>
      </c>
    </row>
    <row r="1624" spans="5:10" ht="15.75" hidden="1" thickBot="1" x14ac:dyDescent="0.3">
      <c r="F1624" s="249" t="s">
        <v>248</v>
      </c>
      <c r="G1624" s="252" t="s">
        <v>249</v>
      </c>
      <c r="J1624" s="599">
        <f t="shared" si="51"/>
        <v>0</v>
      </c>
    </row>
    <row r="1625" spans="5:10" ht="15.75" hidden="1" thickBot="1" x14ac:dyDescent="0.3">
      <c r="F1625" s="249" t="s">
        <v>250</v>
      </c>
      <c r="G1625" s="252" t="s">
        <v>57</v>
      </c>
      <c r="J1625" s="599">
        <f t="shared" si="51"/>
        <v>0</v>
      </c>
    </row>
    <row r="1626" spans="5:10" ht="15.75" hidden="1" thickBot="1" x14ac:dyDescent="0.3">
      <c r="F1626" s="249" t="s">
        <v>251</v>
      </c>
      <c r="G1626" s="252" t="s">
        <v>252</v>
      </c>
      <c r="J1626" s="599">
        <f t="shared" si="51"/>
        <v>0</v>
      </c>
    </row>
    <row r="1627" spans="5:10" ht="15.75" hidden="1" thickBot="1" x14ac:dyDescent="0.3">
      <c r="F1627" s="249" t="s">
        <v>253</v>
      </c>
      <c r="G1627" s="252" t="s">
        <v>254</v>
      </c>
      <c r="J1627" s="599">
        <f t="shared" si="51"/>
        <v>0</v>
      </c>
    </row>
    <row r="1628" spans="5:10" ht="30.75" hidden="1" thickBot="1" x14ac:dyDescent="0.3">
      <c r="F1628" s="249" t="s">
        <v>255</v>
      </c>
      <c r="G1628" s="252" t="s">
        <v>256</v>
      </c>
      <c r="J1628" s="599">
        <f t="shared" si="51"/>
        <v>0</v>
      </c>
    </row>
    <row r="1629" spans="5:10" ht="15.75" hidden="1" thickBot="1" x14ac:dyDescent="0.3">
      <c r="F1629" s="249" t="s">
        <v>257</v>
      </c>
      <c r="G1629" s="252" t="s">
        <v>258</v>
      </c>
      <c r="J1629" s="599">
        <f t="shared" si="51"/>
        <v>0</v>
      </c>
    </row>
    <row r="1630" spans="5:10" ht="30.75" hidden="1" thickBot="1" x14ac:dyDescent="0.3">
      <c r="F1630" s="249" t="s">
        <v>259</v>
      </c>
      <c r="G1630" s="252" t="s">
        <v>260</v>
      </c>
      <c r="J1630" s="599">
        <f t="shared" si="51"/>
        <v>0</v>
      </c>
    </row>
    <row r="1631" spans="5:10" ht="15.75" hidden="1" thickBot="1" x14ac:dyDescent="0.3">
      <c r="F1631" s="249" t="s">
        <v>261</v>
      </c>
      <c r="G1631" s="252" t="s">
        <v>262</v>
      </c>
      <c r="J1631" s="599">
        <f t="shared" si="51"/>
        <v>0</v>
      </c>
    </row>
    <row r="1632" spans="5:10" ht="15.75" hidden="1" thickBot="1" x14ac:dyDescent="0.3">
      <c r="F1632" s="249" t="s">
        <v>263</v>
      </c>
      <c r="G1632" s="252" t="s">
        <v>264</v>
      </c>
      <c r="H1632" s="598"/>
      <c r="I1632" s="599"/>
      <c r="J1632" s="599">
        <f t="shared" si="51"/>
        <v>0</v>
      </c>
    </row>
    <row r="1633" spans="5:10" ht="15.75" hidden="1" thickBot="1" x14ac:dyDescent="0.3">
      <c r="G1633" s="229" t="s">
        <v>4373</v>
      </c>
      <c r="H1633" s="600">
        <f>SUM(H1617:H1632)</f>
        <v>0</v>
      </c>
      <c r="I1633" s="601">
        <f>SUM(I1618:I1632)</f>
        <v>0</v>
      </c>
      <c r="J1633" s="601">
        <f>SUM(J1617:J1632)</f>
        <v>0</v>
      </c>
    </row>
    <row r="1634" spans="5:10" hidden="1" collapsed="1" x14ac:dyDescent="0.25">
      <c r="E1634" s="517"/>
      <c r="F1634" s="528"/>
      <c r="G1634" s="231" t="s">
        <v>5102</v>
      </c>
      <c r="H1634" s="602"/>
      <c r="I1634" s="623"/>
      <c r="J1634" s="603"/>
    </row>
    <row r="1635" spans="5:10" ht="15.75" hidden="1" thickBot="1" x14ac:dyDescent="0.3">
      <c r="E1635" s="222"/>
      <c r="F1635" s="249" t="s">
        <v>234</v>
      </c>
      <c r="G1635" s="252" t="s">
        <v>235</v>
      </c>
      <c r="H1635" s="598">
        <f>SUM(H1556:H1615)</f>
        <v>0</v>
      </c>
      <c r="I1635" s="599"/>
      <c r="J1635" s="599">
        <f>SUM(H1635:I1635)</f>
        <v>0</v>
      </c>
    </row>
    <row r="1636" spans="5:10" ht="15.75" hidden="1" thickBot="1" x14ac:dyDescent="0.3">
      <c r="F1636" s="249" t="s">
        <v>236</v>
      </c>
      <c r="G1636" s="252" t="s">
        <v>237</v>
      </c>
      <c r="J1636" s="599">
        <f t="shared" ref="J1636:J1650" si="52">SUM(H1636:I1636)</f>
        <v>0</v>
      </c>
    </row>
    <row r="1637" spans="5:10" ht="15.75" hidden="1" thickBot="1" x14ac:dyDescent="0.3">
      <c r="F1637" s="249" t="s">
        <v>238</v>
      </c>
      <c r="G1637" s="252" t="s">
        <v>239</v>
      </c>
      <c r="J1637" s="599">
        <f t="shared" si="52"/>
        <v>0</v>
      </c>
    </row>
    <row r="1638" spans="5:10" ht="15.75" hidden="1" thickBot="1" x14ac:dyDescent="0.3">
      <c r="F1638" s="249" t="s">
        <v>240</v>
      </c>
      <c r="G1638" s="252" t="s">
        <v>241</v>
      </c>
      <c r="J1638" s="599">
        <f t="shared" si="52"/>
        <v>0</v>
      </c>
    </row>
    <row r="1639" spans="5:10" ht="15.75" hidden="1" thickBot="1" x14ac:dyDescent="0.3">
      <c r="F1639" s="249" t="s">
        <v>242</v>
      </c>
      <c r="G1639" s="252" t="s">
        <v>243</v>
      </c>
      <c r="J1639" s="599">
        <f t="shared" si="52"/>
        <v>0</v>
      </c>
    </row>
    <row r="1640" spans="5:10" ht="15.75" hidden="1" thickBot="1" x14ac:dyDescent="0.3">
      <c r="F1640" s="249" t="s">
        <v>244</v>
      </c>
      <c r="G1640" s="252" t="s">
        <v>245</v>
      </c>
      <c r="J1640" s="599">
        <f t="shared" si="52"/>
        <v>0</v>
      </c>
    </row>
    <row r="1641" spans="5:10" ht="15.75" hidden="1" thickBot="1" x14ac:dyDescent="0.3">
      <c r="F1641" s="249" t="s">
        <v>246</v>
      </c>
      <c r="G1641" s="252" t="s">
        <v>247</v>
      </c>
      <c r="J1641" s="599">
        <f t="shared" si="52"/>
        <v>0</v>
      </c>
    </row>
    <row r="1642" spans="5:10" ht="15.75" hidden="1" thickBot="1" x14ac:dyDescent="0.3">
      <c r="F1642" s="249" t="s">
        <v>248</v>
      </c>
      <c r="G1642" s="252" t="s">
        <v>249</v>
      </c>
      <c r="J1642" s="599">
        <f t="shared" si="52"/>
        <v>0</v>
      </c>
    </row>
    <row r="1643" spans="5:10" ht="15.75" hidden="1" thickBot="1" x14ac:dyDescent="0.3">
      <c r="F1643" s="249" t="s">
        <v>250</v>
      </c>
      <c r="G1643" s="252" t="s">
        <v>57</v>
      </c>
      <c r="J1643" s="599">
        <f t="shared" si="52"/>
        <v>0</v>
      </c>
    </row>
    <row r="1644" spans="5:10" ht="15.75" hidden="1" thickBot="1" x14ac:dyDescent="0.3">
      <c r="F1644" s="249" t="s">
        <v>251</v>
      </c>
      <c r="G1644" s="252" t="s">
        <v>252</v>
      </c>
      <c r="J1644" s="599">
        <f t="shared" si="52"/>
        <v>0</v>
      </c>
    </row>
    <row r="1645" spans="5:10" ht="15.75" hidden="1" thickBot="1" x14ac:dyDescent="0.3">
      <c r="F1645" s="249" t="s">
        <v>253</v>
      </c>
      <c r="G1645" s="252" t="s">
        <v>254</v>
      </c>
      <c r="J1645" s="599">
        <f t="shared" si="52"/>
        <v>0</v>
      </c>
    </row>
    <row r="1646" spans="5:10" ht="30.75" hidden="1" thickBot="1" x14ac:dyDescent="0.3">
      <c r="F1646" s="249" t="s">
        <v>255</v>
      </c>
      <c r="G1646" s="252" t="s">
        <v>256</v>
      </c>
      <c r="J1646" s="599">
        <f t="shared" si="52"/>
        <v>0</v>
      </c>
    </row>
    <row r="1647" spans="5:10" ht="15.75" hidden="1" thickBot="1" x14ac:dyDescent="0.3">
      <c r="F1647" s="249" t="s">
        <v>257</v>
      </c>
      <c r="G1647" s="252" t="s">
        <v>258</v>
      </c>
      <c r="J1647" s="599">
        <f t="shared" si="52"/>
        <v>0</v>
      </c>
    </row>
    <row r="1648" spans="5:10" ht="30.75" hidden="1" thickBot="1" x14ac:dyDescent="0.3">
      <c r="F1648" s="249" t="s">
        <v>259</v>
      </c>
      <c r="G1648" s="252" t="s">
        <v>260</v>
      </c>
      <c r="J1648" s="599">
        <f t="shared" si="52"/>
        <v>0</v>
      </c>
    </row>
    <row r="1649" spans="1:25" ht="15.75" hidden="1" thickBot="1" x14ac:dyDescent="0.3">
      <c r="F1649" s="249" t="s">
        <v>261</v>
      </c>
      <c r="G1649" s="252" t="s">
        <v>262</v>
      </c>
      <c r="J1649" s="599">
        <f t="shared" si="52"/>
        <v>0</v>
      </c>
    </row>
    <row r="1650" spans="1:25" ht="15.75" hidden="1" thickBot="1" x14ac:dyDescent="0.3">
      <c r="F1650" s="249" t="s">
        <v>263</v>
      </c>
      <c r="G1650" s="252" t="s">
        <v>264</v>
      </c>
      <c r="H1650" s="598"/>
      <c r="I1650" s="599"/>
      <c r="J1650" s="599">
        <f t="shared" si="52"/>
        <v>0</v>
      </c>
    </row>
    <row r="1651" spans="1:25" ht="15.75" hidden="1" collapsed="1" thickBot="1" x14ac:dyDescent="0.3">
      <c r="G1651" s="229" t="s">
        <v>5103</v>
      </c>
      <c r="H1651" s="600">
        <f>SUM(H1635:H1650)</f>
        <v>0</v>
      </c>
      <c r="I1651" s="601">
        <f>SUM(I1636:I1650)</f>
        <v>0</v>
      </c>
      <c r="J1651" s="601">
        <f>SUM(J1635:J1650)</f>
        <v>0</v>
      </c>
    </row>
    <row r="1652" spans="1:25" s="88" customFormat="1" hidden="1" x14ac:dyDescent="0.25">
      <c r="A1652" s="509"/>
      <c r="B1652" s="256"/>
      <c r="C1652" s="317"/>
      <c r="E1652" s="251"/>
      <c r="F1652" s="257"/>
      <c r="G1652" s="308"/>
      <c r="H1652" s="627"/>
      <c r="I1652" s="610"/>
      <c r="J1652" s="628"/>
      <c r="K1652" s="533"/>
      <c r="L1652" s="533"/>
      <c r="M1652" s="533"/>
      <c r="N1652" s="268"/>
      <c r="O1652" s="533"/>
      <c r="P1652" s="533"/>
      <c r="Q1652" s="533"/>
      <c r="R1652" s="533"/>
      <c r="S1652" s="533"/>
      <c r="T1652" s="533"/>
      <c r="U1652" s="533"/>
      <c r="V1652" s="533"/>
      <c r="W1652" s="533"/>
      <c r="X1652" s="533"/>
      <c r="Y1652" s="533"/>
    </row>
    <row r="1653" spans="1:25" hidden="1" x14ac:dyDescent="0.25">
      <c r="C1653" s="228" t="s">
        <v>4585</v>
      </c>
      <c r="D1653" s="219"/>
      <c r="G1653" s="511" t="s">
        <v>5104</v>
      </c>
    </row>
    <row r="1654" spans="1:25" hidden="1" x14ac:dyDescent="0.25">
      <c r="C1654" s="228"/>
      <c r="D1654" s="328">
        <v>411</v>
      </c>
      <c r="E1654" s="329"/>
      <c r="F1654" s="329"/>
      <c r="G1654" s="330" t="s">
        <v>135</v>
      </c>
    </row>
    <row r="1655" spans="1:25" hidden="1" x14ac:dyDescent="0.25">
      <c r="F1655" s="527">
        <v>411</v>
      </c>
      <c r="G1655" s="520" t="s">
        <v>4189</v>
      </c>
      <c r="J1655" s="595">
        <f>SUM(H1655:I1655)</f>
        <v>0</v>
      </c>
      <c r="L1655" s="536"/>
      <c r="M1655" s="536"/>
      <c r="N1655" s="273"/>
    </row>
    <row r="1656" spans="1:25" hidden="1" x14ac:dyDescent="0.25">
      <c r="F1656" s="527">
        <v>412</v>
      </c>
      <c r="G1656" s="516" t="s">
        <v>3784</v>
      </c>
      <c r="J1656" s="595">
        <f t="shared" ref="J1656:J1714" si="53">SUM(H1656:I1656)</f>
        <v>0</v>
      </c>
    </row>
    <row r="1657" spans="1:25" hidden="1" x14ac:dyDescent="0.25">
      <c r="F1657" s="527">
        <v>413</v>
      </c>
      <c r="G1657" s="520" t="s">
        <v>4190</v>
      </c>
      <c r="J1657" s="595">
        <f t="shared" si="53"/>
        <v>0</v>
      </c>
    </row>
    <row r="1658" spans="1:25" hidden="1" x14ac:dyDescent="0.25">
      <c r="F1658" s="527">
        <v>414</v>
      </c>
      <c r="G1658" s="520" t="s">
        <v>3787</v>
      </c>
      <c r="J1658" s="595">
        <f t="shared" si="53"/>
        <v>0</v>
      </c>
    </row>
    <row r="1659" spans="1:25" hidden="1" x14ac:dyDescent="0.25">
      <c r="F1659" s="527">
        <v>415</v>
      </c>
      <c r="G1659" s="520" t="s">
        <v>4199</v>
      </c>
      <c r="J1659" s="595">
        <f t="shared" si="53"/>
        <v>0</v>
      </c>
    </row>
    <row r="1660" spans="1:25" hidden="1" x14ac:dyDescent="0.25">
      <c r="F1660" s="527">
        <v>416</v>
      </c>
      <c r="G1660" s="520" t="s">
        <v>4200</v>
      </c>
      <c r="J1660" s="595">
        <f t="shared" si="53"/>
        <v>0</v>
      </c>
    </row>
    <row r="1661" spans="1:25" hidden="1" x14ac:dyDescent="0.25">
      <c r="F1661" s="527">
        <v>417</v>
      </c>
      <c r="G1661" s="520" t="s">
        <v>4201</v>
      </c>
      <c r="J1661" s="595">
        <f t="shared" si="53"/>
        <v>0</v>
      </c>
    </row>
    <row r="1662" spans="1:25" hidden="1" x14ac:dyDescent="0.25">
      <c r="F1662" s="527">
        <v>418</v>
      </c>
      <c r="G1662" s="520" t="s">
        <v>3793</v>
      </c>
      <c r="J1662" s="595">
        <f t="shared" si="53"/>
        <v>0</v>
      </c>
    </row>
    <row r="1663" spans="1:25" hidden="1" x14ac:dyDescent="0.25">
      <c r="F1663" s="527">
        <v>421</v>
      </c>
      <c r="G1663" s="520" t="s">
        <v>3797</v>
      </c>
      <c r="J1663" s="595">
        <f t="shared" si="53"/>
        <v>0</v>
      </c>
    </row>
    <row r="1664" spans="1:25" hidden="1" x14ac:dyDescent="0.25">
      <c r="F1664" s="527">
        <v>422</v>
      </c>
      <c r="G1664" s="520" t="s">
        <v>3798</v>
      </c>
      <c r="J1664" s="595">
        <f t="shared" si="53"/>
        <v>0</v>
      </c>
    </row>
    <row r="1665" spans="6:10" hidden="1" x14ac:dyDescent="0.25">
      <c r="F1665" s="527">
        <v>423</v>
      </c>
      <c r="G1665" s="520" t="s">
        <v>3799</v>
      </c>
      <c r="J1665" s="595">
        <f t="shared" si="53"/>
        <v>0</v>
      </c>
    </row>
    <row r="1666" spans="6:10" hidden="1" x14ac:dyDescent="0.25">
      <c r="F1666" s="527">
        <v>424</v>
      </c>
      <c r="G1666" s="520" t="s">
        <v>3801</v>
      </c>
      <c r="J1666" s="595">
        <f t="shared" si="53"/>
        <v>0</v>
      </c>
    </row>
    <row r="1667" spans="6:10" hidden="1" x14ac:dyDescent="0.25">
      <c r="F1667" s="527">
        <v>425</v>
      </c>
      <c r="G1667" s="520" t="s">
        <v>4202</v>
      </c>
      <c r="J1667" s="595">
        <f t="shared" si="53"/>
        <v>0</v>
      </c>
    </row>
    <row r="1668" spans="6:10" hidden="1" x14ac:dyDescent="0.25">
      <c r="F1668" s="527">
        <v>426</v>
      </c>
      <c r="G1668" s="520" t="s">
        <v>3805</v>
      </c>
      <c r="J1668" s="595">
        <f t="shared" si="53"/>
        <v>0</v>
      </c>
    </row>
    <row r="1669" spans="6:10" hidden="1" x14ac:dyDescent="0.25">
      <c r="F1669" s="527">
        <v>431</v>
      </c>
      <c r="G1669" s="520" t="s">
        <v>4203</v>
      </c>
      <c r="J1669" s="595">
        <f t="shared" si="53"/>
        <v>0</v>
      </c>
    </row>
    <row r="1670" spans="6:10" hidden="1" x14ac:dyDescent="0.25">
      <c r="F1670" s="527">
        <v>432</v>
      </c>
      <c r="G1670" s="520" t="s">
        <v>4204</v>
      </c>
      <c r="J1670" s="595">
        <f t="shared" si="53"/>
        <v>0</v>
      </c>
    </row>
    <row r="1671" spans="6:10" hidden="1" x14ac:dyDescent="0.25">
      <c r="F1671" s="527">
        <v>433</v>
      </c>
      <c r="G1671" s="520" t="s">
        <v>4205</v>
      </c>
      <c r="J1671" s="595">
        <f t="shared" si="53"/>
        <v>0</v>
      </c>
    </row>
    <row r="1672" spans="6:10" hidden="1" x14ac:dyDescent="0.25">
      <c r="F1672" s="527">
        <v>434</v>
      </c>
      <c r="G1672" s="520" t="s">
        <v>4206</v>
      </c>
      <c r="J1672" s="595">
        <f t="shared" si="53"/>
        <v>0</v>
      </c>
    </row>
    <row r="1673" spans="6:10" hidden="1" x14ac:dyDescent="0.25">
      <c r="F1673" s="527">
        <v>435</v>
      </c>
      <c r="G1673" s="520" t="s">
        <v>3812</v>
      </c>
      <c r="J1673" s="595">
        <f t="shared" si="53"/>
        <v>0</v>
      </c>
    </row>
    <row r="1674" spans="6:10" hidden="1" x14ac:dyDescent="0.25">
      <c r="F1674" s="527">
        <v>441</v>
      </c>
      <c r="G1674" s="520" t="s">
        <v>4207</v>
      </c>
      <c r="J1674" s="595">
        <f t="shared" si="53"/>
        <v>0</v>
      </c>
    </row>
    <row r="1675" spans="6:10" hidden="1" x14ac:dyDescent="0.25">
      <c r="F1675" s="527">
        <v>442</v>
      </c>
      <c r="G1675" s="520" t="s">
        <v>4208</v>
      </c>
      <c r="J1675" s="595">
        <f t="shared" si="53"/>
        <v>0</v>
      </c>
    </row>
    <row r="1676" spans="6:10" hidden="1" x14ac:dyDescent="0.25">
      <c r="F1676" s="527">
        <v>443</v>
      </c>
      <c r="G1676" s="520" t="s">
        <v>3817</v>
      </c>
      <c r="J1676" s="595">
        <f t="shared" si="53"/>
        <v>0</v>
      </c>
    </row>
    <row r="1677" spans="6:10" hidden="1" x14ac:dyDescent="0.25">
      <c r="F1677" s="527">
        <v>444</v>
      </c>
      <c r="G1677" s="520" t="s">
        <v>3818</v>
      </c>
      <c r="J1677" s="595">
        <f t="shared" si="53"/>
        <v>0</v>
      </c>
    </row>
    <row r="1678" spans="6:10" ht="30" hidden="1" x14ac:dyDescent="0.25">
      <c r="F1678" s="527">
        <v>4511</v>
      </c>
      <c r="G1678" s="223" t="s">
        <v>1692</v>
      </c>
      <c r="J1678" s="595">
        <f t="shared" si="53"/>
        <v>0</v>
      </c>
    </row>
    <row r="1679" spans="6:10" ht="30" hidden="1" x14ac:dyDescent="0.25">
      <c r="F1679" s="527">
        <v>4512</v>
      </c>
      <c r="G1679" s="223" t="s">
        <v>1701</v>
      </c>
      <c r="J1679" s="595">
        <f t="shared" si="53"/>
        <v>0</v>
      </c>
    </row>
    <row r="1680" spans="6:10" hidden="1" x14ac:dyDescent="0.25">
      <c r="F1680" s="527">
        <v>452</v>
      </c>
      <c r="G1680" s="520" t="s">
        <v>4209</v>
      </c>
      <c r="J1680" s="595">
        <f t="shared" si="53"/>
        <v>0</v>
      </c>
    </row>
    <row r="1681" spans="6:10" hidden="1" x14ac:dyDescent="0.25">
      <c r="F1681" s="527">
        <v>453</v>
      </c>
      <c r="G1681" s="520" t="s">
        <v>4210</v>
      </c>
      <c r="J1681" s="595">
        <f t="shared" si="53"/>
        <v>0</v>
      </c>
    </row>
    <row r="1682" spans="6:10" hidden="1" x14ac:dyDescent="0.25">
      <c r="F1682" s="527">
        <v>454</v>
      </c>
      <c r="G1682" s="520" t="s">
        <v>3823</v>
      </c>
      <c r="J1682" s="595">
        <f t="shared" si="53"/>
        <v>0</v>
      </c>
    </row>
    <row r="1683" spans="6:10" hidden="1" x14ac:dyDescent="0.25">
      <c r="F1683" s="527">
        <v>461</v>
      </c>
      <c r="G1683" s="520" t="s">
        <v>4191</v>
      </c>
      <c r="J1683" s="595">
        <f t="shared" si="53"/>
        <v>0</v>
      </c>
    </row>
    <row r="1684" spans="6:10" hidden="1" x14ac:dyDescent="0.25">
      <c r="F1684" s="527">
        <v>462</v>
      </c>
      <c r="G1684" s="520" t="s">
        <v>3826</v>
      </c>
      <c r="J1684" s="595">
        <f t="shared" si="53"/>
        <v>0</v>
      </c>
    </row>
    <row r="1685" spans="6:10" ht="15.75" hidden="1" thickBot="1" x14ac:dyDescent="0.3">
      <c r="F1685" s="527">
        <v>4631</v>
      </c>
      <c r="G1685" s="520" t="s">
        <v>3827</v>
      </c>
      <c r="J1685" s="595">
        <f t="shared" si="53"/>
        <v>0</v>
      </c>
    </row>
    <row r="1686" spans="6:10" ht="15.75" hidden="1" thickBot="1" x14ac:dyDescent="0.3">
      <c r="F1686" s="527">
        <v>4632</v>
      </c>
      <c r="G1686" s="520" t="s">
        <v>3828</v>
      </c>
      <c r="J1686" s="595">
        <f t="shared" si="53"/>
        <v>0</v>
      </c>
    </row>
    <row r="1687" spans="6:10" ht="15.75" hidden="1" thickBot="1" x14ac:dyDescent="0.3">
      <c r="F1687" s="527">
        <v>464</v>
      </c>
      <c r="G1687" s="520" t="s">
        <v>3829</v>
      </c>
      <c r="J1687" s="595">
        <f t="shared" si="53"/>
        <v>0</v>
      </c>
    </row>
    <row r="1688" spans="6:10" ht="15.75" hidden="1" thickBot="1" x14ac:dyDescent="0.3">
      <c r="F1688" s="527">
        <v>465</v>
      </c>
      <c r="G1688" s="520" t="s">
        <v>4192</v>
      </c>
      <c r="J1688" s="595">
        <f t="shared" si="53"/>
        <v>0</v>
      </c>
    </row>
    <row r="1689" spans="6:10" ht="15.75" hidden="1" thickBot="1" x14ac:dyDescent="0.3">
      <c r="F1689" s="527">
        <v>472</v>
      </c>
      <c r="G1689" s="520" t="s">
        <v>3833</v>
      </c>
      <c r="J1689" s="595">
        <f t="shared" si="53"/>
        <v>0</v>
      </c>
    </row>
    <row r="1690" spans="6:10" ht="15.75" hidden="1" thickBot="1" x14ac:dyDescent="0.3">
      <c r="F1690" s="527">
        <v>481</v>
      </c>
      <c r="G1690" s="520" t="s">
        <v>4211</v>
      </c>
      <c r="J1690" s="595">
        <f t="shared" si="53"/>
        <v>0</v>
      </c>
    </row>
    <row r="1691" spans="6:10" ht="15.75" hidden="1" thickBot="1" x14ac:dyDescent="0.3">
      <c r="F1691" s="527">
        <v>482</v>
      </c>
      <c r="G1691" s="520" t="s">
        <v>4212</v>
      </c>
      <c r="J1691" s="595">
        <f t="shared" si="53"/>
        <v>0</v>
      </c>
    </row>
    <row r="1692" spans="6:10" ht="15.75" hidden="1" thickBot="1" x14ac:dyDescent="0.3">
      <c r="F1692" s="527">
        <v>483</v>
      </c>
      <c r="G1692" s="524" t="s">
        <v>4213</v>
      </c>
      <c r="J1692" s="595">
        <f t="shared" si="53"/>
        <v>0</v>
      </c>
    </row>
    <row r="1693" spans="6:10" ht="30.75" hidden="1" thickBot="1" x14ac:dyDescent="0.3">
      <c r="F1693" s="527">
        <v>484</v>
      </c>
      <c r="G1693" s="520" t="s">
        <v>4214</v>
      </c>
      <c r="J1693" s="595">
        <f t="shared" si="53"/>
        <v>0</v>
      </c>
    </row>
    <row r="1694" spans="6:10" ht="30.75" hidden="1" thickBot="1" x14ac:dyDescent="0.3">
      <c r="F1694" s="527">
        <v>485</v>
      </c>
      <c r="G1694" s="520" t="s">
        <v>4215</v>
      </c>
      <c r="J1694" s="595">
        <f t="shared" si="53"/>
        <v>0</v>
      </c>
    </row>
    <row r="1695" spans="6:10" ht="30.75" hidden="1" thickBot="1" x14ac:dyDescent="0.3">
      <c r="F1695" s="527">
        <v>489</v>
      </c>
      <c r="G1695" s="520" t="s">
        <v>3841</v>
      </c>
      <c r="J1695" s="595">
        <f t="shared" si="53"/>
        <v>0</v>
      </c>
    </row>
    <row r="1696" spans="6:10" ht="15.75" hidden="1" thickBot="1" x14ac:dyDescent="0.3">
      <c r="F1696" s="527">
        <v>494</v>
      </c>
      <c r="G1696" s="520" t="s">
        <v>4193</v>
      </c>
      <c r="J1696" s="595">
        <f t="shared" si="53"/>
        <v>0</v>
      </c>
    </row>
    <row r="1697" spans="6:10" ht="30.75" hidden="1" thickBot="1" x14ac:dyDescent="0.3">
      <c r="F1697" s="527">
        <v>495</v>
      </c>
      <c r="G1697" s="520" t="s">
        <v>4194</v>
      </c>
      <c r="J1697" s="595">
        <f t="shared" si="53"/>
        <v>0</v>
      </c>
    </row>
    <row r="1698" spans="6:10" ht="30.75" hidden="1" thickBot="1" x14ac:dyDescent="0.3">
      <c r="F1698" s="527">
        <v>496</v>
      </c>
      <c r="G1698" s="520" t="s">
        <v>4195</v>
      </c>
      <c r="J1698" s="595">
        <f t="shared" si="53"/>
        <v>0</v>
      </c>
    </row>
    <row r="1699" spans="6:10" ht="15.75" hidden="1" thickBot="1" x14ac:dyDescent="0.3">
      <c r="F1699" s="527">
        <v>499</v>
      </c>
      <c r="G1699" s="520" t="s">
        <v>4196</v>
      </c>
      <c r="J1699" s="595">
        <f t="shared" si="53"/>
        <v>0</v>
      </c>
    </row>
    <row r="1700" spans="6:10" ht="15.75" hidden="1" thickBot="1" x14ac:dyDescent="0.3">
      <c r="F1700" s="527">
        <v>511</v>
      </c>
      <c r="G1700" s="524" t="s">
        <v>4216</v>
      </c>
      <c r="J1700" s="595">
        <f t="shared" si="53"/>
        <v>0</v>
      </c>
    </row>
    <row r="1701" spans="6:10" ht="15.75" hidden="1" thickBot="1" x14ac:dyDescent="0.3">
      <c r="F1701" s="527">
        <v>512</v>
      </c>
      <c r="G1701" s="524" t="s">
        <v>4217</v>
      </c>
      <c r="J1701" s="595">
        <f t="shared" si="53"/>
        <v>0</v>
      </c>
    </row>
    <row r="1702" spans="6:10" ht="15.75" hidden="1" thickBot="1" x14ac:dyDescent="0.3">
      <c r="F1702" s="527">
        <v>513</v>
      </c>
      <c r="G1702" s="524" t="s">
        <v>4218</v>
      </c>
      <c r="J1702" s="595">
        <f t="shared" si="53"/>
        <v>0</v>
      </c>
    </row>
    <row r="1703" spans="6:10" ht="15.75" hidden="1" thickBot="1" x14ac:dyDescent="0.3">
      <c r="F1703" s="527">
        <v>514</v>
      </c>
      <c r="G1703" s="520" t="s">
        <v>4219</v>
      </c>
      <c r="J1703" s="595">
        <f t="shared" si="53"/>
        <v>0</v>
      </c>
    </row>
    <row r="1704" spans="6:10" ht="15.75" hidden="1" thickBot="1" x14ac:dyDescent="0.3">
      <c r="F1704" s="527">
        <v>515</v>
      </c>
      <c r="G1704" s="520" t="s">
        <v>3852</v>
      </c>
      <c r="J1704" s="595">
        <f t="shared" si="53"/>
        <v>0</v>
      </c>
    </row>
    <row r="1705" spans="6:10" ht="15.75" hidden="1" thickBot="1" x14ac:dyDescent="0.3">
      <c r="F1705" s="527">
        <v>521</v>
      </c>
      <c r="G1705" s="520" t="s">
        <v>4220</v>
      </c>
      <c r="J1705" s="595">
        <f t="shared" si="53"/>
        <v>0</v>
      </c>
    </row>
    <row r="1706" spans="6:10" ht="15.75" hidden="1" thickBot="1" x14ac:dyDescent="0.3">
      <c r="F1706" s="527">
        <v>522</v>
      </c>
      <c r="G1706" s="520" t="s">
        <v>4221</v>
      </c>
      <c r="J1706" s="595">
        <f t="shared" si="53"/>
        <v>0</v>
      </c>
    </row>
    <row r="1707" spans="6:10" ht="15.75" hidden="1" thickBot="1" x14ac:dyDescent="0.3">
      <c r="F1707" s="527">
        <v>523</v>
      </c>
      <c r="G1707" s="520" t="s">
        <v>3857</v>
      </c>
      <c r="J1707" s="595">
        <f t="shared" si="53"/>
        <v>0</v>
      </c>
    </row>
    <row r="1708" spans="6:10" ht="15.75" hidden="1" thickBot="1" x14ac:dyDescent="0.3">
      <c r="F1708" s="527">
        <v>531</v>
      </c>
      <c r="G1708" s="516" t="s">
        <v>4197</v>
      </c>
      <c r="J1708" s="595">
        <f t="shared" si="53"/>
        <v>0</v>
      </c>
    </row>
    <row r="1709" spans="6:10" ht="15.75" hidden="1" thickBot="1" x14ac:dyDescent="0.3">
      <c r="F1709" s="527">
        <v>541</v>
      </c>
      <c r="G1709" s="520" t="s">
        <v>4222</v>
      </c>
      <c r="J1709" s="595">
        <f t="shared" si="53"/>
        <v>0</v>
      </c>
    </row>
    <row r="1710" spans="6:10" ht="15.75" hidden="1" thickBot="1" x14ac:dyDescent="0.3">
      <c r="F1710" s="527">
        <v>542</v>
      </c>
      <c r="G1710" s="520" t="s">
        <v>4223</v>
      </c>
      <c r="J1710" s="595">
        <f t="shared" si="53"/>
        <v>0</v>
      </c>
    </row>
    <row r="1711" spans="6:10" ht="15.75" hidden="1" thickBot="1" x14ac:dyDescent="0.3">
      <c r="F1711" s="527">
        <v>543</v>
      </c>
      <c r="G1711" s="520" t="s">
        <v>3862</v>
      </c>
      <c r="J1711" s="595">
        <f t="shared" si="53"/>
        <v>0</v>
      </c>
    </row>
    <row r="1712" spans="6:10" ht="30.75" hidden="1" thickBot="1" x14ac:dyDescent="0.3">
      <c r="F1712" s="527">
        <v>551</v>
      </c>
      <c r="G1712" s="520" t="s">
        <v>4198</v>
      </c>
      <c r="J1712" s="595">
        <f t="shared" si="53"/>
        <v>0</v>
      </c>
    </row>
    <row r="1713" spans="5:10" ht="15.75" hidden="1" thickBot="1" x14ac:dyDescent="0.3">
      <c r="F1713" s="528">
        <v>611</v>
      </c>
      <c r="G1713" s="526" t="s">
        <v>3868</v>
      </c>
      <c r="J1713" s="595">
        <f t="shared" si="53"/>
        <v>0</v>
      </c>
    </row>
    <row r="1714" spans="5:10" ht="15.75" hidden="1" thickBot="1" x14ac:dyDescent="0.3">
      <c r="F1714" s="528">
        <v>620</v>
      </c>
      <c r="G1714" s="526" t="s">
        <v>88</v>
      </c>
      <c r="J1714" s="595">
        <f t="shared" si="53"/>
        <v>0</v>
      </c>
    </row>
    <row r="1715" spans="5:10" hidden="1" x14ac:dyDescent="0.25">
      <c r="E1715" s="517"/>
      <c r="F1715" s="528"/>
      <c r="G1715" s="327" t="s">
        <v>4372</v>
      </c>
      <c r="H1715" s="596"/>
      <c r="I1715" s="622"/>
      <c r="J1715" s="597"/>
    </row>
    <row r="1716" spans="5:10" ht="15.75" hidden="1" thickBot="1" x14ac:dyDescent="0.3">
      <c r="E1716" s="222"/>
      <c r="F1716" s="249" t="s">
        <v>234</v>
      </c>
      <c r="G1716" s="252" t="s">
        <v>235</v>
      </c>
      <c r="H1716" s="598">
        <f>SUM(H1655:H1714)</f>
        <v>0</v>
      </c>
      <c r="I1716" s="599"/>
      <c r="J1716" s="599">
        <f t="shared" ref="J1716:J1731" si="54">SUM(H1716:I1716)</f>
        <v>0</v>
      </c>
    </row>
    <row r="1717" spans="5:10" ht="15.75" hidden="1" thickBot="1" x14ac:dyDescent="0.3">
      <c r="F1717" s="249" t="s">
        <v>236</v>
      </c>
      <c r="G1717" s="252" t="s">
        <v>237</v>
      </c>
      <c r="J1717" s="599">
        <f t="shared" si="54"/>
        <v>0</v>
      </c>
    </row>
    <row r="1718" spans="5:10" ht="15.75" hidden="1" thickBot="1" x14ac:dyDescent="0.3">
      <c r="F1718" s="249" t="s">
        <v>238</v>
      </c>
      <c r="G1718" s="252" t="s">
        <v>239</v>
      </c>
      <c r="J1718" s="599">
        <f t="shared" si="54"/>
        <v>0</v>
      </c>
    </row>
    <row r="1719" spans="5:10" ht="15.75" hidden="1" thickBot="1" x14ac:dyDescent="0.3">
      <c r="F1719" s="249" t="s">
        <v>240</v>
      </c>
      <c r="G1719" s="252" t="s">
        <v>241</v>
      </c>
      <c r="J1719" s="599">
        <f t="shared" si="54"/>
        <v>0</v>
      </c>
    </row>
    <row r="1720" spans="5:10" ht="15.75" hidden="1" thickBot="1" x14ac:dyDescent="0.3">
      <c r="F1720" s="249" t="s">
        <v>242</v>
      </c>
      <c r="G1720" s="252" t="s">
        <v>243</v>
      </c>
      <c r="J1720" s="599">
        <f t="shared" si="54"/>
        <v>0</v>
      </c>
    </row>
    <row r="1721" spans="5:10" ht="15.75" hidden="1" thickBot="1" x14ac:dyDescent="0.3">
      <c r="F1721" s="249" t="s">
        <v>244</v>
      </c>
      <c r="G1721" s="252" t="s">
        <v>245</v>
      </c>
      <c r="J1721" s="599">
        <f t="shared" si="54"/>
        <v>0</v>
      </c>
    </row>
    <row r="1722" spans="5:10" ht="15.75" hidden="1" thickBot="1" x14ac:dyDescent="0.3">
      <c r="F1722" s="249" t="s">
        <v>246</v>
      </c>
      <c r="G1722" s="252" t="s">
        <v>247</v>
      </c>
      <c r="J1722" s="599">
        <f t="shared" si="54"/>
        <v>0</v>
      </c>
    </row>
    <row r="1723" spans="5:10" ht="15.75" hidden="1" thickBot="1" x14ac:dyDescent="0.3">
      <c r="F1723" s="249" t="s">
        <v>248</v>
      </c>
      <c r="G1723" s="252" t="s">
        <v>249</v>
      </c>
      <c r="J1723" s="599">
        <f t="shared" si="54"/>
        <v>0</v>
      </c>
    </row>
    <row r="1724" spans="5:10" ht="15.75" hidden="1" thickBot="1" x14ac:dyDescent="0.3">
      <c r="F1724" s="249" t="s">
        <v>250</v>
      </c>
      <c r="G1724" s="252" t="s">
        <v>57</v>
      </c>
      <c r="J1724" s="599">
        <f t="shared" si="54"/>
        <v>0</v>
      </c>
    </row>
    <row r="1725" spans="5:10" ht="15.75" hidden="1" thickBot="1" x14ac:dyDescent="0.3">
      <c r="F1725" s="249" t="s">
        <v>251</v>
      </c>
      <c r="G1725" s="252" t="s">
        <v>252</v>
      </c>
      <c r="J1725" s="599">
        <f t="shared" si="54"/>
        <v>0</v>
      </c>
    </row>
    <row r="1726" spans="5:10" ht="15.75" hidden="1" thickBot="1" x14ac:dyDescent="0.3">
      <c r="F1726" s="249" t="s">
        <v>253</v>
      </c>
      <c r="G1726" s="252" t="s">
        <v>254</v>
      </c>
      <c r="J1726" s="599">
        <f t="shared" si="54"/>
        <v>0</v>
      </c>
    </row>
    <row r="1727" spans="5:10" ht="30.75" hidden="1" thickBot="1" x14ac:dyDescent="0.3">
      <c r="F1727" s="249" t="s">
        <v>255</v>
      </c>
      <c r="G1727" s="252" t="s">
        <v>256</v>
      </c>
      <c r="J1727" s="599">
        <f t="shared" si="54"/>
        <v>0</v>
      </c>
    </row>
    <row r="1728" spans="5:10" ht="15.75" hidden="1" thickBot="1" x14ac:dyDescent="0.3">
      <c r="F1728" s="249" t="s">
        <v>257</v>
      </c>
      <c r="G1728" s="252" t="s">
        <v>258</v>
      </c>
      <c r="J1728" s="599">
        <f t="shared" si="54"/>
        <v>0</v>
      </c>
    </row>
    <row r="1729" spans="5:10" ht="30.75" hidden="1" thickBot="1" x14ac:dyDescent="0.3">
      <c r="F1729" s="249" t="s">
        <v>259</v>
      </c>
      <c r="G1729" s="252" t="s">
        <v>260</v>
      </c>
      <c r="J1729" s="599">
        <f t="shared" si="54"/>
        <v>0</v>
      </c>
    </row>
    <row r="1730" spans="5:10" ht="15.75" hidden="1" thickBot="1" x14ac:dyDescent="0.3">
      <c r="F1730" s="249" t="s">
        <v>261</v>
      </c>
      <c r="G1730" s="252" t="s">
        <v>262</v>
      </c>
      <c r="J1730" s="599">
        <f t="shared" si="54"/>
        <v>0</v>
      </c>
    </row>
    <row r="1731" spans="5:10" ht="15.75" hidden="1" thickBot="1" x14ac:dyDescent="0.3">
      <c r="F1731" s="249" t="s">
        <v>263</v>
      </c>
      <c r="G1731" s="252" t="s">
        <v>264</v>
      </c>
      <c r="H1731" s="598"/>
      <c r="I1731" s="599"/>
      <c r="J1731" s="599">
        <f t="shared" si="54"/>
        <v>0</v>
      </c>
    </row>
    <row r="1732" spans="5:10" ht="15.75" hidden="1" thickBot="1" x14ac:dyDescent="0.3">
      <c r="G1732" s="229" t="s">
        <v>4373</v>
      </c>
      <c r="H1732" s="600">
        <f>SUM(H1716:H1731)</f>
        <v>0</v>
      </c>
      <c r="I1732" s="601">
        <f>SUM(I1717:I1731)</f>
        <v>0</v>
      </c>
      <c r="J1732" s="601">
        <f>SUM(J1716:J1731)</f>
        <v>0</v>
      </c>
    </row>
    <row r="1733" spans="5:10" hidden="1" collapsed="1" x14ac:dyDescent="0.25">
      <c r="E1733" s="517"/>
      <c r="F1733" s="528"/>
      <c r="G1733" s="231" t="s">
        <v>5102</v>
      </c>
      <c r="H1733" s="602"/>
      <c r="I1733" s="623"/>
      <c r="J1733" s="603"/>
    </row>
    <row r="1734" spans="5:10" ht="15.75" hidden="1" thickBot="1" x14ac:dyDescent="0.3">
      <c r="E1734" s="222"/>
      <c r="F1734" s="249" t="s">
        <v>234</v>
      </c>
      <c r="G1734" s="252" t="s">
        <v>235</v>
      </c>
      <c r="H1734" s="598">
        <f>SUM(H1655:H1714)</f>
        <v>0</v>
      </c>
      <c r="I1734" s="599"/>
      <c r="J1734" s="599">
        <f>SUM(H1734:I1734)</f>
        <v>0</v>
      </c>
    </row>
    <row r="1735" spans="5:10" ht="15.75" hidden="1" thickBot="1" x14ac:dyDescent="0.3">
      <c r="F1735" s="249" t="s">
        <v>236</v>
      </c>
      <c r="G1735" s="252" t="s">
        <v>237</v>
      </c>
      <c r="J1735" s="599">
        <f t="shared" ref="J1735:J1749" si="55">SUM(H1735:I1735)</f>
        <v>0</v>
      </c>
    </row>
    <row r="1736" spans="5:10" ht="15.75" hidden="1" thickBot="1" x14ac:dyDescent="0.3">
      <c r="F1736" s="249" t="s">
        <v>238</v>
      </c>
      <c r="G1736" s="252" t="s">
        <v>239</v>
      </c>
      <c r="J1736" s="599">
        <f t="shared" si="55"/>
        <v>0</v>
      </c>
    </row>
    <row r="1737" spans="5:10" ht="15.75" hidden="1" thickBot="1" x14ac:dyDescent="0.3">
      <c r="F1737" s="249" t="s">
        <v>240</v>
      </c>
      <c r="G1737" s="252" t="s">
        <v>241</v>
      </c>
      <c r="J1737" s="599">
        <f t="shared" si="55"/>
        <v>0</v>
      </c>
    </row>
    <row r="1738" spans="5:10" ht="15.75" hidden="1" thickBot="1" x14ac:dyDescent="0.3">
      <c r="F1738" s="249" t="s">
        <v>242</v>
      </c>
      <c r="G1738" s="252" t="s">
        <v>243</v>
      </c>
      <c r="J1738" s="599">
        <f t="shared" si="55"/>
        <v>0</v>
      </c>
    </row>
    <row r="1739" spans="5:10" ht="15.75" hidden="1" thickBot="1" x14ac:dyDescent="0.3">
      <c r="F1739" s="249" t="s">
        <v>244</v>
      </c>
      <c r="G1739" s="252" t="s">
        <v>245</v>
      </c>
      <c r="J1739" s="599">
        <f t="shared" si="55"/>
        <v>0</v>
      </c>
    </row>
    <row r="1740" spans="5:10" ht="15.75" hidden="1" thickBot="1" x14ac:dyDescent="0.3">
      <c r="F1740" s="249" t="s">
        <v>246</v>
      </c>
      <c r="G1740" s="252" t="s">
        <v>247</v>
      </c>
      <c r="J1740" s="599">
        <f t="shared" si="55"/>
        <v>0</v>
      </c>
    </row>
    <row r="1741" spans="5:10" ht="15.75" hidden="1" thickBot="1" x14ac:dyDescent="0.3">
      <c r="F1741" s="249" t="s">
        <v>248</v>
      </c>
      <c r="G1741" s="252" t="s">
        <v>249</v>
      </c>
      <c r="J1741" s="599">
        <f t="shared" si="55"/>
        <v>0</v>
      </c>
    </row>
    <row r="1742" spans="5:10" ht="15.75" hidden="1" thickBot="1" x14ac:dyDescent="0.3">
      <c r="F1742" s="249" t="s">
        <v>250</v>
      </c>
      <c r="G1742" s="252" t="s">
        <v>57</v>
      </c>
      <c r="J1742" s="599">
        <f t="shared" si="55"/>
        <v>0</v>
      </c>
    </row>
    <row r="1743" spans="5:10" ht="15.75" hidden="1" thickBot="1" x14ac:dyDescent="0.3">
      <c r="F1743" s="249" t="s">
        <v>251</v>
      </c>
      <c r="G1743" s="252" t="s">
        <v>252</v>
      </c>
      <c r="J1743" s="599">
        <f t="shared" si="55"/>
        <v>0</v>
      </c>
    </row>
    <row r="1744" spans="5:10" ht="15.75" hidden="1" thickBot="1" x14ac:dyDescent="0.3">
      <c r="F1744" s="249" t="s">
        <v>253</v>
      </c>
      <c r="G1744" s="252" t="s">
        <v>254</v>
      </c>
      <c r="J1744" s="599">
        <f t="shared" si="55"/>
        <v>0</v>
      </c>
    </row>
    <row r="1745" spans="1:25" ht="30.75" hidden="1" thickBot="1" x14ac:dyDescent="0.3">
      <c r="F1745" s="249" t="s">
        <v>255</v>
      </c>
      <c r="G1745" s="252" t="s">
        <v>256</v>
      </c>
      <c r="J1745" s="599">
        <f t="shared" si="55"/>
        <v>0</v>
      </c>
    </row>
    <row r="1746" spans="1:25" ht="15.75" hidden="1" thickBot="1" x14ac:dyDescent="0.3">
      <c r="F1746" s="249" t="s">
        <v>257</v>
      </c>
      <c r="G1746" s="252" t="s">
        <v>258</v>
      </c>
      <c r="J1746" s="599">
        <f t="shared" si="55"/>
        <v>0</v>
      </c>
    </row>
    <row r="1747" spans="1:25" ht="30.75" hidden="1" thickBot="1" x14ac:dyDescent="0.3">
      <c r="F1747" s="249" t="s">
        <v>259</v>
      </c>
      <c r="G1747" s="252" t="s">
        <v>260</v>
      </c>
      <c r="J1747" s="599">
        <f t="shared" si="55"/>
        <v>0</v>
      </c>
    </row>
    <row r="1748" spans="1:25" ht="15.75" hidden="1" thickBot="1" x14ac:dyDescent="0.3">
      <c r="F1748" s="249" t="s">
        <v>261</v>
      </c>
      <c r="G1748" s="252" t="s">
        <v>262</v>
      </c>
      <c r="J1748" s="599">
        <f t="shared" si="55"/>
        <v>0</v>
      </c>
    </row>
    <row r="1749" spans="1:25" ht="15.75" hidden="1" thickBot="1" x14ac:dyDescent="0.3">
      <c r="F1749" s="249" t="s">
        <v>263</v>
      </c>
      <c r="G1749" s="252" t="s">
        <v>264</v>
      </c>
      <c r="H1749" s="598"/>
      <c r="I1749" s="599"/>
      <c r="J1749" s="599">
        <f t="shared" si="55"/>
        <v>0</v>
      </c>
    </row>
    <row r="1750" spans="1:25" ht="15.75" hidden="1" collapsed="1" thickBot="1" x14ac:dyDescent="0.3">
      <c r="G1750" s="229" t="s">
        <v>5103</v>
      </c>
      <c r="H1750" s="600">
        <f>SUM(H1734:H1749)</f>
        <v>0</v>
      </c>
      <c r="I1750" s="601">
        <f>SUM(I1735:I1749)</f>
        <v>0</v>
      </c>
      <c r="J1750" s="601">
        <f>SUM(J1734:J1749)</f>
        <v>0</v>
      </c>
    </row>
    <row r="1751" spans="1:25" s="88" customFormat="1" hidden="1" x14ac:dyDescent="0.25">
      <c r="A1751" s="509"/>
      <c r="B1751" s="256"/>
      <c r="C1751" s="317"/>
      <c r="E1751" s="251"/>
      <c r="F1751" s="257"/>
      <c r="G1751" s="308"/>
      <c r="H1751" s="627"/>
      <c r="I1751" s="610"/>
      <c r="J1751" s="628"/>
      <c r="K1751" s="533"/>
      <c r="L1751" s="533"/>
      <c r="M1751" s="533"/>
      <c r="N1751" s="268"/>
      <c r="O1751" s="533"/>
      <c r="P1751" s="533"/>
      <c r="Q1751" s="533"/>
      <c r="R1751" s="533"/>
      <c r="S1751" s="533"/>
      <c r="T1751" s="533"/>
      <c r="U1751" s="533"/>
      <c r="V1751" s="533"/>
      <c r="W1751" s="533"/>
      <c r="X1751" s="533"/>
      <c r="Y1751" s="533"/>
    </row>
    <row r="1752" spans="1:25" s="88" customFormat="1" hidden="1" x14ac:dyDescent="0.25">
      <c r="A1752" s="261"/>
      <c r="B1752" s="256"/>
      <c r="C1752" s="316"/>
      <c r="D1752" s="251"/>
      <c r="E1752" s="251"/>
      <c r="F1752" s="264"/>
      <c r="G1752" s="250" t="s">
        <v>4286</v>
      </c>
      <c r="H1752" s="606"/>
      <c r="I1752" s="624"/>
      <c r="J1752" s="607"/>
      <c r="K1752" s="533"/>
      <c r="L1752" s="533"/>
      <c r="M1752" s="533"/>
      <c r="N1752" s="533"/>
      <c r="O1752" s="533"/>
      <c r="P1752" s="533"/>
      <c r="Q1752" s="533"/>
      <c r="R1752" s="533"/>
      <c r="S1752" s="533"/>
      <c r="T1752" s="533"/>
      <c r="U1752" s="533"/>
      <c r="V1752" s="533"/>
      <c r="W1752" s="533"/>
      <c r="X1752" s="533"/>
      <c r="Y1752" s="533"/>
    </row>
    <row r="1753" spans="1:25" s="88" customFormat="1" ht="15.75" hidden="1" thickBot="1" x14ac:dyDescent="0.3">
      <c r="A1753" s="261"/>
      <c r="B1753" s="256"/>
      <c r="C1753" s="316"/>
      <c r="D1753" s="251"/>
      <c r="E1753" s="251"/>
      <c r="F1753" s="249" t="s">
        <v>234</v>
      </c>
      <c r="G1753" s="252" t="s">
        <v>235</v>
      </c>
      <c r="H1753" s="598">
        <f>SUM(H1536,H1437,H1338,H1240,H1141,H1635,H1734)</f>
        <v>0</v>
      </c>
      <c r="I1753" s="599"/>
      <c r="J1753" s="599">
        <f>SUM(H1753:I1753)</f>
        <v>0</v>
      </c>
      <c r="K1753" s="533"/>
      <c r="L1753" s="533"/>
      <c r="M1753" s="533"/>
      <c r="N1753" s="533"/>
      <c r="O1753" s="533"/>
      <c r="P1753" s="533"/>
      <c r="Q1753" s="533"/>
      <c r="R1753" s="533"/>
      <c r="S1753" s="533"/>
      <c r="T1753" s="533"/>
      <c r="U1753" s="533"/>
      <c r="V1753" s="533"/>
      <c r="W1753" s="533"/>
      <c r="X1753" s="533"/>
      <c r="Y1753" s="533"/>
    </row>
    <row r="1754" spans="1:25" s="88" customFormat="1" hidden="1" x14ac:dyDescent="0.25">
      <c r="A1754" s="261"/>
      <c r="B1754" s="256"/>
      <c r="C1754" s="316"/>
      <c r="D1754" s="251"/>
      <c r="E1754" s="251"/>
      <c r="F1754" s="249" t="s">
        <v>236</v>
      </c>
      <c r="G1754" s="252" t="s">
        <v>237</v>
      </c>
      <c r="H1754" s="594"/>
      <c r="I1754" s="595"/>
      <c r="J1754" s="599">
        <f t="shared" ref="J1754:J1768" si="56">SUM(H1754:I1754)</f>
        <v>0</v>
      </c>
      <c r="K1754" s="533"/>
      <c r="L1754" s="533"/>
      <c r="M1754" s="533"/>
      <c r="N1754" s="533"/>
      <c r="O1754" s="533"/>
      <c r="P1754" s="533"/>
      <c r="Q1754" s="533"/>
      <c r="R1754" s="533"/>
      <c r="S1754" s="533"/>
      <c r="T1754" s="533"/>
      <c r="U1754" s="533"/>
      <c r="V1754" s="533"/>
      <c r="W1754" s="533"/>
      <c r="X1754" s="533"/>
      <c r="Y1754" s="533"/>
    </row>
    <row r="1755" spans="1:25" s="88" customFormat="1" hidden="1" x14ac:dyDescent="0.25">
      <c r="A1755" s="261"/>
      <c r="B1755" s="256"/>
      <c r="C1755" s="316"/>
      <c r="D1755" s="251"/>
      <c r="E1755" s="251"/>
      <c r="F1755" s="249" t="s">
        <v>238</v>
      </c>
      <c r="G1755" s="252" t="s">
        <v>239</v>
      </c>
      <c r="H1755" s="594"/>
      <c r="I1755" s="595"/>
      <c r="J1755" s="599">
        <f t="shared" si="56"/>
        <v>0</v>
      </c>
      <c r="K1755" s="533"/>
      <c r="L1755" s="533"/>
      <c r="M1755" s="533"/>
      <c r="N1755" s="533"/>
      <c r="O1755" s="533"/>
      <c r="P1755" s="533"/>
      <c r="Q1755" s="533"/>
      <c r="R1755" s="533"/>
      <c r="S1755" s="533"/>
      <c r="T1755" s="533"/>
      <c r="U1755" s="533"/>
      <c r="V1755" s="533"/>
      <c r="W1755" s="533"/>
      <c r="X1755" s="533"/>
      <c r="Y1755" s="533"/>
    </row>
    <row r="1756" spans="1:25" s="88" customFormat="1" hidden="1" x14ac:dyDescent="0.25">
      <c r="A1756" s="261"/>
      <c r="B1756" s="256"/>
      <c r="C1756" s="316"/>
      <c r="D1756" s="251"/>
      <c r="E1756" s="251"/>
      <c r="F1756" s="249" t="s">
        <v>240</v>
      </c>
      <c r="G1756" s="252" t="s">
        <v>241</v>
      </c>
      <c r="H1756" s="594"/>
      <c r="I1756" s="595"/>
      <c r="J1756" s="599">
        <f t="shared" si="56"/>
        <v>0</v>
      </c>
      <c r="K1756" s="533"/>
      <c r="L1756" s="533"/>
      <c r="M1756" s="533"/>
      <c r="N1756" s="533"/>
      <c r="O1756" s="533"/>
      <c r="P1756" s="533"/>
      <c r="Q1756" s="533"/>
      <c r="R1756" s="533"/>
      <c r="S1756" s="533"/>
      <c r="T1756" s="533"/>
      <c r="U1756" s="533"/>
      <c r="V1756" s="533"/>
      <c r="W1756" s="533"/>
      <c r="X1756" s="533"/>
      <c r="Y1756" s="533"/>
    </row>
    <row r="1757" spans="1:25" s="88" customFormat="1" hidden="1" x14ac:dyDescent="0.25">
      <c r="A1757" s="261"/>
      <c r="B1757" s="256"/>
      <c r="C1757" s="316"/>
      <c r="D1757" s="251"/>
      <c r="E1757" s="251"/>
      <c r="F1757" s="249" t="s">
        <v>242</v>
      </c>
      <c r="G1757" s="252" t="s">
        <v>243</v>
      </c>
      <c r="H1757" s="594"/>
      <c r="I1757" s="595"/>
      <c r="J1757" s="599">
        <f t="shared" si="56"/>
        <v>0</v>
      </c>
      <c r="K1757" s="533"/>
      <c r="L1757" s="533"/>
      <c r="M1757" s="533"/>
      <c r="N1757" s="533"/>
      <c r="O1757" s="533"/>
      <c r="P1757" s="533"/>
      <c r="Q1757" s="533"/>
      <c r="R1757" s="533"/>
      <c r="S1757" s="533"/>
      <c r="T1757" s="533"/>
      <c r="U1757" s="533"/>
      <c r="V1757" s="533"/>
      <c r="W1757" s="533"/>
      <c r="X1757" s="533"/>
      <c r="Y1757" s="533"/>
    </row>
    <row r="1758" spans="1:25" s="88" customFormat="1" hidden="1" x14ac:dyDescent="0.25">
      <c r="A1758" s="261"/>
      <c r="B1758" s="256"/>
      <c r="C1758" s="316"/>
      <c r="D1758" s="251"/>
      <c r="E1758" s="251"/>
      <c r="F1758" s="249" t="s">
        <v>244</v>
      </c>
      <c r="G1758" s="252" t="s">
        <v>245</v>
      </c>
      <c r="H1758" s="594"/>
      <c r="I1758" s="595"/>
      <c r="J1758" s="599">
        <f t="shared" si="56"/>
        <v>0</v>
      </c>
      <c r="K1758" s="533"/>
      <c r="L1758" s="533"/>
      <c r="M1758" s="533"/>
      <c r="N1758" s="533"/>
      <c r="O1758" s="533"/>
      <c r="P1758" s="533"/>
      <c r="Q1758" s="533"/>
      <c r="R1758" s="533"/>
      <c r="S1758" s="533"/>
      <c r="T1758" s="533"/>
      <c r="U1758" s="533"/>
      <c r="V1758" s="533"/>
      <c r="W1758" s="533"/>
      <c r="X1758" s="533"/>
      <c r="Y1758" s="533"/>
    </row>
    <row r="1759" spans="1:25" s="88" customFormat="1" hidden="1" x14ac:dyDescent="0.25">
      <c r="A1759" s="261"/>
      <c r="B1759" s="256"/>
      <c r="C1759" s="316"/>
      <c r="D1759" s="251"/>
      <c r="E1759" s="251"/>
      <c r="F1759" s="249" t="s">
        <v>246</v>
      </c>
      <c r="G1759" s="252" t="s">
        <v>247</v>
      </c>
      <c r="H1759" s="594"/>
      <c r="I1759" s="595"/>
      <c r="J1759" s="599">
        <f t="shared" si="56"/>
        <v>0</v>
      </c>
      <c r="K1759" s="533"/>
      <c r="L1759" s="533"/>
      <c r="M1759" s="533"/>
      <c r="N1759" s="533"/>
      <c r="O1759" s="533"/>
      <c r="P1759" s="533"/>
      <c r="Q1759" s="533"/>
      <c r="R1759" s="533"/>
      <c r="S1759" s="533"/>
      <c r="T1759" s="533"/>
      <c r="U1759" s="533"/>
      <c r="V1759" s="533"/>
      <c r="W1759" s="533"/>
      <c r="X1759" s="533"/>
      <c r="Y1759" s="533"/>
    </row>
    <row r="1760" spans="1:25" s="88" customFormat="1" hidden="1" x14ac:dyDescent="0.25">
      <c r="A1760" s="261"/>
      <c r="B1760" s="256"/>
      <c r="C1760" s="316"/>
      <c r="D1760" s="251"/>
      <c r="E1760" s="251"/>
      <c r="F1760" s="249" t="s">
        <v>248</v>
      </c>
      <c r="G1760" s="252" t="s">
        <v>249</v>
      </c>
      <c r="H1760" s="594"/>
      <c r="I1760" s="595"/>
      <c r="J1760" s="599">
        <f t="shared" si="56"/>
        <v>0</v>
      </c>
      <c r="K1760" s="533"/>
      <c r="L1760" s="533"/>
      <c r="M1760" s="533"/>
      <c r="N1760" s="533"/>
      <c r="O1760" s="533"/>
      <c r="P1760" s="533"/>
      <c r="Q1760" s="533"/>
      <c r="R1760" s="533"/>
      <c r="S1760" s="533"/>
      <c r="T1760" s="533"/>
      <c r="U1760" s="533"/>
      <c r="V1760" s="533"/>
      <c r="W1760" s="533"/>
      <c r="X1760" s="533"/>
      <c r="Y1760" s="533"/>
    </row>
    <row r="1761" spans="1:25" s="88" customFormat="1" hidden="1" x14ac:dyDescent="0.25">
      <c r="A1761" s="261"/>
      <c r="B1761" s="256"/>
      <c r="C1761" s="316"/>
      <c r="D1761" s="251"/>
      <c r="E1761" s="251"/>
      <c r="F1761" s="249" t="s">
        <v>250</v>
      </c>
      <c r="G1761" s="252" t="s">
        <v>57</v>
      </c>
      <c r="H1761" s="594"/>
      <c r="I1761" s="595"/>
      <c r="J1761" s="599">
        <f t="shared" si="56"/>
        <v>0</v>
      </c>
      <c r="K1761" s="533"/>
      <c r="L1761" s="533"/>
      <c r="M1761" s="533"/>
      <c r="N1761" s="533"/>
      <c r="O1761" s="533"/>
      <c r="P1761" s="533"/>
      <c r="Q1761" s="533"/>
      <c r="R1761" s="533"/>
      <c r="S1761" s="533"/>
      <c r="T1761" s="533"/>
      <c r="U1761" s="533"/>
      <c r="V1761" s="533"/>
      <c r="W1761" s="533"/>
      <c r="X1761" s="533"/>
      <c r="Y1761" s="533"/>
    </row>
    <row r="1762" spans="1:25" s="88" customFormat="1" hidden="1" x14ac:dyDescent="0.25">
      <c r="A1762" s="261"/>
      <c r="B1762" s="256"/>
      <c r="C1762" s="316"/>
      <c r="D1762" s="251"/>
      <c r="E1762" s="251"/>
      <c r="F1762" s="249" t="s">
        <v>251</v>
      </c>
      <c r="G1762" s="252" t="s">
        <v>252</v>
      </c>
      <c r="H1762" s="594"/>
      <c r="I1762" s="595"/>
      <c r="J1762" s="599">
        <f t="shared" si="56"/>
        <v>0</v>
      </c>
      <c r="K1762" s="533"/>
      <c r="L1762" s="533"/>
      <c r="M1762" s="533"/>
      <c r="N1762" s="533"/>
      <c r="O1762" s="533"/>
      <c r="P1762" s="533"/>
      <c r="Q1762" s="533"/>
      <c r="R1762" s="533"/>
      <c r="S1762" s="533"/>
      <c r="T1762" s="533"/>
      <c r="U1762" s="533"/>
      <c r="V1762" s="533"/>
      <c r="W1762" s="533"/>
      <c r="X1762" s="533"/>
      <c r="Y1762" s="533"/>
    </row>
    <row r="1763" spans="1:25" s="88" customFormat="1" hidden="1" x14ac:dyDescent="0.25">
      <c r="A1763" s="261"/>
      <c r="B1763" s="256"/>
      <c r="C1763" s="316"/>
      <c r="D1763" s="251"/>
      <c r="E1763" s="251"/>
      <c r="F1763" s="249" t="s">
        <v>253</v>
      </c>
      <c r="G1763" s="252" t="s">
        <v>254</v>
      </c>
      <c r="H1763" s="594"/>
      <c r="I1763" s="595"/>
      <c r="J1763" s="599">
        <f t="shared" si="56"/>
        <v>0</v>
      </c>
      <c r="K1763" s="533"/>
      <c r="L1763" s="533"/>
      <c r="M1763" s="533"/>
      <c r="N1763" s="533"/>
      <c r="O1763" s="533"/>
      <c r="P1763" s="533"/>
      <c r="Q1763" s="533"/>
      <c r="R1763" s="533"/>
      <c r="S1763" s="533"/>
      <c r="T1763" s="533"/>
      <c r="U1763" s="533"/>
      <c r="V1763" s="533"/>
      <c r="W1763" s="533"/>
      <c r="X1763" s="533"/>
      <c r="Y1763" s="533"/>
    </row>
    <row r="1764" spans="1:25" s="88" customFormat="1" ht="30" hidden="1" x14ac:dyDescent="0.25">
      <c r="A1764" s="261"/>
      <c r="B1764" s="256"/>
      <c r="C1764" s="316"/>
      <c r="D1764" s="251"/>
      <c r="E1764" s="251"/>
      <c r="F1764" s="249" t="s">
        <v>255</v>
      </c>
      <c r="G1764" s="252" t="s">
        <v>256</v>
      </c>
      <c r="H1764" s="594"/>
      <c r="I1764" s="595"/>
      <c r="J1764" s="599">
        <f t="shared" si="56"/>
        <v>0</v>
      </c>
      <c r="K1764" s="533"/>
      <c r="L1764" s="533"/>
      <c r="M1764" s="533"/>
      <c r="N1764" s="533"/>
      <c r="O1764" s="533"/>
      <c r="P1764" s="533"/>
      <c r="Q1764" s="533"/>
      <c r="R1764" s="533"/>
      <c r="S1764" s="533"/>
      <c r="T1764" s="533"/>
      <c r="U1764" s="533"/>
      <c r="V1764" s="533"/>
      <c r="W1764" s="533"/>
      <c r="X1764" s="533"/>
      <c r="Y1764" s="533"/>
    </row>
    <row r="1765" spans="1:25" s="88" customFormat="1" hidden="1" x14ac:dyDescent="0.25">
      <c r="A1765" s="261"/>
      <c r="B1765" s="256"/>
      <c r="C1765" s="316"/>
      <c r="D1765" s="251"/>
      <c r="E1765" s="251"/>
      <c r="F1765" s="249" t="s">
        <v>257</v>
      </c>
      <c r="G1765" s="252" t="s">
        <v>258</v>
      </c>
      <c r="H1765" s="594"/>
      <c r="I1765" s="595"/>
      <c r="J1765" s="599">
        <f t="shared" si="56"/>
        <v>0</v>
      </c>
      <c r="K1765" s="533"/>
      <c r="L1765" s="533"/>
      <c r="M1765" s="533"/>
      <c r="N1765" s="533"/>
      <c r="O1765" s="533"/>
      <c r="P1765" s="533"/>
      <c r="Q1765" s="533"/>
      <c r="R1765" s="533"/>
      <c r="S1765" s="533"/>
      <c r="T1765" s="533"/>
      <c r="U1765" s="533"/>
      <c r="V1765" s="533"/>
      <c r="W1765" s="533"/>
      <c r="X1765" s="533"/>
      <c r="Y1765" s="533"/>
    </row>
    <row r="1766" spans="1:25" s="88" customFormat="1" ht="30" hidden="1" x14ac:dyDescent="0.25">
      <c r="A1766" s="261"/>
      <c r="B1766" s="256"/>
      <c r="C1766" s="316"/>
      <c r="D1766" s="251"/>
      <c r="E1766" s="251"/>
      <c r="F1766" s="249" t="s">
        <v>259</v>
      </c>
      <c r="G1766" s="252" t="s">
        <v>260</v>
      </c>
      <c r="H1766" s="594"/>
      <c r="I1766" s="595"/>
      <c r="J1766" s="599">
        <f t="shared" si="56"/>
        <v>0</v>
      </c>
      <c r="K1766" s="533"/>
      <c r="L1766" s="533"/>
      <c r="M1766" s="533"/>
      <c r="N1766" s="533"/>
      <c r="O1766" s="533"/>
      <c r="P1766" s="533"/>
      <c r="Q1766" s="533"/>
      <c r="R1766" s="533"/>
      <c r="S1766" s="533"/>
      <c r="T1766" s="533"/>
      <c r="U1766" s="533"/>
      <c r="V1766" s="533"/>
      <c r="W1766" s="533"/>
      <c r="X1766" s="533"/>
      <c r="Y1766" s="533"/>
    </row>
    <row r="1767" spans="1:25" s="88" customFormat="1" hidden="1" x14ac:dyDescent="0.25">
      <c r="A1767" s="261"/>
      <c r="B1767" s="256"/>
      <c r="C1767" s="316"/>
      <c r="D1767" s="251"/>
      <c r="E1767" s="251"/>
      <c r="F1767" s="249" t="s">
        <v>261</v>
      </c>
      <c r="G1767" s="252" t="s">
        <v>262</v>
      </c>
      <c r="H1767" s="594"/>
      <c r="I1767" s="595"/>
      <c r="J1767" s="599">
        <f t="shared" si="56"/>
        <v>0</v>
      </c>
      <c r="K1767" s="533"/>
      <c r="L1767" s="533"/>
      <c r="M1767" s="533"/>
      <c r="N1767" s="533"/>
      <c r="O1767" s="533"/>
      <c r="P1767" s="533"/>
      <c r="Q1767" s="533"/>
      <c r="R1767" s="533"/>
      <c r="S1767" s="533"/>
      <c r="T1767" s="533"/>
      <c r="U1767" s="533"/>
      <c r="V1767" s="533"/>
      <c r="W1767" s="533"/>
      <c r="X1767" s="533"/>
      <c r="Y1767" s="533"/>
    </row>
    <row r="1768" spans="1:25" s="88" customFormat="1" ht="15.75" hidden="1" thickBot="1" x14ac:dyDescent="0.3">
      <c r="A1768" s="261"/>
      <c r="B1768" s="256"/>
      <c r="C1768" s="316"/>
      <c r="D1768" s="251"/>
      <c r="E1768" s="251"/>
      <c r="F1768" s="249" t="s">
        <v>263</v>
      </c>
      <c r="G1768" s="252" t="s">
        <v>264</v>
      </c>
      <c r="H1768" s="598"/>
      <c r="I1768" s="599"/>
      <c r="J1768" s="599">
        <f t="shared" si="56"/>
        <v>0</v>
      </c>
      <c r="K1768" s="533"/>
      <c r="L1768" s="533"/>
      <c r="M1768" s="533"/>
      <c r="N1768" s="533"/>
      <c r="O1768" s="533"/>
      <c r="P1768" s="533"/>
      <c r="Q1768" s="533"/>
      <c r="R1768" s="533"/>
      <c r="S1768" s="533"/>
      <c r="T1768" s="533"/>
      <c r="U1768" s="533"/>
      <c r="V1768" s="533"/>
      <c r="W1768" s="533"/>
      <c r="X1768" s="533"/>
      <c r="Y1768" s="533"/>
    </row>
    <row r="1769" spans="1:25" s="88" customFormat="1" ht="15.75" hidden="1" thickBot="1" x14ac:dyDescent="0.3">
      <c r="A1769" s="261"/>
      <c r="B1769" s="256"/>
      <c r="C1769" s="316"/>
      <c r="D1769" s="251"/>
      <c r="E1769" s="251"/>
      <c r="F1769" s="218"/>
      <c r="G1769" s="229" t="s">
        <v>4287</v>
      </c>
      <c r="H1769" s="600">
        <f>SUM(H1753:H1768)</f>
        <v>0</v>
      </c>
      <c r="I1769" s="601">
        <f>SUM(I1754:I1768)</f>
        <v>0</v>
      </c>
      <c r="J1769" s="601">
        <f>SUM(J1753:J1768)</f>
        <v>0</v>
      </c>
      <c r="K1769" s="533"/>
      <c r="L1769" s="533"/>
      <c r="M1769" s="533"/>
      <c r="N1769" s="533"/>
      <c r="O1769" s="533"/>
      <c r="P1769" s="533"/>
      <c r="Q1769" s="533"/>
      <c r="R1769" s="533"/>
      <c r="S1769" s="533"/>
      <c r="T1769" s="533"/>
      <c r="U1769" s="533"/>
      <c r="V1769" s="533"/>
      <c r="W1769" s="533"/>
      <c r="X1769" s="533"/>
      <c r="Y1769" s="533"/>
    </row>
    <row r="1770" spans="1:25" s="88" customFormat="1" hidden="1" x14ac:dyDescent="0.25">
      <c r="A1770" s="261"/>
      <c r="B1770" s="256"/>
      <c r="C1770" s="316"/>
      <c r="D1770" s="251"/>
      <c r="E1770" s="251"/>
      <c r="F1770" s="257"/>
      <c r="G1770" s="294"/>
      <c r="H1770" s="627"/>
      <c r="I1770" s="610"/>
      <c r="J1770" s="628"/>
      <c r="K1770" s="533"/>
      <c r="L1770" s="533"/>
      <c r="M1770" s="533"/>
      <c r="N1770" s="268"/>
      <c r="O1770" s="533"/>
      <c r="P1770" s="533"/>
      <c r="Q1770" s="533"/>
      <c r="R1770" s="533"/>
      <c r="S1770" s="533"/>
      <c r="T1770" s="533"/>
      <c r="U1770" s="533"/>
      <c r="V1770" s="533"/>
      <c r="W1770" s="533"/>
      <c r="X1770" s="533"/>
      <c r="Y1770" s="533"/>
    </row>
    <row r="1771" spans="1:25" s="88" customFormat="1" hidden="1" x14ac:dyDescent="0.25">
      <c r="A1771" s="509"/>
      <c r="B1771" s="256"/>
      <c r="C1771" s="316"/>
      <c r="D1771" s="251"/>
      <c r="E1771" s="251"/>
      <c r="F1771" s="257"/>
      <c r="G1771" s="518"/>
      <c r="H1771" s="627"/>
      <c r="I1771" s="610"/>
      <c r="J1771" s="628"/>
      <c r="K1771" s="533"/>
      <c r="L1771" s="533"/>
      <c r="M1771" s="533"/>
      <c r="N1771" s="268"/>
      <c r="O1771" s="533"/>
      <c r="P1771" s="533"/>
      <c r="Q1771" s="533"/>
      <c r="R1771" s="533"/>
      <c r="S1771" s="533"/>
      <c r="T1771" s="533"/>
      <c r="U1771" s="533"/>
      <c r="V1771" s="533"/>
      <c r="W1771" s="533"/>
      <c r="X1771" s="533"/>
      <c r="Y1771" s="533"/>
    </row>
    <row r="1772" spans="1:25" s="88" customFormat="1" x14ac:dyDescent="0.25">
      <c r="A1772" s="509"/>
      <c r="B1772" s="256"/>
      <c r="C1772" s="228" t="s">
        <v>3608</v>
      </c>
      <c r="D1772" s="218"/>
      <c r="E1772" s="218"/>
      <c r="F1772" s="218"/>
      <c r="G1772" s="294" t="s">
        <v>4224</v>
      </c>
      <c r="H1772" s="594"/>
      <c r="I1772" s="595"/>
      <c r="J1772" s="595"/>
      <c r="K1772" s="533"/>
      <c r="L1772" s="533"/>
      <c r="M1772" s="533"/>
      <c r="N1772" s="268"/>
      <c r="O1772" s="533"/>
      <c r="P1772" s="533"/>
      <c r="Q1772" s="533"/>
      <c r="R1772" s="533"/>
      <c r="S1772" s="533"/>
      <c r="T1772" s="533"/>
      <c r="U1772" s="533"/>
      <c r="V1772" s="533"/>
      <c r="W1772" s="533"/>
      <c r="X1772" s="533"/>
      <c r="Y1772" s="533"/>
    </row>
    <row r="1773" spans="1:25" s="88" customFormat="1" ht="18.75" customHeight="1" x14ac:dyDescent="0.25">
      <c r="A1773" s="509"/>
      <c r="B1773" s="256"/>
      <c r="C1773" s="323" t="s">
        <v>4154</v>
      </c>
      <c r="D1773" s="218"/>
      <c r="E1773" s="218"/>
      <c r="F1773" s="218"/>
      <c r="G1773" s="294" t="s">
        <v>4155</v>
      </c>
      <c r="H1773" s="594"/>
      <c r="I1773" s="595"/>
      <c r="J1773" s="595"/>
      <c r="K1773" s="533"/>
      <c r="L1773" s="533"/>
      <c r="M1773" s="533"/>
      <c r="N1773" s="268"/>
      <c r="O1773" s="533"/>
      <c r="P1773" s="533"/>
      <c r="Q1773" s="533"/>
      <c r="R1773" s="533"/>
      <c r="S1773" s="533"/>
      <c r="T1773" s="533"/>
      <c r="U1773" s="533"/>
      <c r="V1773" s="533"/>
      <c r="W1773" s="533"/>
      <c r="X1773" s="533"/>
      <c r="Y1773" s="533"/>
    </row>
    <row r="1774" spans="1:25" s="88" customFormat="1" x14ac:dyDescent="0.25">
      <c r="A1774" s="509"/>
      <c r="B1774" s="256"/>
      <c r="C1774" s="228"/>
      <c r="D1774" s="312">
        <v>130</v>
      </c>
      <c r="E1774" s="312"/>
      <c r="F1774" s="312"/>
      <c r="G1774" s="314" t="s">
        <v>4324</v>
      </c>
      <c r="H1774" s="594"/>
      <c r="I1774" s="595"/>
      <c r="J1774" s="595"/>
      <c r="K1774" s="533"/>
      <c r="L1774" s="533"/>
      <c r="M1774" s="533"/>
      <c r="N1774" s="268"/>
      <c r="O1774" s="533"/>
      <c r="P1774" s="533"/>
      <c r="Q1774" s="533"/>
      <c r="R1774" s="533"/>
      <c r="S1774" s="533"/>
      <c r="T1774" s="533"/>
      <c r="U1774" s="533"/>
      <c r="V1774" s="533"/>
      <c r="W1774" s="533"/>
      <c r="X1774" s="533"/>
      <c r="Y1774" s="533"/>
    </row>
    <row r="1775" spans="1:25" s="88" customFormat="1" x14ac:dyDescent="0.25">
      <c r="A1775" s="509"/>
      <c r="B1775" s="256"/>
      <c r="C1775" s="221"/>
      <c r="D1775" s="218"/>
      <c r="E1775" s="218">
        <v>16</v>
      </c>
      <c r="F1775" s="263">
        <v>411</v>
      </c>
      <c r="G1775" s="295" t="s">
        <v>4189</v>
      </c>
      <c r="H1775" s="594">
        <v>38025000</v>
      </c>
      <c r="I1775" s="595"/>
      <c r="J1775" s="595">
        <f t="shared" ref="J1775:J1807" si="57">SUM(H1775:I1775)</f>
        <v>38025000</v>
      </c>
      <c r="K1775" s="533"/>
      <c r="L1775" s="533"/>
      <c r="M1775" s="533"/>
      <c r="N1775" s="268"/>
      <c r="O1775" s="533"/>
      <c r="P1775" s="533"/>
      <c r="Q1775" s="533"/>
      <c r="R1775" s="533"/>
      <c r="S1775" s="533"/>
      <c r="T1775" s="533"/>
      <c r="U1775" s="533"/>
      <c r="V1775" s="533"/>
      <c r="W1775" s="533"/>
      <c r="X1775" s="533"/>
      <c r="Y1775" s="533"/>
    </row>
    <row r="1776" spans="1:25" s="88" customFormat="1" x14ac:dyDescent="0.25">
      <c r="A1776" s="509"/>
      <c r="B1776" s="256"/>
      <c r="C1776" s="221"/>
      <c r="D1776" s="218"/>
      <c r="E1776" s="218">
        <v>17</v>
      </c>
      <c r="F1776" s="263">
        <v>412</v>
      </c>
      <c r="G1776" s="292" t="s">
        <v>3784</v>
      </c>
      <c r="H1776" s="594">
        <v>6807000</v>
      </c>
      <c r="I1776" s="595"/>
      <c r="J1776" s="595">
        <f t="shared" si="57"/>
        <v>6807000</v>
      </c>
      <c r="K1776" s="533"/>
      <c r="L1776" s="533"/>
      <c r="M1776" s="533"/>
      <c r="N1776" s="268"/>
      <c r="O1776" s="533"/>
      <c r="P1776" s="533"/>
      <c r="Q1776" s="533"/>
      <c r="R1776" s="533"/>
      <c r="S1776" s="533"/>
      <c r="T1776" s="533"/>
      <c r="U1776" s="533"/>
      <c r="V1776" s="533"/>
      <c r="W1776" s="533"/>
      <c r="X1776" s="533"/>
      <c r="Y1776" s="533"/>
    </row>
    <row r="1777" spans="1:25" s="88" customFormat="1" x14ac:dyDescent="0.25">
      <c r="A1777" s="509"/>
      <c r="B1777" s="256"/>
      <c r="C1777" s="221"/>
      <c r="D1777" s="218"/>
      <c r="E1777" s="218">
        <v>18</v>
      </c>
      <c r="F1777" s="263">
        <v>413</v>
      </c>
      <c r="G1777" s="295" t="s">
        <v>4190</v>
      </c>
      <c r="H1777" s="594">
        <v>272000</v>
      </c>
      <c r="I1777" s="595"/>
      <c r="J1777" s="595">
        <f t="shared" si="57"/>
        <v>272000</v>
      </c>
      <c r="K1777" s="533"/>
      <c r="L1777" s="533"/>
      <c r="M1777" s="533"/>
      <c r="N1777" s="268"/>
      <c r="O1777" s="533"/>
      <c r="P1777" s="533"/>
      <c r="Q1777" s="533"/>
      <c r="R1777" s="533"/>
      <c r="S1777" s="533"/>
      <c r="T1777" s="533"/>
      <c r="U1777" s="533"/>
      <c r="V1777" s="533"/>
      <c r="W1777" s="533"/>
      <c r="X1777" s="533"/>
      <c r="Y1777" s="533"/>
    </row>
    <row r="1778" spans="1:25" s="88" customFormat="1" x14ac:dyDescent="0.25">
      <c r="A1778" s="509"/>
      <c r="B1778" s="256"/>
      <c r="C1778" s="221"/>
      <c r="D1778" s="218"/>
      <c r="E1778" s="218">
        <v>19</v>
      </c>
      <c r="F1778" s="263">
        <v>414</v>
      </c>
      <c r="G1778" s="295" t="s">
        <v>3787</v>
      </c>
      <c r="H1778" s="594">
        <v>1600000</v>
      </c>
      <c r="I1778" s="595"/>
      <c r="J1778" s="595">
        <f t="shared" si="57"/>
        <v>1600000</v>
      </c>
      <c r="K1778" s="533"/>
      <c r="L1778" s="533"/>
      <c r="M1778" s="533"/>
      <c r="N1778" s="268"/>
      <c r="O1778" s="533"/>
      <c r="P1778" s="533"/>
      <c r="Q1778" s="533"/>
      <c r="R1778" s="533"/>
      <c r="S1778" s="533"/>
      <c r="T1778" s="533"/>
      <c r="U1778" s="533"/>
      <c r="V1778" s="533"/>
      <c r="W1778" s="533"/>
      <c r="X1778" s="533"/>
      <c r="Y1778" s="533"/>
    </row>
    <row r="1779" spans="1:25" s="88" customFormat="1" x14ac:dyDescent="0.25">
      <c r="A1779" s="509"/>
      <c r="B1779" s="256"/>
      <c r="C1779" s="221"/>
      <c r="D1779" s="218"/>
      <c r="E1779" s="218">
        <v>20</v>
      </c>
      <c r="F1779" s="263">
        <v>415</v>
      </c>
      <c r="G1779" s="295" t="s">
        <v>4199</v>
      </c>
      <c r="H1779" s="594">
        <v>1450000</v>
      </c>
      <c r="I1779" s="595"/>
      <c r="J1779" s="595">
        <f t="shared" si="57"/>
        <v>1450000</v>
      </c>
      <c r="K1779" s="533"/>
      <c r="L1779" s="533"/>
      <c r="M1779" s="533"/>
      <c r="N1779" s="268"/>
      <c r="O1779" s="533"/>
      <c r="P1779" s="533"/>
      <c r="Q1779" s="533"/>
      <c r="R1779" s="533"/>
      <c r="S1779" s="533"/>
      <c r="T1779" s="533"/>
      <c r="U1779" s="533"/>
      <c r="V1779" s="533"/>
      <c r="W1779" s="533"/>
      <c r="X1779" s="533"/>
      <c r="Y1779" s="533"/>
    </row>
    <row r="1780" spans="1:25" s="88" customFormat="1" x14ac:dyDescent="0.25">
      <c r="A1780" s="509"/>
      <c r="B1780" s="256"/>
      <c r="C1780" s="221"/>
      <c r="D1780" s="218"/>
      <c r="E1780" s="218">
        <v>21</v>
      </c>
      <c r="F1780" s="263">
        <v>416</v>
      </c>
      <c r="G1780" s="295" t="s">
        <v>4200</v>
      </c>
      <c r="H1780" s="594">
        <v>650000</v>
      </c>
      <c r="I1780" s="595"/>
      <c r="J1780" s="595">
        <f t="shared" si="57"/>
        <v>650000</v>
      </c>
      <c r="K1780" s="533"/>
      <c r="L1780" s="533"/>
      <c r="M1780" s="533"/>
      <c r="N1780" s="268"/>
      <c r="O1780" s="533"/>
      <c r="P1780" s="533"/>
      <c r="Q1780" s="533"/>
      <c r="R1780" s="533"/>
      <c r="S1780" s="533"/>
      <c r="T1780" s="533"/>
      <c r="U1780" s="533"/>
      <c r="V1780" s="533"/>
      <c r="W1780" s="533"/>
      <c r="X1780" s="533"/>
      <c r="Y1780" s="533"/>
    </row>
    <row r="1781" spans="1:25" s="88" customFormat="1" hidden="1" x14ac:dyDescent="0.25">
      <c r="A1781" s="509"/>
      <c r="B1781" s="256"/>
      <c r="C1781" s="221"/>
      <c r="D1781" s="218"/>
      <c r="E1781" s="218"/>
      <c r="F1781" s="263">
        <v>417</v>
      </c>
      <c r="G1781" s="295" t="s">
        <v>4201</v>
      </c>
      <c r="H1781" s="594"/>
      <c r="I1781" s="595"/>
      <c r="J1781" s="595">
        <f t="shared" si="57"/>
        <v>0</v>
      </c>
      <c r="K1781" s="533"/>
      <c r="L1781" s="533"/>
      <c r="M1781" s="533"/>
      <c r="N1781" s="268"/>
      <c r="O1781" s="533"/>
      <c r="P1781" s="533"/>
      <c r="Q1781" s="533"/>
      <c r="R1781" s="533"/>
      <c r="S1781" s="533"/>
      <c r="T1781" s="533"/>
      <c r="U1781" s="533"/>
      <c r="V1781" s="533"/>
      <c r="W1781" s="533"/>
      <c r="X1781" s="533"/>
      <c r="Y1781" s="533"/>
    </row>
    <row r="1782" spans="1:25" s="88" customFormat="1" hidden="1" x14ac:dyDescent="0.25">
      <c r="A1782" s="509"/>
      <c r="B1782" s="256"/>
      <c r="C1782" s="221"/>
      <c r="D1782" s="218"/>
      <c r="E1782" s="218"/>
      <c r="F1782" s="263">
        <v>418</v>
      </c>
      <c r="G1782" s="295" t="s">
        <v>3793</v>
      </c>
      <c r="H1782" s="594"/>
      <c r="I1782" s="595"/>
      <c r="J1782" s="595">
        <f t="shared" si="57"/>
        <v>0</v>
      </c>
      <c r="K1782" s="533"/>
      <c r="L1782" s="533"/>
      <c r="M1782" s="533"/>
      <c r="N1782" s="268"/>
      <c r="O1782" s="533"/>
      <c r="P1782" s="533"/>
      <c r="Q1782" s="533"/>
      <c r="R1782" s="533"/>
      <c r="S1782" s="533"/>
      <c r="T1782" s="533"/>
      <c r="U1782" s="533"/>
      <c r="V1782" s="533"/>
      <c r="W1782" s="533"/>
      <c r="X1782" s="533"/>
      <c r="Y1782" s="533"/>
    </row>
    <row r="1783" spans="1:25" s="88" customFormat="1" x14ac:dyDescent="0.25">
      <c r="A1783" s="509"/>
      <c r="B1783" s="256"/>
      <c r="C1783" s="221"/>
      <c r="D1783" s="218"/>
      <c r="E1783" s="218">
        <v>22</v>
      </c>
      <c r="F1783" s="263">
        <v>421</v>
      </c>
      <c r="G1783" s="295" t="s">
        <v>3797</v>
      </c>
      <c r="H1783" s="594">
        <v>5296000</v>
      </c>
      <c r="I1783" s="595"/>
      <c r="J1783" s="595">
        <f t="shared" si="57"/>
        <v>5296000</v>
      </c>
      <c r="K1783" s="533"/>
      <c r="L1783" s="533"/>
      <c r="M1783" s="533"/>
      <c r="N1783" s="268"/>
      <c r="O1783" s="533"/>
      <c r="P1783" s="533"/>
      <c r="Q1783" s="533"/>
      <c r="R1783" s="533"/>
      <c r="S1783" s="533"/>
      <c r="T1783" s="533"/>
      <c r="U1783" s="533"/>
      <c r="V1783" s="533"/>
      <c r="W1783" s="533"/>
      <c r="X1783" s="533"/>
      <c r="Y1783" s="533"/>
    </row>
    <row r="1784" spans="1:25" s="88" customFormat="1" x14ac:dyDescent="0.25">
      <c r="A1784" s="509"/>
      <c r="B1784" s="256"/>
      <c r="C1784" s="221"/>
      <c r="D1784" s="218"/>
      <c r="E1784" s="218">
        <v>23</v>
      </c>
      <c r="F1784" s="263">
        <v>422</v>
      </c>
      <c r="G1784" s="295" t="s">
        <v>3798</v>
      </c>
      <c r="H1784" s="594">
        <v>900000</v>
      </c>
      <c r="I1784" s="595"/>
      <c r="J1784" s="595">
        <f t="shared" si="57"/>
        <v>900000</v>
      </c>
      <c r="K1784" s="533"/>
      <c r="L1784" s="533"/>
      <c r="M1784" s="533"/>
      <c r="N1784" s="268"/>
      <c r="O1784" s="533"/>
      <c r="P1784" s="533"/>
      <c r="Q1784" s="533"/>
      <c r="R1784" s="533"/>
      <c r="S1784" s="533"/>
      <c r="T1784" s="533"/>
      <c r="U1784" s="533"/>
      <c r="V1784" s="533"/>
      <c r="W1784" s="533"/>
      <c r="X1784" s="533"/>
      <c r="Y1784" s="533"/>
    </row>
    <row r="1785" spans="1:25" s="88" customFormat="1" x14ac:dyDescent="0.25">
      <c r="A1785" s="509"/>
      <c r="B1785" s="256"/>
      <c r="C1785" s="221"/>
      <c r="D1785" s="218"/>
      <c r="E1785" s="218">
        <v>24</v>
      </c>
      <c r="F1785" s="263">
        <v>423</v>
      </c>
      <c r="G1785" s="295" t="s">
        <v>3799</v>
      </c>
      <c r="H1785" s="594">
        <v>6000000</v>
      </c>
      <c r="I1785" s="595"/>
      <c r="J1785" s="595">
        <f t="shared" si="57"/>
        <v>6000000</v>
      </c>
      <c r="K1785" s="533"/>
      <c r="L1785" s="533"/>
      <c r="M1785" s="533"/>
      <c r="N1785" s="268"/>
      <c r="O1785" s="533"/>
      <c r="P1785" s="533"/>
      <c r="Q1785" s="533"/>
      <c r="R1785" s="533"/>
      <c r="S1785" s="533"/>
      <c r="T1785" s="533"/>
      <c r="U1785" s="533"/>
      <c r="V1785" s="533"/>
      <c r="W1785" s="533"/>
      <c r="X1785" s="533"/>
      <c r="Y1785" s="533"/>
    </row>
    <row r="1786" spans="1:25" s="88" customFormat="1" x14ac:dyDescent="0.25">
      <c r="A1786" s="509"/>
      <c r="B1786" s="256"/>
      <c r="C1786" s="221"/>
      <c r="D1786" s="218"/>
      <c r="E1786" s="218">
        <v>25</v>
      </c>
      <c r="F1786" s="263">
        <v>424</v>
      </c>
      <c r="G1786" s="295" t="s">
        <v>3801</v>
      </c>
      <c r="H1786" s="594">
        <v>2100000</v>
      </c>
      <c r="I1786" s="595"/>
      <c r="J1786" s="595">
        <f t="shared" si="57"/>
        <v>2100000</v>
      </c>
      <c r="K1786" s="533"/>
      <c r="L1786" s="533"/>
      <c r="M1786" s="533"/>
      <c r="N1786" s="268"/>
      <c r="O1786" s="533"/>
      <c r="P1786" s="533"/>
      <c r="Q1786" s="533"/>
      <c r="R1786" s="533"/>
      <c r="S1786" s="533"/>
      <c r="T1786" s="533"/>
      <c r="U1786" s="533"/>
      <c r="V1786" s="533"/>
      <c r="W1786" s="533"/>
      <c r="X1786" s="533"/>
      <c r="Y1786" s="533"/>
    </row>
    <row r="1787" spans="1:25" s="88" customFormat="1" x14ac:dyDescent="0.25">
      <c r="A1787" s="509"/>
      <c r="B1787" s="256"/>
      <c r="C1787" s="221"/>
      <c r="D1787" s="218"/>
      <c r="E1787" s="218">
        <v>26</v>
      </c>
      <c r="F1787" s="263">
        <v>425</v>
      </c>
      <c r="G1787" s="295" t="s">
        <v>4202</v>
      </c>
      <c r="H1787" s="594">
        <v>5000000</v>
      </c>
      <c r="I1787" s="595"/>
      <c r="J1787" s="595">
        <f t="shared" si="57"/>
        <v>5000000</v>
      </c>
      <c r="K1787" s="533"/>
      <c r="L1787" s="533"/>
      <c r="M1787" s="533"/>
      <c r="N1787" s="268"/>
      <c r="O1787" s="533"/>
      <c r="P1787" s="533"/>
      <c r="Q1787" s="533"/>
      <c r="R1787" s="533"/>
      <c r="S1787" s="533"/>
      <c r="T1787" s="533"/>
      <c r="U1787" s="533"/>
      <c r="V1787" s="533"/>
      <c r="W1787" s="533"/>
      <c r="X1787" s="533"/>
      <c r="Y1787" s="533"/>
    </row>
    <row r="1788" spans="1:25" s="88" customFormat="1" x14ac:dyDescent="0.25">
      <c r="A1788" s="509"/>
      <c r="B1788" s="256"/>
      <c r="C1788" s="221"/>
      <c r="D1788" s="218"/>
      <c r="E1788" s="218"/>
      <c r="F1788" s="527"/>
      <c r="G1788" s="799" t="s">
        <v>5286</v>
      </c>
      <c r="H1788" s="594"/>
      <c r="I1788" s="595"/>
      <c r="J1788" s="595"/>
      <c r="K1788" s="533"/>
      <c r="L1788" s="533"/>
      <c r="M1788" s="533"/>
      <c r="N1788" s="268"/>
      <c r="O1788" s="533"/>
      <c r="P1788" s="533"/>
      <c r="Q1788" s="533"/>
      <c r="R1788" s="533"/>
      <c r="S1788" s="533"/>
      <c r="T1788" s="533"/>
      <c r="U1788" s="533"/>
      <c r="V1788" s="533"/>
      <c r="W1788" s="533"/>
      <c r="X1788" s="533"/>
      <c r="Y1788" s="533"/>
    </row>
    <row r="1789" spans="1:25" s="88" customFormat="1" x14ac:dyDescent="0.25">
      <c r="A1789" s="509"/>
      <c r="B1789" s="256"/>
      <c r="C1789" s="221"/>
      <c r="D1789" s="218"/>
      <c r="E1789" s="218">
        <v>27</v>
      </c>
      <c r="F1789" s="263">
        <v>426</v>
      </c>
      <c r="G1789" s="295" t="s">
        <v>3805</v>
      </c>
      <c r="H1789" s="594">
        <v>6000000</v>
      </c>
      <c r="I1789" s="595"/>
      <c r="J1789" s="595">
        <f t="shared" si="57"/>
        <v>6000000</v>
      </c>
      <c r="K1789" s="533"/>
      <c r="L1789" s="533"/>
      <c r="M1789" s="533"/>
      <c r="N1789" s="268"/>
      <c r="O1789" s="533"/>
      <c r="P1789" s="533"/>
      <c r="Q1789" s="533"/>
      <c r="R1789" s="533"/>
      <c r="S1789" s="533"/>
      <c r="T1789" s="533"/>
      <c r="U1789" s="533"/>
      <c r="V1789" s="533"/>
      <c r="W1789" s="533"/>
      <c r="X1789" s="533"/>
      <c r="Y1789" s="533"/>
    </row>
    <row r="1790" spans="1:25" s="88" customFormat="1" hidden="1" x14ac:dyDescent="0.25">
      <c r="A1790" s="509"/>
      <c r="B1790" s="256"/>
      <c r="C1790" s="221"/>
      <c r="D1790" s="218"/>
      <c r="E1790" s="218"/>
      <c r="F1790" s="263">
        <v>431</v>
      </c>
      <c r="G1790" s="295" t="s">
        <v>4203</v>
      </c>
      <c r="H1790" s="594"/>
      <c r="I1790" s="595"/>
      <c r="J1790" s="595">
        <f t="shared" si="57"/>
        <v>0</v>
      </c>
      <c r="K1790" s="533"/>
      <c r="L1790" s="533"/>
      <c r="M1790" s="533"/>
      <c r="N1790" s="268"/>
      <c r="O1790" s="533"/>
      <c r="P1790" s="533"/>
      <c r="Q1790" s="533"/>
      <c r="R1790" s="533"/>
      <c r="S1790" s="533"/>
      <c r="T1790" s="533"/>
      <c r="U1790" s="533"/>
      <c r="V1790" s="533"/>
      <c r="W1790" s="533"/>
      <c r="X1790" s="533"/>
      <c r="Y1790" s="533"/>
    </row>
    <row r="1791" spans="1:25" s="88" customFormat="1" hidden="1" x14ac:dyDescent="0.25">
      <c r="A1791" s="509"/>
      <c r="B1791" s="256"/>
      <c r="C1791" s="221"/>
      <c r="D1791" s="218"/>
      <c r="E1791" s="218"/>
      <c r="F1791" s="263">
        <v>432</v>
      </c>
      <c r="G1791" s="295" t="s">
        <v>4204</v>
      </c>
      <c r="H1791" s="594"/>
      <c r="I1791" s="595"/>
      <c r="J1791" s="595">
        <f t="shared" si="57"/>
        <v>0</v>
      </c>
      <c r="K1791" s="533"/>
      <c r="L1791" s="533"/>
      <c r="M1791" s="533"/>
      <c r="N1791" s="268"/>
      <c r="O1791" s="533"/>
      <c r="P1791" s="533"/>
      <c r="Q1791" s="533"/>
      <c r="R1791" s="533"/>
      <c r="S1791" s="533"/>
      <c r="T1791" s="533"/>
      <c r="U1791" s="533"/>
      <c r="V1791" s="533"/>
      <c r="W1791" s="533"/>
      <c r="X1791" s="533"/>
      <c r="Y1791" s="533"/>
    </row>
    <row r="1792" spans="1:25" s="88" customFormat="1" hidden="1" x14ac:dyDescent="0.25">
      <c r="A1792" s="509"/>
      <c r="B1792" s="256"/>
      <c r="C1792" s="221"/>
      <c r="D1792" s="218"/>
      <c r="E1792" s="218"/>
      <c r="F1792" s="263">
        <v>433</v>
      </c>
      <c r="G1792" s="295" t="s">
        <v>4205</v>
      </c>
      <c r="H1792" s="594"/>
      <c r="I1792" s="595"/>
      <c r="J1792" s="595">
        <f t="shared" si="57"/>
        <v>0</v>
      </c>
      <c r="K1792" s="533"/>
      <c r="L1792" s="533"/>
      <c r="M1792" s="533"/>
      <c r="N1792" s="268"/>
      <c r="O1792" s="533"/>
      <c r="P1792" s="533"/>
      <c r="Q1792" s="533"/>
      <c r="R1792" s="533"/>
      <c r="S1792" s="533"/>
      <c r="T1792" s="533"/>
      <c r="U1792" s="533"/>
      <c r="V1792" s="533"/>
      <c r="W1792" s="533"/>
      <c r="X1792" s="533"/>
      <c r="Y1792" s="533"/>
    </row>
    <row r="1793" spans="1:25" s="88" customFormat="1" hidden="1" x14ac:dyDescent="0.25">
      <c r="A1793" s="509"/>
      <c r="B1793" s="256"/>
      <c r="C1793" s="221"/>
      <c r="D1793" s="218"/>
      <c r="E1793" s="218"/>
      <c r="F1793" s="263">
        <v>434</v>
      </c>
      <c r="G1793" s="295" t="s">
        <v>4206</v>
      </c>
      <c r="H1793" s="594"/>
      <c r="I1793" s="595"/>
      <c r="J1793" s="595">
        <f t="shared" si="57"/>
        <v>0</v>
      </c>
      <c r="K1793" s="533"/>
      <c r="L1793" s="533"/>
      <c r="M1793" s="533"/>
      <c r="N1793" s="268"/>
      <c r="O1793" s="533"/>
      <c r="P1793" s="533"/>
      <c r="Q1793" s="533"/>
      <c r="R1793" s="533"/>
      <c r="S1793" s="533"/>
      <c r="T1793" s="533"/>
      <c r="U1793" s="533"/>
      <c r="V1793" s="533"/>
      <c r="W1793" s="533"/>
      <c r="X1793" s="533"/>
      <c r="Y1793" s="533"/>
    </row>
    <row r="1794" spans="1:25" s="88" customFormat="1" hidden="1" x14ac:dyDescent="0.25">
      <c r="A1794" s="509"/>
      <c r="B1794" s="256"/>
      <c r="C1794" s="221"/>
      <c r="D1794" s="218"/>
      <c r="E1794" s="218"/>
      <c r="F1794" s="263">
        <v>435</v>
      </c>
      <c r="G1794" s="295" t="s">
        <v>3812</v>
      </c>
      <c r="H1794" s="594"/>
      <c r="I1794" s="595"/>
      <c r="J1794" s="595">
        <f t="shared" si="57"/>
        <v>0</v>
      </c>
      <c r="K1794" s="533"/>
      <c r="L1794" s="533"/>
      <c r="M1794" s="533"/>
      <c r="N1794" s="268"/>
      <c r="O1794" s="533"/>
      <c r="P1794" s="533"/>
      <c r="Q1794" s="533"/>
      <c r="R1794" s="533"/>
      <c r="S1794" s="533"/>
      <c r="T1794" s="533"/>
      <c r="U1794" s="533"/>
      <c r="V1794" s="533"/>
      <c r="W1794" s="533"/>
      <c r="X1794" s="533"/>
      <c r="Y1794" s="533"/>
    </row>
    <row r="1795" spans="1:25" s="88" customFormat="1" hidden="1" x14ac:dyDescent="0.25">
      <c r="A1795" s="509"/>
      <c r="B1795" s="256"/>
      <c r="C1795" s="221"/>
      <c r="D1795" s="218"/>
      <c r="E1795" s="218"/>
      <c r="F1795" s="263">
        <v>441</v>
      </c>
      <c r="G1795" s="295" t="s">
        <v>4207</v>
      </c>
      <c r="H1795" s="594"/>
      <c r="I1795" s="595"/>
      <c r="J1795" s="595">
        <f t="shared" si="57"/>
        <v>0</v>
      </c>
      <c r="K1795" s="533"/>
      <c r="L1795" s="533"/>
      <c r="M1795" s="533"/>
      <c r="N1795" s="268"/>
      <c r="O1795" s="533"/>
      <c r="P1795" s="533"/>
      <c r="Q1795" s="533"/>
      <c r="R1795" s="533"/>
      <c r="S1795" s="533"/>
      <c r="T1795" s="533"/>
      <c r="U1795" s="533"/>
      <c r="V1795" s="533"/>
      <c r="W1795" s="533"/>
      <c r="X1795" s="533"/>
      <c r="Y1795" s="533"/>
    </row>
    <row r="1796" spans="1:25" s="88" customFormat="1" hidden="1" x14ac:dyDescent="0.25">
      <c r="A1796" s="509"/>
      <c r="B1796" s="256"/>
      <c r="C1796" s="221"/>
      <c r="D1796" s="218"/>
      <c r="E1796" s="218"/>
      <c r="F1796" s="263">
        <v>442</v>
      </c>
      <c r="G1796" s="295" t="s">
        <v>4208</v>
      </c>
      <c r="H1796" s="594"/>
      <c r="I1796" s="595"/>
      <c r="J1796" s="595">
        <f t="shared" si="57"/>
        <v>0</v>
      </c>
      <c r="K1796" s="533"/>
      <c r="L1796" s="533"/>
      <c r="M1796" s="533"/>
      <c r="N1796" s="268"/>
      <c r="O1796" s="533"/>
      <c r="P1796" s="533"/>
      <c r="Q1796" s="533"/>
      <c r="R1796" s="533"/>
      <c r="S1796" s="533"/>
      <c r="T1796" s="533"/>
      <c r="U1796" s="533"/>
      <c r="V1796" s="533"/>
      <c r="W1796" s="533"/>
      <c r="X1796" s="533"/>
      <c r="Y1796" s="533"/>
    </row>
    <row r="1797" spans="1:25" s="88" customFormat="1" hidden="1" x14ac:dyDescent="0.25">
      <c r="A1797" s="509"/>
      <c r="B1797" s="256"/>
      <c r="C1797" s="221"/>
      <c r="D1797" s="218"/>
      <c r="E1797" s="218"/>
      <c r="F1797" s="263">
        <v>443</v>
      </c>
      <c r="G1797" s="295" t="s">
        <v>3817</v>
      </c>
      <c r="H1797" s="594"/>
      <c r="I1797" s="595"/>
      <c r="J1797" s="595">
        <f t="shared" si="57"/>
        <v>0</v>
      </c>
      <c r="K1797" s="533"/>
      <c r="L1797" s="533"/>
      <c r="M1797" s="533"/>
      <c r="N1797" s="268"/>
      <c r="O1797" s="533"/>
      <c r="P1797" s="533"/>
      <c r="Q1797" s="533"/>
      <c r="R1797" s="533"/>
      <c r="S1797" s="533"/>
      <c r="T1797" s="533"/>
      <c r="U1797" s="533"/>
      <c r="V1797" s="533"/>
      <c r="W1797" s="533"/>
      <c r="X1797" s="533"/>
      <c r="Y1797" s="533"/>
    </row>
    <row r="1798" spans="1:25" s="88" customFormat="1" hidden="1" x14ac:dyDescent="0.25">
      <c r="A1798" s="509"/>
      <c r="B1798" s="256"/>
      <c r="C1798" s="221"/>
      <c r="D1798" s="218"/>
      <c r="E1798" s="218"/>
      <c r="F1798" s="263">
        <v>444</v>
      </c>
      <c r="G1798" s="295" t="s">
        <v>3818</v>
      </c>
      <c r="H1798" s="594"/>
      <c r="I1798" s="595"/>
      <c r="J1798" s="595">
        <f t="shared" si="57"/>
        <v>0</v>
      </c>
      <c r="K1798" s="533"/>
      <c r="L1798" s="533"/>
      <c r="M1798" s="533"/>
      <c r="N1798" s="268"/>
      <c r="O1798" s="533"/>
      <c r="P1798" s="533"/>
      <c r="Q1798" s="533"/>
      <c r="R1798" s="533"/>
      <c r="S1798" s="533"/>
      <c r="T1798" s="533"/>
      <c r="U1798" s="533"/>
      <c r="V1798" s="533"/>
      <c r="W1798" s="533"/>
      <c r="X1798" s="533"/>
      <c r="Y1798" s="533"/>
    </row>
    <row r="1799" spans="1:25" s="88" customFormat="1" ht="30" hidden="1" x14ac:dyDescent="0.25">
      <c r="A1799" s="509"/>
      <c r="B1799" s="256"/>
      <c r="C1799" s="221"/>
      <c r="D1799" s="218"/>
      <c r="E1799" s="218"/>
      <c r="F1799" s="263">
        <v>4511</v>
      </c>
      <c r="G1799" s="223" t="s">
        <v>1692</v>
      </c>
      <c r="H1799" s="594"/>
      <c r="I1799" s="595"/>
      <c r="J1799" s="595">
        <f t="shared" si="57"/>
        <v>0</v>
      </c>
      <c r="K1799" s="533"/>
      <c r="L1799" s="533"/>
      <c r="M1799" s="533"/>
      <c r="N1799" s="268"/>
      <c r="O1799" s="533"/>
      <c r="P1799" s="533"/>
      <c r="Q1799" s="533"/>
      <c r="R1799" s="533"/>
      <c r="S1799" s="533"/>
      <c r="T1799" s="533"/>
      <c r="U1799" s="533"/>
      <c r="V1799" s="533"/>
      <c r="W1799" s="533"/>
      <c r="X1799" s="533"/>
      <c r="Y1799" s="533"/>
    </row>
    <row r="1800" spans="1:25" s="88" customFormat="1" ht="30" hidden="1" x14ac:dyDescent="0.25">
      <c r="A1800" s="509"/>
      <c r="B1800" s="256"/>
      <c r="C1800" s="221"/>
      <c r="D1800" s="218"/>
      <c r="E1800" s="218"/>
      <c r="F1800" s="263">
        <v>4512</v>
      </c>
      <c r="G1800" s="223" t="s">
        <v>1701</v>
      </c>
      <c r="H1800" s="594"/>
      <c r="I1800" s="595"/>
      <c r="J1800" s="595">
        <f t="shared" si="57"/>
        <v>0</v>
      </c>
      <c r="K1800" s="533"/>
      <c r="L1800" s="533"/>
      <c r="M1800" s="533"/>
      <c r="N1800" s="268"/>
      <c r="O1800" s="533"/>
      <c r="P1800" s="533"/>
      <c r="Q1800" s="533"/>
      <c r="R1800" s="533"/>
      <c r="S1800" s="533"/>
      <c r="T1800" s="533"/>
      <c r="U1800" s="533"/>
      <c r="V1800" s="533"/>
      <c r="W1800" s="533"/>
      <c r="X1800" s="533"/>
      <c r="Y1800" s="533"/>
    </row>
    <row r="1801" spans="1:25" s="88" customFormat="1" hidden="1" x14ac:dyDescent="0.25">
      <c r="A1801" s="509"/>
      <c r="B1801" s="256"/>
      <c r="C1801" s="221"/>
      <c r="D1801" s="218"/>
      <c r="E1801" s="218"/>
      <c r="F1801" s="263">
        <v>452</v>
      </c>
      <c r="G1801" s="295" t="s">
        <v>4209</v>
      </c>
      <c r="H1801" s="594"/>
      <c r="I1801" s="595"/>
      <c r="J1801" s="595">
        <f t="shared" si="57"/>
        <v>0</v>
      </c>
      <c r="K1801" s="533"/>
      <c r="L1801" s="533"/>
      <c r="M1801" s="533"/>
      <c r="N1801" s="268"/>
      <c r="O1801" s="533"/>
      <c r="P1801" s="533"/>
      <c r="Q1801" s="533"/>
      <c r="R1801" s="533"/>
      <c r="S1801" s="533"/>
      <c r="T1801" s="533"/>
      <c r="U1801" s="533"/>
      <c r="V1801" s="533"/>
      <c r="W1801" s="533"/>
      <c r="X1801" s="533"/>
      <c r="Y1801" s="533"/>
    </row>
    <row r="1802" spans="1:25" s="88" customFormat="1" hidden="1" x14ac:dyDescent="0.25">
      <c r="A1802" s="509"/>
      <c r="B1802" s="256"/>
      <c r="C1802" s="221"/>
      <c r="D1802" s="218"/>
      <c r="E1802" s="218"/>
      <c r="F1802" s="263">
        <v>453</v>
      </c>
      <c r="G1802" s="295" t="s">
        <v>4210</v>
      </c>
      <c r="H1802" s="594"/>
      <c r="I1802" s="595"/>
      <c r="J1802" s="595">
        <f t="shared" si="57"/>
        <v>0</v>
      </c>
      <c r="K1802" s="533"/>
      <c r="L1802" s="533"/>
      <c r="M1802" s="533"/>
      <c r="N1802" s="268"/>
      <c r="O1802" s="533"/>
      <c r="P1802" s="533"/>
      <c r="Q1802" s="533"/>
      <c r="R1802" s="533"/>
      <c r="S1802" s="533"/>
      <c r="T1802" s="533"/>
      <c r="U1802" s="533"/>
      <c r="V1802" s="533"/>
      <c r="W1802" s="533"/>
      <c r="X1802" s="533"/>
      <c r="Y1802" s="533"/>
    </row>
    <row r="1803" spans="1:25" s="88" customFormat="1" hidden="1" x14ac:dyDescent="0.25">
      <c r="A1803" s="509"/>
      <c r="B1803" s="256"/>
      <c r="C1803" s="221"/>
      <c r="D1803" s="218"/>
      <c r="E1803" s="218"/>
      <c r="F1803" s="263">
        <v>454</v>
      </c>
      <c r="G1803" s="295" t="s">
        <v>3823</v>
      </c>
      <c r="H1803" s="594"/>
      <c r="I1803" s="595"/>
      <c r="J1803" s="595">
        <f t="shared" si="57"/>
        <v>0</v>
      </c>
      <c r="K1803" s="533"/>
      <c r="L1803" s="533"/>
      <c r="M1803" s="533"/>
      <c r="N1803" s="268"/>
      <c r="O1803" s="533"/>
      <c r="P1803" s="533"/>
      <c r="Q1803" s="533"/>
      <c r="R1803" s="533"/>
      <c r="S1803" s="533"/>
      <c r="T1803" s="533"/>
      <c r="U1803" s="533"/>
      <c r="V1803" s="533"/>
      <c r="W1803" s="533"/>
      <c r="X1803" s="533"/>
      <c r="Y1803" s="533"/>
    </row>
    <row r="1804" spans="1:25" s="88" customFormat="1" hidden="1" x14ac:dyDescent="0.25">
      <c r="A1804" s="509"/>
      <c r="B1804" s="256"/>
      <c r="C1804" s="221"/>
      <c r="D1804" s="218"/>
      <c r="E1804" s="218"/>
      <c r="F1804" s="263">
        <v>461</v>
      </c>
      <c r="G1804" s="295" t="s">
        <v>4191</v>
      </c>
      <c r="H1804" s="594"/>
      <c r="I1804" s="595"/>
      <c r="J1804" s="595">
        <f t="shared" si="57"/>
        <v>0</v>
      </c>
      <c r="K1804" s="533"/>
      <c r="L1804" s="533"/>
      <c r="M1804" s="533"/>
      <c r="N1804" s="268"/>
      <c r="O1804" s="533"/>
      <c r="P1804" s="533"/>
      <c r="Q1804" s="533"/>
      <c r="R1804" s="533"/>
      <c r="S1804" s="533"/>
      <c r="T1804" s="533"/>
      <c r="U1804" s="533"/>
      <c r="V1804" s="533"/>
      <c r="W1804" s="533"/>
      <c r="X1804" s="533"/>
      <c r="Y1804" s="533"/>
    </row>
    <row r="1805" spans="1:25" s="88" customFormat="1" hidden="1" x14ac:dyDescent="0.25">
      <c r="A1805" s="509"/>
      <c r="B1805" s="256"/>
      <c r="C1805" s="221"/>
      <c r="D1805" s="218"/>
      <c r="E1805" s="218"/>
      <c r="F1805" s="263">
        <v>462</v>
      </c>
      <c r="G1805" s="295" t="s">
        <v>3826</v>
      </c>
      <c r="H1805" s="594"/>
      <c r="I1805" s="595"/>
      <c r="J1805" s="595">
        <f t="shared" si="57"/>
        <v>0</v>
      </c>
      <c r="K1805" s="533"/>
      <c r="L1805" s="533"/>
      <c r="M1805" s="533"/>
      <c r="N1805" s="268"/>
      <c r="O1805" s="533"/>
      <c r="P1805" s="533"/>
      <c r="Q1805" s="533"/>
      <c r="R1805" s="533"/>
      <c r="S1805" s="533"/>
      <c r="T1805" s="533"/>
      <c r="U1805" s="533"/>
      <c r="V1805" s="533"/>
      <c r="W1805" s="533"/>
      <c r="X1805" s="533"/>
      <c r="Y1805" s="533"/>
    </row>
    <row r="1806" spans="1:25" s="88" customFormat="1" hidden="1" x14ac:dyDescent="0.25">
      <c r="A1806" s="509"/>
      <c r="B1806" s="256"/>
      <c r="C1806" s="221"/>
      <c r="D1806" s="218"/>
      <c r="E1806" s="218"/>
      <c r="F1806" s="263">
        <v>4631</v>
      </c>
      <c r="G1806" s="295" t="s">
        <v>3827</v>
      </c>
      <c r="H1806" s="594"/>
      <c r="I1806" s="595"/>
      <c r="J1806" s="595">
        <f t="shared" si="57"/>
        <v>0</v>
      </c>
      <c r="K1806" s="533"/>
      <c r="L1806" s="533"/>
      <c r="M1806" s="533"/>
      <c r="N1806" s="268"/>
      <c r="O1806" s="533"/>
      <c r="P1806" s="533"/>
      <c r="Q1806" s="533"/>
      <c r="R1806" s="533"/>
      <c r="S1806" s="533"/>
      <c r="T1806" s="533"/>
      <c r="U1806" s="533"/>
      <c r="V1806" s="533"/>
      <c r="W1806" s="533"/>
      <c r="X1806" s="533"/>
      <c r="Y1806" s="533"/>
    </row>
    <row r="1807" spans="1:25" s="88" customFormat="1" hidden="1" x14ac:dyDescent="0.25">
      <c r="A1807" s="509"/>
      <c r="B1807" s="256"/>
      <c r="C1807" s="221"/>
      <c r="D1807" s="218"/>
      <c r="E1807" s="218"/>
      <c r="F1807" s="263">
        <v>4632</v>
      </c>
      <c r="G1807" s="295" t="s">
        <v>3828</v>
      </c>
      <c r="H1807" s="594"/>
      <c r="I1807" s="595"/>
      <c r="J1807" s="595">
        <f t="shared" si="57"/>
        <v>0</v>
      </c>
      <c r="K1807" s="533"/>
      <c r="L1807" s="533"/>
      <c r="M1807" s="533"/>
      <c r="N1807" s="268"/>
      <c r="O1807" s="533"/>
      <c r="P1807" s="533"/>
      <c r="Q1807" s="533"/>
      <c r="R1807" s="533"/>
      <c r="S1807" s="533"/>
      <c r="T1807" s="533"/>
      <c r="U1807" s="533"/>
      <c r="V1807" s="533"/>
      <c r="W1807" s="533"/>
      <c r="X1807" s="533"/>
      <c r="Y1807" s="533"/>
    </row>
    <row r="1808" spans="1:25" s="88" customFormat="1" hidden="1" x14ac:dyDescent="0.25">
      <c r="A1808" s="509"/>
      <c r="B1808" s="256"/>
      <c r="C1808" s="221"/>
      <c r="D1808" s="218"/>
      <c r="E1808" s="218"/>
      <c r="F1808" s="263">
        <v>464</v>
      </c>
      <c r="G1808" s="295" t="s">
        <v>3829</v>
      </c>
      <c r="H1808" s="594"/>
      <c r="I1808" s="595"/>
      <c r="J1808" s="595">
        <f t="shared" ref="J1808:J1837" si="58">SUM(H1808:I1808)</f>
        <v>0</v>
      </c>
      <c r="K1808" s="533"/>
      <c r="L1808" s="533"/>
      <c r="M1808" s="533"/>
      <c r="N1808" s="268"/>
      <c r="O1808" s="533"/>
      <c r="P1808" s="533"/>
      <c r="Q1808" s="533"/>
      <c r="R1808" s="533"/>
      <c r="S1808" s="533"/>
      <c r="T1808" s="533"/>
      <c r="U1808" s="533"/>
      <c r="V1808" s="533"/>
      <c r="W1808" s="533"/>
      <c r="X1808" s="533"/>
      <c r="Y1808" s="533"/>
    </row>
    <row r="1809" spans="1:25" s="88" customFormat="1" x14ac:dyDescent="0.25">
      <c r="A1809" s="509"/>
      <c r="B1809" s="256"/>
      <c r="C1809" s="221"/>
      <c r="D1809" s="218"/>
      <c r="E1809" s="218">
        <v>28</v>
      </c>
      <c r="F1809" s="263">
        <v>465</v>
      </c>
      <c r="G1809" s="295" t="s">
        <v>4192</v>
      </c>
      <c r="H1809" s="594">
        <v>4400000</v>
      </c>
      <c r="I1809" s="595"/>
      <c r="J1809" s="595">
        <f t="shared" si="58"/>
        <v>4400000</v>
      </c>
      <c r="K1809" s="533"/>
      <c r="L1809" s="533"/>
      <c r="M1809" s="533"/>
      <c r="N1809" s="268"/>
      <c r="O1809" s="533"/>
      <c r="P1809" s="533"/>
      <c r="Q1809" s="533"/>
      <c r="R1809" s="533"/>
      <c r="S1809" s="533"/>
      <c r="T1809" s="533"/>
      <c r="U1809" s="533"/>
      <c r="V1809" s="533"/>
      <c r="W1809" s="533"/>
      <c r="X1809" s="533"/>
      <c r="Y1809" s="533"/>
    </row>
    <row r="1810" spans="1:25" s="88" customFormat="1" hidden="1" x14ac:dyDescent="0.25">
      <c r="A1810" s="509"/>
      <c r="B1810" s="256"/>
      <c r="C1810" s="221"/>
      <c r="D1810" s="218"/>
      <c r="E1810" s="218"/>
      <c r="F1810" s="263">
        <v>472</v>
      </c>
      <c r="G1810" s="295" t="s">
        <v>3833</v>
      </c>
      <c r="H1810" s="594"/>
      <c r="I1810" s="595"/>
      <c r="J1810" s="595">
        <f t="shared" si="58"/>
        <v>0</v>
      </c>
      <c r="K1810" s="533"/>
      <c r="L1810" s="533"/>
      <c r="M1810" s="533"/>
      <c r="N1810" s="268"/>
      <c r="O1810" s="533"/>
      <c r="P1810" s="533"/>
      <c r="Q1810" s="533"/>
      <c r="R1810" s="533"/>
      <c r="S1810" s="533"/>
      <c r="T1810" s="533"/>
      <c r="U1810" s="533"/>
      <c r="V1810" s="533"/>
      <c r="W1810" s="533"/>
      <c r="X1810" s="533"/>
      <c r="Y1810" s="533"/>
    </row>
    <row r="1811" spans="1:25" s="88" customFormat="1" hidden="1" x14ac:dyDescent="0.25">
      <c r="A1811" s="509"/>
      <c r="B1811" s="256"/>
      <c r="C1811" s="221"/>
      <c r="D1811" s="218"/>
      <c r="E1811" s="218"/>
      <c r="F1811" s="263">
        <v>481</v>
      </c>
      <c r="G1811" s="295" t="s">
        <v>4211</v>
      </c>
      <c r="H1811" s="594"/>
      <c r="I1811" s="595"/>
      <c r="J1811" s="595">
        <f t="shared" si="58"/>
        <v>0</v>
      </c>
      <c r="K1811" s="533"/>
      <c r="L1811" s="533"/>
      <c r="M1811" s="533"/>
      <c r="N1811" s="268"/>
      <c r="O1811" s="533"/>
      <c r="P1811" s="533"/>
      <c r="Q1811" s="533"/>
      <c r="R1811" s="533"/>
      <c r="S1811" s="533"/>
      <c r="T1811" s="533"/>
      <c r="U1811" s="533"/>
      <c r="V1811" s="533"/>
      <c r="W1811" s="533"/>
      <c r="X1811" s="533"/>
      <c r="Y1811" s="533"/>
    </row>
    <row r="1812" spans="1:25" s="88" customFormat="1" x14ac:dyDescent="0.25">
      <c r="A1812" s="509"/>
      <c r="B1812" s="256"/>
      <c r="C1812" s="221"/>
      <c r="D1812" s="218"/>
      <c r="E1812" s="218">
        <v>29</v>
      </c>
      <c r="F1812" s="263">
        <v>482</v>
      </c>
      <c r="G1812" s="295" t="s">
        <v>4212</v>
      </c>
      <c r="H1812" s="594">
        <v>200000</v>
      </c>
      <c r="I1812" s="595"/>
      <c r="J1812" s="595">
        <f t="shared" si="58"/>
        <v>200000</v>
      </c>
      <c r="K1812" s="533"/>
      <c r="L1812" s="533"/>
      <c r="M1812" s="533"/>
      <c r="N1812" s="268"/>
      <c r="O1812" s="533"/>
      <c r="P1812" s="533"/>
      <c r="Q1812" s="533"/>
      <c r="R1812" s="533"/>
      <c r="S1812" s="533"/>
      <c r="T1812" s="533"/>
      <c r="U1812" s="533"/>
      <c r="V1812" s="533"/>
      <c r="W1812" s="533"/>
      <c r="X1812" s="533"/>
      <c r="Y1812" s="533"/>
    </row>
    <row r="1813" spans="1:25" s="88" customFormat="1" hidden="1" x14ac:dyDescent="0.25">
      <c r="A1813" s="509"/>
      <c r="B1813" s="256"/>
      <c r="C1813" s="221"/>
      <c r="D1813" s="218"/>
      <c r="E1813" s="218"/>
      <c r="F1813" s="263">
        <v>483</v>
      </c>
      <c r="G1813" s="298" t="s">
        <v>4213</v>
      </c>
      <c r="H1813" s="594"/>
      <c r="I1813" s="595"/>
      <c r="J1813" s="595">
        <f t="shared" si="58"/>
        <v>0</v>
      </c>
      <c r="K1813" s="533"/>
      <c r="L1813" s="533"/>
      <c r="M1813" s="533"/>
      <c r="N1813" s="268"/>
      <c r="O1813" s="533"/>
      <c r="P1813" s="533"/>
      <c r="Q1813" s="533"/>
      <c r="R1813" s="533"/>
      <c r="S1813" s="533"/>
      <c r="T1813" s="533"/>
      <c r="U1813" s="533"/>
      <c r="V1813" s="533"/>
      <c r="W1813" s="533"/>
      <c r="X1813" s="533"/>
      <c r="Y1813" s="533"/>
    </row>
    <row r="1814" spans="1:25" s="88" customFormat="1" ht="30" hidden="1" x14ac:dyDescent="0.25">
      <c r="A1814" s="509"/>
      <c r="B1814" s="256"/>
      <c r="C1814" s="221"/>
      <c r="D1814" s="218"/>
      <c r="E1814" s="218"/>
      <c r="F1814" s="263">
        <v>484</v>
      </c>
      <c r="G1814" s="295" t="s">
        <v>4214</v>
      </c>
      <c r="H1814" s="594"/>
      <c r="I1814" s="595"/>
      <c r="J1814" s="595">
        <f t="shared" si="58"/>
        <v>0</v>
      </c>
      <c r="K1814" s="533"/>
      <c r="L1814" s="533"/>
      <c r="M1814" s="533"/>
      <c r="N1814" s="268"/>
      <c r="O1814" s="533"/>
      <c r="P1814" s="533"/>
      <c r="Q1814" s="533"/>
      <c r="R1814" s="533"/>
      <c r="S1814" s="533"/>
      <c r="T1814" s="533"/>
      <c r="U1814" s="533"/>
      <c r="V1814" s="533"/>
      <c r="W1814" s="533"/>
      <c r="X1814" s="533"/>
      <c r="Y1814" s="533"/>
    </row>
    <row r="1815" spans="1:25" s="88" customFormat="1" ht="30" hidden="1" x14ac:dyDescent="0.25">
      <c r="A1815" s="509"/>
      <c r="B1815" s="256"/>
      <c r="C1815" s="221"/>
      <c r="D1815" s="218"/>
      <c r="E1815" s="218"/>
      <c r="F1815" s="263">
        <v>485</v>
      </c>
      <c r="G1815" s="295" t="s">
        <v>4215</v>
      </c>
      <c r="H1815" s="594"/>
      <c r="I1815" s="595"/>
      <c r="J1815" s="595">
        <f t="shared" si="58"/>
        <v>0</v>
      </c>
      <c r="K1815" s="533"/>
      <c r="L1815" s="533"/>
      <c r="M1815" s="533"/>
      <c r="N1815" s="268"/>
      <c r="O1815" s="533"/>
      <c r="P1815" s="533"/>
      <c r="Q1815" s="533"/>
      <c r="R1815" s="533"/>
      <c r="S1815" s="533"/>
      <c r="T1815" s="533"/>
      <c r="U1815" s="533"/>
      <c r="V1815" s="533"/>
      <c r="W1815" s="533"/>
      <c r="X1815" s="533"/>
      <c r="Y1815" s="533"/>
    </row>
    <row r="1816" spans="1:25" s="88" customFormat="1" ht="30" hidden="1" x14ac:dyDescent="0.25">
      <c r="A1816" s="509"/>
      <c r="B1816" s="256"/>
      <c r="C1816" s="221"/>
      <c r="D1816" s="218"/>
      <c r="E1816" s="218"/>
      <c r="F1816" s="263">
        <v>489</v>
      </c>
      <c r="G1816" s="295" t="s">
        <v>3841</v>
      </c>
      <c r="H1816" s="594"/>
      <c r="I1816" s="595"/>
      <c r="J1816" s="595">
        <f t="shared" si="58"/>
        <v>0</v>
      </c>
      <c r="K1816" s="533"/>
      <c r="L1816" s="533"/>
      <c r="M1816" s="533"/>
      <c r="N1816" s="268"/>
      <c r="O1816" s="533"/>
      <c r="P1816" s="533"/>
      <c r="Q1816" s="533"/>
      <c r="R1816" s="533"/>
      <c r="S1816" s="533"/>
      <c r="T1816" s="533"/>
      <c r="U1816" s="533"/>
      <c r="V1816" s="533"/>
      <c r="W1816" s="533"/>
      <c r="X1816" s="533"/>
      <c r="Y1816" s="533"/>
    </row>
    <row r="1817" spans="1:25" s="88" customFormat="1" hidden="1" x14ac:dyDescent="0.25">
      <c r="A1817" s="509"/>
      <c r="B1817" s="256"/>
      <c r="C1817" s="221"/>
      <c r="D1817" s="218"/>
      <c r="E1817" s="218"/>
      <c r="F1817" s="263">
        <v>494</v>
      </c>
      <c r="G1817" s="295" t="s">
        <v>4193</v>
      </c>
      <c r="H1817" s="594"/>
      <c r="I1817" s="595"/>
      <c r="J1817" s="595">
        <f t="shared" si="58"/>
        <v>0</v>
      </c>
      <c r="K1817" s="533"/>
      <c r="L1817" s="533"/>
      <c r="M1817" s="533"/>
      <c r="N1817" s="268"/>
      <c r="O1817" s="533"/>
      <c r="P1817" s="533"/>
      <c r="Q1817" s="533"/>
      <c r="R1817" s="533"/>
      <c r="S1817" s="533"/>
      <c r="T1817" s="533"/>
      <c r="U1817" s="533"/>
      <c r="V1817" s="533"/>
      <c r="W1817" s="533"/>
      <c r="X1817" s="533"/>
      <c r="Y1817" s="533"/>
    </row>
    <row r="1818" spans="1:25" s="88" customFormat="1" ht="30" hidden="1" x14ac:dyDescent="0.25">
      <c r="A1818" s="509"/>
      <c r="B1818" s="256"/>
      <c r="C1818" s="221"/>
      <c r="D1818" s="218"/>
      <c r="E1818" s="218"/>
      <c r="F1818" s="263">
        <v>495</v>
      </c>
      <c r="G1818" s="295" t="s">
        <v>4194</v>
      </c>
      <c r="H1818" s="594"/>
      <c r="I1818" s="595"/>
      <c r="J1818" s="595">
        <f t="shared" si="58"/>
        <v>0</v>
      </c>
      <c r="K1818" s="533"/>
      <c r="L1818" s="533"/>
      <c r="M1818" s="533"/>
      <c r="N1818" s="268"/>
      <c r="O1818" s="533"/>
      <c r="P1818" s="533"/>
      <c r="Q1818" s="533"/>
      <c r="R1818" s="533"/>
      <c r="S1818" s="533"/>
      <c r="T1818" s="533"/>
      <c r="U1818" s="533"/>
      <c r="V1818" s="533"/>
      <c r="W1818" s="533"/>
      <c r="X1818" s="533"/>
      <c r="Y1818" s="533"/>
    </row>
    <row r="1819" spans="1:25" s="88" customFormat="1" ht="30" hidden="1" x14ac:dyDescent="0.25">
      <c r="A1819" s="509"/>
      <c r="B1819" s="256"/>
      <c r="C1819" s="221"/>
      <c r="D1819" s="218"/>
      <c r="E1819" s="218"/>
      <c r="F1819" s="263">
        <v>496</v>
      </c>
      <c r="G1819" s="295" t="s">
        <v>4195</v>
      </c>
      <c r="H1819" s="594"/>
      <c r="I1819" s="595"/>
      <c r="J1819" s="595">
        <f t="shared" si="58"/>
        <v>0</v>
      </c>
      <c r="K1819" s="533"/>
      <c r="L1819" s="533"/>
      <c r="M1819" s="533"/>
      <c r="N1819" s="268"/>
      <c r="O1819" s="533"/>
      <c r="P1819" s="533"/>
      <c r="Q1819" s="533"/>
      <c r="R1819" s="533"/>
      <c r="S1819" s="533"/>
      <c r="T1819" s="533"/>
      <c r="U1819" s="533"/>
      <c r="V1819" s="533"/>
      <c r="W1819" s="533"/>
      <c r="X1819" s="533"/>
      <c r="Y1819" s="533"/>
    </row>
    <row r="1820" spans="1:25" s="88" customFormat="1" hidden="1" x14ac:dyDescent="0.25">
      <c r="A1820" s="509"/>
      <c r="B1820" s="256"/>
      <c r="C1820" s="221"/>
      <c r="D1820" s="218"/>
      <c r="E1820" s="218"/>
      <c r="F1820" s="263">
        <v>499</v>
      </c>
      <c r="G1820" s="295" t="s">
        <v>4196</v>
      </c>
      <c r="H1820" s="594"/>
      <c r="I1820" s="595"/>
      <c r="J1820" s="595">
        <f t="shared" si="58"/>
        <v>0</v>
      </c>
      <c r="K1820" s="533"/>
      <c r="L1820" s="533"/>
      <c r="M1820" s="533"/>
      <c r="N1820" s="268"/>
      <c r="O1820" s="533"/>
      <c r="P1820" s="533"/>
      <c r="Q1820" s="533"/>
      <c r="R1820" s="533"/>
      <c r="S1820" s="533"/>
      <c r="T1820" s="533"/>
      <c r="U1820" s="533"/>
      <c r="V1820" s="533"/>
      <c r="W1820" s="533"/>
      <c r="X1820" s="533"/>
      <c r="Y1820" s="533"/>
    </row>
    <row r="1821" spans="1:25" s="88" customFormat="1" ht="15" customHeight="1" x14ac:dyDescent="0.25">
      <c r="A1821" s="509"/>
      <c r="B1821" s="256"/>
      <c r="C1821" s="221"/>
      <c r="D1821" s="218"/>
      <c r="E1821" s="218">
        <v>30</v>
      </c>
      <c r="F1821" s="263">
        <v>511</v>
      </c>
      <c r="G1821" s="298" t="s">
        <v>4216</v>
      </c>
      <c r="H1821" s="594">
        <v>6000000</v>
      </c>
      <c r="I1821" s="595"/>
      <c r="J1821" s="595">
        <f t="shared" si="58"/>
        <v>6000000</v>
      </c>
      <c r="K1821" s="533"/>
      <c r="L1821" s="533"/>
      <c r="M1821" s="533"/>
      <c r="N1821" s="268"/>
      <c r="O1821" s="533"/>
      <c r="P1821" s="533"/>
      <c r="Q1821" s="533"/>
      <c r="R1821" s="533"/>
      <c r="S1821" s="533"/>
      <c r="T1821" s="533"/>
      <c r="U1821" s="533"/>
      <c r="V1821" s="533"/>
      <c r="W1821" s="533"/>
      <c r="X1821" s="533"/>
      <c r="Y1821" s="533"/>
    </row>
    <row r="1822" spans="1:25" s="88" customFormat="1" ht="15" customHeight="1" x14ac:dyDescent="0.25">
      <c r="A1822" s="509"/>
      <c r="B1822" s="256"/>
      <c r="C1822" s="221"/>
      <c r="D1822" s="218"/>
      <c r="E1822" s="218"/>
      <c r="F1822" s="527"/>
      <c r="G1822" s="733" t="s">
        <v>5284</v>
      </c>
      <c r="H1822" s="594"/>
      <c r="I1822" s="595"/>
      <c r="J1822" s="595"/>
      <c r="K1822" s="533"/>
      <c r="L1822" s="533"/>
      <c r="M1822" s="533"/>
      <c r="N1822" s="268"/>
      <c r="O1822" s="533"/>
      <c r="P1822" s="533"/>
      <c r="Q1822" s="533"/>
      <c r="R1822" s="533"/>
      <c r="S1822" s="533"/>
      <c r="T1822" s="533"/>
      <c r="U1822" s="533"/>
      <c r="V1822" s="533"/>
      <c r="W1822" s="533"/>
      <c r="X1822" s="533"/>
      <c r="Y1822" s="533"/>
    </row>
    <row r="1823" spans="1:25" s="88" customFormat="1" ht="15" customHeight="1" x14ac:dyDescent="0.25">
      <c r="A1823" s="509"/>
      <c r="B1823" s="256"/>
      <c r="C1823" s="221"/>
      <c r="D1823" s="218"/>
      <c r="E1823" s="218"/>
      <c r="F1823" s="527"/>
      <c r="G1823" s="733" t="s">
        <v>5285</v>
      </c>
      <c r="H1823" s="594"/>
      <c r="I1823" s="595"/>
      <c r="J1823" s="595"/>
      <c r="K1823" s="533"/>
      <c r="L1823" s="533"/>
      <c r="M1823" s="533"/>
      <c r="N1823" s="268"/>
      <c r="O1823" s="533"/>
      <c r="P1823" s="533"/>
      <c r="Q1823" s="533"/>
      <c r="R1823" s="533"/>
      <c r="S1823" s="533"/>
      <c r="T1823" s="533"/>
      <c r="U1823" s="533"/>
      <c r="V1823" s="533"/>
      <c r="W1823" s="533"/>
      <c r="X1823" s="533"/>
      <c r="Y1823" s="533"/>
    </row>
    <row r="1824" spans="1:25" s="88" customFormat="1" x14ac:dyDescent="0.25">
      <c r="A1824" s="509"/>
      <c r="B1824" s="256"/>
      <c r="C1824" s="221"/>
      <c r="D1824" s="218"/>
      <c r="E1824" s="218">
        <v>31</v>
      </c>
      <c r="F1824" s="263">
        <v>512</v>
      </c>
      <c r="G1824" s="298" t="s">
        <v>4217</v>
      </c>
      <c r="H1824" s="594">
        <v>700000</v>
      </c>
      <c r="I1824" s="595"/>
      <c r="J1824" s="595">
        <f t="shared" si="58"/>
        <v>700000</v>
      </c>
      <c r="K1824" s="533"/>
      <c r="L1824" s="533"/>
      <c r="M1824" s="533"/>
      <c r="N1824" s="268"/>
      <c r="O1824" s="533"/>
      <c r="P1824" s="533"/>
      <c r="Q1824" s="533"/>
      <c r="R1824" s="533"/>
      <c r="S1824" s="533"/>
      <c r="T1824" s="533"/>
      <c r="U1824" s="533"/>
      <c r="V1824" s="533"/>
      <c r="W1824" s="533"/>
      <c r="X1824" s="533"/>
      <c r="Y1824" s="533"/>
    </row>
    <row r="1825" spans="1:25" s="88" customFormat="1" hidden="1" x14ac:dyDescent="0.25">
      <c r="A1825" s="509"/>
      <c r="B1825" s="256"/>
      <c r="C1825" s="221"/>
      <c r="D1825" s="218"/>
      <c r="E1825" s="218"/>
      <c r="F1825" s="263">
        <v>513</v>
      </c>
      <c r="G1825" s="298" t="s">
        <v>4218</v>
      </c>
      <c r="H1825" s="594"/>
      <c r="I1825" s="595"/>
      <c r="J1825" s="595">
        <f t="shared" si="58"/>
        <v>0</v>
      </c>
      <c r="K1825" s="533"/>
      <c r="L1825" s="533"/>
      <c r="M1825" s="533"/>
      <c r="N1825" s="268"/>
      <c r="O1825" s="533"/>
      <c r="P1825" s="533"/>
      <c r="Q1825" s="533"/>
      <c r="R1825" s="533"/>
      <c r="S1825" s="533"/>
      <c r="T1825" s="533"/>
      <c r="U1825" s="533"/>
      <c r="V1825" s="533"/>
      <c r="W1825" s="533"/>
      <c r="X1825" s="533"/>
      <c r="Y1825" s="533"/>
    </row>
    <row r="1826" spans="1:25" s="88" customFormat="1" hidden="1" x14ac:dyDescent="0.25">
      <c r="A1826" s="509"/>
      <c r="B1826" s="256"/>
      <c r="C1826" s="221"/>
      <c r="D1826" s="218"/>
      <c r="E1826" s="218"/>
      <c r="F1826" s="263">
        <v>514</v>
      </c>
      <c r="G1826" s="295" t="s">
        <v>4219</v>
      </c>
      <c r="H1826" s="594"/>
      <c r="I1826" s="595"/>
      <c r="J1826" s="595">
        <f t="shared" si="58"/>
        <v>0</v>
      </c>
      <c r="K1826" s="533"/>
      <c r="L1826" s="533"/>
      <c r="M1826" s="533"/>
      <c r="N1826" s="268"/>
      <c r="O1826" s="533"/>
      <c r="P1826" s="533"/>
      <c r="Q1826" s="533"/>
      <c r="R1826" s="533"/>
      <c r="S1826" s="533"/>
      <c r="T1826" s="533"/>
      <c r="U1826" s="533"/>
      <c r="V1826" s="533"/>
      <c r="W1826" s="533"/>
      <c r="X1826" s="533"/>
      <c r="Y1826" s="533"/>
    </row>
    <row r="1827" spans="1:25" s="88" customFormat="1" hidden="1" x14ac:dyDescent="0.25">
      <c r="A1827" s="509"/>
      <c r="B1827" s="256"/>
      <c r="C1827" s="221"/>
      <c r="D1827" s="218"/>
      <c r="E1827" s="218"/>
      <c r="F1827" s="263">
        <v>515</v>
      </c>
      <c r="G1827" s="295" t="s">
        <v>3852</v>
      </c>
      <c r="H1827" s="594"/>
      <c r="I1827" s="595"/>
      <c r="J1827" s="595">
        <f t="shared" si="58"/>
        <v>0</v>
      </c>
      <c r="K1827" s="533"/>
      <c r="L1827" s="533"/>
      <c r="M1827" s="533"/>
      <c r="N1827" s="268"/>
      <c r="O1827" s="533"/>
      <c r="P1827" s="533"/>
      <c r="Q1827" s="533"/>
      <c r="R1827" s="533"/>
      <c r="S1827" s="533"/>
      <c r="T1827" s="533"/>
      <c r="U1827" s="533"/>
      <c r="V1827" s="533"/>
      <c r="W1827" s="533"/>
      <c r="X1827" s="533"/>
      <c r="Y1827" s="533"/>
    </row>
    <row r="1828" spans="1:25" s="88" customFormat="1" hidden="1" x14ac:dyDescent="0.25">
      <c r="A1828" s="509"/>
      <c r="B1828" s="256"/>
      <c r="C1828" s="221"/>
      <c r="D1828" s="218"/>
      <c r="E1828" s="218"/>
      <c r="F1828" s="263">
        <v>521</v>
      </c>
      <c r="G1828" s="295" t="s">
        <v>4220</v>
      </c>
      <c r="H1828" s="594"/>
      <c r="I1828" s="595"/>
      <c r="J1828" s="595">
        <f t="shared" si="58"/>
        <v>0</v>
      </c>
      <c r="K1828" s="533"/>
      <c r="L1828" s="533"/>
      <c r="M1828" s="533"/>
      <c r="N1828" s="268"/>
      <c r="O1828" s="533"/>
      <c r="P1828" s="533"/>
      <c r="Q1828" s="533"/>
      <c r="R1828" s="533"/>
      <c r="S1828" s="533"/>
      <c r="T1828" s="533"/>
      <c r="U1828" s="533"/>
      <c r="V1828" s="533"/>
      <c r="W1828" s="533"/>
      <c r="X1828" s="533"/>
      <c r="Y1828" s="533"/>
    </row>
    <row r="1829" spans="1:25" s="88" customFormat="1" hidden="1" x14ac:dyDescent="0.25">
      <c r="A1829" s="509"/>
      <c r="B1829" s="256"/>
      <c r="C1829" s="221"/>
      <c r="D1829" s="218"/>
      <c r="E1829" s="218"/>
      <c r="F1829" s="263">
        <v>522</v>
      </c>
      <c r="G1829" s="295" t="s">
        <v>4221</v>
      </c>
      <c r="H1829" s="594"/>
      <c r="I1829" s="595"/>
      <c r="J1829" s="595">
        <f t="shared" si="58"/>
        <v>0</v>
      </c>
      <c r="K1829" s="533"/>
      <c r="L1829" s="533"/>
      <c r="M1829" s="533"/>
      <c r="N1829" s="268"/>
      <c r="O1829" s="533"/>
      <c r="P1829" s="533"/>
      <c r="Q1829" s="533"/>
      <c r="R1829" s="533"/>
      <c r="S1829" s="533"/>
      <c r="T1829" s="533"/>
      <c r="U1829" s="533"/>
      <c r="V1829" s="533"/>
      <c r="W1829" s="533"/>
      <c r="X1829" s="533"/>
      <c r="Y1829" s="533"/>
    </row>
    <row r="1830" spans="1:25" s="88" customFormat="1" hidden="1" x14ac:dyDescent="0.25">
      <c r="A1830" s="509"/>
      <c r="B1830" s="256"/>
      <c r="C1830" s="221"/>
      <c r="D1830" s="218"/>
      <c r="E1830" s="218"/>
      <c r="F1830" s="263">
        <v>523</v>
      </c>
      <c r="G1830" s="295" t="s">
        <v>3857</v>
      </c>
      <c r="H1830" s="594"/>
      <c r="I1830" s="595"/>
      <c r="J1830" s="595">
        <f t="shared" si="58"/>
        <v>0</v>
      </c>
      <c r="K1830" s="533"/>
      <c r="L1830" s="533"/>
      <c r="M1830" s="533"/>
      <c r="N1830" s="268"/>
      <c r="O1830" s="533"/>
      <c r="P1830" s="533"/>
      <c r="Q1830" s="533"/>
      <c r="R1830" s="533"/>
      <c r="S1830" s="533"/>
      <c r="T1830" s="533"/>
      <c r="U1830" s="533"/>
      <c r="V1830" s="533"/>
      <c r="W1830" s="533"/>
      <c r="X1830" s="533"/>
      <c r="Y1830" s="533"/>
    </row>
    <row r="1831" spans="1:25" s="88" customFormat="1" hidden="1" x14ac:dyDescent="0.25">
      <c r="A1831" s="509"/>
      <c r="B1831" s="256"/>
      <c r="C1831" s="221"/>
      <c r="D1831" s="218"/>
      <c r="E1831" s="218"/>
      <c r="F1831" s="263">
        <v>531</v>
      </c>
      <c r="G1831" s="292" t="s">
        <v>4197</v>
      </c>
      <c r="H1831" s="594"/>
      <c r="I1831" s="595"/>
      <c r="J1831" s="595">
        <f t="shared" si="58"/>
        <v>0</v>
      </c>
      <c r="K1831" s="533"/>
      <c r="L1831" s="533"/>
      <c r="M1831" s="533"/>
      <c r="N1831" s="268"/>
      <c r="O1831" s="533"/>
      <c r="P1831" s="533"/>
      <c r="Q1831" s="533"/>
      <c r="R1831" s="533"/>
      <c r="S1831" s="533"/>
      <c r="T1831" s="533"/>
      <c r="U1831" s="533"/>
      <c r="V1831" s="533"/>
      <c r="W1831" s="533"/>
      <c r="X1831" s="533"/>
      <c r="Y1831" s="533"/>
    </row>
    <row r="1832" spans="1:25" s="88" customFormat="1" ht="15.75" thickBot="1" x14ac:dyDescent="0.3">
      <c r="A1832" s="509"/>
      <c r="B1832" s="256"/>
      <c r="C1832" s="221"/>
      <c r="D1832" s="218"/>
      <c r="E1832" s="218">
        <v>32</v>
      </c>
      <c r="F1832" s="263">
        <v>541</v>
      </c>
      <c r="G1832" s="295" t="s">
        <v>4222</v>
      </c>
      <c r="H1832" s="594">
        <v>600000</v>
      </c>
      <c r="I1832" s="595"/>
      <c r="J1832" s="595">
        <f t="shared" si="58"/>
        <v>600000</v>
      </c>
      <c r="K1832" s="533"/>
      <c r="L1832" s="533"/>
      <c r="M1832" s="533"/>
      <c r="N1832" s="268"/>
      <c r="O1832" s="533"/>
      <c r="P1832" s="533"/>
      <c r="Q1832" s="533"/>
      <c r="R1832" s="533"/>
      <c r="S1832" s="533"/>
      <c r="T1832" s="533"/>
      <c r="U1832" s="533"/>
      <c r="V1832" s="533"/>
      <c r="W1832" s="533"/>
      <c r="X1832" s="533"/>
      <c r="Y1832" s="533"/>
    </row>
    <row r="1833" spans="1:25" s="88" customFormat="1" hidden="1" x14ac:dyDescent="0.25">
      <c r="A1833" s="509"/>
      <c r="B1833" s="256"/>
      <c r="C1833" s="221"/>
      <c r="D1833" s="218"/>
      <c r="E1833" s="218"/>
      <c r="F1833" s="263">
        <v>542</v>
      </c>
      <c r="G1833" s="295" t="s">
        <v>4223</v>
      </c>
      <c r="H1833" s="594"/>
      <c r="I1833" s="595"/>
      <c r="J1833" s="595">
        <f t="shared" si="58"/>
        <v>0</v>
      </c>
      <c r="K1833" s="533"/>
      <c r="L1833" s="533"/>
      <c r="M1833" s="533"/>
      <c r="N1833" s="268"/>
      <c r="O1833" s="533"/>
      <c r="P1833" s="533"/>
      <c r="Q1833" s="533"/>
      <c r="R1833" s="533"/>
      <c r="S1833" s="533"/>
      <c r="T1833" s="533"/>
      <c r="U1833" s="533"/>
      <c r="V1833" s="533"/>
      <c r="W1833" s="533"/>
      <c r="X1833" s="533"/>
      <c r="Y1833" s="533"/>
    </row>
    <row r="1834" spans="1:25" s="88" customFormat="1" hidden="1" x14ac:dyDescent="0.25">
      <c r="A1834" s="509"/>
      <c r="B1834" s="256"/>
      <c r="C1834" s="221"/>
      <c r="D1834" s="218"/>
      <c r="E1834" s="218"/>
      <c r="F1834" s="263">
        <v>543</v>
      </c>
      <c r="G1834" s="295" t="s">
        <v>3862</v>
      </c>
      <c r="H1834" s="594"/>
      <c r="I1834" s="595"/>
      <c r="J1834" s="595">
        <f t="shared" si="58"/>
        <v>0</v>
      </c>
      <c r="K1834" s="533"/>
      <c r="L1834" s="533"/>
      <c r="M1834" s="533"/>
      <c r="N1834" s="268"/>
      <c r="O1834" s="533"/>
      <c r="P1834" s="533"/>
      <c r="Q1834" s="533"/>
      <c r="R1834" s="533"/>
      <c r="S1834" s="533"/>
      <c r="T1834" s="533"/>
      <c r="U1834" s="533"/>
      <c r="V1834" s="533"/>
      <c r="W1834" s="533"/>
      <c r="X1834" s="533"/>
      <c r="Y1834" s="533"/>
    </row>
    <row r="1835" spans="1:25" s="88" customFormat="1" ht="30" hidden="1" x14ac:dyDescent="0.25">
      <c r="A1835" s="509"/>
      <c r="B1835" s="256"/>
      <c r="C1835" s="221"/>
      <c r="D1835" s="218"/>
      <c r="E1835" s="218"/>
      <c r="F1835" s="263">
        <v>551</v>
      </c>
      <c r="G1835" s="295" t="s">
        <v>4198</v>
      </c>
      <c r="H1835" s="594"/>
      <c r="I1835" s="595"/>
      <c r="J1835" s="595">
        <f t="shared" si="58"/>
        <v>0</v>
      </c>
      <c r="K1835" s="533"/>
      <c r="L1835" s="533"/>
      <c r="M1835" s="533"/>
      <c r="N1835" s="268"/>
      <c r="O1835" s="533"/>
      <c r="P1835" s="533"/>
      <c r="Q1835" s="533"/>
      <c r="R1835" s="533"/>
      <c r="S1835" s="533"/>
      <c r="T1835" s="533"/>
      <c r="U1835" s="533"/>
      <c r="V1835" s="533"/>
      <c r="W1835" s="533"/>
      <c r="X1835" s="533"/>
      <c r="Y1835" s="533"/>
    </row>
    <row r="1836" spans="1:25" s="88" customFormat="1" hidden="1" x14ac:dyDescent="0.25">
      <c r="A1836" s="509"/>
      <c r="B1836" s="256"/>
      <c r="C1836" s="221"/>
      <c r="D1836" s="218"/>
      <c r="E1836" s="218"/>
      <c r="F1836" s="264">
        <v>611</v>
      </c>
      <c r="G1836" s="299" t="s">
        <v>3868</v>
      </c>
      <c r="H1836" s="594"/>
      <c r="I1836" s="595"/>
      <c r="J1836" s="595">
        <f t="shared" si="58"/>
        <v>0</v>
      </c>
      <c r="K1836" s="533"/>
      <c r="L1836" s="533"/>
      <c r="M1836" s="533"/>
      <c r="N1836" s="268"/>
      <c r="O1836" s="533"/>
      <c r="P1836" s="533"/>
      <c r="Q1836" s="533"/>
      <c r="R1836" s="533"/>
      <c r="S1836" s="533"/>
      <c r="T1836" s="533"/>
      <c r="U1836" s="533"/>
      <c r="V1836" s="533"/>
      <c r="W1836" s="533"/>
      <c r="X1836" s="533"/>
      <c r="Y1836" s="533"/>
    </row>
    <row r="1837" spans="1:25" s="88" customFormat="1" ht="15.75" hidden="1" thickBot="1" x14ac:dyDescent="0.3">
      <c r="A1837" s="509"/>
      <c r="B1837" s="256"/>
      <c r="C1837" s="221"/>
      <c r="D1837" s="218"/>
      <c r="E1837" s="218"/>
      <c r="F1837" s="264">
        <v>620</v>
      </c>
      <c r="G1837" s="299" t="s">
        <v>88</v>
      </c>
      <c r="H1837" s="594"/>
      <c r="I1837" s="595"/>
      <c r="J1837" s="595">
        <f t="shared" si="58"/>
        <v>0</v>
      </c>
      <c r="K1837" s="533"/>
      <c r="L1837" s="533"/>
      <c r="M1837" s="533"/>
      <c r="N1837" s="268"/>
      <c r="O1837" s="533"/>
      <c r="P1837" s="533"/>
      <c r="Q1837" s="533"/>
      <c r="R1837" s="533"/>
      <c r="S1837" s="533"/>
      <c r="T1837" s="533"/>
      <c r="U1837" s="533"/>
      <c r="V1837" s="533"/>
      <c r="W1837" s="533"/>
      <c r="X1837" s="533"/>
      <c r="Y1837" s="533"/>
    </row>
    <row r="1838" spans="1:25" s="88" customFormat="1" x14ac:dyDescent="0.25">
      <c r="A1838" s="509"/>
      <c r="B1838" s="256"/>
      <c r="C1838" s="221"/>
      <c r="D1838" s="218"/>
      <c r="E1838" s="293"/>
      <c r="F1838" s="301"/>
      <c r="G1838" s="326" t="s">
        <v>4402</v>
      </c>
      <c r="H1838" s="596"/>
      <c r="I1838" s="622"/>
      <c r="J1838" s="597"/>
      <c r="K1838" s="533"/>
      <c r="L1838" s="533"/>
      <c r="M1838" s="533"/>
      <c r="N1838" s="268"/>
      <c r="O1838" s="533"/>
      <c r="P1838" s="533"/>
      <c r="Q1838" s="533"/>
      <c r="R1838" s="533"/>
      <c r="S1838" s="533"/>
      <c r="T1838" s="533"/>
      <c r="U1838" s="533"/>
      <c r="V1838" s="533"/>
      <c r="W1838" s="533"/>
      <c r="X1838" s="533"/>
      <c r="Y1838" s="533"/>
    </row>
    <row r="1839" spans="1:25" s="88" customFormat="1" ht="15.75" thickBot="1" x14ac:dyDescent="0.3">
      <c r="A1839" s="509"/>
      <c r="B1839" s="256"/>
      <c r="C1839" s="221"/>
      <c r="D1839" s="218"/>
      <c r="E1839" s="222"/>
      <c r="F1839" s="249" t="s">
        <v>234</v>
      </c>
      <c r="G1839" s="252" t="s">
        <v>235</v>
      </c>
      <c r="H1839" s="598">
        <f>SUM(H1775:H1837)</f>
        <v>86000000</v>
      </c>
      <c r="I1839" s="599"/>
      <c r="J1839" s="599">
        <f t="shared" ref="J1839:J1854" si="59">SUM(H1839:I1839)</f>
        <v>86000000</v>
      </c>
      <c r="K1839" s="533"/>
      <c r="L1839" s="533"/>
      <c r="M1839" s="533"/>
      <c r="N1839" s="268"/>
      <c r="O1839" s="533"/>
      <c r="P1839" s="533"/>
      <c r="Q1839" s="533"/>
      <c r="R1839" s="533"/>
      <c r="S1839" s="533"/>
      <c r="T1839" s="533"/>
      <c r="U1839" s="533"/>
      <c r="V1839" s="533"/>
      <c r="W1839" s="533"/>
      <c r="X1839" s="533"/>
      <c r="Y1839" s="533"/>
    </row>
    <row r="1840" spans="1:25" s="88" customFormat="1" hidden="1" x14ac:dyDescent="0.25">
      <c r="A1840" s="509"/>
      <c r="B1840" s="256"/>
      <c r="C1840" s="221"/>
      <c r="D1840" s="218"/>
      <c r="E1840" s="218"/>
      <c r="F1840" s="249" t="s">
        <v>236</v>
      </c>
      <c r="G1840" s="252" t="s">
        <v>237</v>
      </c>
      <c r="H1840" s="594"/>
      <c r="I1840" s="595"/>
      <c r="J1840" s="599">
        <f t="shared" si="59"/>
        <v>0</v>
      </c>
      <c r="K1840" s="533"/>
      <c r="L1840" s="533"/>
      <c r="M1840" s="533"/>
      <c r="N1840" s="268"/>
      <c r="O1840" s="533"/>
      <c r="P1840" s="533"/>
      <c r="Q1840" s="533"/>
      <c r="R1840" s="533"/>
      <c r="S1840" s="533"/>
      <c r="T1840" s="533"/>
      <c r="U1840" s="533"/>
      <c r="V1840" s="533"/>
      <c r="W1840" s="533"/>
      <c r="X1840" s="533"/>
      <c r="Y1840" s="533"/>
    </row>
    <row r="1841" spans="1:25" s="88" customFormat="1" hidden="1" x14ac:dyDescent="0.25">
      <c r="A1841" s="509"/>
      <c r="B1841" s="256"/>
      <c r="C1841" s="221"/>
      <c r="D1841" s="218"/>
      <c r="E1841" s="218"/>
      <c r="F1841" s="249" t="s">
        <v>238</v>
      </c>
      <c r="G1841" s="252" t="s">
        <v>239</v>
      </c>
      <c r="H1841" s="594"/>
      <c r="I1841" s="595"/>
      <c r="J1841" s="599">
        <f t="shared" si="59"/>
        <v>0</v>
      </c>
      <c r="K1841" s="533"/>
      <c r="L1841" s="533"/>
      <c r="M1841" s="533"/>
      <c r="N1841" s="268"/>
      <c r="O1841" s="533"/>
      <c r="P1841" s="533"/>
      <c r="Q1841" s="533"/>
      <c r="R1841" s="533"/>
      <c r="S1841" s="533"/>
      <c r="T1841" s="533"/>
      <c r="U1841" s="533"/>
      <c r="V1841" s="533"/>
      <c r="W1841" s="533"/>
      <c r="X1841" s="533"/>
      <c r="Y1841" s="533"/>
    </row>
    <row r="1842" spans="1:25" s="88" customFormat="1" hidden="1" x14ac:dyDescent="0.25">
      <c r="A1842" s="509"/>
      <c r="B1842" s="256"/>
      <c r="C1842" s="221"/>
      <c r="D1842" s="218"/>
      <c r="E1842" s="218"/>
      <c r="F1842" s="249" t="s">
        <v>240</v>
      </c>
      <c r="G1842" s="252" t="s">
        <v>241</v>
      </c>
      <c r="H1842" s="594"/>
      <c r="I1842" s="595"/>
      <c r="J1842" s="599">
        <f t="shared" si="59"/>
        <v>0</v>
      </c>
      <c r="K1842" s="533"/>
      <c r="L1842" s="533"/>
      <c r="M1842" s="533"/>
      <c r="N1842" s="268"/>
      <c r="O1842" s="533"/>
      <c r="P1842" s="533"/>
      <c r="Q1842" s="533"/>
      <c r="R1842" s="533"/>
      <c r="S1842" s="533"/>
      <c r="T1842" s="533"/>
      <c r="U1842" s="533"/>
      <c r="V1842" s="533"/>
      <c r="W1842" s="533"/>
      <c r="X1842" s="533"/>
      <c r="Y1842" s="533"/>
    </row>
    <row r="1843" spans="1:25" s="88" customFormat="1" hidden="1" x14ac:dyDescent="0.25">
      <c r="A1843" s="509"/>
      <c r="B1843" s="256"/>
      <c r="C1843" s="221"/>
      <c r="D1843" s="218"/>
      <c r="E1843" s="218"/>
      <c r="F1843" s="249" t="s">
        <v>242</v>
      </c>
      <c r="G1843" s="252" t="s">
        <v>243</v>
      </c>
      <c r="H1843" s="594"/>
      <c r="I1843" s="595"/>
      <c r="J1843" s="599">
        <f t="shared" si="59"/>
        <v>0</v>
      </c>
      <c r="K1843" s="533"/>
      <c r="L1843" s="533"/>
      <c r="M1843" s="533"/>
      <c r="N1843" s="268"/>
      <c r="O1843" s="533"/>
      <c r="P1843" s="533"/>
      <c r="Q1843" s="533"/>
      <c r="R1843" s="533"/>
      <c r="S1843" s="533"/>
      <c r="T1843" s="533"/>
      <c r="U1843" s="533"/>
      <c r="V1843" s="533"/>
      <c r="W1843" s="533"/>
      <c r="X1843" s="533"/>
      <c r="Y1843" s="533"/>
    </row>
    <row r="1844" spans="1:25" s="88" customFormat="1" hidden="1" x14ac:dyDescent="0.25">
      <c r="A1844" s="509"/>
      <c r="B1844" s="256"/>
      <c r="C1844" s="221"/>
      <c r="D1844" s="218"/>
      <c r="E1844" s="218"/>
      <c r="F1844" s="249" t="s">
        <v>244</v>
      </c>
      <c r="G1844" s="252" t="s">
        <v>245</v>
      </c>
      <c r="H1844" s="594"/>
      <c r="I1844" s="595"/>
      <c r="J1844" s="599">
        <f t="shared" si="59"/>
        <v>0</v>
      </c>
      <c r="K1844" s="533"/>
      <c r="L1844" s="533"/>
      <c r="M1844" s="533"/>
      <c r="N1844" s="268"/>
      <c r="O1844" s="533"/>
      <c r="P1844" s="533"/>
      <c r="Q1844" s="533"/>
      <c r="R1844" s="533"/>
      <c r="S1844" s="533"/>
      <c r="T1844" s="533"/>
      <c r="U1844" s="533"/>
      <c r="V1844" s="533"/>
      <c r="W1844" s="533"/>
      <c r="X1844" s="533"/>
      <c r="Y1844" s="533"/>
    </row>
    <row r="1845" spans="1:25" s="88" customFormat="1" hidden="1" x14ac:dyDescent="0.25">
      <c r="A1845" s="509"/>
      <c r="B1845" s="256"/>
      <c r="C1845" s="221"/>
      <c r="D1845" s="218"/>
      <c r="E1845" s="218"/>
      <c r="F1845" s="249" t="s">
        <v>246</v>
      </c>
      <c r="G1845" s="252" t="s">
        <v>247</v>
      </c>
      <c r="H1845" s="594"/>
      <c r="I1845" s="595"/>
      <c r="J1845" s="599">
        <f t="shared" si="59"/>
        <v>0</v>
      </c>
      <c r="K1845" s="533"/>
      <c r="L1845" s="533"/>
      <c r="M1845" s="533"/>
      <c r="N1845" s="268"/>
      <c r="O1845" s="533"/>
      <c r="P1845" s="533"/>
      <c r="Q1845" s="533"/>
      <c r="R1845" s="533"/>
      <c r="S1845" s="533"/>
      <c r="T1845" s="533"/>
      <c r="U1845" s="533"/>
      <c r="V1845" s="533"/>
      <c r="W1845" s="533"/>
      <c r="X1845" s="533"/>
      <c r="Y1845" s="533"/>
    </row>
    <row r="1846" spans="1:25" s="88" customFormat="1" hidden="1" x14ac:dyDescent="0.25">
      <c r="A1846" s="509"/>
      <c r="B1846" s="256"/>
      <c r="C1846" s="221"/>
      <c r="D1846" s="218"/>
      <c r="E1846" s="218"/>
      <c r="F1846" s="249" t="s">
        <v>248</v>
      </c>
      <c r="G1846" s="252" t="s">
        <v>249</v>
      </c>
      <c r="H1846" s="594"/>
      <c r="I1846" s="595"/>
      <c r="J1846" s="599">
        <f t="shared" si="59"/>
        <v>0</v>
      </c>
      <c r="K1846" s="533"/>
      <c r="L1846" s="533"/>
      <c r="M1846" s="533"/>
      <c r="N1846" s="268"/>
      <c r="O1846" s="533"/>
      <c r="P1846" s="533"/>
      <c r="Q1846" s="533"/>
      <c r="R1846" s="533"/>
      <c r="S1846" s="533"/>
      <c r="T1846" s="533"/>
      <c r="U1846" s="533"/>
      <c r="V1846" s="533"/>
      <c r="W1846" s="533"/>
      <c r="X1846" s="533"/>
      <c r="Y1846" s="533"/>
    </row>
    <row r="1847" spans="1:25" s="88" customFormat="1" hidden="1" x14ac:dyDescent="0.25">
      <c r="A1847" s="509"/>
      <c r="B1847" s="256"/>
      <c r="C1847" s="221"/>
      <c r="D1847" s="218"/>
      <c r="E1847" s="218"/>
      <c r="F1847" s="249" t="s">
        <v>250</v>
      </c>
      <c r="G1847" s="252" t="s">
        <v>57</v>
      </c>
      <c r="H1847" s="594"/>
      <c r="I1847" s="595"/>
      <c r="J1847" s="599">
        <f t="shared" si="59"/>
        <v>0</v>
      </c>
      <c r="K1847" s="533"/>
      <c r="L1847" s="533"/>
      <c r="M1847" s="533"/>
      <c r="N1847" s="268"/>
      <c r="O1847" s="533"/>
      <c r="P1847" s="533"/>
      <c r="Q1847" s="533"/>
      <c r="R1847" s="533"/>
      <c r="S1847" s="533"/>
      <c r="T1847" s="533"/>
      <c r="U1847" s="533"/>
      <c r="V1847" s="533"/>
      <c r="W1847" s="533"/>
      <c r="X1847" s="533"/>
      <c r="Y1847" s="533"/>
    </row>
    <row r="1848" spans="1:25" s="88" customFormat="1" hidden="1" x14ac:dyDescent="0.25">
      <c r="A1848" s="509"/>
      <c r="B1848" s="256"/>
      <c r="C1848" s="221"/>
      <c r="D1848" s="218"/>
      <c r="E1848" s="218"/>
      <c r="F1848" s="249" t="s">
        <v>251</v>
      </c>
      <c r="G1848" s="252" t="s">
        <v>252</v>
      </c>
      <c r="H1848" s="594"/>
      <c r="I1848" s="595"/>
      <c r="J1848" s="599">
        <f t="shared" si="59"/>
        <v>0</v>
      </c>
      <c r="K1848" s="533"/>
      <c r="L1848" s="533"/>
      <c r="M1848" s="533"/>
      <c r="N1848" s="268"/>
      <c r="O1848" s="533"/>
      <c r="P1848" s="533"/>
      <c r="Q1848" s="533"/>
      <c r="R1848" s="533"/>
      <c r="S1848" s="533"/>
      <c r="T1848" s="533"/>
      <c r="U1848" s="533"/>
      <c r="V1848" s="533"/>
      <c r="W1848" s="533"/>
      <c r="X1848" s="533"/>
      <c r="Y1848" s="533"/>
    </row>
    <row r="1849" spans="1:25" s="88" customFormat="1" hidden="1" x14ac:dyDescent="0.25">
      <c r="A1849" s="509"/>
      <c r="B1849" s="256"/>
      <c r="C1849" s="221"/>
      <c r="D1849" s="218"/>
      <c r="E1849" s="218"/>
      <c r="F1849" s="249" t="s">
        <v>253</v>
      </c>
      <c r="G1849" s="252" t="s">
        <v>254</v>
      </c>
      <c r="H1849" s="594"/>
      <c r="I1849" s="595"/>
      <c r="J1849" s="599">
        <f t="shared" si="59"/>
        <v>0</v>
      </c>
      <c r="K1849" s="533"/>
      <c r="L1849" s="533"/>
      <c r="M1849" s="533"/>
      <c r="N1849" s="268"/>
      <c r="O1849" s="533"/>
      <c r="P1849" s="533"/>
      <c r="Q1849" s="533"/>
      <c r="R1849" s="533"/>
      <c r="S1849" s="533"/>
      <c r="T1849" s="533"/>
      <c r="U1849" s="533"/>
      <c r="V1849" s="533"/>
      <c r="W1849" s="533"/>
      <c r="X1849" s="533"/>
      <c r="Y1849" s="533"/>
    </row>
    <row r="1850" spans="1:25" s="88" customFormat="1" ht="30" hidden="1" x14ac:dyDescent="0.25">
      <c r="A1850" s="509"/>
      <c r="B1850" s="256"/>
      <c r="C1850" s="221"/>
      <c r="D1850" s="218"/>
      <c r="E1850" s="218"/>
      <c r="F1850" s="249" t="s">
        <v>255</v>
      </c>
      <c r="G1850" s="252" t="s">
        <v>256</v>
      </c>
      <c r="H1850" s="594"/>
      <c r="I1850" s="595"/>
      <c r="J1850" s="599">
        <f t="shared" si="59"/>
        <v>0</v>
      </c>
      <c r="K1850" s="533"/>
      <c r="L1850" s="533"/>
      <c r="M1850" s="533"/>
      <c r="N1850" s="268"/>
      <c r="O1850" s="533"/>
      <c r="P1850" s="533"/>
      <c r="Q1850" s="533"/>
      <c r="R1850" s="533"/>
      <c r="S1850" s="533"/>
      <c r="T1850" s="533"/>
      <c r="U1850" s="533"/>
      <c r="V1850" s="533"/>
      <c r="W1850" s="533"/>
      <c r="X1850" s="533"/>
      <c r="Y1850" s="533"/>
    </row>
    <row r="1851" spans="1:25" s="88" customFormat="1" hidden="1" x14ac:dyDescent="0.25">
      <c r="A1851" s="509"/>
      <c r="B1851" s="256"/>
      <c r="C1851" s="221"/>
      <c r="D1851" s="218"/>
      <c r="E1851" s="218"/>
      <c r="F1851" s="249" t="s">
        <v>257</v>
      </c>
      <c r="G1851" s="252" t="s">
        <v>258</v>
      </c>
      <c r="H1851" s="594"/>
      <c r="I1851" s="595"/>
      <c r="J1851" s="599">
        <f t="shared" si="59"/>
        <v>0</v>
      </c>
      <c r="K1851" s="533"/>
      <c r="L1851" s="533"/>
      <c r="M1851" s="533"/>
      <c r="N1851" s="268"/>
      <c r="O1851" s="533"/>
      <c r="P1851" s="533"/>
      <c r="Q1851" s="533"/>
      <c r="R1851" s="533"/>
      <c r="S1851" s="533"/>
      <c r="T1851" s="533"/>
      <c r="U1851" s="533"/>
      <c r="V1851" s="533"/>
      <c r="W1851" s="533"/>
      <c r="X1851" s="533"/>
      <c r="Y1851" s="533"/>
    </row>
    <row r="1852" spans="1:25" s="88" customFormat="1" ht="30" hidden="1" x14ac:dyDescent="0.25">
      <c r="A1852" s="509"/>
      <c r="B1852" s="256"/>
      <c r="C1852" s="221"/>
      <c r="D1852" s="218"/>
      <c r="E1852" s="218"/>
      <c r="F1852" s="249" t="s">
        <v>259</v>
      </c>
      <c r="G1852" s="252" t="s">
        <v>260</v>
      </c>
      <c r="H1852" s="594"/>
      <c r="I1852" s="595"/>
      <c r="J1852" s="599">
        <f t="shared" si="59"/>
        <v>0</v>
      </c>
      <c r="K1852" s="533"/>
      <c r="L1852" s="533"/>
      <c r="M1852" s="533"/>
      <c r="N1852" s="268"/>
      <c r="O1852" s="533"/>
      <c r="P1852" s="533"/>
      <c r="Q1852" s="533"/>
      <c r="R1852" s="533"/>
      <c r="S1852" s="533"/>
      <c r="T1852" s="533"/>
      <c r="U1852" s="533"/>
      <c r="V1852" s="533"/>
      <c r="W1852" s="533"/>
      <c r="X1852" s="533"/>
      <c r="Y1852" s="533"/>
    </row>
    <row r="1853" spans="1:25" s="88" customFormat="1" hidden="1" x14ac:dyDescent="0.25">
      <c r="A1853" s="509"/>
      <c r="B1853" s="256"/>
      <c r="C1853" s="221"/>
      <c r="D1853" s="218"/>
      <c r="E1853" s="218"/>
      <c r="F1853" s="249" t="s">
        <v>261</v>
      </c>
      <c r="G1853" s="252" t="s">
        <v>262</v>
      </c>
      <c r="H1853" s="594"/>
      <c r="I1853" s="595"/>
      <c r="J1853" s="599">
        <f t="shared" si="59"/>
        <v>0</v>
      </c>
      <c r="K1853" s="533"/>
      <c r="L1853" s="533"/>
      <c r="M1853" s="533"/>
      <c r="N1853" s="268"/>
      <c r="O1853" s="533"/>
      <c r="P1853" s="533"/>
      <c r="Q1853" s="533"/>
      <c r="R1853" s="533"/>
      <c r="S1853" s="533"/>
      <c r="T1853" s="533"/>
      <c r="U1853" s="533"/>
      <c r="V1853" s="533"/>
      <c r="W1853" s="533"/>
      <c r="X1853" s="533"/>
      <c r="Y1853" s="533"/>
    </row>
    <row r="1854" spans="1:25" s="88" customFormat="1" ht="15.75" hidden="1" thickBot="1" x14ac:dyDescent="0.3">
      <c r="A1854" s="509"/>
      <c r="B1854" s="256"/>
      <c r="C1854" s="221"/>
      <c r="D1854" s="218"/>
      <c r="E1854" s="218"/>
      <c r="F1854" s="249" t="s">
        <v>263</v>
      </c>
      <c r="G1854" s="252" t="s">
        <v>264</v>
      </c>
      <c r="H1854" s="598"/>
      <c r="I1854" s="599"/>
      <c r="J1854" s="599">
        <f t="shared" si="59"/>
        <v>0</v>
      </c>
      <c r="K1854" s="533"/>
      <c r="L1854" s="533"/>
      <c r="M1854" s="533"/>
      <c r="N1854" s="268"/>
      <c r="O1854" s="533"/>
      <c r="P1854" s="533"/>
      <c r="Q1854" s="533"/>
      <c r="R1854" s="533"/>
      <c r="S1854" s="533"/>
      <c r="T1854" s="533"/>
      <c r="U1854" s="533"/>
      <c r="V1854" s="533"/>
      <c r="W1854" s="533"/>
      <c r="X1854" s="533"/>
      <c r="Y1854" s="533"/>
    </row>
    <row r="1855" spans="1:25" s="88" customFormat="1" ht="15.75" thickBot="1" x14ac:dyDescent="0.3">
      <c r="A1855" s="509"/>
      <c r="B1855" s="256"/>
      <c r="C1855" s="221"/>
      <c r="D1855" s="218"/>
      <c r="E1855" s="218"/>
      <c r="F1855" s="218"/>
      <c r="G1855" s="229" t="s">
        <v>4314</v>
      </c>
      <c r="H1855" s="600">
        <f>SUM(H1839:H1854)</f>
        <v>86000000</v>
      </c>
      <c r="I1855" s="601">
        <f>SUM(I1840:I1854)</f>
        <v>0</v>
      </c>
      <c r="J1855" s="601">
        <f>SUM(J1839:J1854)</f>
        <v>86000000</v>
      </c>
      <c r="K1855" s="533"/>
      <c r="L1855" s="533"/>
      <c r="M1855" s="533"/>
      <c r="N1855" s="268"/>
      <c r="O1855" s="533"/>
      <c r="P1855" s="533"/>
      <c r="Q1855" s="533"/>
      <c r="R1855" s="533"/>
      <c r="S1855" s="533"/>
      <c r="T1855" s="533"/>
      <c r="U1855" s="533"/>
      <c r="V1855" s="533"/>
      <c r="W1855" s="533"/>
      <c r="X1855" s="533"/>
      <c r="Y1855" s="533"/>
    </row>
    <row r="1856" spans="1:25" s="88" customFormat="1" ht="16.5" customHeight="1" x14ac:dyDescent="0.25">
      <c r="A1856" s="509"/>
      <c r="B1856" s="256"/>
      <c r="C1856" s="221"/>
      <c r="D1856" s="218"/>
      <c r="E1856" s="260"/>
      <c r="F1856" s="264"/>
      <c r="G1856" s="231" t="s">
        <v>4231</v>
      </c>
      <c r="H1856" s="602"/>
      <c r="I1856" s="623"/>
      <c r="J1856" s="603"/>
      <c r="K1856" s="533"/>
      <c r="L1856" s="533"/>
      <c r="M1856" s="533"/>
      <c r="N1856" s="268"/>
      <c r="O1856" s="533"/>
      <c r="P1856" s="533"/>
      <c r="Q1856" s="533"/>
      <c r="R1856" s="533"/>
      <c r="S1856" s="533"/>
      <c r="T1856" s="533"/>
      <c r="U1856" s="533"/>
      <c r="V1856" s="533"/>
      <c r="W1856" s="533"/>
      <c r="X1856" s="533"/>
      <c r="Y1856" s="533"/>
    </row>
    <row r="1857" spans="1:25" s="88" customFormat="1" ht="15.75" thickBot="1" x14ac:dyDescent="0.3">
      <c r="A1857" s="509"/>
      <c r="B1857" s="256"/>
      <c r="C1857" s="221"/>
      <c r="D1857" s="218"/>
      <c r="E1857" s="222"/>
      <c r="F1857" s="249" t="s">
        <v>234</v>
      </c>
      <c r="G1857" s="252" t="s">
        <v>235</v>
      </c>
      <c r="H1857" s="598">
        <f>SUM(H1775:H1837)</f>
        <v>86000000</v>
      </c>
      <c r="I1857" s="599"/>
      <c r="J1857" s="599">
        <f t="shared" ref="J1857:J1872" si="60">SUM(H1857:I1857)</f>
        <v>86000000</v>
      </c>
      <c r="K1857" s="533"/>
      <c r="L1857" s="533"/>
      <c r="M1857" s="533"/>
      <c r="N1857" s="268"/>
      <c r="O1857" s="533"/>
      <c r="P1857" s="533"/>
      <c r="Q1857" s="533"/>
      <c r="R1857" s="533"/>
      <c r="S1857" s="533"/>
      <c r="T1857" s="533"/>
      <c r="U1857" s="533"/>
      <c r="V1857" s="533"/>
      <c r="W1857" s="533"/>
      <c r="X1857" s="533"/>
      <c r="Y1857" s="533"/>
    </row>
    <row r="1858" spans="1:25" s="88" customFormat="1" hidden="1" x14ac:dyDescent="0.25">
      <c r="A1858" s="509"/>
      <c r="B1858" s="256"/>
      <c r="C1858" s="221"/>
      <c r="D1858" s="218"/>
      <c r="E1858" s="218"/>
      <c r="F1858" s="249" t="s">
        <v>236</v>
      </c>
      <c r="G1858" s="252" t="s">
        <v>237</v>
      </c>
      <c r="H1858" s="594"/>
      <c r="I1858" s="595"/>
      <c r="J1858" s="599">
        <f t="shared" si="60"/>
        <v>0</v>
      </c>
      <c r="K1858" s="533"/>
      <c r="L1858" s="533"/>
      <c r="M1858" s="533"/>
      <c r="N1858" s="268"/>
      <c r="O1858" s="533"/>
      <c r="P1858" s="533"/>
      <c r="Q1858" s="533"/>
      <c r="R1858" s="533"/>
      <c r="S1858" s="533"/>
      <c r="T1858" s="533"/>
      <c r="U1858" s="533"/>
      <c r="V1858" s="533"/>
      <c r="W1858" s="533"/>
      <c r="X1858" s="533"/>
      <c r="Y1858" s="533"/>
    </row>
    <row r="1859" spans="1:25" s="88" customFormat="1" hidden="1" x14ac:dyDescent="0.25">
      <c r="A1859" s="509"/>
      <c r="B1859" s="256"/>
      <c r="C1859" s="221"/>
      <c r="D1859" s="218"/>
      <c r="E1859" s="218"/>
      <c r="F1859" s="249" t="s">
        <v>238</v>
      </c>
      <c r="G1859" s="252" t="s">
        <v>239</v>
      </c>
      <c r="H1859" s="594"/>
      <c r="I1859" s="595"/>
      <c r="J1859" s="599">
        <f t="shared" si="60"/>
        <v>0</v>
      </c>
      <c r="K1859" s="533"/>
      <c r="L1859" s="533"/>
      <c r="M1859" s="533"/>
      <c r="N1859" s="268"/>
      <c r="O1859" s="533"/>
      <c r="P1859" s="533"/>
      <c r="Q1859" s="533"/>
      <c r="R1859" s="533"/>
      <c r="S1859" s="533"/>
      <c r="T1859" s="533"/>
      <c r="U1859" s="533"/>
      <c r="V1859" s="533"/>
      <c r="W1859" s="533"/>
      <c r="X1859" s="533"/>
      <c r="Y1859" s="533"/>
    </row>
    <row r="1860" spans="1:25" s="88" customFormat="1" hidden="1" x14ac:dyDescent="0.25">
      <c r="A1860" s="509"/>
      <c r="B1860" s="256"/>
      <c r="C1860" s="221"/>
      <c r="D1860" s="218"/>
      <c r="E1860" s="218"/>
      <c r="F1860" s="249" t="s">
        <v>240</v>
      </c>
      <c r="G1860" s="252" t="s">
        <v>241</v>
      </c>
      <c r="H1860" s="594"/>
      <c r="I1860" s="595"/>
      <c r="J1860" s="599">
        <f t="shared" si="60"/>
        <v>0</v>
      </c>
      <c r="K1860" s="533"/>
      <c r="L1860" s="533"/>
      <c r="M1860" s="533"/>
      <c r="N1860" s="268"/>
      <c r="O1860" s="533"/>
      <c r="P1860" s="533"/>
      <c r="Q1860" s="533"/>
      <c r="R1860" s="533"/>
      <c r="S1860" s="533"/>
      <c r="T1860" s="533"/>
      <c r="U1860" s="533"/>
      <c r="V1860" s="533"/>
      <c r="W1860" s="533"/>
      <c r="X1860" s="533"/>
      <c r="Y1860" s="533"/>
    </row>
    <row r="1861" spans="1:25" s="88" customFormat="1" hidden="1" x14ac:dyDescent="0.25">
      <c r="A1861" s="509"/>
      <c r="B1861" s="256"/>
      <c r="C1861" s="221"/>
      <c r="D1861" s="218"/>
      <c r="E1861" s="218"/>
      <c r="F1861" s="249" t="s">
        <v>242</v>
      </c>
      <c r="G1861" s="252" t="s">
        <v>243</v>
      </c>
      <c r="H1861" s="594"/>
      <c r="I1861" s="595"/>
      <c r="J1861" s="599">
        <f t="shared" si="60"/>
        <v>0</v>
      </c>
      <c r="K1861" s="533"/>
      <c r="L1861" s="533"/>
      <c r="M1861" s="533"/>
      <c r="N1861" s="268"/>
      <c r="O1861" s="533"/>
      <c r="P1861" s="533"/>
      <c r="Q1861" s="533"/>
      <c r="R1861" s="533"/>
      <c r="S1861" s="533"/>
      <c r="T1861" s="533"/>
      <c r="U1861" s="533"/>
      <c r="V1861" s="533"/>
      <c r="W1861" s="533"/>
      <c r="X1861" s="533"/>
      <c r="Y1861" s="533"/>
    </row>
    <row r="1862" spans="1:25" s="88" customFormat="1" hidden="1" x14ac:dyDescent="0.25">
      <c r="A1862" s="509"/>
      <c r="B1862" s="256"/>
      <c r="C1862" s="221"/>
      <c r="D1862" s="218"/>
      <c r="E1862" s="218"/>
      <c r="F1862" s="249" t="s">
        <v>244</v>
      </c>
      <c r="G1862" s="252" t="s">
        <v>245</v>
      </c>
      <c r="H1862" s="594"/>
      <c r="I1862" s="595"/>
      <c r="J1862" s="599">
        <f t="shared" si="60"/>
        <v>0</v>
      </c>
      <c r="K1862" s="533"/>
      <c r="L1862" s="533"/>
      <c r="M1862" s="533"/>
      <c r="N1862" s="268"/>
      <c r="O1862" s="533"/>
      <c r="P1862" s="533"/>
      <c r="Q1862" s="533"/>
      <c r="R1862" s="533"/>
      <c r="S1862" s="533"/>
      <c r="T1862" s="533"/>
      <c r="U1862" s="533"/>
      <c r="V1862" s="533"/>
      <c r="W1862" s="533"/>
      <c r="X1862" s="533"/>
      <c r="Y1862" s="533"/>
    </row>
    <row r="1863" spans="1:25" s="88" customFormat="1" hidden="1" x14ac:dyDescent="0.25">
      <c r="A1863" s="509"/>
      <c r="B1863" s="256"/>
      <c r="C1863" s="221"/>
      <c r="D1863" s="218"/>
      <c r="E1863" s="218"/>
      <c r="F1863" s="249" t="s">
        <v>246</v>
      </c>
      <c r="G1863" s="252" t="s">
        <v>247</v>
      </c>
      <c r="H1863" s="594"/>
      <c r="I1863" s="595"/>
      <c r="J1863" s="599">
        <f t="shared" si="60"/>
        <v>0</v>
      </c>
      <c r="K1863" s="533"/>
      <c r="L1863" s="533"/>
      <c r="M1863" s="533"/>
      <c r="N1863" s="268"/>
      <c r="O1863" s="533"/>
      <c r="P1863" s="533"/>
      <c r="Q1863" s="533"/>
      <c r="R1863" s="533"/>
      <c r="S1863" s="533"/>
      <c r="T1863" s="533"/>
      <c r="U1863" s="533"/>
      <c r="V1863" s="533"/>
      <c r="W1863" s="533"/>
      <c r="X1863" s="533"/>
      <c r="Y1863" s="533"/>
    </row>
    <row r="1864" spans="1:25" s="88" customFormat="1" hidden="1" x14ac:dyDescent="0.25">
      <c r="A1864" s="509"/>
      <c r="B1864" s="256"/>
      <c r="C1864" s="221"/>
      <c r="D1864" s="218"/>
      <c r="E1864" s="218"/>
      <c r="F1864" s="249" t="s">
        <v>248</v>
      </c>
      <c r="G1864" s="252" t="s">
        <v>249</v>
      </c>
      <c r="H1864" s="594"/>
      <c r="I1864" s="595"/>
      <c r="J1864" s="599">
        <f t="shared" si="60"/>
        <v>0</v>
      </c>
      <c r="K1864" s="533"/>
      <c r="L1864" s="533"/>
      <c r="M1864" s="533"/>
      <c r="N1864" s="268"/>
      <c r="O1864" s="533"/>
      <c r="P1864" s="533"/>
      <c r="Q1864" s="533"/>
      <c r="R1864" s="533"/>
      <c r="S1864" s="533"/>
      <c r="T1864" s="533"/>
      <c r="U1864" s="533"/>
      <c r="V1864" s="533"/>
      <c r="W1864" s="533"/>
      <c r="X1864" s="533"/>
      <c r="Y1864" s="533"/>
    </row>
    <row r="1865" spans="1:25" s="88" customFormat="1" hidden="1" x14ac:dyDescent="0.25">
      <c r="A1865" s="509"/>
      <c r="B1865" s="256"/>
      <c r="C1865" s="221"/>
      <c r="D1865" s="218"/>
      <c r="E1865" s="218"/>
      <c r="F1865" s="249" t="s">
        <v>250</v>
      </c>
      <c r="G1865" s="252" t="s">
        <v>57</v>
      </c>
      <c r="H1865" s="594"/>
      <c r="I1865" s="595"/>
      <c r="J1865" s="599">
        <f t="shared" si="60"/>
        <v>0</v>
      </c>
      <c r="K1865" s="533"/>
      <c r="L1865" s="533"/>
      <c r="M1865" s="533"/>
      <c r="N1865" s="268"/>
      <c r="O1865" s="533"/>
      <c r="P1865" s="533"/>
      <c r="Q1865" s="533"/>
      <c r="R1865" s="533"/>
      <c r="S1865" s="533"/>
      <c r="T1865" s="533"/>
      <c r="U1865" s="533"/>
      <c r="V1865" s="533"/>
      <c r="W1865" s="533"/>
      <c r="X1865" s="533"/>
      <c r="Y1865" s="533"/>
    </row>
    <row r="1866" spans="1:25" s="88" customFormat="1" hidden="1" x14ac:dyDescent="0.25">
      <c r="A1866" s="509"/>
      <c r="B1866" s="256"/>
      <c r="C1866" s="221"/>
      <c r="D1866" s="218"/>
      <c r="E1866" s="218"/>
      <c r="F1866" s="249" t="s">
        <v>251</v>
      </c>
      <c r="G1866" s="252" t="s">
        <v>252</v>
      </c>
      <c r="H1866" s="594"/>
      <c r="I1866" s="595"/>
      <c r="J1866" s="599">
        <f t="shared" si="60"/>
        <v>0</v>
      </c>
      <c r="K1866" s="533"/>
      <c r="L1866" s="533"/>
      <c r="M1866" s="533"/>
      <c r="N1866" s="268"/>
      <c r="O1866" s="533"/>
      <c r="P1866" s="533"/>
      <c r="Q1866" s="533"/>
      <c r="R1866" s="533"/>
      <c r="S1866" s="533"/>
      <c r="T1866" s="533"/>
      <c r="U1866" s="533"/>
      <c r="V1866" s="533"/>
      <c r="W1866" s="533"/>
      <c r="X1866" s="533"/>
      <c r="Y1866" s="533"/>
    </row>
    <row r="1867" spans="1:25" s="88" customFormat="1" hidden="1" x14ac:dyDescent="0.25">
      <c r="A1867" s="509"/>
      <c r="B1867" s="256"/>
      <c r="C1867" s="221"/>
      <c r="D1867" s="218"/>
      <c r="E1867" s="218"/>
      <c r="F1867" s="249" t="s">
        <v>253</v>
      </c>
      <c r="G1867" s="252" t="s">
        <v>254</v>
      </c>
      <c r="H1867" s="594"/>
      <c r="I1867" s="595"/>
      <c r="J1867" s="599">
        <f t="shared" si="60"/>
        <v>0</v>
      </c>
      <c r="K1867" s="533"/>
      <c r="L1867" s="533"/>
      <c r="M1867" s="533"/>
      <c r="N1867" s="268"/>
      <c r="O1867" s="533"/>
      <c r="P1867" s="533"/>
      <c r="Q1867" s="533"/>
      <c r="R1867" s="533"/>
      <c r="S1867" s="533"/>
      <c r="T1867" s="533"/>
      <c r="U1867" s="533"/>
      <c r="V1867" s="533"/>
      <c r="W1867" s="533"/>
      <c r="X1867" s="533"/>
      <c r="Y1867" s="533"/>
    </row>
    <row r="1868" spans="1:25" s="88" customFormat="1" ht="30" hidden="1" x14ac:dyDescent="0.25">
      <c r="A1868" s="509"/>
      <c r="B1868" s="256"/>
      <c r="C1868" s="221"/>
      <c r="D1868" s="218"/>
      <c r="E1868" s="218"/>
      <c r="F1868" s="249" t="s">
        <v>255</v>
      </c>
      <c r="G1868" s="252" t="s">
        <v>256</v>
      </c>
      <c r="H1868" s="594"/>
      <c r="I1868" s="595"/>
      <c r="J1868" s="599">
        <f t="shared" si="60"/>
        <v>0</v>
      </c>
      <c r="K1868" s="533"/>
      <c r="L1868" s="533"/>
      <c r="M1868" s="533"/>
      <c r="N1868" s="268"/>
      <c r="O1868" s="533"/>
      <c r="P1868" s="533"/>
      <c r="Q1868" s="533"/>
      <c r="R1868" s="533"/>
      <c r="S1868" s="533"/>
      <c r="T1868" s="533"/>
      <c r="U1868" s="533"/>
      <c r="V1868" s="533"/>
      <c r="W1868" s="533"/>
      <c r="X1868" s="533"/>
      <c r="Y1868" s="533"/>
    </row>
    <row r="1869" spans="1:25" s="88" customFormat="1" hidden="1" x14ac:dyDescent="0.25">
      <c r="A1869" s="509"/>
      <c r="B1869" s="256"/>
      <c r="C1869" s="221"/>
      <c r="D1869" s="218"/>
      <c r="E1869" s="218"/>
      <c r="F1869" s="249" t="s">
        <v>257</v>
      </c>
      <c r="G1869" s="252" t="s">
        <v>258</v>
      </c>
      <c r="H1869" s="594"/>
      <c r="I1869" s="595"/>
      <c r="J1869" s="599">
        <f t="shared" si="60"/>
        <v>0</v>
      </c>
      <c r="K1869" s="533"/>
      <c r="L1869" s="533"/>
      <c r="M1869" s="533"/>
      <c r="N1869" s="268"/>
      <c r="O1869" s="533"/>
      <c r="P1869" s="533"/>
      <c r="Q1869" s="533"/>
      <c r="R1869" s="533"/>
      <c r="S1869" s="533"/>
      <c r="T1869" s="533"/>
      <c r="U1869" s="533"/>
      <c r="V1869" s="533"/>
      <c r="W1869" s="533"/>
      <c r="X1869" s="533"/>
      <c r="Y1869" s="533"/>
    </row>
    <row r="1870" spans="1:25" s="88" customFormat="1" ht="30" hidden="1" x14ac:dyDescent="0.25">
      <c r="A1870" s="509"/>
      <c r="B1870" s="256"/>
      <c r="C1870" s="221"/>
      <c r="D1870" s="218"/>
      <c r="E1870" s="218"/>
      <c r="F1870" s="249" t="s">
        <v>259</v>
      </c>
      <c r="G1870" s="252" t="s">
        <v>260</v>
      </c>
      <c r="H1870" s="594"/>
      <c r="I1870" s="595"/>
      <c r="J1870" s="599">
        <f t="shared" si="60"/>
        <v>0</v>
      </c>
      <c r="K1870" s="533"/>
      <c r="L1870" s="533"/>
      <c r="M1870" s="533"/>
      <c r="N1870" s="268"/>
      <c r="O1870" s="533"/>
      <c r="P1870" s="533"/>
      <c r="Q1870" s="533"/>
      <c r="R1870" s="533"/>
      <c r="S1870" s="533"/>
      <c r="T1870" s="533"/>
      <c r="U1870" s="533"/>
      <c r="V1870" s="533"/>
      <c r="W1870" s="533"/>
      <c r="X1870" s="533"/>
      <c r="Y1870" s="533"/>
    </row>
    <row r="1871" spans="1:25" s="88" customFormat="1" hidden="1" x14ac:dyDescent="0.25">
      <c r="A1871" s="509"/>
      <c r="B1871" s="256"/>
      <c r="C1871" s="221"/>
      <c r="D1871" s="218"/>
      <c r="E1871" s="218"/>
      <c r="F1871" s="249" t="s">
        <v>261</v>
      </c>
      <c r="G1871" s="252" t="s">
        <v>262</v>
      </c>
      <c r="H1871" s="594"/>
      <c r="I1871" s="595"/>
      <c r="J1871" s="599">
        <f t="shared" si="60"/>
        <v>0</v>
      </c>
      <c r="K1871" s="533"/>
      <c r="L1871" s="533"/>
      <c r="M1871" s="533"/>
      <c r="N1871" s="268"/>
      <c r="O1871" s="533"/>
      <c r="P1871" s="533"/>
      <c r="Q1871" s="533"/>
      <c r="R1871" s="533"/>
      <c r="S1871" s="533"/>
      <c r="T1871" s="533"/>
      <c r="U1871" s="533"/>
      <c r="V1871" s="533"/>
      <c r="W1871" s="533"/>
      <c r="X1871" s="533"/>
      <c r="Y1871" s="533"/>
    </row>
    <row r="1872" spans="1:25" s="88" customFormat="1" ht="15.75" hidden="1" thickBot="1" x14ac:dyDescent="0.3">
      <c r="A1872" s="509"/>
      <c r="B1872" s="256"/>
      <c r="C1872" s="221"/>
      <c r="D1872" s="218"/>
      <c r="E1872" s="218"/>
      <c r="F1872" s="249" t="s">
        <v>263</v>
      </c>
      <c r="G1872" s="252" t="s">
        <v>264</v>
      </c>
      <c r="H1872" s="598"/>
      <c r="I1872" s="599"/>
      <c r="J1872" s="599">
        <f t="shared" si="60"/>
        <v>0</v>
      </c>
      <c r="K1872" s="533"/>
      <c r="L1872" s="533"/>
      <c r="M1872" s="533"/>
      <c r="N1872" s="268"/>
      <c r="O1872" s="533"/>
      <c r="P1872" s="533"/>
      <c r="Q1872" s="533"/>
      <c r="R1872" s="533"/>
      <c r="S1872" s="533"/>
      <c r="T1872" s="533"/>
      <c r="U1872" s="533"/>
      <c r="V1872" s="533"/>
      <c r="W1872" s="533"/>
      <c r="X1872" s="533"/>
      <c r="Y1872" s="533"/>
    </row>
    <row r="1873" spans="1:25" s="88" customFormat="1" ht="15.75" thickBot="1" x14ac:dyDescent="0.3">
      <c r="A1873" s="509"/>
      <c r="B1873" s="256"/>
      <c r="C1873" s="221"/>
      <c r="D1873" s="218"/>
      <c r="E1873" s="218"/>
      <c r="F1873" s="218"/>
      <c r="G1873" s="229" t="s">
        <v>4230</v>
      </c>
      <c r="H1873" s="600">
        <f>SUM(H1857:H1872)</f>
        <v>86000000</v>
      </c>
      <c r="I1873" s="601">
        <f>SUM(I1858:I1872)</f>
        <v>0</v>
      </c>
      <c r="J1873" s="601">
        <f>SUM(J1857:J1872)</f>
        <v>86000000</v>
      </c>
      <c r="K1873" s="533"/>
      <c r="L1873" s="533"/>
      <c r="M1873" s="533"/>
      <c r="N1873" s="268"/>
      <c r="O1873" s="533"/>
      <c r="P1873" s="533"/>
      <c r="Q1873" s="533"/>
      <c r="R1873" s="533"/>
      <c r="S1873" s="533"/>
      <c r="T1873" s="533"/>
      <c r="U1873" s="533"/>
      <c r="V1873" s="533"/>
      <c r="W1873" s="533"/>
      <c r="X1873" s="533"/>
      <c r="Y1873" s="533"/>
    </row>
    <row r="1874" spans="1:25" s="88" customFormat="1" x14ac:dyDescent="0.25">
      <c r="A1874" s="509"/>
      <c r="B1874" s="256"/>
      <c r="C1874" s="221"/>
      <c r="D1874" s="218"/>
      <c r="E1874" s="218"/>
      <c r="F1874" s="218"/>
      <c r="G1874" s="286"/>
      <c r="H1874" s="604"/>
      <c r="I1874" s="605"/>
      <c r="J1874" s="605"/>
      <c r="K1874" s="533"/>
      <c r="L1874" s="533"/>
      <c r="M1874" s="533"/>
      <c r="N1874" s="268"/>
      <c r="O1874" s="533"/>
      <c r="P1874" s="533"/>
      <c r="Q1874" s="533"/>
      <c r="R1874" s="533"/>
      <c r="S1874" s="533"/>
      <c r="T1874" s="533"/>
      <c r="U1874" s="533"/>
      <c r="V1874" s="533"/>
      <c r="W1874" s="533"/>
      <c r="X1874" s="533"/>
      <c r="Y1874" s="533"/>
    </row>
    <row r="1875" spans="1:25" s="88" customFormat="1" x14ac:dyDescent="0.25">
      <c r="A1875" s="509"/>
      <c r="B1875" s="256"/>
      <c r="C1875" s="323" t="s">
        <v>4164</v>
      </c>
      <c r="D1875" s="285"/>
      <c r="E1875" s="285"/>
      <c r="F1875" s="222"/>
      <c r="G1875" s="287" t="s">
        <v>3672</v>
      </c>
      <c r="H1875" s="594"/>
      <c r="I1875" s="595"/>
      <c r="J1875" s="595"/>
      <c r="K1875" s="533"/>
      <c r="L1875" s="533"/>
      <c r="M1875" s="533"/>
      <c r="N1875" s="268"/>
      <c r="O1875" s="533"/>
      <c r="P1875" s="533"/>
      <c r="Q1875" s="533"/>
      <c r="R1875" s="533"/>
      <c r="S1875" s="533"/>
      <c r="T1875" s="533"/>
      <c r="U1875" s="533"/>
      <c r="V1875" s="533"/>
      <c r="W1875" s="533"/>
      <c r="X1875" s="533"/>
      <c r="Y1875" s="533"/>
    </row>
    <row r="1876" spans="1:25" s="88" customFormat="1" x14ac:dyDescent="0.25">
      <c r="A1876" s="509"/>
      <c r="B1876" s="256"/>
      <c r="C1876" s="221"/>
      <c r="D1876" s="312">
        <v>150</v>
      </c>
      <c r="E1876" s="312"/>
      <c r="F1876" s="312"/>
      <c r="G1876" s="338" t="s">
        <v>4315</v>
      </c>
      <c r="H1876" s="594"/>
      <c r="I1876" s="595"/>
      <c r="J1876" s="595"/>
      <c r="K1876" s="533"/>
      <c r="L1876" s="533"/>
      <c r="M1876" s="533"/>
      <c r="N1876" s="268"/>
      <c r="O1876" s="533"/>
      <c r="P1876" s="533"/>
      <c r="Q1876" s="533"/>
      <c r="R1876" s="533"/>
      <c r="S1876" s="533"/>
      <c r="T1876" s="533"/>
      <c r="U1876" s="533"/>
      <c r="V1876" s="533"/>
      <c r="W1876" s="533"/>
      <c r="X1876" s="533"/>
      <c r="Y1876" s="533"/>
    </row>
    <row r="1877" spans="1:25" s="88" customFormat="1" hidden="1" x14ac:dyDescent="0.25">
      <c r="A1877" s="509"/>
      <c r="B1877" s="256"/>
      <c r="C1877" s="221"/>
      <c r="D1877" s="218"/>
      <c r="E1877" s="218"/>
      <c r="F1877" s="290">
        <v>411</v>
      </c>
      <c r="G1877" s="295" t="s">
        <v>4189</v>
      </c>
      <c r="H1877" s="594"/>
      <c r="I1877" s="595"/>
      <c r="J1877" s="595">
        <f t="shared" ref="J1877:J1908" si="61">SUM(H1877:I1877)</f>
        <v>0</v>
      </c>
      <c r="K1877" s="533"/>
      <c r="L1877" s="533"/>
      <c r="M1877" s="533"/>
      <c r="N1877" s="268"/>
      <c r="O1877" s="533"/>
      <c r="P1877" s="533"/>
      <c r="Q1877" s="533"/>
      <c r="R1877" s="533"/>
      <c r="S1877" s="533"/>
      <c r="T1877" s="533"/>
      <c r="U1877" s="533"/>
      <c r="V1877" s="533"/>
      <c r="W1877" s="533"/>
      <c r="X1877" s="533"/>
      <c r="Y1877" s="533"/>
    </row>
    <row r="1878" spans="1:25" s="88" customFormat="1" hidden="1" x14ac:dyDescent="0.25">
      <c r="A1878" s="509"/>
      <c r="B1878" s="256"/>
      <c r="C1878" s="221"/>
      <c r="D1878" s="218"/>
      <c r="E1878" s="218"/>
      <c r="F1878" s="290">
        <v>412</v>
      </c>
      <c r="G1878" s="292" t="s">
        <v>3784</v>
      </c>
      <c r="H1878" s="594"/>
      <c r="I1878" s="595"/>
      <c r="J1878" s="595">
        <f t="shared" si="61"/>
        <v>0</v>
      </c>
      <c r="K1878" s="533"/>
      <c r="L1878" s="533"/>
      <c r="M1878" s="533"/>
      <c r="N1878" s="268"/>
      <c r="O1878" s="533"/>
      <c r="P1878" s="533"/>
      <c r="Q1878" s="533"/>
      <c r="R1878" s="533"/>
      <c r="S1878" s="533"/>
      <c r="T1878" s="533"/>
      <c r="U1878" s="533"/>
      <c r="V1878" s="533"/>
      <c r="W1878" s="533"/>
      <c r="X1878" s="533"/>
      <c r="Y1878" s="533"/>
    </row>
    <row r="1879" spans="1:25" s="88" customFormat="1" hidden="1" x14ac:dyDescent="0.25">
      <c r="A1879" s="509"/>
      <c r="B1879" s="256"/>
      <c r="C1879" s="221"/>
      <c r="D1879" s="218"/>
      <c r="E1879" s="218"/>
      <c r="F1879" s="290">
        <v>413</v>
      </c>
      <c r="G1879" s="295" t="s">
        <v>4190</v>
      </c>
      <c r="H1879" s="594"/>
      <c r="I1879" s="595"/>
      <c r="J1879" s="595">
        <f t="shared" si="61"/>
        <v>0</v>
      </c>
      <c r="K1879" s="533"/>
      <c r="L1879" s="533"/>
      <c r="M1879" s="533"/>
      <c r="N1879" s="268"/>
      <c r="O1879" s="533"/>
      <c r="P1879" s="533"/>
      <c r="Q1879" s="533"/>
      <c r="R1879" s="533"/>
      <c r="S1879" s="533"/>
      <c r="T1879" s="533"/>
      <c r="U1879" s="533"/>
      <c r="V1879" s="533"/>
      <c r="W1879" s="533"/>
      <c r="X1879" s="533"/>
      <c r="Y1879" s="533"/>
    </row>
    <row r="1880" spans="1:25" s="88" customFormat="1" hidden="1" x14ac:dyDescent="0.25">
      <c r="A1880" s="509"/>
      <c r="B1880" s="256"/>
      <c r="C1880" s="221"/>
      <c r="D1880" s="218"/>
      <c r="E1880" s="218"/>
      <c r="F1880" s="290">
        <v>414</v>
      </c>
      <c r="G1880" s="295" t="s">
        <v>3787</v>
      </c>
      <c r="H1880" s="594"/>
      <c r="I1880" s="595"/>
      <c r="J1880" s="595">
        <f t="shared" si="61"/>
        <v>0</v>
      </c>
      <c r="K1880" s="533"/>
      <c r="L1880" s="533"/>
      <c r="M1880" s="533"/>
      <c r="N1880" s="268"/>
      <c r="O1880" s="533"/>
      <c r="P1880" s="533"/>
      <c r="Q1880" s="533"/>
      <c r="R1880" s="533"/>
      <c r="S1880" s="533"/>
      <c r="T1880" s="533"/>
      <c r="U1880" s="533"/>
      <c r="V1880" s="533"/>
      <c r="W1880" s="533"/>
      <c r="X1880" s="533"/>
      <c r="Y1880" s="533"/>
    </row>
    <row r="1881" spans="1:25" s="88" customFormat="1" hidden="1" x14ac:dyDescent="0.25">
      <c r="A1881" s="509"/>
      <c r="B1881" s="256"/>
      <c r="C1881" s="221"/>
      <c r="D1881" s="218"/>
      <c r="E1881" s="218"/>
      <c r="F1881" s="290">
        <v>415</v>
      </c>
      <c r="G1881" s="295" t="s">
        <v>4199</v>
      </c>
      <c r="H1881" s="594"/>
      <c r="I1881" s="595"/>
      <c r="J1881" s="595">
        <f t="shared" si="61"/>
        <v>0</v>
      </c>
      <c r="K1881" s="533"/>
      <c r="L1881" s="533"/>
      <c r="M1881" s="533"/>
      <c r="N1881" s="268"/>
      <c r="O1881" s="533"/>
      <c r="P1881" s="533"/>
      <c r="Q1881" s="533"/>
      <c r="R1881" s="533"/>
      <c r="S1881" s="533"/>
      <c r="T1881" s="533"/>
      <c r="U1881" s="533"/>
      <c r="V1881" s="533"/>
      <c r="W1881" s="533"/>
      <c r="X1881" s="533"/>
      <c r="Y1881" s="533"/>
    </row>
    <row r="1882" spans="1:25" s="88" customFormat="1" hidden="1" x14ac:dyDescent="0.25">
      <c r="A1882" s="509"/>
      <c r="B1882" s="256"/>
      <c r="C1882" s="221"/>
      <c r="D1882" s="218"/>
      <c r="E1882" s="218"/>
      <c r="F1882" s="290">
        <v>416</v>
      </c>
      <c r="G1882" s="295" t="s">
        <v>4200</v>
      </c>
      <c r="H1882" s="594"/>
      <c r="I1882" s="595"/>
      <c r="J1882" s="595">
        <f t="shared" si="61"/>
        <v>0</v>
      </c>
      <c r="K1882" s="533"/>
      <c r="L1882" s="533"/>
      <c r="M1882" s="533"/>
      <c r="N1882" s="268"/>
      <c r="O1882" s="533"/>
      <c r="P1882" s="533"/>
      <c r="Q1882" s="533"/>
      <c r="R1882" s="533"/>
      <c r="S1882" s="533"/>
      <c r="T1882" s="533"/>
      <c r="U1882" s="533"/>
      <c r="V1882" s="533"/>
      <c r="W1882" s="533"/>
      <c r="X1882" s="533"/>
      <c r="Y1882" s="533"/>
    </row>
    <row r="1883" spans="1:25" s="88" customFormat="1" hidden="1" x14ac:dyDescent="0.25">
      <c r="A1883" s="509"/>
      <c r="B1883" s="256"/>
      <c r="C1883" s="221"/>
      <c r="D1883" s="218"/>
      <c r="E1883" s="218"/>
      <c r="F1883" s="290">
        <v>417</v>
      </c>
      <c r="G1883" s="295" t="s">
        <v>4201</v>
      </c>
      <c r="H1883" s="594"/>
      <c r="I1883" s="595"/>
      <c r="J1883" s="595">
        <f t="shared" si="61"/>
        <v>0</v>
      </c>
      <c r="K1883" s="533"/>
      <c r="L1883" s="533"/>
      <c r="M1883" s="533"/>
      <c r="N1883" s="268"/>
      <c r="O1883" s="533"/>
      <c r="P1883" s="533"/>
      <c r="Q1883" s="533"/>
      <c r="R1883" s="533"/>
      <c r="S1883" s="533"/>
      <c r="T1883" s="533"/>
      <c r="U1883" s="533"/>
      <c r="V1883" s="533"/>
      <c r="W1883" s="533"/>
      <c r="X1883" s="533"/>
      <c r="Y1883" s="533"/>
    </row>
    <row r="1884" spans="1:25" s="88" customFormat="1" hidden="1" x14ac:dyDescent="0.25">
      <c r="A1884" s="509"/>
      <c r="B1884" s="256"/>
      <c r="C1884" s="221"/>
      <c r="D1884" s="218"/>
      <c r="E1884" s="218"/>
      <c r="F1884" s="290">
        <v>418</v>
      </c>
      <c r="G1884" s="295" t="s">
        <v>3793</v>
      </c>
      <c r="H1884" s="594"/>
      <c r="I1884" s="595"/>
      <c r="J1884" s="595">
        <f t="shared" si="61"/>
        <v>0</v>
      </c>
      <c r="K1884" s="533"/>
      <c r="L1884" s="533"/>
      <c r="M1884" s="533"/>
      <c r="N1884" s="268"/>
      <c r="O1884" s="533"/>
      <c r="P1884" s="533"/>
      <c r="Q1884" s="533"/>
      <c r="R1884" s="533"/>
      <c r="S1884" s="533"/>
      <c r="T1884" s="533"/>
      <c r="U1884" s="533"/>
      <c r="V1884" s="533"/>
      <c r="W1884" s="533"/>
      <c r="X1884" s="533"/>
      <c r="Y1884" s="533"/>
    </row>
    <row r="1885" spans="1:25" s="88" customFormat="1" hidden="1" x14ac:dyDescent="0.25">
      <c r="A1885" s="509"/>
      <c r="B1885" s="256"/>
      <c r="C1885" s="221"/>
      <c r="D1885" s="218"/>
      <c r="E1885" s="218"/>
      <c r="F1885" s="290">
        <v>421</v>
      </c>
      <c r="G1885" s="295" t="s">
        <v>3797</v>
      </c>
      <c r="H1885" s="594"/>
      <c r="I1885" s="595"/>
      <c r="J1885" s="595">
        <f t="shared" si="61"/>
        <v>0</v>
      </c>
      <c r="K1885" s="533"/>
      <c r="L1885" s="533"/>
      <c r="M1885" s="533"/>
      <c r="N1885" s="268"/>
      <c r="O1885" s="533"/>
      <c r="P1885" s="533"/>
      <c r="Q1885" s="533"/>
      <c r="R1885" s="533"/>
      <c r="S1885" s="533"/>
      <c r="T1885" s="533"/>
      <c r="U1885" s="533"/>
      <c r="V1885" s="533"/>
      <c r="W1885" s="533"/>
      <c r="X1885" s="533"/>
      <c r="Y1885" s="533"/>
    </row>
    <row r="1886" spans="1:25" s="88" customFormat="1" hidden="1" x14ac:dyDescent="0.25">
      <c r="A1886" s="509"/>
      <c r="B1886" s="256"/>
      <c r="C1886" s="221"/>
      <c r="D1886" s="218"/>
      <c r="E1886" s="218"/>
      <c r="F1886" s="290">
        <v>422</v>
      </c>
      <c r="G1886" s="295" t="s">
        <v>3798</v>
      </c>
      <c r="H1886" s="594"/>
      <c r="I1886" s="595"/>
      <c r="J1886" s="595">
        <f t="shared" si="61"/>
        <v>0</v>
      </c>
      <c r="K1886" s="533"/>
      <c r="L1886" s="533"/>
      <c r="M1886" s="533"/>
      <c r="N1886" s="268"/>
      <c r="O1886" s="533"/>
      <c r="P1886" s="533"/>
      <c r="Q1886" s="533"/>
      <c r="R1886" s="533"/>
      <c r="S1886" s="533"/>
      <c r="T1886" s="533"/>
      <c r="U1886" s="533"/>
      <c r="V1886" s="533"/>
      <c r="W1886" s="533"/>
      <c r="X1886" s="533"/>
      <c r="Y1886" s="533"/>
    </row>
    <row r="1887" spans="1:25" s="88" customFormat="1" x14ac:dyDescent="0.25">
      <c r="A1887" s="509"/>
      <c r="B1887" s="256"/>
      <c r="C1887" s="221"/>
      <c r="D1887" s="218"/>
      <c r="E1887" s="218">
        <v>33</v>
      </c>
      <c r="F1887" s="290">
        <v>423</v>
      </c>
      <c r="G1887" s="295" t="s">
        <v>3799</v>
      </c>
      <c r="H1887" s="594">
        <v>250000</v>
      </c>
      <c r="I1887" s="595"/>
      <c r="J1887" s="595">
        <f t="shared" si="61"/>
        <v>250000</v>
      </c>
      <c r="K1887" s="533"/>
      <c r="L1887" s="533"/>
      <c r="M1887" s="533"/>
      <c r="N1887" s="268"/>
      <c r="O1887" s="533"/>
      <c r="P1887" s="533"/>
      <c r="Q1887" s="533"/>
      <c r="R1887" s="533"/>
      <c r="S1887" s="533"/>
      <c r="T1887" s="533"/>
      <c r="U1887" s="533"/>
      <c r="V1887" s="533"/>
      <c r="W1887" s="533"/>
      <c r="X1887" s="533"/>
      <c r="Y1887" s="533"/>
    </row>
    <row r="1888" spans="1:25" s="88" customFormat="1" hidden="1" x14ac:dyDescent="0.25">
      <c r="A1888" s="509"/>
      <c r="B1888" s="256"/>
      <c r="C1888" s="221"/>
      <c r="D1888" s="218"/>
      <c r="E1888" s="218"/>
      <c r="F1888" s="290">
        <v>424</v>
      </c>
      <c r="G1888" s="295" t="s">
        <v>3801</v>
      </c>
      <c r="H1888" s="594"/>
      <c r="I1888" s="595"/>
      <c r="J1888" s="595">
        <f t="shared" si="61"/>
        <v>0</v>
      </c>
      <c r="K1888" s="533"/>
      <c r="L1888" s="533"/>
      <c r="M1888" s="533"/>
      <c r="N1888" s="268"/>
      <c r="O1888" s="533"/>
      <c r="P1888" s="533"/>
      <c r="Q1888" s="533"/>
      <c r="R1888" s="533"/>
      <c r="S1888" s="533"/>
      <c r="T1888" s="533"/>
      <c r="U1888" s="533"/>
      <c r="V1888" s="533"/>
      <c r="W1888" s="533"/>
      <c r="X1888" s="533"/>
      <c r="Y1888" s="533"/>
    </row>
    <row r="1889" spans="1:25" s="88" customFormat="1" hidden="1" x14ac:dyDescent="0.25">
      <c r="A1889" s="509"/>
      <c r="B1889" s="256"/>
      <c r="C1889" s="221"/>
      <c r="D1889" s="218"/>
      <c r="E1889" s="218"/>
      <c r="F1889" s="290">
        <v>425</v>
      </c>
      <c r="G1889" s="295" t="s">
        <v>4202</v>
      </c>
      <c r="H1889" s="594"/>
      <c r="I1889" s="595"/>
      <c r="J1889" s="595">
        <f t="shared" si="61"/>
        <v>0</v>
      </c>
      <c r="K1889" s="533"/>
      <c r="L1889" s="533"/>
      <c r="M1889" s="533"/>
      <c r="N1889" s="268"/>
      <c r="O1889" s="533"/>
      <c r="P1889" s="533"/>
      <c r="Q1889" s="533"/>
      <c r="R1889" s="533"/>
      <c r="S1889" s="533"/>
      <c r="T1889" s="533"/>
      <c r="U1889" s="533"/>
      <c r="V1889" s="533"/>
      <c r="W1889" s="533"/>
      <c r="X1889" s="533"/>
      <c r="Y1889" s="533"/>
    </row>
    <row r="1890" spans="1:25" s="88" customFormat="1" x14ac:dyDescent="0.25">
      <c r="A1890" s="509"/>
      <c r="B1890" s="256"/>
      <c r="C1890" s="221"/>
      <c r="D1890" s="218"/>
      <c r="E1890" s="218">
        <v>34</v>
      </c>
      <c r="F1890" s="290">
        <v>426</v>
      </c>
      <c r="G1890" s="295" t="s">
        <v>3805</v>
      </c>
      <c r="H1890" s="594">
        <v>105000</v>
      </c>
      <c r="I1890" s="595"/>
      <c r="J1890" s="595">
        <f t="shared" si="61"/>
        <v>105000</v>
      </c>
      <c r="K1890" s="533"/>
      <c r="L1890" s="533"/>
      <c r="M1890" s="533"/>
      <c r="N1890" s="268"/>
      <c r="O1890" s="533"/>
      <c r="P1890" s="533"/>
      <c r="Q1890" s="533"/>
      <c r="R1890" s="533"/>
      <c r="S1890" s="533"/>
      <c r="T1890" s="533"/>
      <c r="U1890" s="533"/>
      <c r="V1890" s="533"/>
      <c r="W1890" s="533"/>
      <c r="X1890" s="533"/>
      <c r="Y1890" s="533"/>
    </row>
    <row r="1891" spans="1:25" s="88" customFormat="1" hidden="1" x14ac:dyDescent="0.25">
      <c r="A1891" s="509"/>
      <c r="B1891" s="256"/>
      <c r="C1891" s="221"/>
      <c r="D1891" s="218"/>
      <c r="E1891" s="218"/>
      <c r="F1891" s="290">
        <v>431</v>
      </c>
      <c r="G1891" s="295" t="s">
        <v>4203</v>
      </c>
      <c r="H1891" s="594"/>
      <c r="I1891" s="595"/>
      <c r="J1891" s="595">
        <f t="shared" si="61"/>
        <v>0</v>
      </c>
      <c r="K1891" s="533"/>
      <c r="L1891" s="533"/>
      <c r="M1891" s="533"/>
      <c r="N1891" s="268"/>
      <c r="O1891" s="533"/>
      <c r="P1891" s="533"/>
      <c r="Q1891" s="533"/>
      <c r="R1891" s="533"/>
      <c r="S1891" s="533"/>
      <c r="T1891" s="533"/>
      <c r="U1891" s="533"/>
      <c r="V1891" s="533"/>
      <c r="W1891" s="533"/>
      <c r="X1891" s="533"/>
      <c r="Y1891" s="533"/>
    </row>
    <row r="1892" spans="1:25" s="88" customFormat="1" hidden="1" x14ac:dyDescent="0.25">
      <c r="A1892" s="509"/>
      <c r="B1892" s="256"/>
      <c r="C1892" s="221"/>
      <c r="D1892" s="218"/>
      <c r="E1892" s="218"/>
      <c r="F1892" s="290">
        <v>432</v>
      </c>
      <c r="G1892" s="295" t="s">
        <v>4204</v>
      </c>
      <c r="H1892" s="594"/>
      <c r="I1892" s="595"/>
      <c r="J1892" s="595">
        <f t="shared" si="61"/>
        <v>0</v>
      </c>
      <c r="K1892" s="533"/>
      <c r="L1892" s="533"/>
      <c r="M1892" s="533"/>
      <c r="N1892" s="268"/>
      <c r="O1892" s="533"/>
      <c r="P1892" s="533"/>
      <c r="Q1892" s="533"/>
      <c r="R1892" s="533"/>
      <c r="S1892" s="533"/>
      <c r="T1892" s="533"/>
      <c r="U1892" s="533"/>
      <c r="V1892" s="533"/>
      <c r="W1892" s="533"/>
      <c r="X1892" s="533"/>
      <c r="Y1892" s="533"/>
    </row>
    <row r="1893" spans="1:25" s="88" customFormat="1" hidden="1" x14ac:dyDescent="0.25">
      <c r="A1893" s="509"/>
      <c r="B1893" s="256"/>
      <c r="C1893" s="221"/>
      <c r="D1893" s="218"/>
      <c r="E1893" s="218"/>
      <c r="F1893" s="290">
        <v>433</v>
      </c>
      <c r="G1893" s="295" t="s">
        <v>4205</v>
      </c>
      <c r="H1893" s="594"/>
      <c r="I1893" s="595"/>
      <c r="J1893" s="595">
        <f t="shared" si="61"/>
        <v>0</v>
      </c>
      <c r="K1893" s="533"/>
      <c r="L1893" s="533"/>
      <c r="M1893" s="533"/>
      <c r="N1893" s="268"/>
      <c r="O1893" s="533"/>
      <c r="P1893" s="533"/>
      <c r="Q1893" s="533"/>
      <c r="R1893" s="533"/>
      <c r="S1893" s="533"/>
      <c r="T1893" s="533"/>
      <c r="U1893" s="533"/>
      <c r="V1893" s="533"/>
      <c r="W1893" s="533"/>
      <c r="X1893" s="533"/>
      <c r="Y1893" s="533"/>
    </row>
    <row r="1894" spans="1:25" s="88" customFormat="1" hidden="1" x14ac:dyDescent="0.25">
      <c r="A1894" s="509"/>
      <c r="B1894" s="256"/>
      <c r="C1894" s="221"/>
      <c r="D1894" s="218"/>
      <c r="E1894" s="218"/>
      <c r="F1894" s="290">
        <v>434</v>
      </c>
      <c r="G1894" s="295" t="s">
        <v>4206</v>
      </c>
      <c r="H1894" s="594"/>
      <c r="I1894" s="595"/>
      <c r="J1894" s="595">
        <f t="shared" si="61"/>
        <v>0</v>
      </c>
      <c r="K1894" s="533"/>
      <c r="L1894" s="533"/>
      <c r="M1894" s="533"/>
      <c r="N1894" s="268"/>
      <c r="O1894" s="533"/>
      <c r="P1894" s="533"/>
      <c r="Q1894" s="533"/>
      <c r="R1894" s="533"/>
      <c r="S1894" s="533"/>
      <c r="T1894" s="533"/>
      <c r="U1894" s="533"/>
      <c r="V1894" s="533"/>
      <c r="W1894" s="533"/>
      <c r="X1894" s="533"/>
      <c r="Y1894" s="533"/>
    </row>
    <row r="1895" spans="1:25" s="88" customFormat="1" hidden="1" x14ac:dyDescent="0.25">
      <c r="A1895" s="509"/>
      <c r="B1895" s="256"/>
      <c r="C1895" s="221"/>
      <c r="D1895" s="218"/>
      <c r="E1895" s="218"/>
      <c r="F1895" s="290">
        <v>435</v>
      </c>
      <c r="G1895" s="295" t="s">
        <v>3812</v>
      </c>
      <c r="H1895" s="594"/>
      <c r="I1895" s="595"/>
      <c r="J1895" s="595">
        <f t="shared" si="61"/>
        <v>0</v>
      </c>
      <c r="K1895" s="533"/>
      <c r="L1895" s="533"/>
      <c r="M1895" s="533"/>
      <c r="N1895" s="268"/>
      <c r="O1895" s="533"/>
      <c r="P1895" s="533"/>
      <c r="Q1895" s="533"/>
      <c r="R1895" s="533"/>
      <c r="S1895" s="533"/>
      <c r="T1895" s="533"/>
      <c r="U1895" s="533"/>
      <c r="V1895" s="533"/>
      <c r="W1895" s="533"/>
      <c r="X1895" s="533"/>
      <c r="Y1895" s="533"/>
    </row>
    <row r="1896" spans="1:25" s="88" customFormat="1" hidden="1" x14ac:dyDescent="0.25">
      <c r="A1896" s="509"/>
      <c r="B1896" s="256"/>
      <c r="C1896" s="221"/>
      <c r="D1896" s="218"/>
      <c r="E1896" s="218"/>
      <c r="F1896" s="290">
        <v>441</v>
      </c>
      <c r="G1896" s="295" t="s">
        <v>4207</v>
      </c>
      <c r="H1896" s="594"/>
      <c r="I1896" s="595"/>
      <c r="J1896" s="595">
        <f t="shared" si="61"/>
        <v>0</v>
      </c>
      <c r="K1896" s="533"/>
      <c r="L1896" s="533"/>
      <c r="M1896" s="533"/>
      <c r="N1896" s="268"/>
      <c r="O1896" s="533"/>
      <c r="P1896" s="533"/>
      <c r="Q1896" s="533"/>
      <c r="R1896" s="533"/>
      <c r="S1896" s="533"/>
      <c r="T1896" s="533"/>
      <c r="U1896" s="533"/>
      <c r="V1896" s="533"/>
      <c r="W1896" s="533"/>
      <c r="X1896" s="533"/>
      <c r="Y1896" s="533"/>
    </row>
    <row r="1897" spans="1:25" s="88" customFormat="1" hidden="1" x14ac:dyDescent="0.25">
      <c r="A1897" s="509"/>
      <c r="B1897" s="256"/>
      <c r="C1897" s="221"/>
      <c r="D1897" s="218"/>
      <c r="E1897" s="218"/>
      <c r="F1897" s="290">
        <v>442</v>
      </c>
      <c r="G1897" s="295" t="s">
        <v>4208</v>
      </c>
      <c r="H1897" s="594"/>
      <c r="I1897" s="595"/>
      <c r="J1897" s="595">
        <f t="shared" si="61"/>
        <v>0</v>
      </c>
      <c r="K1897" s="533"/>
      <c r="L1897" s="533"/>
      <c r="M1897" s="533"/>
      <c r="N1897" s="268"/>
      <c r="O1897" s="533"/>
      <c r="P1897" s="533"/>
      <c r="Q1897" s="533"/>
      <c r="R1897" s="533"/>
      <c r="S1897" s="533"/>
      <c r="T1897" s="533"/>
      <c r="U1897" s="533"/>
      <c r="V1897" s="533"/>
      <c r="W1897" s="533"/>
      <c r="X1897" s="533"/>
      <c r="Y1897" s="533"/>
    </row>
    <row r="1898" spans="1:25" s="88" customFormat="1" hidden="1" x14ac:dyDescent="0.25">
      <c r="A1898" s="509"/>
      <c r="B1898" s="256"/>
      <c r="C1898" s="221"/>
      <c r="D1898" s="218"/>
      <c r="E1898" s="218"/>
      <c r="F1898" s="290">
        <v>443</v>
      </c>
      <c r="G1898" s="295" t="s">
        <v>3817</v>
      </c>
      <c r="H1898" s="594"/>
      <c r="I1898" s="595"/>
      <c r="J1898" s="595">
        <f t="shared" si="61"/>
        <v>0</v>
      </c>
      <c r="K1898" s="533"/>
      <c r="L1898" s="533"/>
      <c r="M1898" s="533"/>
      <c r="N1898" s="268"/>
      <c r="O1898" s="533"/>
      <c r="P1898" s="533"/>
      <c r="Q1898" s="533"/>
      <c r="R1898" s="533"/>
      <c r="S1898" s="533"/>
      <c r="T1898" s="533"/>
      <c r="U1898" s="533"/>
      <c r="V1898" s="533"/>
      <c r="W1898" s="533"/>
      <c r="X1898" s="533"/>
      <c r="Y1898" s="533"/>
    </row>
    <row r="1899" spans="1:25" s="88" customFormat="1" hidden="1" x14ac:dyDescent="0.25">
      <c r="A1899" s="509"/>
      <c r="B1899" s="256"/>
      <c r="C1899" s="221"/>
      <c r="D1899" s="218"/>
      <c r="E1899" s="218"/>
      <c r="F1899" s="290">
        <v>444</v>
      </c>
      <c r="G1899" s="295" t="s">
        <v>3818</v>
      </c>
      <c r="H1899" s="594"/>
      <c r="I1899" s="595"/>
      <c r="J1899" s="595">
        <f t="shared" si="61"/>
        <v>0</v>
      </c>
      <c r="K1899" s="533"/>
      <c r="L1899" s="533"/>
      <c r="M1899" s="533"/>
      <c r="N1899" s="268"/>
      <c r="O1899" s="533"/>
      <c r="P1899" s="533"/>
      <c r="Q1899" s="533"/>
      <c r="R1899" s="533"/>
      <c r="S1899" s="533"/>
      <c r="T1899" s="533"/>
      <c r="U1899" s="533"/>
      <c r="V1899" s="533"/>
      <c r="W1899" s="533"/>
      <c r="X1899" s="533"/>
      <c r="Y1899" s="533"/>
    </row>
    <row r="1900" spans="1:25" s="88" customFormat="1" ht="30" hidden="1" x14ac:dyDescent="0.25">
      <c r="A1900" s="509"/>
      <c r="B1900" s="256"/>
      <c r="C1900" s="221"/>
      <c r="D1900" s="218"/>
      <c r="E1900" s="218"/>
      <c r="F1900" s="290">
        <v>4511</v>
      </c>
      <c r="G1900" s="223" t="s">
        <v>1692</v>
      </c>
      <c r="H1900" s="594"/>
      <c r="I1900" s="595"/>
      <c r="J1900" s="595">
        <f t="shared" si="61"/>
        <v>0</v>
      </c>
      <c r="K1900" s="533"/>
      <c r="L1900" s="533"/>
      <c r="M1900" s="533"/>
      <c r="N1900" s="268"/>
      <c r="O1900" s="533"/>
      <c r="P1900" s="533"/>
      <c r="Q1900" s="533"/>
      <c r="R1900" s="533"/>
      <c r="S1900" s="533"/>
      <c r="T1900" s="533"/>
      <c r="U1900" s="533"/>
      <c r="V1900" s="533"/>
      <c r="W1900" s="533"/>
      <c r="X1900" s="533"/>
      <c r="Y1900" s="533"/>
    </row>
    <row r="1901" spans="1:25" s="88" customFormat="1" ht="30" hidden="1" x14ac:dyDescent="0.25">
      <c r="A1901" s="509"/>
      <c r="B1901" s="256"/>
      <c r="C1901" s="221"/>
      <c r="D1901" s="218"/>
      <c r="E1901" s="218"/>
      <c r="F1901" s="290">
        <v>4512</v>
      </c>
      <c r="G1901" s="223" t="s">
        <v>1701</v>
      </c>
      <c r="H1901" s="594"/>
      <c r="I1901" s="595"/>
      <c r="J1901" s="595">
        <f t="shared" si="61"/>
        <v>0</v>
      </c>
      <c r="K1901" s="533"/>
      <c r="L1901" s="533"/>
      <c r="M1901" s="533"/>
      <c r="N1901" s="268"/>
      <c r="O1901" s="533"/>
      <c r="P1901" s="533"/>
      <c r="Q1901" s="533"/>
      <c r="R1901" s="533"/>
      <c r="S1901" s="533"/>
      <c r="T1901" s="533"/>
      <c r="U1901" s="533"/>
      <c r="V1901" s="533"/>
      <c r="W1901" s="533"/>
      <c r="X1901" s="533"/>
      <c r="Y1901" s="533"/>
    </row>
    <row r="1902" spans="1:25" s="88" customFormat="1" hidden="1" x14ac:dyDescent="0.25">
      <c r="A1902" s="509"/>
      <c r="B1902" s="256"/>
      <c r="C1902" s="221"/>
      <c r="D1902" s="218"/>
      <c r="E1902" s="218"/>
      <c r="F1902" s="290">
        <v>452</v>
      </c>
      <c r="G1902" s="295" t="s">
        <v>4209</v>
      </c>
      <c r="H1902" s="594"/>
      <c r="I1902" s="595"/>
      <c r="J1902" s="595">
        <f t="shared" si="61"/>
        <v>0</v>
      </c>
      <c r="K1902" s="533"/>
      <c r="L1902" s="533"/>
      <c r="M1902" s="533"/>
      <c r="N1902" s="268"/>
      <c r="O1902" s="533"/>
      <c r="P1902" s="533"/>
      <c r="Q1902" s="533"/>
      <c r="R1902" s="533"/>
      <c r="S1902" s="533"/>
      <c r="T1902" s="533"/>
      <c r="U1902" s="533"/>
      <c r="V1902" s="533"/>
      <c r="W1902" s="533"/>
      <c r="X1902" s="533"/>
      <c r="Y1902" s="533"/>
    </row>
    <row r="1903" spans="1:25" s="88" customFormat="1" hidden="1" x14ac:dyDescent="0.25">
      <c r="A1903" s="509"/>
      <c r="B1903" s="256"/>
      <c r="C1903" s="221"/>
      <c r="D1903" s="218"/>
      <c r="E1903" s="218"/>
      <c r="F1903" s="290">
        <v>453</v>
      </c>
      <c r="G1903" s="295" t="s">
        <v>4210</v>
      </c>
      <c r="H1903" s="594"/>
      <c r="I1903" s="595"/>
      <c r="J1903" s="595">
        <f t="shared" si="61"/>
        <v>0</v>
      </c>
      <c r="K1903" s="533"/>
      <c r="L1903" s="533"/>
      <c r="M1903" s="533"/>
      <c r="N1903" s="268"/>
      <c r="O1903" s="533"/>
      <c r="P1903" s="533"/>
      <c r="Q1903" s="533"/>
      <c r="R1903" s="533"/>
      <c r="S1903" s="533"/>
      <c r="T1903" s="533"/>
      <c r="U1903" s="533"/>
      <c r="V1903" s="533"/>
      <c r="W1903" s="533"/>
      <c r="X1903" s="533"/>
      <c r="Y1903" s="533"/>
    </row>
    <row r="1904" spans="1:25" s="88" customFormat="1" hidden="1" x14ac:dyDescent="0.25">
      <c r="A1904" s="509"/>
      <c r="B1904" s="256"/>
      <c r="C1904" s="221"/>
      <c r="D1904" s="218"/>
      <c r="E1904" s="218"/>
      <c r="F1904" s="290">
        <v>454</v>
      </c>
      <c r="G1904" s="295" t="s">
        <v>3823</v>
      </c>
      <c r="H1904" s="594"/>
      <c r="I1904" s="595"/>
      <c r="J1904" s="595">
        <f t="shared" si="61"/>
        <v>0</v>
      </c>
      <c r="K1904" s="533"/>
      <c r="L1904" s="533"/>
      <c r="M1904" s="533"/>
      <c r="N1904" s="268"/>
      <c r="O1904" s="533"/>
      <c r="P1904" s="533"/>
      <c r="Q1904" s="533"/>
      <c r="R1904" s="533"/>
      <c r="S1904" s="533"/>
      <c r="T1904" s="533"/>
      <c r="U1904" s="533"/>
      <c r="V1904" s="533"/>
      <c r="W1904" s="533"/>
      <c r="X1904" s="533"/>
      <c r="Y1904" s="533"/>
    </row>
    <row r="1905" spans="1:25" s="88" customFormat="1" hidden="1" x14ac:dyDescent="0.25">
      <c r="A1905" s="509"/>
      <c r="B1905" s="256"/>
      <c r="C1905" s="221"/>
      <c r="D1905" s="218"/>
      <c r="E1905" s="218"/>
      <c r="F1905" s="290">
        <v>461</v>
      </c>
      <c r="G1905" s="295" t="s">
        <v>4191</v>
      </c>
      <c r="H1905" s="594"/>
      <c r="I1905" s="595"/>
      <c r="J1905" s="595">
        <f t="shared" si="61"/>
        <v>0</v>
      </c>
      <c r="K1905" s="533"/>
      <c r="L1905" s="533"/>
      <c r="M1905" s="533"/>
      <c r="N1905" s="268"/>
      <c r="O1905" s="533"/>
      <c r="P1905" s="533"/>
      <c r="Q1905" s="533"/>
      <c r="R1905" s="533"/>
      <c r="S1905" s="533"/>
      <c r="T1905" s="533"/>
      <c r="U1905" s="533"/>
      <c r="V1905" s="533"/>
      <c r="W1905" s="533"/>
      <c r="X1905" s="533"/>
      <c r="Y1905" s="533"/>
    </row>
    <row r="1906" spans="1:25" s="88" customFormat="1" hidden="1" x14ac:dyDescent="0.25">
      <c r="A1906" s="509"/>
      <c r="B1906" s="256"/>
      <c r="C1906" s="221"/>
      <c r="D1906" s="218"/>
      <c r="E1906" s="218"/>
      <c r="F1906" s="290">
        <v>462</v>
      </c>
      <c r="G1906" s="295" t="s">
        <v>3826</v>
      </c>
      <c r="H1906" s="594"/>
      <c r="I1906" s="595"/>
      <c r="J1906" s="595">
        <f t="shared" si="61"/>
        <v>0</v>
      </c>
      <c r="K1906" s="533"/>
      <c r="L1906" s="533"/>
      <c r="M1906" s="533"/>
      <c r="N1906" s="268"/>
      <c r="O1906" s="533"/>
      <c r="P1906" s="533"/>
      <c r="Q1906" s="533"/>
      <c r="R1906" s="533"/>
      <c r="S1906" s="533"/>
      <c r="T1906" s="533"/>
      <c r="U1906" s="533"/>
      <c r="V1906" s="533"/>
      <c r="W1906" s="533"/>
      <c r="X1906" s="533"/>
      <c r="Y1906" s="533"/>
    </row>
    <row r="1907" spans="1:25" s="88" customFormat="1" hidden="1" x14ac:dyDescent="0.25">
      <c r="A1907" s="509"/>
      <c r="B1907" s="256"/>
      <c r="C1907" s="221"/>
      <c r="D1907" s="218"/>
      <c r="E1907" s="218"/>
      <c r="F1907" s="290">
        <v>4631</v>
      </c>
      <c r="G1907" s="295" t="s">
        <v>3827</v>
      </c>
      <c r="H1907" s="594"/>
      <c r="I1907" s="595"/>
      <c r="J1907" s="595">
        <f t="shared" si="61"/>
        <v>0</v>
      </c>
      <c r="K1907" s="533"/>
      <c r="L1907" s="533"/>
      <c r="M1907" s="533"/>
      <c r="N1907" s="268"/>
      <c r="O1907" s="533"/>
      <c r="P1907" s="533"/>
      <c r="Q1907" s="533"/>
      <c r="R1907" s="533"/>
      <c r="S1907" s="533"/>
      <c r="T1907" s="533"/>
      <c r="U1907" s="533"/>
      <c r="V1907" s="533"/>
      <c r="W1907" s="533"/>
      <c r="X1907" s="533"/>
      <c r="Y1907" s="533"/>
    </row>
    <row r="1908" spans="1:25" s="88" customFormat="1" hidden="1" x14ac:dyDescent="0.25">
      <c r="A1908" s="509"/>
      <c r="B1908" s="256"/>
      <c r="C1908" s="221"/>
      <c r="D1908" s="218"/>
      <c r="E1908" s="218"/>
      <c r="F1908" s="290">
        <v>4632</v>
      </c>
      <c r="G1908" s="295" t="s">
        <v>3828</v>
      </c>
      <c r="H1908" s="594"/>
      <c r="I1908" s="595"/>
      <c r="J1908" s="595">
        <f t="shared" si="61"/>
        <v>0</v>
      </c>
      <c r="K1908" s="533"/>
      <c r="L1908" s="533"/>
      <c r="M1908" s="533"/>
      <c r="N1908" s="268"/>
      <c r="O1908" s="533"/>
      <c r="P1908" s="533"/>
      <c r="Q1908" s="533"/>
      <c r="R1908" s="533"/>
      <c r="S1908" s="533"/>
      <c r="T1908" s="533"/>
      <c r="U1908" s="533"/>
      <c r="V1908" s="533"/>
      <c r="W1908" s="533"/>
      <c r="X1908" s="533"/>
      <c r="Y1908" s="533"/>
    </row>
    <row r="1909" spans="1:25" s="88" customFormat="1" hidden="1" x14ac:dyDescent="0.25">
      <c r="A1909" s="509"/>
      <c r="B1909" s="256"/>
      <c r="C1909" s="221"/>
      <c r="D1909" s="218"/>
      <c r="E1909" s="218"/>
      <c r="F1909" s="290">
        <v>464</v>
      </c>
      <c r="G1909" s="295" t="s">
        <v>3829</v>
      </c>
      <c r="H1909" s="594"/>
      <c r="I1909" s="595"/>
      <c r="J1909" s="595">
        <f t="shared" ref="J1909:J1936" si="62">SUM(H1909:I1909)</f>
        <v>0</v>
      </c>
      <c r="K1909" s="533"/>
      <c r="L1909" s="533"/>
      <c r="M1909" s="533"/>
      <c r="N1909" s="268"/>
      <c r="O1909" s="533"/>
      <c r="P1909" s="533"/>
      <c r="Q1909" s="533"/>
      <c r="R1909" s="533"/>
      <c r="S1909" s="533"/>
      <c r="T1909" s="533"/>
      <c r="U1909" s="533"/>
      <c r="V1909" s="533"/>
      <c r="W1909" s="533"/>
      <c r="X1909" s="533"/>
      <c r="Y1909" s="533"/>
    </row>
    <row r="1910" spans="1:25" s="88" customFormat="1" hidden="1" x14ac:dyDescent="0.25">
      <c r="A1910" s="509"/>
      <c r="B1910" s="256"/>
      <c r="C1910" s="221"/>
      <c r="D1910" s="218"/>
      <c r="E1910" s="218"/>
      <c r="F1910" s="290">
        <v>465</v>
      </c>
      <c r="G1910" s="295" t="s">
        <v>4192</v>
      </c>
      <c r="H1910" s="594"/>
      <c r="I1910" s="595"/>
      <c r="J1910" s="595">
        <f t="shared" si="62"/>
        <v>0</v>
      </c>
      <c r="K1910" s="533"/>
      <c r="L1910" s="533"/>
      <c r="M1910" s="533"/>
      <c r="N1910" s="268"/>
      <c r="O1910" s="533"/>
      <c r="P1910" s="533"/>
      <c r="Q1910" s="533"/>
      <c r="R1910" s="533"/>
      <c r="S1910" s="533"/>
      <c r="T1910" s="533"/>
      <c r="U1910" s="533"/>
      <c r="V1910" s="533"/>
      <c r="W1910" s="533"/>
      <c r="X1910" s="533"/>
      <c r="Y1910" s="533"/>
    </row>
    <row r="1911" spans="1:25" s="88" customFormat="1" hidden="1" x14ac:dyDescent="0.25">
      <c r="A1911" s="509"/>
      <c r="B1911" s="256"/>
      <c r="C1911" s="221"/>
      <c r="D1911" s="218"/>
      <c r="E1911" s="218"/>
      <c r="F1911" s="290">
        <v>472</v>
      </c>
      <c r="G1911" s="295" t="s">
        <v>3833</v>
      </c>
      <c r="H1911" s="594"/>
      <c r="I1911" s="595"/>
      <c r="J1911" s="595">
        <f t="shared" si="62"/>
        <v>0</v>
      </c>
      <c r="K1911" s="533"/>
      <c r="L1911" s="533"/>
      <c r="M1911" s="533"/>
      <c r="N1911" s="268"/>
      <c r="O1911" s="533"/>
      <c r="P1911" s="533"/>
      <c r="Q1911" s="533"/>
      <c r="R1911" s="533"/>
      <c r="S1911" s="533"/>
      <c r="T1911" s="533"/>
      <c r="U1911" s="533"/>
      <c r="V1911" s="533"/>
      <c r="W1911" s="533"/>
      <c r="X1911" s="533"/>
      <c r="Y1911" s="533"/>
    </row>
    <row r="1912" spans="1:25" s="88" customFormat="1" hidden="1" x14ac:dyDescent="0.25">
      <c r="A1912" s="509"/>
      <c r="B1912" s="256"/>
      <c r="C1912" s="221"/>
      <c r="D1912" s="218"/>
      <c r="E1912" s="218"/>
      <c r="F1912" s="290">
        <v>481</v>
      </c>
      <c r="G1912" s="295" t="s">
        <v>4211</v>
      </c>
      <c r="H1912" s="594"/>
      <c r="I1912" s="595"/>
      <c r="J1912" s="595">
        <f t="shared" si="62"/>
        <v>0</v>
      </c>
      <c r="K1912" s="533"/>
      <c r="L1912" s="533"/>
      <c r="M1912" s="533"/>
      <c r="N1912" s="268"/>
      <c r="O1912" s="533"/>
      <c r="P1912" s="533"/>
      <c r="Q1912" s="533"/>
      <c r="R1912" s="533"/>
      <c r="S1912" s="533"/>
      <c r="T1912" s="533"/>
      <c r="U1912" s="533"/>
      <c r="V1912" s="533"/>
      <c r="W1912" s="533"/>
      <c r="X1912" s="533"/>
      <c r="Y1912" s="533"/>
    </row>
    <row r="1913" spans="1:25" s="88" customFormat="1" hidden="1" x14ac:dyDescent="0.25">
      <c r="A1913" s="509"/>
      <c r="B1913" s="256"/>
      <c r="C1913" s="221"/>
      <c r="D1913" s="218"/>
      <c r="E1913" s="218"/>
      <c r="F1913" s="290">
        <v>482</v>
      </c>
      <c r="G1913" s="295" t="s">
        <v>4212</v>
      </c>
      <c r="H1913" s="594"/>
      <c r="I1913" s="595"/>
      <c r="J1913" s="595">
        <f t="shared" si="62"/>
        <v>0</v>
      </c>
      <c r="K1913" s="533"/>
      <c r="L1913" s="533"/>
      <c r="M1913" s="533"/>
      <c r="N1913" s="268"/>
      <c r="O1913" s="533"/>
      <c r="P1913" s="533"/>
      <c r="Q1913" s="533"/>
      <c r="R1913" s="533"/>
      <c r="S1913" s="533"/>
      <c r="T1913" s="533"/>
      <c r="U1913" s="533"/>
      <c r="V1913" s="533"/>
      <c r="W1913" s="533"/>
      <c r="X1913" s="533"/>
      <c r="Y1913" s="533"/>
    </row>
    <row r="1914" spans="1:25" s="88" customFormat="1" hidden="1" x14ac:dyDescent="0.25">
      <c r="A1914" s="509"/>
      <c r="B1914" s="256"/>
      <c r="C1914" s="221"/>
      <c r="D1914" s="218"/>
      <c r="E1914" s="218"/>
      <c r="F1914" s="290">
        <v>483</v>
      </c>
      <c r="G1914" s="298" t="s">
        <v>4213</v>
      </c>
      <c r="H1914" s="594"/>
      <c r="I1914" s="595"/>
      <c r="J1914" s="595">
        <f t="shared" si="62"/>
        <v>0</v>
      </c>
      <c r="K1914" s="533"/>
      <c r="L1914" s="533"/>
      <c r="M1914" s="533"/>
      <c r="N1914" s="268"/>
      <c r="O1914" s="533"/>
      <c r="P1914" s="533"/>
      <c r="Q1914" s="533"/>
      <c r="R1914" s="533"/>
      <c r="S1914" s="533"/>
      <c r="T1914" s="533"/>
      <c r="U1914" s="533"/>
      <c r="V1914" s="533"/>
      <c r="W1914" s="533"/>
      <c r="X1914" s="533"/>
      <c r="Y1914" s="533"/>
    </row>
    <row r="1915" spans="1:25" s="88" customFormat="1" ht="30" hidden="1" x14ac:dyDescent="0.25">
      <c r="A1915" s="509"/>
      <c r="B1915" s="256"/>
      <c r="C1915" s="221"/>
      <c r="D1915" s="218"/>
      <c r="E1915" s="218"/>
      <c r="F1915" s="290">
        <v>484</v>
      </c>
      <c r="G1915" s="295" t="s">
        <v>4214</v>
      </c>
      <c r="H1915" s="594"/>
      <c r="I1915" s="595"/>
      <c r="J1915" s="595">
        <f t="shared" si="62"/>
        <v>0</v>
      </c>
      <c r="K1915" s="533"/>
      <c r="L1915" s="533"/>
      <c r="M1915" s="533"/>
      <c r="N1915" s="268"/>
      <c r="O1915" s="533"/>
      <c r="P1915" s="533"/>
      <c r="Q1915" s="533"/>
      <c r="R1915" s="533"/>
      <c r="S1915" s="533"/>
      <c r="T1915" s="533"/>
      <c r="U1915" s="533"/>
      <c r="V1915" s="533"/>
      <c r="W1915" s="533"/>
      <c r="X1915" s="533"/>
      <c r="Y1915" s="533"/>
    </row>
    <row r="1916" spans="1:25" s="88" customFormat="1" ht="30" hidden="1" x14ac:dyDescent="0.25">
      <c r="A1916" s="509"/>
      <c r="B1916" s="256"/>
      <c r="C1916" s="221"/>
      <c r="D1916" s="218"/>
      <c r="E1916" s="218"/>
      <c r="F1916" s="290">
        <v>485</v>
      </c>
      <c r="G1916" s="295" t="s">
        <v>4215</v>
      </c>
      <c r="H1916" s="594"/>
      <c r="I1916" s="595"/>
      <c r="J1916" s="595">
        <f t="shared" si="62"/>
        <v>0</v>
      </c>
      <c r="K1916" s="533"/>
      <c r="L1916" s="533"/>
      <c r="M1916" s="533"/>
      <c r="N1916" s="268"/>
      <c r="O1916" s="533"/>
      <c r="P1916" s="533"/>
      <c r="Q1916" s="533"/>
      <c r="R1916" s="533"/>
      <c r="S1916" s="533"/>
      <c r="T1916" s="533"/>
      <c r="U1916" s="533"/>
      <c r="V1916" s="533"/>
      <c r="W1916" s="533"/>
      <c r="X1916" s="533"/>
      <c r="Y1916" s="533"/>
    </row>
    <row r="1917" spans="1:25" s="88" customFormat="1" ht="30" hidden="1" x14ac:dyDescent="0.25">
      <c r="A1917" s="509"/>
      <c r="B1917" s="256"/>
      <c r="C1917" s="221"/>
      <c r="D1917" s="218"/>
      <c r="E1917" s="218"/>
      <c r="F1917" s="290">
        <v>489</v>
      </c>
      <c r="G1917" s="295" t="s">
        <v>3841</v>
      </c>
      <c r="H1917" s="594"/>
      <c r="I1917" s="595"/>
      <c r="J1917" s="595">
        <f t="shared" si="62"/>
        <v>0</v>
      </c>
      <c r="K1917" s="533"/>
      <c r="L1917" s="533"/>
      <c r="M1917" s="533"/>
      <c r="N1917" s="268"/>
      <c r="O1917" s="533"/>
      <c r="P1917" s="533"/>
      <c r="Q1917" s="533"/>
      <c r="R1917" s="533"/>
      <c r="S1917" s="533"/>
      <c r="T1917" s="533"/>
      <c r="U1917" s="533"/>
      <c r="V1917" s="533"/>
      <c r="W1917" s="533"/>
      <c r="X1917" s="533"/>
      <c r="Y1917" s="533"/>
    </row>
    <row r="1918" spans="1:25" s="88" customFormat="1" hidden="1" x14ac:dyDescent="0.25">
      <c r="A1918" s="509"/>
      <c r="B1918" s="256"/>
      <c r="C1918" s="221"/>
      <c r="D1918" s="218"/>
      <c r="E1918" s="218"/>
      <c r="F1918" s="290">
        <v>494</v>
      </c>
      <c r="G1918" s="295" t="s">
        <v>4193</v>
      </c>
      <c r="H1918" s="594"/>
      <c r="I1918" s="595"/>
      <c r="J1918" s="595">
        <f t="shared" si="62"/>
        <v>0</v>
      </c>
      <c r="K1918" s="533"/>
      <c r="L1918" s="533"/>
      <c r="M1918" s="533"/>
      <c r="N1918" s="268"/>
      <c r="O1918" s="533"/>
      <c r="P1918" s="533"/>
      <c r="Q1918" s="533"/>
      <c r="R1918" s="533"/>
      <c r="S1918" s="533"/>
      <c r="T1918" s="533"/>
      <c r="U1918" s="533"/>
      <c r="V1918" s="533"/>
      <c r="W1918" s="533"/>
      <c r="X1918" s="533"/>
      <c r="Y1918" s="533"/>
    </row>
    <row r="1919" spans="1:25" s="88" customFormat="1" ht="30" hidden="1" x14ac:dyDescent="0.25">
      <c r="A1919" s="509"/>
      <c r="B1919" s="256"/>
      <c r="C1919" s="221"/>
      <c r="D1919" s="218"/>
      <c r="E1919" s="218"/>
      <c r="F1919" s="290">
        <v>495</v>
      </c>
      <c r="G1919" s="295" t="s">
        <v>4194</v>
      </c>
      <c r="H1919" s="594"/>
      <c r="I1919" s="595"/>
      <c r="J1919" s="595">
        <f t="shared" si="62"/>
        <v>0</v>
      </c>
      <c r="K1919" s="533"/>
      <c r="L1919" s="533"/>
      <c r="M1919" s="533"/>
      <c r="N1919" s="268"/>
      <c r="O1919" s="533"/>
      <c r="P1919" s="533"/>
      <c r="Q1919" s="533"/>
      <c r="R1919" s="533"/>
      <c r="S1919" s="533"/>
      <c r="T1919" s="533"/>
      <c r="U1919" s="533"/>
      <c r="V1919" s="533"/>
      <c r="W1919" s="533"/>
      <c r="X1919" s="533"/>
      <c r="Y1919" s="533"/>
    </row>
    <row r="1920" spans="1:25" s="88" customFormat="1" ht="30" hidden="1" x14ac:dyDescent="0.25">
      <c r="A1920" s="509"/>
      <c r="B1920" s="256"/>
      <c r="C1920" s="221"/>
      <c r="D1920" s="218"/>
      <c r="E1920" s="218"/>
      <c r="F1920" s="290">
        <v>496</v>
      </c>
      <c r="G1920" s="295" t="s">
        <v>4195</v>
      </c>
      <c r="H1920" s="594"/>
      <c r="I1920" s="595"/>
      <c r="J1920" s="595">
        <f t="shared" si="62"/>
        <v>0</v>
      </c>
      <c r="K1920" s="533"/>
      <c r="L1920" s="533"/>
      <c r="M1920" s="533"/>
      <c r="N1920" s="268"/>
      <c r="O1920" s="533"/>
      <c r="P1920" s="533"/>
      <c r="Q1920" s="533"/>
      <c r="R1920" s="533"/>
      <c r="S1920" s="533"/>
      <c r="T1920" s="533"/>
      <c r="U1920" s="533"/>
      <c r="V1920" s="533"/>
      <c r="W1920" s="533"/>
      <c r="X1920" s="533"/>
      <c r="Y1920" s="533"/>
    </row>
    <row r="1921" spans="1:25" s="88" customFormat="1" hidden="1" x14ac:dyDescent="0.25">
      <c r="A1921" s="509"/>
      <c r="B1921" s="256"/>
      <c r="C1921" s="221"/>
      <c r="D1921" s="218"/>
      <c r="E1921" s="218"/>
      <c r="F1921" s="290">
        <v>499</v>
      </c>
      <c r="G1921" s="295" t="s">
        <v>4196</v>
      </c>
      <c r="H1921" s="594"/>
      <c r="I1921" s="595"/>
      <c r="J1921" s="595">
        <f t="shared" si="62"/>
        <v>0</v>
      </c>
      <c r="K1921" s="533"/>
      <c r="L1921" s="533"/>
      <c r="M1921" s="533"/>
      <c r="N1921" s="268"/>
      <c r="O1921" s="533"/>
      <c r="P1921" s="533"/>
      <c r="Q1921" s="533"/>
      <c r="R1921" s="533"/>
      <c r="S1921" s="533"/>
      <c r="T1921" s="533"/>
      <c r="U1921" s="533"/>
      <c r="V1921" s="533"/>
      <c r="W1921" s="533"/>
      <c r="X1921" s="533"/>
      <c r="Y1921" s="533"/>
    </row>
    <row r="1922" spans="1:25" s="88" customFormat="1" hidden="1" x14ac:dyDescent="0.25">
      <c r="A1922" s="509"/>
      <c r="B1922" s="256"/>
      <c r="C1922" s="221"/>
      <c r="D1922" s="218"/>
      <c r="E1922" s="218"/>
      <c r="F1922" s="290">
        <v>511</v>
      </c>
      <c r="G1922" s="298" t="s">
        <v>4216</v>
      </c>
      <c r="H1922" s="594"/>
      <c r="I1922" s="595"/>
      <c r="J1922" s="595">
        <f t="shared" si="62"/>
        <v>0</v>
      </c>
      <c r="K1922" s="533"/>
      <c r="L1922" s="533"/>
      <c r="M1922" s="533"/>
      <c r="N1922" s="268"/>
      <c r="O1922" s="533"/>
      <c r="P1922" s="533"/>
      <c r="Q1922" s="533"/>
      <c r="R1922" s="533"/>
      <c r="S1922" s="533"/>
      <c r="T1922" s="533"/>
      <c r="U1922" s="533"/>
      <c r="V1922" s="533"/>
      <c r="W1922" s="533"/>
      <c r="X1922" s="533"/>
      <c r="Y1922" s="533"/>
    </row>
    <row r="1923" spans="1:25" s="88" customFormat="1" ht="15.75" thickBot="1" x14ac:dyDescent="0.3">
      <c r="A1923" s="509"/>
      <c r="B1923" s="256"/>
      <c r="C1923" s="221"/>
      <c r="D1923" s="218"/>
      <c r="E1923" s="218">
        <v>35</v>
      </c>
      <c r="F1923" s="290">
        <v>512</v>
      </c>
      <c r="G1923" s="298" t="s">
        <v>4217</v>
      </c>
      <c r="H1923" s="594">
        <v>40000</v>
      </c>
      <c r="I1923" s="595"/>
      <c r="J1923" s="595">
        <f t="shared" si="62"/>
        <v>40000</v>
      </c>
      <c r="K1923" s="533"/>
      <c r="L1923" s="533"/>
      <c r="M1923" s="533"/>
      <c r="N1923" s="268"/>
      <c r="O1923" s="533"/>
      <c r="P1923" s="533"/>
      <c r="Q1923" s="533"/>
      <c r="R1923" s="533"/>
      <c r="S1923" s="533"/>
      <c r="T1923" s="533"/>
      <c r="U1923" s="533"/>
      <c r="V1923" s="533"/>
      <c r="W1923" s="533"/>
      <c r="X1923" s="533"/>
      <c r="Y1923" s="533"/>
    </row>
    <row r="1924" spans="1:25" s="88" customFormat="1" hidden="1" x14ac:dyDescent="0.25">
      <c r="A1924" s="509"/>
      <c r="B1924" s="256"/>
      <c r="C1924" s="221"/>
      <c r="D1924" s="218"/>
      <c r="E1924" s="218"/>
      <c r="F1924" s="290">
        <v>513</v>
      </c>
      <c r="G1924" s="298" t="s">
        <v>4218</v>
      </c>
      <c r="H1924" s="594"/>
      <c r="I1924" s="595"/>
      <c r="J1924" s="595">
        <f t="shared" si="62"/>
        <v>0</v>
      </c>
      <c r="K1924" s="533"/>
      <c r="L1924" s="533"/>
      <c r="M1924" s="533"/>
      <c r="N1924" s="268"/>
      <c r="O1924" s="533"/>
      <c r="P1924" s="533"/>
      <c r="Q1924" s="533"/>
      <c r="R1924" s="533"/>
      <c r="S1924" s="533"/>
      <c r="T1924" s="533"/>
      <c r="U1924" s="533"/>
      <c r="V1924" s="533"/>
      <c r="W1924" s="533"/>
      <c r="X1924" s="533"/>
      <c r="Y1924" s="533"/>
    </row>
    <row r="1925" spans="1:25" s="88" customFormat="1" hidden="1" x14ac:dyDescent="0.25">
      <c r="A1925" s="509"/>
      <c r="B1925" s="256"/>
      <c r="C1925" s="221"/>
      <c r="D1925" s="218"/>
      <c r="E1925" s="218"/>
      <c r="F1925" s="290">
        <v>514</v>
      </c>
      <c r="G1925" s="295" t="s">
        <v>4219</v>
      </c>
      <c r="H1925" s="594"/>
      <c r="I1925" s="595"/>
      <c r="J1925" s="595">
        <f t="shared" si="62"/>
        <v>0</v>
      </c>
      <c r="K1925" s="533"/>
      <c r="L1925" s="533"/>
      <c r="M1925" s="533"/>
      <c r="N1925" s="268"/>
      <c r="O1925" s="533"/>
      <c r="P1925" s="533"/>
      <c r="Q1925" s="533"/>
      <c r="R1925" s="533"/>
      <c r="S1925" s="533"/>
      <c r="T1925" s="533"/>
      <c r="U1925" s="533"/>
      <c r="V1925" s="533"/>
      <c r="W1925" s="533"/>
      <c r="X1925" s="533"/>
      <c r="Y1925" s="533"/>
    </row>
    <row r="1926" spans="1:25" s="88" customFormat="1" hidden="1" x14ac:dyDescent="0.25">
      <c r="A1926" s="509"/>
      <c r="B1926" s="256"/>
      <c r="C1926" s="221"/>
      <c r="D1926" s="218"/>
      <c r="E1926" s="218"/>
      <c r="F1926" s="290">
        <v>515</v>
      </c>
      <c r="G1926" s="295" t="s">
        <v>3852</v>
      </c>
      <c r="H1926" s="594"/>
      <c r="I1926" s="595"/>
      <c r="J1926" s="595">
        <f t="shared" si="62"/>
        <v>0</v>
      </c>
      <c r="K1926" s="533"/>
      <c r="L1926" s="533"/>
      <c r="M1926" s="533"/>
      <c r="N1926" s="268"/>
      <c r="O1926" s="533"/>
      <c r="P1926" s="533"/>
      <c r="Q1926" s="533"/>
      <c r="R1926" s="533"/>
      <c r="S1926" s="533"/>
      <c r="T1926" s="533"/>
      <c r="U1926" s="533"/>
      <c r="V1926" s="533"/>
      <c r="W1926" s="533"/>
      <c r="X1926" s="533"/>
      <c r="Y1926" s="533"/>
    </row>
    <row r="1927" spans="1:25" s="88" customFormat="1" hidden="1" x14ac:dyDescent="0.25">
      <c r="A1927" s="509"/>
      <c r="B1927" s="256"/>
      <c r="C1927" s="221"/>
      <c r="D1927" s="218"/>
      <c r="E1927" s="218"/>
      <c r="F1927" s="290">
        <v>521</v>
      </c>
      <c r="G1927" s="295" t="s">
        <v>4220</v>
      </c>
      <c r="H1927" s="594"/>
      <c r="I1927" s="595"/>
      <c r="J1927" s="595">
        <f t="shared" si="62"/>
        <v>0</v>
      </c>
      <c r="K1927" s="533"/>
      <c r="L1927" s="533"/>
      <c r="M1927" s="533"/>
      <c r="N1927" s="268"/>
      <c r="O1927" s="533"/>
      <c r="P1927" s="533"/>
      <c r="Q1927" s="533"/>
      <c r="R1927" s="533"/>
      <c r="S1927" s="533"/>
      <c r="T1927" s="533"/>
      <c r="U1927" s="533"/>
      <c r="V1927" s="533"/>
      <c r="W1927" s="533"/>
      <c r="X1927" s="533"/>
      <c r="Y1927" s="533"/>
    </row>
    <row r="1928" spans="1:25" s="88" customFormat="1" hidden="1" x14ac:dyDescent="0.25">
      <c r="A1928" s="509"/>
      <c r="B1928" s="256"/>
      <c r="C1928" s="221"/>
      <c r="D1928" s="218"/>
      <c r="E1928" s="218"/>
      <c r="F1928" s="290">
        <v>522</v>
      </c>
      <c r="G1928" s="295" t="s">
        <v>4221</v>
      </c>
      <c r="H1928" s="594"/>
      <c r="I1928" s="595"/>
      <c r="J1928" s="595">
        <f t="shared" si="62"/>
        <v>0</v>
      </c>
      <c r="K1928" s="533"/>
      <c r="L1928" s="533"/>
      <c r="M1928" s="533"/>
      <c r="N1928" s="268"/>
      <c r="O1928" s="533"/>
      <c r="P1928" s="533"/>
      <c r="Q1928" s="533"/>
      <c r="R1928" s="533"/>
      <c r="S1928" s="533"/>
      <c r="T1928" s="533"/>
      <c r="U1928" s="533"/>
      <c r="V1928" s="533"/>
      <c r="W1928" s="533"/>
      <c r="X1928" s="533"/>
      <c r="Y1928" s="533"/>
    </row>
    <row r="1929" spans="1:25" s="88" customFormat="1" hidden="1" x14ac:dyDescent="0.25">
      <c r="A1929" s="509"/>
      <c r="B1929" s="256"/>
      <c r="C1929" s="221"/>
      <c r="D1929" s="218"/>
      <c r="E1929" s="218"/>
      <c r="F1929" s="290">
        <v>523</v>
      </c>
      <c r="G1929" s="295" t="s">
        <v>3857</v>
      </c>
      <c r="H1929" s="594"/>
      <c r="I1929" s="595"/>
      <c r="J1929" s="595">
        <f t="shared" si="62"/>
        <v>0</v>
      </c>
      <c r="K1929" s="533"/>
      <c r="L1929" s="533"/>
      <c r="M1929" s="533"/>
      <c r="N1929" s="268"/>
      <c r="O1929" s="533"/>
      <c r="P1929" s="533"/>
      <c r="Q1929" s="533"/>
      <c r="R1929" s="533"/>
      <c r="S1929" s="533"/>
      <c r="T1929" s="533"/>
      <c r="U1929" s="533"/>
      <c r="V1929" s="533"/>
      <c r="W1929" s="533"/>
      <c r="X1929" s="533"/>
      <c r="Y1929" s="533"/>
    </row>
    <row r="1930" spans="1:25" s="88" customFormat="1" hidden="1" x14ac:dyDescent="0.25">
      <c r="A1930" s="509"/>
      <c r="B1930" s="256"/>
      <c r="C1930" s="221"/>
      <c r="D1930" s="218"/>
      <c r="E1930" s="218"/>
      <c r="F1930" s="290">
        <v>531</v>
      </c>
      <c r="G1930" s="292" t="s">
        <v>4197</v>
      </c>
      <c r="H1930" s="594"/>
      <c r="I1930" s="595"/>
      <c r="J1930" s="595">
        <f t="shared" si="62"/>
        <v>0</v>
      </c>
      <c r="K1930" s="533"/>
      <c r="L1930" s="533"/>
      <c r="M1930" s="533"/>
      <c r="N1930" s="268"/>
      <c r="O1930" s="533"/>
      <c r="P1930" s="533"/>
      <c r="Q1930" s="533"/>
      <c r="R1930" s="533"/>
      <c r="S1930" s="533"/>
      <c r="T1930" s="533"/>
      <c r="U1930" s="533"/>
      <c r="V1930" s="533"/>
      <c r="W1930" s="533"/>
      <c r="X1930" s="533"/>
      <c r="Y1930" s="533"/>
    </row>
    <row r="1931" spans="1:25" s="88" customFormat="1" hidden="1" x14ac:dyDescent="0.25">
      <c r="A1931" s="509"/>
      <c r="B1931" s="256"/>
      <c r="C1931" s="221"/>
      <c r="D1931" s="218"/>
      <c r="E1931" s="218"/>
      <c r="F1931" s="290">
        <v>541</v>
      </c>
      <c r="G1931" s="295" t="s">
        <v>4222</v>
      </c>
      <c r="H1931" s="594"/>
      <c r="I1931" s="595"/>
      <c r="J1931" s="595">
        <f t="shared" si="62"/>
        <v>0</v>
      </c>
      <c r="K1931" s="533"/>
      <c r="L1931" s="533"/>
      <c r="M1931" s="533"/>
      <c r="N1931" s="268"/>
      <c r="O1931" s="533"/>
      <c r="P1931" s="533"/>
      <c r="Q1931" s="533"/>
      <c r="R1931" s="533"/>
      <c r="S1931" s="533"/>
      <c r="T1931" s="533"/>
      <c r="U1931" s="533"/>
      <c r="V1931" s="533"/>
      <c r="W1931" s="533"/>
      <c r="X1931" s="533"/>
      <c r="Y1931" s="533"/>
    </row>
    <row r="1932" spans="1:25" s="88" customFormat="1" hidden="1" x14ac:dyDescent="0.25">
      <c r="A1932" s="509"/>
      <c r="B1932" s="256"/>
      <c r="C1932" s="221"/>
      <c r="D1932" s="218"/>
      <c r="E1932" s="218"/>
      <c r="F1932" s="290">
        <v>542</v>
      </c>
      <c r="G1932" s="295" t="s">
        <v>4223</v>
      </c>
      <c r="H1932" s="594"/>
      <c r="I1932" s="595"/>
      <c r="J1932" s="595">
        <f t="shared" si="62"/>
        <v>0</v>
      </c>
      <c r="K1932" s="533"/>
      <c r="L1932" s="533"/>
      <c r="M1932" s="533"/>
      <c r="N1932" s="268"/>
      <c r="O1932" s="533"/>
      <c r="P1932" s="533"/>
      <c r="Q1932" s="533"/>
      <c r="R1932" s="533"/>
      <c r="S1932" s="533"/>
      <c r="T1932" s="533"/>
      <c r="U1932" s="533"/>
      <c r="V1932" s="533"/>
      <c r="W1932" s="533"/>
      <c r="X1932" s="533"/>
      <c r="Y1932" s="533"/>
    </row>
    <row r="1933" spans="1:25" s="88" customFormat="1" hidden="1" x14ac:dyDescent="0.25">
      <c r="A1933" s="509"/>
      <c r="B1933" s="256"/>
      <c r="C1933" s="221"/>
      <c r="D1933" s="218"/>
      <c r="E1933" s="218"/>
      <c r="F1933" s="290">
        <v>543</v>
      </c>
      <c r="G1933" s="295" t="s">
        <v>3862</v>
      </c>
      <c r="H1933" s="594"/>
      <c r="I1933" s="595"/>
      <c r="J1933" s="595">
        <f t="shared" si="62"/>
        <v>0</v>
      </c>
      <c r="K1933" s="533"/>
      <c r="L1933" s="533"/>
      <c r="M1933" s="533"/>
      <c r="N1933" s="268"/>
      <c r="O1933" s="533"/>
      <c r="P1933" s="533"/>
      <c r="Q1933" s="533"/>
      <c r="R1933" s="533"/>
      <c r="S1933" s="533"/>
      <c r="T1933" s="533"/>
      <c r="U1933" s="533"/>
      <c r="V1933" s="533"/>
      <c r="W1933" s="533"/>
      <c r="X1933" s="533"/>
      <c r="Y1933" s="533"/>
    </row>
    <row r="1934" spans="1:25" s="88" customFormat="1" ht="30" hidden="1" x14ac:dyDescent="0.25">
      <c r="A1934" s="509"/>
      <c r="B1934" s="256"/>
      <c r="C1934" s="221"/>
      <c r="D1934" s="218"/>
      <c r="E1934" s="218"/>
      <c r="F1934" s="290">
        <v>551</v>
      </c>
      <c r="G1934" s="295" t="s">
        <v>4198</v>
      </c>
      <c r="H1934" s="594"/>
      <c r="I1934" s="595"/>
      <c r="J1934" s="595">
        <f t="shared" si="62"/>
        <v>0</v>
      </c>
      <c r="K1934" s="533"/>
      <c r="L1934" s="533"/>
      <c r="M1934" s="533"/>
      <c r="N1934" s="268"/>
      <c r="O1934" s="533"/>
      <c r="P1934" s="533"/>
      <c r="Q1934" s="533"/>
      <c r="R1934" s="533"/>
      <c r="S1934" s="533"/>
      <c r="T1934" s="533"/>
      <c r="U1934" s="533"/>
      <c r="V1934" s="533"/>
      <c r="W1934" s="533"/>
      <c r="X1934" s="533"/>
      <c r="Y1934" s="533"/>
    </row>
    <row r="1935" spans="1:25" s="88" customFormat="1" hidden="1" x14ac:dyDescent="0.25">
      <c r="A1935" s="509"/>
      <c r="B1935" s="256"/>
      <c r="C1935" s="221"/>
      <c r="D1935" s="218"/>
      <c r="E1935" s="218"/>
      <c r="F1935" s="291">
        <v>611</v>
      </c>
      <c r="G1935" s="299" t="s">
        <v>3868</v>
      </c>
      <c r="H1935" s="594"/>
      <c r="I1935" s="595"/>
      <c r="J1935" s="595">
        <f t="shared" si="62"/>
        <v>0</v>
      </c>
      <c r="K1935" s="533"/>
      <c r="L1935" s="533"/>
      <c r="M1935" s="533"/>
      <c r="N1935" s="268"/>
      <c r="O1935" s="533"/>
      <c r="P1935" s="533"/>
      <c r="Q1935" s="533"/>
      <c r="R1935" s="533"/>
      <c r="S1935" s="533"/>
      <c r="T1935" s="533"/>
      <c r="U1935" s="533"/>
      <c r="V1935" s="533"/>
      <c r="W1935" s="533"/>
      <c r="X1935" s="533"/>
      <c r="Y1935" s="533"/>
    </row>
    <row r="1936" spans="1:25" s="88" customFormat="1" ht="15.75" hidden="1" thickBot="1" x14ac:dyDescent="0.3">
      <c r="A1936" s="509"/>
      <c r="B1936" s="256"/>
      <c r="C1936" s="221"/>
      <c r="D1936" s="218"/>
      <c r="E1936" s="218"/>
      <c r="F1936" s="291">
        <v>620</v>
      </c>
      <c r="G1936" s="299" t="s">
        <v>88</v>
      </c>
      <c r="H1936" s="594"/>
      <c r="I1936" s="595"/>
      <c r="J1936" s="595">
        <f t="shared" si="62"/>
        <v>0</v>
      </c>
      <c r="K1936" s="533"/>
      <c r="L1936" s="533"/>
      <c r="M1936" s="533"/>
      <c r="N1936" s="268"/>
      <c r="O1936" s="533"/>
      <c r="P1936" s="533"/>
      <c r="Q1936" s="533"/>
      <c r="R1936" s="533"/>
      <c r="S1936" s="533"/>
      <c r="T1936" s="533"/>
      <c r="U1936" s="533"/>
      <c r="V1936" s="533"/>
      <c r="W1936" s="533"/>
      <c r="X1936" s="533"/>
      <c r="Y1936" s="533"/>
    </row>
    <row r="1937" spans="1:25" s="88" customFormat="1" x14ac:dyDescent="0.25">
      <c r="A1937" s="509"/>
      <c r="B1937" s="256"/>
      <c r="C1937" s="221"/>
      <c r="D1937" s="218"/>
      <c r="E1937" s="293"/>
      <c r="F1937" s="301"/>
      <c r="G1937" s="327" t="s">
        <v>4414</v>
      </c>
      <c r="H1937" s="596"/>
      <c r="I1937" s="622"/>
      <c r="J1937" s="597"/>
      <c r="K1937" s="533"/>
      <c r="L1937" s="533"/>
      <c r="M1937" s="533"/>
      <c r="N1937" s="268"/>
      <c r="O1937" s="533"/>
      <c r="P1937" s="533"/>
      <c r="Q1937" s="533"/>
      <c r="R1937" s="533"/>
      <c r="S1937" s="533"/>
      <c r="T1937" s="533"/>
      <c r="U1937" s="533"/>
      <c r="V1937" s="533"/>
      <c r="W1937" s="533"/>
      <c r="X1937" s="533"/>
      <c r="Y1937" s="533"/>
    </row>
    <row r="1938" spans="1:25" s="88" customFormat="1" ht="15.75" thickBot="1" x14ac:dyDescent="0.3">
      <c r="A1938" s="509"/>
      <c r="B1938" s="256"/>
      <c r="C1938" s="221"/>
      <c r="D1938" s="218"/>
      <c r="E1938" s="222"/>
      <c r="F1938" s="249" t="s">
        <v>234</v>
      </c>
      <c r="G1938" s="252" t="s">
        <v>235</v>
      </c>
      <c r="H1938" s="598">
        <f>SUM(H1877:H1936)</f>
        <v>395000</v>
      </c>
      <c r="I1938" s="599"/>
      <c r="J1938" s="599">
        <f t="shared" ref="J1938:J1953" si="63">SUM(H1938:I1938)</f>
        <v>395000</v>
      </c>
      <c r="K1938" s="533"/>
      <c r="L1938" s="533"/>
      <c r="M1938" s="533"/>
      <c r="N1938" s="268"/>
      <c r="O1938" s="533"/>
      <c r="P1938" s="533"/>
      <c r="Q1938" s="533"/>
      <c r="R1938" s="533"/>
      <c r="S1938" s="533"/>
      <c r="T1938" s="533"/>
      <c r="U1938" s="533"/>
      <c r="V1938" s="533"/>
      <c r="W1938" s="533"/>
      <c r="X1938" s="533"/>
      <c r="Y1938" s="533"/>
    </row>
    <row r="1939" spans="1:25" s="88" customFormat="1" hidden="1" x14ac:dyDescent="0.25">
      <c r="A1939" s="509"/>
      <c r="B1939" s="256"/>
      <c r="C1939" s="221"/>
      <c r="D1939" s="218"/>
      <c r="E1939" s="218"/>
      <c r="F1939" s="249" t="s">
        <v>236</v>
      </c>
      <c r="G1939" s="252" t="s">
        <v>237</v>
      </c>
      <c r="H1939" s="594"/>
      <c r="I1939" s="595"/>
      <c r="J1939" s="599">
        <f t="shared" si="63"/>
        <v>0</v>
      </c>
      <c r="K1939" s="533"/>
      <c r="L1939" s="533"/>
      <c r="M1939" s="533"/>
      <c r="N1939" s="268"/>
      <c r="O1939" s="533"/>
      <c r="P1939" s="533"/>
      <c r="Q1939" s="533"/>
      <c r="R1939" s="533"/>
      <c r="S1939" s="533"/>
      <c r="T1939" s="533"/>
      <c r="U1939" s="533"/>
      <c r="V1939" s="533"/>
      <c r="W1939" s="533"/>
      <c r="X1939" s="533"/>
      <c r="Y1939" s="533"/>
    </row>
    <row r="1940" spans="1:25" s="88" customFormat="1" hidden="1" x14ac:dyDescent="0.25">
      <c r="A1940" s="509"/>
      <c r="B1940" s="256"/>
      <c r="C1940" s="221"/>
      <c r="D1940" s="218"/>
      <c r="E1940" s="218"/>
      <c r="F1940" s="249" t="s">
        <v>238</v>
      </c>
      <c r="G1940" s="252" t="s">
        <v>239</v>
      </c>
      <c r="H1940" s="594"/>
      <c r="I1940" s="595"/>
      <c r="J1940" s="599">
        <f t="shared" si="63"/>
        <v>0</v>
      </c>
      <c r="K1940" s="533"/>
      <c r="L1940" s="533"/>
      <c r="M1940" s="533"/>
      <c r="N1940" s="268"/>
      <c r="O1940" s="533"/>
      <c r="P1940" s="533"/>
      <c r="Q1940" s="533"/>
      <c r="R1940" s="533"/>
      <c r="S1940" s="533"/>
      <c r="T1940" s="533"/>
      <c r="U1940" s="533"/>
      <c r="V1940" s="533"/>
      <c r="W1940" s="533"/>
      <c r="X1940" s="533"/>
      <c r="Y1940" s="533"/>
    </row>
    <row r="1941" spans="1:25" s="88" customFormat="1" hidden="1" x14ac:dyDescent="0.25">
      <c r="A1941" s="509"/>
      <c r="B1941" s="256"/>
      <c r="C1941" s="221"/>
      <c r="D1941" s="218"/>
      <c r="E1941" s="218"/>
      <c r="F1941" s="249" t="s">
        <v>240</v>
      </c>
      <c r="G1941" s="252" t="s">
        <v>241</v>
      </c>
      <c r="H1941" s="594"/>
      <c r="I1941" s="595"/>
      <c r="J1941" s="599">
        <f t="shared" si="63"/>
        <v>0</v>
      </c>
      <c r="K1941" s="533"/>
      <c r="L1941" s="533"/>
      <c r="M1941" s="533"/>
      <c r="N1941" s="268"/>
      <c r="O1941" s="533"/>
      <c r="P1941" s="533"/>
      <c r="Q1941" s="533"/>
      <c r="R1941" s="533"/>
      <c r="S1941" s="533"/>
      <c r="T1941" s="533"/>
      <c r="U1941" s="533"/>
      <c r="V1941" s="533"/>
      <c r="W1941" s="533"/>
      <c r="X1941" s="533"/>
      <c r="Y1941" s="533"/>
    </row>
    <row r="1942" spans="1:25" s="88" customFormat="1" hidden="1" x14ac:dyDescent="0.25">
      <c r="A1942" s="509"/>
      <c r="B1942" s="256"/>
      <c r="C1942" s="221"/>
      <c r="D1942" s="218"/>
      <c r="E1942" s="218"/>
      <c r="F1942" s="249" t="s">
        <v>242</v>
      </c>
      <c r="G1942" s="252" t="s">
        <v>243</v>
      </c>
      <c r="H1942" s="594"/>
      <c r="I1942" s="595"/>
      <c r="J1942" s="599">
        <f t="shared" si="63"/>
        <v>0</v>
      </c>
      <c r="K1942" s="533"/>
      <c r="L1942" s="533"/>
      <c r="M1942" s="533"/>
      <c r="N1942" s="268"/>
      <c r="O1942" s="533"/>
      <c r="P1942" s="533"/>
      <c r="Q1942" s="533"/>
      <c r="R1942" s="533"/>
      <c r="S1942" s="533"/>
      <c r="T1942" s="533"/>
      <c r="U1942" s="533"/>
      <c r="V1942" s="533"/>
      <c r="W1942" s="533"/>
      <c r="X1942" s="533"/>
      <c r="Y1942" s="533"/>
    </row>
    <row r="1943" spans="1:25" s="88" customFormat="1" hidden="1" x14ac:dyDescent="0.25">
      <c r="A1943" s="509"/>
      <c r="B1943" s="256"/>
      <c r="C1943" s="221"/>
      <c r="D1943" s="218"/>
      <c r="E1943" s="218"/>
      <c r="F1943" s="249" t="s">
        <v>244</v>
      </c>
      <c r="G1943" s="252" t="s">
        <v>245</v>
      </c>
      <c r="H1943" s="594"/>
      <c r="I1943" s="595"/>
      <c r="J1943" s="599">
        <f t="shared" si="63"/>
        <v>0</v>
      </c>
      <c r="K1943" s="533"/>
      <c r="L1943" s="533"/>
      <c r="M1943" s="533"/>
      <c r="N1943" s="268"/>
      <c r="O1943" s="533"/>
      <c r="P1943" s="533"/>
      <c r="Q1943" s="533"/>
      <c r="R1943" s="533"/>
      <c r="S1943" s="533"/>
      <c r="T1943" s="533"/>
      <c r="U1943" s="533"/>
      <c r="V1943" s="533"/>
      <c r="W1943" s="533"/>
      <c r="X1943" s="533"/>
      <c r="Y1943" s="533"/>
    </row>
    <row r="1944" spans="1:25" s="88" customFormat="1" hidden="1" x14ac:dyDescent="0.25">
      <c r="A1944" s="509"/>
      <c r="B1944" s="256"/>
      <c r="C1944" s="221"/>
      <c r="D1944" s="218"/>
      <c r="E1944" s="218"/>
      <c r="F1944" s="249" t="s">
        <v>246</v>
      </c>
      <c r="G1944" s="252" t="s">
        <v>247</v>
      </c>
      <c r="H1944" s="594"/>
      <c r="I1944" s="595"/>
      <c r="J1944" s="599">
        <f t="shared" si="63"/>
        <v>0</v>
      </c>
      <c r="K1944" s="533"/>
      <c r="L1944" s="533"/>
      <c r="M1944" s="533"/>
      <c r="N1944" s="268"/>
      <c r="O1944" s="533"/>
      <c r="P1944" s="533"/>
      <c r="Q1944" s="533"/>
      <c r="R1944" s="533"/>
      <c r="S1944" s="533"/>
      <c r="T1944" s="533"/>
      <c r="U1944" s="533"/>
      <c r="V1944" s="533"/>
      <c r="W1944" s="533"/>
      <c r="X1944" s="533"/>
      <c r="Y1944" s="533"/>
    </row>
    <row r="1945" spans="1:25" s="88" customFormat="1" hidden="1" x14ac:dyDescent="0.25">
      <c r="A1945" s="509"/>
      <c r="B1945" s="256"/>
      <c r="C1945" s="221"/>
      <c r="D1945" s="218"/>
      <c r="E1945" s="218"/>
      <c r="F1945" s="249" t="s">
        <v>248</v>
      </c>
      <c r="G1945" s="252" t="s">
        <v>249</v>
      </c>
      <c r="H1945" s="594"/>
      <c r="I1945" s="595"/>
      <c r="J1945" s="599">
        <f t="shared" si="63"/>
        <v>0</v>
      </c>
      <c r="K1945" s="533"/>
      <c r="L1945" s="533"/>
      <c r="M1945" s="533"/>
      <c r="N1945" s="268"/>
      <c r="O1945" s="533"/>
      <c r="P1945" s="533"/>
      <c r="Q1945" s="533"/>
      <c r="R1945" s="533"/>
      <c r="S1945" s="533"/>
      <c r="T1945" s="533"/>
      <c r="U1945" s="533"/>
      <c r="V1945" s="533"/>
      <c r="W1945" s="533"/>
      <c r="X1945" s="533"/>
      <c r="Y1945" s="533"/>
    </row>
    <row r="1946" spans="1:25" s="88" customFormat="1" hidden="1" x14ac:dyDescent="0.25">
      <c r="A1946" s="509"/>
      <c r="B1946" s="256"/>
      <c r="C1946" s="221"/>
      <c r="D1946" s="218"/>
      <c r="E1946" s="218"/>
      <c r="F1946" s="249" t="s">
        <v>250</v>
      </c>
      <c r="G1946" s="252" t="s">
        <v>57</v>
      </c>
      <c r="H1946" s="594"/>
      <c r="I1946" s="595"/>
      <c r="J1946" s="599">
        <f t="shared" si="63"/>
        <v>0</v>
      </c>
      <c r="K1946" s="533"/>
      <c r="L1946" s="533"/>
      <c r="M1946" s="533"/>
      <c r="N1946" s="268"/>
      <c r="O1946" s="533"/>
      <c r="P1946" s="533"/>
      <c r="Q1946" s="533"/>
      <c r="R1946" s="533"/>
      <c r="S1946" s="533"/>
      <c r="T1946" s="533"/>
      <c r="U1946" s="533"/>
      <c r="V1946" s="533"/>
      <c r="W1946" s="533"/>
      <c r="X1946" s="533"/>
      <c r="Y1946" s="533"/>
    </row>
    <row r="1947" spans="1:25" s="88" customFormat="1" hidden="1" x14ac:dyDescent="0.25">
      <c r="A1947" s="509"/>
      <c r="B1947" s="256"/>
      <c r="C1947" s="221"/>
      <c r="D1947" s="218"/>
      <c r="E1947" s="218"/>
      <c r="F1947" s="249" t="s">
        <v>251</v>
      </c>
      <c r="G1947" s="252" t="s">
        <v>252</v>
      </c>
      <c r="H1947" s="594"/>
      <c r="I1947" s="595"/>
      <c r="J1947" s="599">
        <f t="shared" si="63"/>
        <v>0</v>
      </c>
      <c r="K1947" s="533"/>
      <c r="L1947" s="533"/>
      <c r="M1947" s="533"/>
      <c r="N1947" s="268"/>
      <c r="O1947" s="533"/>
      <c r="P1947" s="533"/>
      <c r="Q1947" s="533"/>
      <c r="R1947" s="533"/>
      <c r="S1947" s="533"/>
      <c r="T1947" s="533"/>
      <c r="U1947" s="533"/>
      <c r="V1947" s="533"/>
      <c r="W1947" s="533"/>
      <c r="X1947" s="533"/>
      <c r="Y1947" s="533"/>
    </row>
    <row r="1948" spans="1:25" s="88" customFormat="1" hidden="1" x14ac:dyDescent="0.25">
      <c r="A1948" s="509"/>
      <c r="B1948" s="256"/>
      <c r="C1948" s="221"/>
      <c r="D1948" s="218"/>
      <c r="E1948" s="218"/>
      <c r="F1948" s="249" t="s">
        <v>253</v>
      </c>
      <c r="G1948" s="252" t="s">
        <v>254</v>
      </c>
      <c r="H1948" s="594"/>
      <c r="I1948" s="595"/>
      <c r="J1948" s="599">
        <f t="shared" si="63"/>
        <v>0</v>
      </c>
      <c r="K1948" s="533"/>
      <c r="L1948" s="533"/>
      <c r="M1948" s="533"/>
      <c r="N1948" s="268"/>
      <c r="O1948" s="533"/>
      <c r="P1948" s="533"/>
      <c r="Q1948" s="533"/>
      <c r="R1948" s="533"/>
      <c r="S1948" s="533"/>
      <c r="T1948" s="533"/>
      <c r="U1948" s="533"/>
      <c r="V1948" s="533"/>
      <c r="W1948" s="533"/>
      <c r="X1948" s="533"/>
      <c r="Y1948" s="533"/>
    </row>
    <row r="1949" spans="1:25" s="88" customFormat="1" ht="30" hidden="1" x14ac:dyDescent="0.25">
      <c r="A1949" s="509"/>
      <c r="B1949" s="256"/>
      <c r="C1949" s="221"/>
      <c r="D1949" s="218"/>
      <c r="E1949" s="218"/>
      <c r="F1949" s="249" t="s">
        <v>255</v>
      </c>
      <c r="G1949" s="252" t="s">
        <v>256</v>
      </c>
      <c r="H1949" s="594"/>
      <c r="I1949" s="595"/>
      <c r="J1949" s="599">
        <f t="shared" si="63"/>
        <v>0</v>
      </c>
      <c r="K1949" s="533"/>
      <c r="L1949" s="533"/>
      <c r="M1949" s="533"/>
      <c r="N1949" s="268"/>
      <c r="O1949" s="533"/>
      <c r="P1949" s="533"/>
      <c r="Q1949" s="533"/>
      <c r="R1949" s="533"/>
      <c r="S1949" s="533"/>
      <c r="T1949" s="533"/>
      <c r="U1949" s="533"/>
      <c r="V1949" s="533"/>
      <c r="W1949" s="533"/>
      <c r="X1949" s="533"/>
      <c r="Y1949" s="533"/>
    </row>
    <row r="1950" spans="1:25" s="88" customFormat="1" hidden="1" x14ac:dyDescent="0.25">
      <c r="A1950" s="509"/>
      <c r="B1950" s="256"/>
      <c r="C1950" s="221"/>
      <c r="D1950" s="218"/>
      <c r="E1950" s="218"/>
      <c r="F1950" s="249" t="s">
        <v>257</v>
      </c>
      <c r="G1950" s="252" t="s">
        <v>258</v>
      </c>
      <c r="H1950" s="594"/>
      <c r="I1950" s="595"/>
      <c r="J1950" s="599">
        <f t="shared" si="63"/>
        <v>0</v>
      </c>
      <c r="K1950" s="533"/>
      <c r="L1950" s="533"/>
      <c r="M1950" s="533"/>
      <c r="N1950" s="268"/>
      <c r="O1950" s="533"/>
      <c r="P1950" s="533"/>
      <c r="Q1950" s="533"/>
      <c r="R1950" s="533"/>
      <c r="S1950" s="533"/>
      <c r="T1950" s="533"/>
      <c r="U1950" s="533"/>
      <c r="V1950" s="533"/>
      <c r="W1950" s="533"/>
      <c r="X1950" s="533"/>
      <c r="Y1950" s="533"/>
    </row>
    <row r="1951" spans="1:25" s="88" customFormat="1" ht="30" hidden="1" x14ac:dyDescent="0.25">
      <c r="A1951" s="509"/>
      <c r="B1951" s="256"/>
      <c r="C1951" s="221"/>
      <c r="D1951" s="218"/>
      <c r="E1951" s="218"/>
      <c r="F1951" s="249" t="s">
        <v>259</v>
      </c>
      <c r="G1951" s="252" t="s">
        <v>260</v>
      </c>
      <c r="H1951" s="594"/>
      <c r="I1951" s="595"/>
      <c r="J1951" s="599">
        <f t="shared" si="63"/>
        <v>0</v>
      </c>
      <c r="K1951" s="533"/>
      <c r="L1951" s="533"/>
      <c r="M1951" s="533"/>
      <c r="N1951" s="268"/>
      <c r="O1951" s="533"/>
      <c r="P1951" s="533"/>
      <c r="Q1951" s="533"/>
      <c r="R1951" s="533"/>
      <c r="S1951" s="533"/>
      <c r="T1951" s="533"/>
      <c r="U1951" s="533"/>
      <c r="V1951" s="533"/>
      <c r="W1951" s="533"/>
      <c r="X1951" s="533"/>
      <c r="Y1951" s="533"/>
    </row>
    <row r="1952" spans="1:25" s="88" customFormat="1" hidden="1" x14ac:dyDescent="0.25">
      <c r="A1952" s="509"/>
      <c r="B1952" s="256"/>
      <c r="C1952" s="221"/>
      <c r="D1952" s="218"/>
      <c r="E1952" s="218"/>
      <c r="F1952" s="249" t="s">
        <v>261</v>
      </c>
      <c r="G1952" s="252" t="s">
        <v>262</v>
      </c>
      <c r="H1952" s="594"/>
      <c r="I1952" s="595"/>
      <c r="J1952" s="599">
        <f t="shared" si="63"/>
        <v>0</v>
      </c>
      <c r="K1952" s="533"/>
      <c r="L1952" s="533"/>
      <c r="M1952" s="533"/>
      <c r="N1952" s="268"/>
      <c r="O1952" s="533"/>
      <c r="P1952" s="533"/>
      <c r="Q1952" s="533"/>
      <c r="R1952" s="533"/>
      <c r="S1952" s="533"/>
      <c r="T1952" s="533"/>
      <c r="U1952" s="533"/>
      <c r="V1952" s="533"/>
      <c r="W1952" s="533"/>
      <c r="X1952" s="533"/>
      <c r="Y1952" s="533"/>
    </row>
    <row r="1953" spans="1:25" s="88" customFormat="1" ht="15.75" hidden="1" thickBot="1" x14ac:dyDescent="0.3">
      <c r="A1953" s="509"/>
      <c r="B1953" s="256"/>
      <c r="C1953" s="221"/>
      <c r="D1953" s="218"/>
      <c r="E1953" s="218"/>
      <c r="F1953" s="249" t="s">
        <v>263</v>
      </c>
      <c r="G1953" s="252" t="s">
        <v>264</v>
      </c>
      <c r="H1953" s="598"/>
      <c r="I1953" s="599"/>
      <c r="J1953" s="599">
        <f t="shared" si="63"/>
        <v>0</v>
      </c>
      <c r="K1953" s="533"/>
      <c r="L1953" s="533"/>
      <c r="M1953" s="533"/>
      <c r="N1953" s="268"/>
      <c r="O1953" s="533"/>
      <c r="P1953" s="533"/>
      <c r="Q1953" s="533"/>
      <c r="R1953" s="533"/>
      <c r="S1953" s="533"/>
      <c r="T1953" s="533"/>
      <c r="U1953" s="533"/>
      <c r="V1953" s="533"/>
      <c r="W1953" s="533"/>
      <c r="X1953" s="533"/>
      <c r="Y1953" s="533"/>
    </row>
    <row r="1954" spans="1:25" s="88" customFormat="1" ht="15.75" thickBot="1" x14ac:dyDescent="0.3">
      <c r="A1954" s="509"/>
      <c r="B1954" s="256"/>
      <c r="C1954" s="221"/>
      <c r="D1954" s="218"/>
      <c r="E1954" s="218"/>
      <c r="F1954" s="218"/>
      <c r="G1954" s="229" t="s">
        <v>4415</v>
      </c>
      <c r="H1954" s="600">
        <f>SUM(H1938:H1953)</f>
        <v>395000</v>
      </c>
      <c r="I1954" s="601">
        <f>SUM(I1939:I1953)</f>
        <v>0</v>
      </c>
      <c r="J1954" s="601">
        <f>SUM(J1938:J1953)</f>
        <v>395000</v>
      </c>
      <c r="K1954" s="533"/>
      <c r="L1954" s="533"/>
      <c r="M1954" s="533"/>
      <c r="N1954" s="268"/>
      <c r="O1954" s="533"/>
      <c r="P1954" s="533"/>
      <c r="Q1954" s="533"/>
      <c r="R1954" s="533"/>
      <c r="S1954" s="533"/>
      <c r="T1954" s="533"/>
      <c r="U1954" s="533"/>
      <c r="V1954" s="533"/>
      <c r="W1954" s="533"/>
      <c r="X1954" s="533"/>
      <c r="Y1954" s="533"/>
    </row>
    <row r="1955" spans="1:25" s="88" customFormat="1" ht="18.75" customHeight="1" x14ac:dyDescent="0.25">
      <c r="A1955" s="509"/>
      <c r="B1955" s="256"/>
      <c r="C1955" s="221"/>
      <c r="D1955" s="218"/>
      <c r="E1955" s="288"/>
      <c r="F1955" s="291"/>
      <c r="G1955" s="231" t="s">
        <v>4296</v>
      </c>
      <c r="H1955" s="602"/>
      <c r="I1955" s="623"/>
      <c r="J1955" s="603"/>
      <c r="K1955" s="533"/>
      <c r="L1955" s="533"/>
      <c r="M1955" s="533"/>
      <c r="N1955" s="268"/>
      <c r="O1955" s="533"/>
      <c r="P1955" s="533"/>
      <c r="Q1955" s="533"/>
      <c r="R1955" s="533"/>
      <c r="S1955" s="533"/>
      <c r="T1955" s="533"/>
      <c r="U1955" s="533"/>
      <c r="V1955" s="533"/>
      <c r="W1955" s="533"/>
      <c r="X1955" s="533"/>
      <c r="Y1955" s="533"/>
    </row>
    <row r="1956" spans="1:25" s="88" customFormat="1" ht="15.75" thickBot="1" x14ac:dyDescent="0.3">
      <c r="A1956" s="509"/>
      <c r="B1956" s="256"/>
      <c r="C1956" s="221"/>
      <c r="D1956" s="218"/>
      <c r="E1956" s="222"/>
      <c r="F1956" s="249" t="s">
        <v>234</v>
      </c>
      <c r="G1956" s="252" t="s">
        <v>235</v>
      </c>
      <c r="H1956" s="598">
        <f>SUM(H1877:H1936)</f>
        <v>395000</v>
      </c>
      <c r="I1956" s="599"/>
      <c r="J1956" s="599">
        <f t="shared" ref="J1956:J1971" si="64">SUM(H1956:I1956)</f>
        <v>395000</v>
      </c>
      <c r="K1956" s="533"/>
      <c r="L1956" s="533"/>
      <c r="M1956" s="533"/>
      <c r="N1956" s="268"/>
      <c r="O1956" s="533"/>
      <c r="P1956" s="533"/>
      <c r="Q1956" s="533"/>
      <c r="R1956" s="533"/>
      <c r="S1956" s="533"/>
      <c r="T1956" s="533"/>
      <c r="U1956" s="533"/>
      <c r="V1956" s="533"/>
      <c r="W1956" s="533"/>
      <c r="X1956" s="533"/>
      <c r="Y1956" s="533"/>
    </row>
    <row r="1957" spans="1:25" s="88" customFormat="1" hidden="1" x14ac:dyDescent="0.25">
      <c r="A1957" s="509"/>
      <c r="B1957" s="256"/>
      <c r="C1957" s="221"/>
      <c r="D1957" s="218"/>
      <c r="E1957" s="218"/>
      <c r="F1957" s="249" t="s">
        <v>236</v>
      </c>
      <c r="G1957" s="252" t="s">
        <v>237</v>
      </c>
      <c r="H1957" s="594"/>
      <c r="I1957" s="595"/>
      <c r="J1957" s="599">
        <f t="shared" si="64"/>
        <v>0</v>
      </c>
      <c r="K1957" s="533"/>
      <c r="L1957" s="533"/>
      <c r="M1957" s="533"/>
      <c r="N1957" s="268"/>
      <c r="O1957" s="533"/>
      <c r="P1957" s="533"/>
      <c r="Q1957" s="533"/>
      <c r="R1957" s="533"/>
      <c r="S1957" s="533"/>
      <c r="T1957" s="533"/>
      <c r="U1957" s="533"/>
      <c r="V1957" s="533"/>
      <c r="W1957" s="533"/>
      <c r="X1957" s="533"/>
      <c r="Y1957" s="533"/>
    </row>
    <row r="1958" spans="1:25" s="88" customFormat="1" hidden="1" x14ac:dyDescent="0.25">
      <c r="A1958" s="509"/>
      <c r="B1958" s="256"/>
      <c r="C1958" s="221"/>
      <c r="D1958" s="218"/>
      <c r="E1958" s="218"/>
      <c r="F1958" s="249" t="s">
        <v>238</v>
      </c>
      <c r="G1958" s="252" t="s">
        <v>239</v>
      </c>
      <c r="H1958" s="594"/>
      <c r="I1958" s="595"/>
      <c r="J1958" s="599">
        <f t="shared" si="64"/>
        <v>0</v>
      </c>
      <c r="K1958" s="533"/>
      <c r="L1958" s="533"/>
      <c r="M1958" s="533"/>
      <c r="N1958" s="268"/>
      <c r="O1958" s="533"/>
      <c r="P1958" s="533"/>
      <c r="Q1958" s="533"/>
      <c r="R1958" s="533"/>
      <c r="S1958" s="533"/>
      <c r="T1958" s="533"/>
      <c r="U1958" s="533"/>
      <c r="V1958" s="533"/>
      <c r="W1958" s="533"/>
      <c r="X1958" s="533"/>
      <c r="Y1958" s="533"/>
    </row>
    <row r="1959" spans="1:25" s="88" customFormat="1" hidden="1" x14ac:dyDescent="0.25">
      <c r="A1959" s="509"/>
      <c r="B1959" s="256"/>
      <c r="C1959" s="221"/>
      <c r="D1959" s="218"/>
      <c r="E1959" s="218"/>
      <c r="F1959" s="249" t="s">
        <v>240</v>
      </c>
      <c r="G1959" s="252" t="s">
        <v>241</v>
      </c>
      <c r="H1959" s="594"/>
      <c r="I1959" s="595"/>
      <c r="J1959" s="599">
        <f t="shared" si="64"/>
        <v>0</v>
      </c>
      <c r="K1959" s="533"/>
      <c r="L1959" s="533"/>
      <c r="M1959" s="533"/>
      <c r="N1959" s="268"/>
      <c r="O1959" s="533"/>
      <c r="P1959" s="533"/>
      <c r="Q1959" s="533"/>
      <c r="R1959" s="533"/>
      <c r="S1959" s="533"/>
      <c r="T1959" s="533"/>
      <c r="U1959" s="533"/>
      <c r="V1959" s="533"/>
      <c r="W1959" s="533"/>
      <c r="X1959" s="533"/>
      <c r="Y1959" s="533"/>
    </row>
    <row r="1960" spans="1:25" s="88" customFormat="1" hidden="1" x14ac:dyDescent="0.25">
      <c r="A1960" s="509"/>
      <c r="B1960" s="256"/>
      <c r="C1960" s="221"/>
      <c r="D1960" s="218"/>
      <c r="E1960" s="218"/>
      <c r="F1960" s="249" t="s">
        <v>242</v>
      </c>
      <c r="G1960" s="252" t="s">
        <v>243</v>
      </c>
      <c r="H1960" s="594"/>
      <c r="I1960" s="595"/>
      <c r="J1960" s="599">
        <f t="shared" si="64"/>
        <v>0</v>
      </c>
      <c r="K1960" s="533"/>
      <c r="L1960" s="533"/>
      <c r="M1960" s="533"/>
      <c r="N1960" s="268"/>
      <c r="O1960" s="533"/>
      <c r="P1960" s="533"/>
      <c r="Q1960" s="533"/>
      <c r="R1960" s="533"/>
      <c r="S1960" s="533"/>
      <c r="T1960" s="533"/>
      <c r="U1960" s="533"/>
      <c r="V1960" s="533"/>
      <c r="W1960" s="533"/>
      <c r="X1960" s="533"/>
      <c r="Y1960" s="533"/>
    </row>
    <row r="1961" spans="1:25" s="88" customFormat="1" hidden="1" x14ac:dyDescent="0.25">
      <c r="A1961" s="509"/>
      <c r="B1961" s="256"/>
      <c r="C1961" s="221"/>
      <c r="D1961" s="218"/>
      <c r="E1961" s="218"/>
      <c r="F1961" s="249" t="s">
        <v>244</v>
      </c>
      <c r="G1961" s="252" t="s">
        <v>245</v>
      </c>
      <c r="H1961" s="594"/>
      <c r="I1961" s="595"/>
      <c r="J1961" s="599">
        <f t="shared" si="64"/>
        <v>0</v>
      </c>
      <c r="K1961" s="533"/>
      <c r="L1961" s="533"/>
      <c r="M1961" s="533"/>
      <c r="N1961" s="268"/>
      <c r="O1961" s="533"/>
      <c r="P1961" s="533"/>
      <c r="Q1961" s="533"/>
      <c r="R1961" s="533"/>
      <c r="S1961" s="533"/>
      <c r="T1961" s="533"/>
      <c r="U1961" s="533"/>
      <c r="V1961" s="533"/>
      <c r="W1961" s="533"/>
      <c r="X1961" s="533"/>
      <c r="Y1961" s="533"/>
    </row>
    <row r="1962" spans="1:25" s="88" customFormat="1" hidden="1" x14ac:dyDescent="0.25">
      <c r="A1962" s="509"/>
      <c r="B1962" s="256"/>
      <c r="C1962" s="221"/>
      <c r="D1962" s="218"/>
      <c r="E1962" s="218"/>
      <c r="F1962" s="249" t="s">
        <v>246</v>
      </c>
      <c r="G1962" s="252" t="s">
        <v>247</v>
      </c>
      <c r="H1962" s="594"/>
      <c r="I1962" s="595"/>
      <c r="J1962" s="599">
        <f t="shared" si="64"/>
        <v>0</v>
      </c>
      <c r="K1962" s="533"/>
      <c r="L1962" s="533"/>
      <c r="M1962" s="533"/>
      <c r="N1962" s="268"/>
      <c r="O1962" s="533"/>
      <c r="P1962" s="533"/>
      <c r="Q1962" s="533"/>
      <c r="R1962" s="533"/>
      <c r="S1962" s="533"/>
      <c r="T1962" s="533"/>
      <c r="U1962" s="533"/>
      <c r="V1962" s="533"/>
      <c r="W1962" s="533"/>
      <c r="X1962" s="533"/>
      <c r="Y1962" s="533"/>
    </row>
    <row r="1963" spans="1:25" s="88" customFormat="1" hidden="1" x14ac:dyDescent="0.25">
      <c r="A1963" s="509"/>
      <c r="B1963" s="256"/>
      <c r="C1963" s="221"/>
      <c r="D1963" s="218"/>
      <c r="E1963" s="218"/>
      <c r="F1963" s="249" t="s">
        <v>248</v>
      </c>
      <c r="G1963" s="252" t="s">
        <v>249</v>
      </c>
      <c r="H1963" s="594"/>
      <c r="I1963" s="595"/>
      <c r="J1963" s="599">
        <f t="shared" si="64"/>
        <v>0</v>
      </c>
      <c r="K1963" s="533"/>
      <c r="L1963" s="533"/>
      <c r="M1963" s="533"/>
      <c r="N1963" s="268"/>
      <c r="O1963" s="533"/>
      <c r="P1963" s="533"/>
      <c r="Q1963" s="533"/>
      <c r="R1963" s="533"/>
      <c r="S1963" s="533"/>
      <c r="T1963" s="533"/>
      <c r="U1963" s="533"/>
      <c r="V1963" s="533"/>
      <c r="W1963" s="533"/>
      <c r="X1963" s="533"/>
      <c r="Y1963" s="533"/>
    </row>
    <row r="1964" spans="1:25" s="88" customFormat="1" hidden="1" x14ac:dyDescent="0.25">
      <c r="A1964" s="509"/>
      <c r="B1964" s="256"/>
      <c r="C1964" s="221"/>
      <c r="D1964" s="218"/>
      <c r="E1964" s="218"/>
      <c r="F1964" s="249" t="s">
        <v>250</v>
      </c>
      <c r="G1964" s="252" t="s">
        <v>57</v>
      </c>
      <c r="H1964" s="594"/>
      <c r="I1964" s="595"/>
      <c r="J1964" s="599">
        <f t="shared" si="64"/>
        <v>0</v>
      </c>
      <c r="K1964" s="533"/>
      <c r="L1964" s="533"/>
      <c r="M1964" s="533"/>
      <c r="N1964" s="268"/>
      <c r="O1964" s="533"/>
      <c r="P1964" s="533"/>
      <c r="Q1964" s="533"/>
      <c r="R1964" s="533"/>
      <c r="S1964" s="533"/>
      <c r="T1964" s="533"/>
      <c r="U1964" s="533"/>
      <c r="V1964" s="533"/>
      <c r="W1964" s="533"/>
      <c r="X1964" s="533"/>
      <c r="Y1964" s="533"/>
    </row>
    <row r="1965" spans="1:25" s="88" customFormat="1" hidden="1" x14ac:dyDescent="0.25">
      <c r="A1965" s="509"/>
      <c r="B1965" s="256"/>
      <c r="C1965" s="221"/>
      <c r="D1965" s="218"/>
      <c r="E1965" s="218"/>
      <c r="F1965" s="249" t="s">
        <v>251</v>
      </c>
      <c r="G1965" s="252" t="s">
        <v>252</v>
      </c>
      <c r="H1965" s="594"/>
      <c r="I1965" s="595"/>
      <c r="J1965" s="599">
        <f t="shared" si="64"/>
        <v>0</v>
      </c>
      <c r="K1965" s="533"/>
      <c r="L1965" s="533"/>
      <c r="M1965" s="533"/>
      <c r="N1965" s="268"/>
      <c r="O1965" s="533"/>
      <c r="P1965" s="533"/>
      <c r="Q1965" s="533"/>
      <c r="R1965" s="533"/>
      <c r="S1965" s="533"/>
      <c r="T1965" s="533"/>
      <c r="U1965" s="533"/>
      <c r="V1965" s="533"/>
      <c r="W1965" s="533"/>
      <c r="X1965" s="533"/>
      <c r="Y1965" s="533"/>
    </row>
    <row r="1966" spans="1:25" s="88" customFormat="1" hidden="1" x14ac:dyDescent="0.25">
      <c r="A1966" s="509"/>
      <c r="B1966" s="256"/>
      <c r="C1966" s="221"/>
      <c r="D1966" s="218"/>
      <c r="E1966" s="218"/>
      <c r="F1966" s="249" t="s">
        <v>253</v>
      </c>
      <c r="G1966" s="252" t="s">
        <v>254</v>
      </c>
      <c r="H1966" s="594"/>
      <c r="I1966" s="595"/>
      <c r="J1966" s="599">
        <f t="shared" si="64"/>
        <v>0</v>
      </c>
      <c r="K1966" s="533"/>
      <c r="L1966" s="533"/>
      <c r="M1966" s="533"/>
      <c r="N1966" s="268"/>
      <c r="O1966" s="533"/>
      <c r="P1966" s="533"/>
      <c r="Q1966" s="533"/>
      <c r="R1966" s="533"/>
      <c r="S1966" s="533"/>
      <c r="T1966" s="533"/>
      <c r="U1966" s="533"/>
      <c r="V1966" s="533"/>
      <c r="W1966" s="533"/>
      <c r="X1966" s="533"/>
      <c r="Y1966" s="533"/>
    </row>
    <row r="1967" spans="1:25" s="88" customFormat="1" ht="30" hidden="1" x14ac:dyDescent="0.25">
      <c r="A1967" s="509"/>
      <c r="B1967" s="256"/>
      <c r="C1967" s="221"/>
      <c r="D1967" s="218"/>
      <c r="E1967" s="218"/>
      <c r="F1967" s="249" t="s">
        <v>255</v>
      </c>
      <c r="G1967" s="252" t="s">
        <v>256</v>
      </c>
      <c r="H1967" s="594"/>
      <c r="I1967" s="595"/>
      <c r="J1967" s="599">
        <f t="shared" si="64"/>
        <v>0</v>
      </c>
      <c r="K1967" s="533"/>
      <c r="L1967" s="533"/>
      <c r="M1967" s="533"/>
      <c r="N1967" s="268"/>
      <c r="O1967" s="533"/>
      <c r="P1967" s="533"/>
      <c r="Q1967" s="533"/>
      <c r="R1967" s="533"/>
      <c r="S1967" s="533"/>
      <c r="T1967" s="533"/>
      <c r="U1967" s="533"/>
      <c r="V1967" s="533"/>
      <c r="W1967" s="533"/>
      <c r="X1967" s="533"/>
      <c r="Y1967" s="533"/>
    </row>
    <row r="1968" spans="1:25" s="88" customFormat="1" hidden="1" x14ac:dyDescent="0.25">
      <c r="A1968" s="509"/>
      <c r="B1968" s="256"/>
      <c r="C1968" s="221"/>
      <c r="D1968" s="218"/>
      <c r="E1968" s="218"/>
      <c r="F1968" s="249" t="s">
        <v>257</v>
      </c>
      <c r="G1968" s="252" t="s">
        <v>258</v>
      </c>
      <c r="H1968" s="594"/>
      <c r="I1968" s="595"/>
      <c r="J1968" s="599">
        <f t="shared" si="64"/>
        <v>0</v>
      </c>
      <c r="K1968" s="533"/>
      <c r="L1968" s="533"/>
      <c r="M1968" s="533"/>
      <c r="N1968" s="268"/>
      <c r="O1968" s="533"/>
      <c r="P1968" s="533"/>
      <c r="Q1968" s="533"/>
      <c r="R1968" s="533"/>
      <c r="S1968" s="533"/>
      <c r="T1968" s="533"/>
      <c r="U1968" s="533"/>
      <c r="V1968" s="533"/>
      <c r="W1968" s="533"/>
      <c r="X1968" s="533"/>
      <c r="Y1968" s="533"/>
    </row>
    <row r="1969" spans="1:25" s="88" customFormat="1" ht="30" hidden="1" x14ac:dyDescent="0.25">
      <c r="A1969" s="509"/>
      <c r="B1969" s="256"/>
      <c r="C1969" s="221"/>
      <c r="D1969" s="218"/>
      <c r="E1969" s="218"/>
      <c r="F1969" s="249" t="s">
        <v>259</v>
      </c>
      <c r="G1969" s="252" t="s">
        <v>260</v>
      </c>
      <c r="H1969" s="594"/>
      <c r="I1969" s="595"/>
      <c r="J1969" s="599">
        <f t="shared" si="64"/>
        <v>0</v>
      </c>
      <c r="K1969" s="533"/>
      <c r="L1969" s="533"/>
      <c r="M1969" s="533"/>
      <c r="N1969" s="268"/>
      <c r="O1969" s="533"/>
      <c r="P1969" s="533"/>
      <c r="Q1969" s="533"/>
      <c r="R1969" s="533"/>
      <c r="S1969" s="533"/>
      <c r="T1969" s="533"/>
      <c r="U1969" s="533"/>
      <c r="V1969" s="533"/>
      <c r="W1969" s="533"/>
      <c r="X1969" s="533"/>
      <c r="Y1969" s="533"/>
    </row>
    <row r="1970" spans="1:25" s="88" customFormat="1" hidden="1" x14ac:dyDescent="0.25">
      <c r="A1970" s="509"/>
      <c r="B1970" s="256"/>
      <c r="C1970" s="221"/>
      <c r="D1970" s="218"/>
      <c r="E1970" s="218"/>
      <c r="F1970" s="249" t="s">
        <v>261</v>
      </c>
      <c r="G1970" s="252" t="s">
        <v>262</v>
      </c>
      <c r="H1970" s="594"/>
      <c r="I1970" s="595"/>
      <c r="J1970" s="599">
        <f t="shared" si="64"/>
        <v>0</v>
      </c>
      <c r="K1970" s="533"/>
      <c r="L1970" s="533"/>
      <c r="M1970" s="533"/>
      <c r="N1970" s="268"/>
      <c r="O1970" s="533"/>
      <c r="P1970" s="533"/>
      <c r="Q1970" s="533"/>
      <c r="R1970" s="533"/>
      <c r="S1970" s="533"/>
      <c r="T1970" s="533"/>
      <c r="U1970" s="533"/>
      <c r="V1970" s="533"/>
      <c r="W1970" s="533"/>
      <c r="X1970" s="533"/>
      <c r="Y1970" s="533"/>
    </row>
    <row r="1971" spans="1:25" s="88" customFormat="1" ht="15.75" hidden="1" thickBot="1" x14ac:dyDescent="0.3">
      <c r="A1971" s="509"/>
      <c r="B1971" s="256"/>
      <c r="C1971" s="221"/>
      <c r="D1971" s="218"/>
      <c r="E1971" s="218"/>
      <c r="F1971" s="249" t="s">
        <v>263</v>
      </c>
      <c r="G1971" s="252" t="s">
        <v>264</v>
      </c>
      <c r="H1971" s="598"/>
      <c r="I1971" s="599"/>
      <c r="J1971" s="599">
        <f t="shared" si="64"/>
        <v>0</v>
      </c>
      <c r="K1971" s="533"/>
      <c r="L1971" s="533"/>
      <c r="M1971" s="533"/>
      <c r="N1971" s="268"/>
      <c r="O1971" s="533"/>
      <c r="P1971" s="533"/>
      <c r="Q1971" s="533"/>
      <c r="R1971" s="533"/>
      <c r="S1971" s="533"/>
      <c r="T1971" s="533"/>
      <c r="U1971" s="533"/>
      <c r="V1971" s="533"/>
      <c r="W1971" s="533"/>
      <c r="X1971" s="533"/>
      <c r="Y1971" s="533"/>
    </row>
    <row r="1972" spans="1:25" s="88" customFormat="1" ht="15.75" thickBot="1" x14ac:dyDescent="0.3">
      <c r="A1972" s="509"/>
      <c r="B1972" s="256"/>
      <c r="C1972" s="221"/>
      <c r="D1972" s="218"/>
      <c r="E1972" s="218"/>
      <c r="F1972" s="218"/>
      <c r="G1972" s="229" t="s">
        <v>4297</v>
      </c>
      <c r="H1972" s="600">
        <f>SUM(H1956:H1971)</f>
        <v>395000</v>
      </c>
      <c r="I1972" s="601">
        <f>SUM(I1957:I1971)</f>
        <v>0</v>
      </c>
      <c r="J1972" s="601">
        <f>SUM(J1956:J1971)</f>
        <v>395000</v>
      </c>
      <c r="K1972" s="533"/>
      <c r="L1972" s="533"/>
      <c r="M1972" s="533"/>
      <c r="N1972" s="268"/>
      <c r="O1972" s="533"/>
      <c r="P1972" s="533"/>
      <c r="Q1972" s="533"/>
      <c r="R1972" s="533"/>
      <c r="S1972" s="533"/>
      <c r="T1972" s="533"/>
      <c r="U1972" s="533"/>
      <c r="V1972" s="533"/>
      <c r="W1972" s="533"/>
      <c r="X1972" s="533"/>
      <c r="Y1972" s="533"/>
    </row>
    <row r="1973" spans="1:25" s="88" customFormat="1" hidden="1" x14ac:dyDescent="0.25">
      <c r="A1973" s="509"/>
      <c r="B1973" s="256"/>
      <c r="C1973" s="221"/>
      <c r="D1973" s="218"/>
      <c r="E1973" s="218"/>
      <c r="F1973" s="218"/>
      <c r="G1973" s="286"/>
      <c r="H1973" s="604"/>
      <c r="I1973" s="605"/>
      <c r="J1973" s="605"/>
      <c r="K1973" s="533"/>
      <c r="L1973" s="533"/>
      <c r="M1973" s="533"/>
      <c r="N1973" s="268"/>
      <c r="O1973" s="533"/>
      <c r="P1973" s="533"/>
      <c r="Q1973" s="533"/>
      <c r="R1973" s="533"/>
      <c r="S1973" s="533"/>
      <c r="T1973" s="533"/>
      <c r="U1973" s="533"/>
      <c r="V1973" s="533"/>
      <c r="W1973" s="533"/>
      <c r="X1973" s="533"/>
      <c r="Y1973" s="533"/>
    </row>
    <row r="1974" spans="1:25" s="88" customFormat="1" hidden="1" x14ac:dyDescent="0.25">
      <c r="A1974" s="509"/>
      <c r="B1974" s="256"/>
      <c r="C1974" s="221"/>
      <c r="D1974" s="218"/>
      <c r="E1974" s="293"/>
      <c r="F1974" s="301"/>
      <c r="G1974" s="250" t="s">
        <v>5184</v>
      </c>
      <c r="H1974" s="606"/>
      <c r="I1974" s="624"/>
      <c r="J1974" s="607"/>
      <c r="K1974" s="533"/>
      <c r="L1974" s="533"/>
      <c r="M1974" s="533"/>
      <c r="N1974" s="533"/>
      <c r="O1974" s="533"/>
      <c r="P1974" s="533"/>
      <c r="Q1974" s="533"/>
      <c r="R1974" s="533"/>
      <c r="S1974" s="533"/>
      <c r="T1974" s="533"/>
      <c r="U1974" s="533"/>
      <c r="V1974" s="533"/>
      <c r="W1974" s="533"/>
      <c r="X1974" s="533"/>
      <c r="Y1974" s="533"/>
    </row>
    <row r="1975" spans="1:25" s="88" customFormat="1" ht="15.75" hidden="1" thickBot="1" x14ac:dyDescent="0.3">
      <c r="A1975" s="509"/>
      <c r="B1975" s="256"/>
      <c r="C1975" s="221"/>
      <c r="D1975" s="218"/>
      <c r="E1975" s="222"/>
      <c r="F1975" s="249" t="s">
        <v>234</v>
      </c>
      <c r="G1975" s="252" t="s">
        <v>235</v>
      </c>
      <c r="H1975" s="598">
        <f>SUM(H1956,H6068)</f>
        <v>395000</v>
      </c>
      <c r="I1975" s="599"/>
      <c r="J1975" s="599">
        <f t="shared" ref="J1975:J1990" si="65">SUM(H1975:I1975)</f>
        <v>395000</v>
      </c>
      <c r="K1975" s="533"/>
      <c r="L1975" s="533"/>
      <c r="M1975" s="533"/>
      <c r="N1975" s="533"/>
      <c r="O1975" s="533"/>
      <c r="P1975" s="533"/>
      <c r="Q1975" s="533"/>
      <c r="R1975" s="533"/>
      <c r="S1975" s="533"/>
      <c r="T1975" s="533"/>
      <c r="U1975" s="533"/>
      <c r="V1975" s="533"/>
      <c r="W1975" s="533"/>
      <c r="X1975" s="533"/>
      <c r="Y1975" s="533"/>
    </row>
    <row r="1976" spans="1:25" s="88" customFormat="1" hidden="1" x14ac:dyDescent="0.25">
      <c r="A1976" s="509"/>
      <c r="B1976" s="256"/>
      <c r="C1976" s="221"/>
      <c r="D1976" s="218"/>
      <c r="E1976" s="218"/>
      <c r="F1976" s="249" t="s">
        <v>236</v>
      </c>
      <c r="G1976" s="252" t="s">
        <v>237</v>
      </c>
      <c r="H1976" s="594"/>
      <c r="I1976" s="595"/>
      <c r="J1976" s="599">
        <f t="shared" si="65"/>
        <v>0</v>
      </c>
      <c r="K1976" s="533"/>
      <c r="L1976" s="533"/>
      <c r="M1976" s="533"/>
      <c r="N1976" s="533"/>
      <c r="O1976" s="533"/>
      <c r="P1976" s="533"/>
      <c r="Q1976" s="533"/>
      <c r="R1976" s="533"/>
      <c r="S1976" s="533"/>
      <c r="T1976" s="533"/>
      <c r="U1976" s="533"/>
      <c r="V1976" s="533"/>
      <c r="W1976" s="533"/>
      <c r="X1976" s="533"/>
      <c r="Y1976" s="533"/>
    </row>
    <row r="1977" spans="1:25" s="88" customFormat="1" hidden="1" x14ac:dyDescent="0.25">
      <c r="A1977" s="509"/>
      <c r="B1977" s="256"/>
      <c r="C1977" s="221"/>
      <c r="D1977" s="218"/>
      <c r="E1977" s="218"/>
      <c r="F1977" s="249" t="s">
        <v>238</v>
      </c>
      <c r="G1977" s="252" t="s">
        <v>239</v>
      </c>
      <c r="H1977" s="594"/>
      <c r="I1977" s="595"/>
      <c r="J1977" s="599">
        <f t="shared" si="65"/>
        <v>0</v>
      </c>
      <c r="K1977" s="533"/>
      <c r="L1977" s="533"/>
      <c r="M1977" s="533"/>
      <c r="N1977" s="533"/>
      <c r="O1977" s="533"/>
      <c r="P1977" s="533"/>
      <c r="Q1977" s="533"/>
      <c r="R1977" s="533"/>
      <c r="S1977" s="533"/>
      <c r="T1977" s="533"/>
      <c r="U1977" s="533"/>
      <c r="V1977" s="533"/>
      <c r="W1977" s="533"/>
      <c r="X1977" s="533"/>
      <c r="Y1977" s="533"/>
    </row>
    <row r="1978" spans="1:25" s="88" customFormat="1" hidden="1" x14ac:dyDescent="0.25">
      <c r="A1978" s="509"/>
      <c r="B1978" s="256"/>
      <c r="C1978" s="221"/>
      <c r="D1978" s="218"/>
      <c r="E1978" s="218"/>
      <c r="F1978" s="249" t="s">
        <v>240</v>
      </c>
      <c r="G1978" s="252" t="s">
        <v>241</v>
      </c>
      <c r="H1978" s="594"/>
      <c r="I1978" s="595"/>
      <c r="J1978" s="599">
        <f t="shared" si="65"/>
        <v>0</v>
      </c>
      <c r="K1978" s="533"/>
      <c r="L1978" s="533"/>
      <c r="M1978" s="533"/>
      <c r="N1978" s="533"/>
      <c r="O1978" s="533"/>
      <c r="P1978" s="533"/>
      <c r="Q1978" s="533"/>
      <c r="R1978" s="533"/>
      <c r="S1978" s="533"/>
      <c r="T1978" s="533"/>
      <c r="U1978" s="533"/>
      <c r="V1978" s="533"/>
      <c r="W1978" s="533"/>
      <c r="X1978" s="533"/>
      <c r="Y1978" s="533"/>
    </row>
    <row r="1979" spans="1:25" s="88" customFormat="1" hidden="1" x14ac:dyDescent="0.25">
      <c r="A1979" s="509"/>
      <c r="B1979" s="256"/>
      <c r="C1979" s="221"/>
      <c r="D1979" s="218"/>
      <c r="E1979" s="218"/>
      <c r="F1979" s="249" t="s">
        <v>242</v>
      </c>
      <c r="G1979" s="252" t="s">
        <v>243</v>
      </c>
      <c r="H1979" s="594"/>
      <c r="I1979" s="595"/>
      <c r="J1979" s="599">
        <f t="shared" si="65"/>
        <v>0</v>
      </c>
      <c r="K1979" s="533"/>
      <c r="L1979" s="533"/>
      <c r="M1979" s="533"/>
      <c r="N1979" s="533"/>
      <c r="O1979" s="533"/>
      <c r="P1979" s="533"/>
      <c r="Q1979" s="533"/>
      <c r="R1979" s="533"/>
      <c r="S1979" s="533"/>
      <c r="T1979" s="533"/>
      <c r="U1979" s="533"/>
      <c r="V1979" s="533"/>
      <c r="W1979" s="533"/>
      <c r="X1979" s="533"/>
      <c r="Y1979" s="533"/>
    </row>
    <row r="1980" spans="1:25" s="88" customFormat="1" hidden="1" x14ac:dyDescent="0.25">
      <c r="A1980" s="509"/>
      <c r="B1980" s="256"/>
      <c r="C1980" s="221"/>
      <c r="D1980" s="218"/>
      <c r="E1980" s="218"/>
      <c r="F1980" s="249" t="s">
        <v>244</v>
      </c>
      <c r="G1980" s="252" t="s">
        <v>245</v>
      </c>
      <c r="H1980" s="594"/>
      <c r="I1980" s="595"/>
      <c r="J1980" s="599">
        <f t="shared" si="65"/>
        <v>0</v>
      </c>
      <c r="K1980" s="533"/>
      <c r="L1980" s="533"/>
      <c r="M1980" s="533"/>
      <c r="N1980" s="533"/>
      <c r="O1980" s="533"/>
      <c r="P1980" s="533"/>
      <c r="Q1980" s="533"/>
      <c r="R1980" s="533"/>
      <c r="S1980" s="533"/>
      <c r="T1980" s="533"/>
      <c r="U1980" s="533"/>
      <c r="V1980" s="533"/>
      <c r="W1980" s="533"/>
      <c r="X1980" s="533"/>
      <c r="Y1980" s="533"/>
    </row>
    <row r="1981" spans="1:25" s="88" customFormat="1" hidden="1" x14ac:dyDescent="0.25">
      <c r="A1981" s="509"/>
      <c r="B1981" s="256"/>
      <c r="C1981" s="221"/>
      <c r="D1981" s="218"/>
      <c r="E1981" s="218"/>
      <c r="F1981" s="249" t="s">
        <v>246</v>
      </c>
      <c r="G1981" s="252" t="s">
        <v>247</v>
      </c>
      <c r="H1981" s="594"/>
      <c r="I1981" s="595"/>
      <c r="J1981" s="599">
        <f t="shared" si="65"/>
        <v>0</v>
      </c>
      <c r="K1981" s="533"/>
      <c r="L1981" s="533"/>
      <c r="M1981" s="533"/>
      <c r="N1981" s="533"/>
      <c r="O1981" s="533"/>
      <c r="P1981" s="533"/>
      <c r="Q1981" s="533"/>
      <c r="R1981" s="533"/>
      <c r="S1981" s="533"/>
      <c r="T1981" s="533"/>
      <c r="U1981" s="533"/>
      <c r="V1981" s="533"/>
      <c r="W1981" s="533"/>
      <c r="X1981" s="533"/>
      <c r="Y1981" s="533"/>
    </row>
    <row r="1982" spans="1:25" s="88" customFormat="1" hidden="1" x14ac:dyDescent="0.25">
      <c r="A1982" s="509"/>
      <c r="B1982" s="256"/>
      <c r="C1982" s="221"/>
      <c r="D1982" s="218"/>
      <c r="E1982" s="218"/>
      <c r="F1982" s="249" t="s">
        <v>248</v>
      </c>
      <c r="G1982" s="252" t="s">
        <v>249</v>
      </c>
      <c r="H1982" s="594"/>
      <c r="I1982" s="595"/>
      <c r="J1982" s="599">
        <f t="shared" si="65"/>
        <v>0</v>
      </c>
      <c r="K1982" s="533"/>
      <c r="L1982" s="533"/>
      <c r="M1982" s="533"/>
      <c r="N1982" s="533"/>
      <c r="O1982" s="533"/>
      <c r="P1982" s="533"/>
      <c r="Q1982" s="533"/>
      <c r="R1982" s="533"/>
      <c r="S1982" s="533"/>
      <c r="T1982" s="533"/>
      <c r="U1982" s="533"/>
      <c r="V1982" s="533"/>
      <c r="W1982" s="533"/>
      <c r="X1982" s="533"/>
      <c r="Y1982" s="533"/>
    </row>
    <row r="1983" spans="1:25" s="88" customFormat="1" hidden="1" x14ac:dyDescent="0.25">
      <c r="A1983" s="509"/>
      <c r="B1983" s="256"/>
      <c r="C1983" s="221"/>
      <c r="D1983" s="218"/>
      <c r="E1983" s="218"/>
      <c r="F1983" s="249" t="s">
        <v>250</v>
      </c>
      <c r="G1983" s="252" t="s">
        <v>57</v>
      </c>
      <c r="H1983" s="594"/>
      <c r="I1983" s="595"/>
      <c r="J1983" s="599">
        <f t="shared" si="65"/>
        <v>0</v>
      </c>
      <c r="K1983" s="533"/>
      <c r="L1983" s="533"/>
      <c r="M1983" s="533"/>
      <c r="N1983" s="533"/>
      <c r="O1983" s="533"/>
      <c r="P1983" s="533"/>
      <c r="Q1983" s="533"/>
      <c r="R1983" s="533"/>
      <c r="S1983" s="533"/>
      <c r="T1983" s="533"/>
      <c r="U1983" s="533"/>
      <c r="V1983" s="533"/>
      <c r="W1983" s="533"/>
      <c r="X1983" s="533"/>
      <c r="Y1983" s="533"/>
    </row>
    <row r="1984" spans="1:25" s="88" customFormat="1" hidden="1" x14ac:dyDescent="0.25">
      <c r="A1984" s="509"/>
      <c r="B1984" s="256"/>
      <c r="C1984" s="221"/>
      <c r="D1984" s="218"/>
      <c r="E1984" s="218"/>
      <c r="F1984" s="249" t="s">
        <v>251</v>
      </c>
      <c r="G1984" s="252" t="s">
        <v>252</v>
      </c>
      <c r="H1984" s="594"/>
      <c r="I1984" s="595"/>
      <c r="J1984" s="599">
        <f t="shared" si="65"/>
        <v>0</v>
      </c>
      <c r="K1984" s="533"/>
      <c r="L1984" s="533"/>
      <c r="M1984" s="533"/>
      <c r="N1984" s="533"/>
      <c r="O1984" s="533"/>
      <c r="P1984" s="533"/>
      <c r="Q1984" s="533"/>
      <c r="R1984" s="533"/>
      <c r="S1984" s="533"/>
      <c r="T1984" s="533"/>
      <c r="U1984" s="533"/>
      <c r="V1984" s="533"/>
      <c r="W1984" s="533"/>
      <c r="X1984" s="533"/>
      <c r="Y1984" s="533"/>
    </row>
    <row r="1985" spans="1:25" s="88" customFormat="1" hidden="1" x14ac:dyDescent="0.25">
      <c r="A1985" s="509"/>
      <c r="B1985" s="256"/>
      <c r="C1985" s="221"/>
      <c r="D1985" s="218"/>
      <c r="E1985" s="218"/>
      <c r="F1985" s="249" t="s">
        <v>253</v>
      </c>
      <c r="G1985" s="252" t="s">
        <v>254</v>
      </c>
      <c r="H1985" s="594"/>
      <c r="I1985" s="595"/>
      <c r="J1985" s="599">
        <f t="shared" si="65"/>
        <v>0</v>
      </c>
      <c r="K1985" s="533"/>
      <c r="L1985" s="533"/>
      <c r="M1985" s="533"/>
      <c r="N1985" s="533"/>
      <c r="O1985" s="533"/>
      <c r="P1985" s="533"/>
      <c r="Q1985" s="533"/>
      <c r="R1985" s="533"/>
      <c r="S1985" s="533"/>
      <c r="T1985" s="533"/>
      <c r="U1985" s="533"/>
      <c r="V1985" s="533"/>
      <c r="W1985" s="533"/>
      <c r="X1985" s="533"/>
      <c r="Y1985" s="533"/>
    </row>
    <row r="1986" spans="1:25" s="88" customFormat="1" ht="30" hidden="1" x14ac:dyDescent="0.25">
      <c r="A1986" s="509"/>
      <c r="B1986" s="256"/>
      <c r="C1986" s="221"/>
      <c r="D1986" s="218"/>
      <c r="E1986" s="218"/>
      <c r="F1986" s="249" t="s">
        <v>255</v>
      </c>
      <c r="G1986" s="252" t="s">
        <v>256</v>
      </c>
      <c r="H1986" s="594"/>
      <c r="I1986" s="595"/>
      <c r="J1986" s="599">
        <f t="shared" si="65"/>
        <v>0</v>
      </c>
      <c r="K1986" s="533"/>
      <c r="L1986" s="533"/>
      <c r="M1986" s="533"/>
      <c r="N1986" s="533"/>
      <c r="O1986" s="533"/>
      <c r="P1986" s="533"/>
      <c r="Q1986" s="533"/>
      <c r="R1986" s="533"/>
      <c r="S1986" s="533"/>
      <c r="T1986" s="533"/>
      <c r="U1986" s="533"/>
      <c r="V1986" s="533"/>
      <c r="W1986" s="533"/>
      <c r="X1986" s="533"/>
      <c r="Y1986" s="533"/>
    </row>
    <row r="1987" spans="1:25" s="88" customFormat="1" hidden="1" x14ac:dyDescent="0.25">
      <c r="A1987" s="509"/>
      <c r="B1987" s="256"/>
      <c r="C1987" s="221"/>
      <c r="D1987" s="218"/>
      <c r="E1987" s="218"/>
      <c r="F1987" s="249" t="s">
        <v>257</v>
      </c>
      <c r="G1987" s="252" t="s">
        <v>258</v>
      </c>
      <c r="H1987" s="594"/>
      <c r="I1987" s="595"/>
      <c r="J1987" s="599">
        <f t="shared" si="65"/>
        <v>0</v>
      </c>
      <c r="K1987" s="533"/>
      <c r="L1987" s="533"/>
      <c r="M1987" s="533"/>
      <c r="N1987" s="533"/>
      <c r="O1987" s="533"/>
      <c r="P1987" s="533"/>
      <c r="Q1987" s="533"/>
      <c r="R1987" s="533"/>
      <c r="S1987" s="533"/>
      <c r="T1987" s="533"/>
      <c r="U1987" s="533"/>
      <c r="V1987" s="533"/>
      <c r="W1987" s="533"/>
      <c r="X1987" s="533"/>
      <c r="Y1987" s="533"/>
    </row>
    <row r="1988" spans="1:25" s="88" customFormat="1" ht="30" hidden="1" x14ac:dyDescent="0.25">
      <c r="A1988" s="509"/>
      <c r="B1988" s="256"/>
      <c r="C1988" s="221"/>
      <c r="D1988" s="218"/>
      <c r="E1988" s="218"/>
      <c r="F1988" s="249" t="s">
        <v>259</v>
      </c>
      <c r="G1988" s="252" t="s">
        <v>260</v>
      </c>
      <c r="H1988" s="594"/>
      <c r="I1988" s="595"/>
      <c r="J1988" s="599">
        <f t="shared" si="65"/>
        <v>0</v>
      </c>
      <c r="K1988" s="533"/>
      <c r="L1988" s="533"/>
      <c r="M1988" s="533"/>
      <c r="N1988" s="533"/>
      <c r="O1988" s="533"/>
      <c r="P1988" s="533"/>
      <c r="Q1988" s="533"/>
      <c r="R1988" s="533"/>
      <c r="S1988" s="533"/>
      <c r="T1988" s="533"/>
      <c r="U1988" s="533"/>
      <c r="V1988" s="533"/>
      <c r="W1988" s="533"/>
      <c r="X1988" s="533"/>
      <c r="Y1988" s="533"/>
    </row>
    <row r="1989" spans="1:25" s="88" customFormat="1" hidden="1" x14ac:dyDescent="0.25">
      <c r="A1989" s="509"/>
      <c r="B1989" s="256"/>
      <c r="C1989" s="221"/>
      <c r="D1989" s="218"/>
      <c r="E1989" s="218"/>
      <c r="F1989" s="249" t="s">
        <v>261</v>
      </c>
      <c r="G1989" s="252" t="s">
        <v>262</v>
      </c>
      <c r="H1989" s="594"/>
      <c r="I1989" s="595"/>
      <c r="J1989" s="599">
        <f t="shared" si="65"/>
        <v>0</v>
      </c>
      <c r="K1989" s="533"/>
      <c r="L1989" s="533"/>
      <c r="M1989" s="533"/>
      <c r="N1989" s="533"/>
      <c r="O1989" s="533"/>
      <c r="P1989" s="533"/>
      <c r="Q1989" s="533"/>
      <c r="R1989" s="533"/>
      <c r="S1989" s="533"/>
      <c r="T1989" s="533"/>
      <c r="U1989" s="533"/>
      <c r="V1989" s="533"/>
      <c r="W1989" s="533"/>
      <c r="X1989" s="533"/>
      <c r="Y1989" s="533"/>
    </row>
    <row r="1990" spans="1:25" s="88" customFormat="1" ht="15.75" hidden="1" thickBot="1" x14ac:dyDescent="0.3">
      <c r="A1990" s="509"/>
      <c r="B1990" s="256"/>
      <c r="C1990" s="221"/>
      <c r="D1990" s="218"/>
      <c r="E1990" s="218"/>
      <c r="F1990" s="249" t="s">
        <v>263</v>
      </c>
      <c r="G1990" s="252" t="s">
        <v>264</v>
      </c>
      <c r="H1990" s="598"/>
      <c r="I1990" s="599"/>
      <c r="J1990" s="599">
        <f t="shared" si="65"/>
        <v>0</v>
      </c>
      <c r="K1990" s="533"/>
      <c r="L1990" s="533"/>
      <c r="M1990" s="533"/>
      <c r="N1990" s="533"/>
      <c r="O1990" s="533"/>
      <c r="P1990" s="533"/>
      <c r="Q1990" s="533"/>
      <c r="R1990" s="533"/>
      <c r="S1990" s="533"/>
      <c r="T1990" s="533"/>
      <c r="U1990" s="533"/>
      <c r="V1990" s="533"/>
      <c r="W1990" s="533"/>
      <c r="X1990" s="533"/>
      <c r="Y1990" s="533"/>
    </row>
    <row r="1991" spans="1:25" s="88" customFormat="1" ht="15.75" hidden="1" thickBot="1" x14ac:dyDescent="0.3">
      <c r="A1991" s="509"/>
      <c r="B1991" s="256"/>
      <c r="C1991" s="221"/>
      <c r="D1991" s="218"/>
      <c r="E1991" s="218"/>
      <c r="F1991" s="218"/>
      <c r="G1991" s="229" t="s">
        <v>5185</v>
      </c>
      <c r="H1991" s="600">
        <f>SUM(H1975:H1990)</f>
        <v>395000</v>
      </c>
      <c r="I1991" s="601">
        <f>SUM(I1976:I1990)</f>
        <v>0</v>
      </c>
      <c r="J1991" s="601">
        <f>SUM(J1975:J1990)</f>
        <v>395000</v>
      </c>
      <c r="K1991" s="533"/>
      <c r="L1991" s="533"/>
      <c r="M1991" s="533"/>
      <c r="N1991" s="533"/>
      <c r="O1991" s="533"/>
      <c r="P1991" s="533"/>
      <c r="Q1991" s="533"/>
      <c r="R1991" s="533"/>
      <c r="S1991" s="533"/>
      <c r="T1991" s="533"/>
      <c r="U1991" s="533"/>
      <c r="V1991" s="533"/>
      <c r="W1991" s="533"/>
      <c r="X1991" s="533"/>
      <c r="Y1991" s="533"/>
    </row>
    <row r="1992" spans="1:25" s="88" customFormat="1" hidden="1" x14ac:dyDescent="0.25">
      <c r="A1992" s="509"/>
      <c r="B1992" s="256"/>
      <c r="C1992" s="221"/>
      <c r="D1992" s="218"/>
      <c r="E1992" s="218"/>
      <c r="F1992" s="218"/>
      <c r="G1992" s="286"/>
      <c r="H1992" s="604"/>
      <c r="I1992" s="605"/>
      <c r="J1992" s="605"/>
      <c r="K1992" s="533"/>
      <c r="L1992" s="533"/>
      <c r="M1992" s="533"/>
      <c r="N1992" s="268"/>
      <c r="O1992" s="533"/>
      <c r="P1992" s="533"/>
      <c r="Q1992" s="533"/>
      <c r="R1992" s="533"/>
      <c r="S1992" s="533"/>
      <c r="T1992" s="533"/>
      <c r="U1992" s="533"/>
      <c r="V1992" s="533"/>
      <c r="W1992" s="533"/>
      <c r="X1992" s="533"/>
      <c r="Y1992" s="533"/>
    </row>
    <row r="1993" spans="1:25" s="88" customFormat="1" hidden="1" x14ac:dyDescent="0.25">
      <c r="A1993" s="509"/>
      <c r="B1993" s="256"/>
      <c r="C1993" s="221"/>
      <c r="D1993" s="218"/>
      <c r="E1993" s="218"/>
      <c r="F1993" s="218"/>
      <c r="G1993" s="286"/>
      <c r="H1993" s="604"/>
      <c r="I1993" s="605"/>
      <c r="J1993" s="605"/>
      <c r="K1993" s="533"/>
      <c r="L1993" s="533"/>
      <c r="M1993" s="533"/>
      <c r="N1993" s="268"/>
      <c r="O1993" s="533"/>
      <c r="P1993" s="533"/>
      <c r="Q1993" s="533"/>
      <c r="R1993" s="533"/>
      <c r="S1993" s="533"/>
      <c r="T1993" s="533"/>
      <c r="U1993" s="533"/>
      <c r="V1993" s="533"/>
      <c r="W1993" s="533"/>
      <c r="X1993" s="533"/>
      <c r="Y1993" s="533"/>
    </row>
    <row r="1994" spans="1:25" s="88" customFormat="1" hidden="1" x14ac:dyDescent="0.25">
      <c r="A1994" s="509"/>
      <c r="B1994" s="256"/>
      <c r="C1994" s="221"/>
      <c r="D1994" s="218"/>
      <c r="E1994" s="218"/>
      <c r="F1994" s="218"/>
      <c r="G1994" s="286"/>
      <c r="H1994" s="604"/>
      <c r="I1994" s="605"/>
      <c r="J1994" s="605"/>
      <c r="K1994" s="533"/>
      <c r="L1994" s="533"/>
      <c r="M1994" s="533"/>
      <c r="N1994" s="268"/>
      <c r="O1994" s="533"/>
      <c r="P1994" s="533"/>
      <c r="Q1994" s="533"/>
      <c r="R1994" s="533"/>
      <c r="S1994" s="533"/>
      <c r="T1994" s="533"/>
      <c r="U1994" s="533"/>
      <c r="V1994" s="533"/>
      <c r="W1994" s="533"/>
      <c r="X1994" s="533"/>
      <c r="Y1994" s="533"/>
    </row>
    <row r="1995" spans="1:25" s="88" customFormat="1" hidden="1" x14ac:dyDescent="0.25">
      <c r="A1995" s="509"/>
      <c r="B1995" s="256"/>
      <c r="C1995" s="221"/>
      <c r="D1995" s="218"/>
      <c r="E1995" s="218"/>
      <c r="F1995" s="218"/>
      <c r="G1995" s="286"/>
      <c r="H1995" s="604"/>
      <c r="I1995" s="605"/>
      <c r="J1995" s="605"/>
      <c r="K1995" s="533"/>
      <c r="L1995" s="533"/>
      <c r="M1995" s="533"/>
      <c r="N1995" s="268"/>
      <c r="O1995" s="533"/>
      <c r="P1995" s="533"/>
      <c r="Q1995" s="533"/>
      <c r="R1995" s="533"/>
      <c r="S1995" s="533"/>
      <c r="T1995" s="533"/>
      <c r="U1995" s="533"/>
      <c r="V1995" s="533"/>
      <c r="W1995" s="533"/>
      <c r="X1995" s="533"/>
      <c r="Y1995" s="533"/>
    </row>
    <row r="1996" spans="1:25" s="88" customFormat="1" hidden="1" x14ac:dyDescent="0.25">
      <c r="A1996" s="509"/>
      <c r="B1996" s="256"/>
      <c r="C1996" s="221"/>
      <c r="D1996" s="218"/>
      <c r="E1996" s="218"/>
      <c r="F1996" s="218"/>
      <c r="G1996" s="286"/>
      <c r="H1996" s="604"/>
      <c r="I1996" s="605"/>
      <c r="J1996" s="605"/>
      <c r="K1996" s="533"/>
      <c r="L1996" s="533"/>
      <c r="M1996" s="533"/>
      <c r="N1996" s="268"/>
      <c r="O1996" s="533"/>
      <c r="P1996" s="533"/>
      <c r="Q1996" s="533"/>
      <c r="R1996" s="533"/>
      <c r="S1996" s="533"/>
      <c r="T1996" s="533"/>
      <c r="U1996" s="533"/>
      <c r="V1996" s="533"/>
      <c r="W1996" s="533"/>
      <c r="X1996" s="533"/>
      <c r="Y1996" s="533"/>
    </row>
    <row r="1997" spans="1:25" s="88" customFormat="1" hidden="1" x14ac:dyDescent="0.25">
      <c r="A1997" s="509"/>
      <c r="B1997" s="256"/>
      <c r="C1997" s="221"/>
      <c r="D1997" s="218"/>
      <c r="E1997" s="218"/>
      <c r="F1997" s="218"/>
      <c r="G1997" s="286"/>
      <c r="H1997" s="604"/>
      <c r="I1997" s="605"/>
      <c r="J1997" s="605"/>
      <c r="K1997" s="533"/>
      <c r="L1997" s="533"/>
      <c r="M1997" s="533"/>
      <c r="N1997" s="268"/>
      <c r="O1997" s="533"/>
      <c r="P1997" s="533"/>
      <c r="Q1997" s="533"/>
      <c r="R1997" s="533"/>
      <c r="S1997" s="533"/>
      <c r="T1997" s="533"/>
      <c r="U1997" s="533"/>
      <c r="V1997" s="533"/>
      <c r="W1997" s="533"/>
      <c r="X1997" s="533"/>
      <c r="Y1997" s="533"/>
    </row>
    <row r="1998" spans="1:25" s="88" customFormat="1" hidden="1" x14ac:dyDescent="0.25">
      <c r="A1998" s="509"/>
      <c r="B1998" s="256"/>
      <c r="C1998" s="221"/>
      <c r="D1998" s="218"/>
      <c r="E1998" s="218"/>
      <c r="F1998" s="218"/>
      <c r="G1998" s="286"/>
      <c r="H1998" s="604"/>
      <c r="I1998" s="605"/>
      <c r="J1998" s="605"/>
      <c r="K1998" s="533"/>
      <c r="L1998" s="533"/>
      <c r="M1998" s="533"/>
      <c r="N1998" s="268"/>
      <c r="O1998" s="533"/>
      <c r="P1998" s="533"/>
      <c r="Q1998" s="533"/>
      <c r="R1998" s="533"/>
      <c r="S1998" s="533"/>
      <c r="T1998" s="533"/>
      <c r="U1998" s="533"/>
      <c r="V1998" s="533"/>
      <c r="W1998" s="533"/>
      <c r="X1998" s="533"/>
      <c r="Y1998" s="533"/>
    </row>
    <row r="1999" spans="1:25" s="88" customFormat="1" hidden="1" x14ac:dyDescent="0.25">
      <c r="A1999" s="509"/>
      <c r="B1999" s="256"/>
      <c r="C1999" s="221"/>
      <c r="D1999" s="218"/>
      <c r="E1999" s="218"/>
      <c r="F1999" s="218"/>
      <c r="G1999" s="286"/>
      <c r="H1999" s="604"/>
      <c r="I1999" s="605"/>
      <c r="J1999" s="605"/>
      <c r="K1999" s="533"/>
      <c r="L1999" s="533"/>
      <c r="M1999" s="533"/>
      <c r="N1999" s="268"/>
      <c r="O1999" s="533"/>
      <c r="P1999" s="533"/>
      <c r="Q1999" s="533"/>
      <c r="R1999" s="533"/>
      <c r="S1999" s="533"/>
      <c r="T1999" s="533"/>
      <c r="U1999" s="533"/>
      <c r="V1999" s="533"/>
      <c r="W1999" s="533"/>
      <c r="X1999" s="533"/>
      <c r="Y1999" s="533"/>
    </row>
    <row r="2000" spans="1:25" s="88" customFormat="1" hidden="1" x14ac:dyDescent="0.25">
      <c r="A2000" s="509"/>
      <c r="B2000" s="256"/>
      <c r="C2000" s="221"/>
      <c r="D2000" s="218"/>
      <c r="E2000" s="218"/>
      <c r="F2000" s="218"/>
      <c r="G2000" s="286"/>
      <c r="H2000" s="604"/>
      <c r="I2000" s="605"/>
      <c r="J2000" s="605"/>
      <c r="K2000" s="533"/>
      <c r="L2000" s="533"/>
      <c r="M2000" s="533"/>
      <c r="N2000" s="268"/>
      <c r="O2000" s="533"/>
      <c r="P2000" s="533"/>
      <c r="Q2000" s="533"/>
      <c r="R2000" s="533"/>
      <c r="S2000" s="533"/>
      <c r="T2000" s="533"/>
      <c r="U2000" s="533"/>
      <c r="V2000" s="533"/>
      <c r="W2000" s="533"/>
      <c r="X2000" s="533"/>
      <c r="Y2000" s="533"/>
    </row>
    <row r="2001" spans="1:25" s="88" customFormat="1" hidden="1" x14ac:dyDescent="0.25">
      <c r="A2001" s="509"/>
      <c r="B2001" s="256"/>
      <c r="C2001" s="221"/>
      <c r="D2001" s="218"/>
      <c r="E2001" s="218"/>
      <c r="F2001" s="218"/>
      <c r="G2001" s="286"/>
      <c r="H2001" s="604"/>
      <c r="I2001" s="605"/>
      <c r="J2001" s="605"/>
      <c r="K2001" s="533"/>
      <c r="L2001" s="533"/>
      <c r="M2001" s="533"/>
      <c r="N2001" s="268"/>
      <c r="O2001" s="533"/>
      <c r="P2001" s="533"/>
      <c r="Q2001" s="533"/>
      <c r="R2001" s="533"/>
      <c r="S2001" s="533"/>
      <c r="T2001" s="533"/>
      <c r="U2001" s="533"/>
      <c r="V2001" s="533"/>
      <c r="W2001" s="533"/>
      <c r="X2001" s="533"/>
      <c r="Y2001" s="533"/>
    </row>
    <row r="2002" spans="1:25" s="88" customFormat="1" hidden="1" x14ac:dyDescent="0.25">
      <c r="A2002" s="509"/>
      <c r="B2002" s="256"/>
      <c r="C2002" s="221"/>
      <c r="D2002" s="218"/>
      <c r="E2002" s="218"/>
      <c r="F2002" s="218"/>
      <c r="G2002" s="286"/>
      <c r="H2002" s="604"/>
      <c r="I2002" s="605"/>
      <c r="J2002" s="605"/>
      <c r="K2002" s="533"/>
      <c r="L2002" s="533"/>
      <c r="M2002" s="533"/>
      <c r="N2002" s="268"/>
      <c r="O2002" s="533"/>
      <c r="P2002" s="533"/>
      <c r="Q2002" s="533"/>
      <c r="R2002" s="533"/>
      <c r="S2002" s="533"/>
      <c r="T2002" s="533"/>
      <c r="U2002" s="533"/>
      <c r="V2002" s="533"/>
      <c r="W2002" s="533"/>
      <c r="X2002" s="533"/>
      <c r="Y2002" s="533"/>
    </row>
    <row r="2003" spans="1:25" s="88" customFormat="1" hidden="1" x14ac:dyDescent="0.25">
      <c r="A2003" s="509"/>
      <c r="B2003" s="256"/>
      <c r="C2003" s="221"/>
      <c r="D2003" s="218"/>
      <c r="E2003" s="218"/>
      <c r="F2003" s="218"/>
      <c r="G2003" s="286"/>
      <c r="H2003" s="604"/>
      <c r="I2003" s="605"/>
      <c r="J2003" s="605"/>
      <c r="K2003" s="533"/>
      <c r="L2003" s="533"/>
      <c r="M2003" s="533"/>
      <c r="N2003" s="268"/>
      <c r="O2003" s="533"/>
      <c r="P2003" s="533"/>
      <c r="Q2003" s="533"/>
      <c r="R2003" s="533"/>
      <c r="S2003" s="533"/>
      <c r="T2003" s="533"/>
      <c r="U2003" s="533"/>
      <c r="V2003" s="533"/>
      <c r="W2003" s="533"/>
      <c r="X2003" s="533"/>
      <c r="Y2003" s="533"/>
    </row>
    <row r="2004" spans="1:25" s="88" customFormat="1" hidden="1" x14ac:dyDescent="0.25">
      <c r="A2004" s="509"/>
      <c r="B2004" s="256"/>
      <c r="C2004" s="221"/>
      <c r="D2004" s="218"/>
      <c r="E2004" s="218"/>
      <c r="F2004" s="218"/>
      <c r="G2004" s="286"/>
      <c r="H2004" s="604"/>
      <c r="I2004" s="605"/>
      <c r="J2004" s="605"/>
      <c r="K2004" s="533"/>
      <c r="L2004" s="533"/>
      <c r="M2004" s="533"/>
      <c r="N2004" s="268"/>
      <c r="O2004" s="533"/>
      <c r="P2004" s="533"/>
      <c r="Q2004" s="533"/>
      <c r="R2004" s="533"/>
      <c r="S2004" s="533"/>
      <c r="T2004" s="533"/>
      <c r="U2004" s="533"/>
      <c r="V2004" s="533"/>
      <c r="W2004" s="533"/>
      <c r="X2004" s="533"/>
      <c r="Y2004" s="533"/>
    </row>
    <row r="2005" spans="1:25" s="88" customFormat="1" hidden="1" x14ac:dyDescent="0.25">
      <c r="A2005" s="509"/>
      <c r="B2005" s="256"/>
      <c r="C2005" s="221"/>
      <c r="D2005" s="218"/>
      <c r="E2005" s="218"/>
      <c r="F2005" s="218"/>
      <c r="G2005" s="286"/>
      <c r="H2005" s="604"/>
      <c r="I2005" s="605"/>
      <c r="J2005" s="605"/>
      <c r="K2005" s="533"/>
      <c r="L2005" s="533"/>
      <c r="M2005" s="533"/>
      <c r="N2005" s="268"/>
      <c r="O2005" s="533"/>
      <c r="P2005" s="533"/>
      <c r="Q2005" s="533"/>
      <c r="R2005" s="533"/>
      <c r="S2005" s="533"/>
      <c r="T2005" s="533"/>
      <c r="U2005" s="533"/>
      <c r="V2005" s="533"/>
      <c r="W2005" s="533"/>
      <c r="X2005" s="533"/>
      <c r="Y2005" s="533"/>
    </row>
    <row r="2006" spans="1:25" s="88" customFormat="1" hidden="1" x14ac:dyDescent="0.25">
      <c r="A2006" s="509"/>
      <c r="B2006" s="256"/>
      <c r="C2006" s="221"/>
      <c r="D2006" s="218"/>
      <c r="E2006" s="218"/>
      <c r="F2006" s="218"/>
      <c r="G2006" s="286"/>
      <c r="H2006" s="604"/>
      <c r="I2006" s="605"/>
      <c r="J2006" s="605"/>
      <c r="K2006" s="533"/>
      <c r="L2006" s="533"/>
      <c r="M2006" s="533"/>
      <c r="N2006" s="268"/>
      <c r="O2006" s="533"/>
      <c r="P2006" s="533"/>
      <c r="Q2006" s="533"/>
      <c r="R2006" s="533"/>
      <c r="S2006" s="533"/>
      <c r="T2006" s="533"/>
      <c r="U2006" s="533"/>
      <c r="V2006" s="533"/>
      <c r="W2006" s="533"/>
      <c r="X2006" s="533"/>
      <c r="Y2006" s="533"/>
    </row>
    <row r="2007" spans="1:25" s="88" customFormat="1" hidden="1" x14ac:dyDescent="0.25">
      <c r="A2007" s="509"/>
      <c r="B2007" s="256"/>
      <c r="C2007" s="221"/>
      <c r="D2007" s="218"/>
      <c r="E2007" s="218"/>
      <c r="F2007" s="218"/>
      <c r="G2007" s="286"/>
      <c r="H2007" s="604"/>
      <c r="I2007" s="605"/>
      <c r="J2007" s="605"/>
      <c r="K2007" s="533"/>
      <c r="L2007" s="533"/>
      <c r="M2007" s="533"/>
      <c r="N2007" s="268"/>
      <c r="O2007" s="533"/>
      <c r="P2007" s="533"/>
      <c r="Q2007" s="533"/>
      <c r="R2007" s="533"/>
      <c r="S2007" s="533"/>
      <c r="T2007" s="533"/>
      <c r="U2007" s="533"/>
      <c r="V2007" s="533"/>
      <c r="W2007" s="533"/>
      <c r="X2007" s="533"/>
      <c r="Y2007" s="533"/>
    </row>
    <row r="2008" spans="1:25" s="88" customFormat="1" hidden="1" x14ac:dyDescent="0.25">
      <c r="A2008" s="509"/>
      <c r="B2008" s="256"/>
      <c r="C2008" s="221"/>
      <c r="D2008" s="218"/>
      <c r="E2008" s="218"/>
      <c r="F2008" s="218"/>
      <c r="G2008" s="286"/>
      <c r="H2008" s="604"/>
      <c r="I2008" s="605"/>
      <c r="J2008" s="605"/>
      <c r="K2008" s="533"/>
      <c r="L2008" s="533"/>
      <c r="M2008" s="533"/>
      <c r="N2008" s="268"/>
      <c r="O2008" s="533"/>
      <c r="P2008" s="533"/>
      <c r="Q2008" s="533"/>
      <c r="R2008" s="533"/>
      <c r="S2008" s="533"/>
      <c r="T2008" s="533"/>
      <c r="U2008" s="533"/>
      <c r="V2008" s="533"/>
      <c r="W2008" s="533"/>
      <c r="X2008" s="533"/>
      <c r="Y2008" s="533"/>
    </row>
    <row r="2009" spans="1:25" s="88" customFormat="1" hidden="1" x14ac:dyDescent="0.25">
      <c r="A2009" s="509"/>
      <c r="B2009" s="256"/>
      <c r="C2009" s="221"/>
      <c r="D2009" s="218"/>
      <c r="E2009" s="218"/>
      <c r="F2009" s="218"/>
      <c r="G2009" s="286"/>
      <c r="H2009" s="604"/>
      <c r="I2009" s="605"/>
      <c r="J2009" s="605"/>
      <c r="K2009" s="533"/>
      <c r="L2009" s="533"/>
      <c r="M2009" s="533"/>
      <c r="N2009" s="268"/>
      <c r="O2009" s="533"/>
      <c r="P2009" s="533"/>
      <c r="Q2009" s="533"/>
      <c r="R2009" s="533"/>
      <c r="S2009" s="533"/>
      <c r="T2009" s="533"/>
      <c r="U2009" s="533"/>
      <c r="V2009" s="533"/>
      <c r="W2009" s="533"/>
      <c r="X2009" s="533"/>
      <c r="Y2009" s="533"/>
    </row>
    <row r="2010" spans="1:25" s="88" customFormat="1" hidden="1" x14ac:dyDescent="0.25">
      <c r="A2010" s="509"/>
      <c r="B2010" s="256"/>
      <c r="C2010" s="221"/>
      <c r="D2010" s="218"/>
      <c r="E2010" s="218"/>
      <c r="F2010" s="218"/>
      <c r="G2010" s="286"/>
      <c r="H2010" s="604"/>
      <c r="I2010" s="605"/>
      <c r="J2010" s="605"/>
      <c r="K2010" s="533"/>
      <c r="L2010" s="533"/>
      <c r="M2010" s="533"/>
      <c r="N2010" s="268"/>
      <c r="O2010" s="533"/>
      <c r="P2010" s="533"/>
      <c r="Q2010" s="533"/>
      <c r="R2010" s="533"/>
      <c r="S2010" s="533"/>
      <c r="T2010" s="533"/>
      <c r="U2010" s="533"/>
      <c r="V2010" s="533"/>
      <c r="W2010" s="533"/>
      <c r="X2010" s="533"/>
      <c r="Y2010" s="533"/>
    </row>
    <row r="2011" spans="1:25" s="88" customFormat="1" hidden="1" x14ac:dyDescent="0.25">
      <c r="A2011" s="509"/>
      <c r="B2011" s="256"/>
      <c r="C2011" s="221"/>
      <c r="D2011" s="218"/>
      <c r="E2011" s="218"/>
      <c r="F2011" s="218"/>
      <c r="G2011" s="286"/>
      <c r="H2011" s="604"/>
      <c r="I2011" s="605"/>
      <c r="J2011" s="605"/>
      <c r="K2011" s="533"/>
      <c r="L2011" s="533"/>
      <c r="M2011" s="533"/>
      <c r="N2011" s="268"/>
      <c r="O2011" s="533"/>
      <c r="P2011" s="533"/>
      <c r="Q2011" s="533"/>
      <c r="R2011" s="533"/>
      <c r="S2011" s="533"/>
      <c r="T2011" s="533"/>
      <c r="U2011" s="533"/>
      <c r="V2011" s="533"/>
      <c r="W2011" s="533"/>
      <c r="X2011" s="533"/>
      <c r="Y2011" s="533"/>
    </row>
    <row r="2012" spans="1:25" s="88" customFormat="1" hidden="1" x14ac:dyDescent="0.25">
      <c r="A2012" s="509"/>
      <c r="B2012" s="256"/>
      <c r="C2012" s="221"/>
      <c r="D2012" s="218"/>
      <c r="E2012" s="218"/>
      <c r="F2012" s="218"/>
      <c r="G2012" s="286"/>
      <c r="H2012" s="604"/>
      <c r="I2012" s="605"/>
      <c r="J2012" s="605"/>
      <c r="K2012" s="533"/>
      <c r="L2012" s="533"/>
      <c r="M2012" s="533"/>
      <c r="N2012" s="268"/>
      <c r="O2012" s="533"/>
      <c r="P2012" s="533"/>
      <c r="Q2012" s="533"/>
      <c r="R2012" s="533"/>
      <c r="S2012" s="533"/>
      <c r="T2012" s="533"/>
      <c r="U2012" s="533"/>
      <c r="V2012" s="533"/>
      <c r="W2012" s="533"/>
      <c r="X2012" s="533"/>
      <c r="Y2012" s="533"/>
    </row>
    <row r="2013" spans="1:25" s="88" customFormat="1" hidden="1" x14ac:dyDescent="0.25">
      <c r="A2013" s="509"/>
      <c r="B2013" s="256"/>
      <c r="C2013" s="221"/>
      <c r="D2013" s="218"/>
      <c r="E2013" s="218"/>
      <c r="F2013" s="218"/>
      <c r="G2013" s="286"/>
      <c r="H2013" s="604"/>
      <c r="I2013" s="605"/>
      <c r="J2013" s="605"/>
      <c r="K2013" s="533"/>
      <c r="L2013" s="533"/>
      <c r="M2013" s="533"/>
      <c r="N2013" s="268"/>
      <c r="O2013" s="533"/>
      <c r="P2013" s="533"/>
      <c r="Q2013" s="533"/>
      <c r="R2013" s="533"/>
      <c r="S2013" s="533"/>
      <c r="T2013" s="533"/>
      <c r="U2013" s="533"/>
      <c r="V2013" s="533"/>
      <c r="W2013" s="533"/>
      <c r="X2013" s="533"/>
      <c r="Y2013" s="533"/>
    </row>
    <row r="2014" spans="1:25" s="88" customFormat="1" hidden="1" x14ac:dyDescent="0.25">
      <c r="A2014" s="509"/>
      <c r="B2014" s="256"/>
      <c r="C2014" s="221"/>
      <c r="D2014" s="218"/>
      <c r="E2014" s="218"/>
      <c r="F2014" s="218"/>
      <c r="G2014" s="286"/>
      <c r="H2014" s="604"/>
      <c r="I2014" s="605"/>
      <c r="J2014" s="605"/>
      <c r="K2014" s="533"/>
      <c r="L2014" s="533"/>
      <c r="M2014" s="533"/>
      <c r="N2014" s="268"/>
      <c r="O2014" s="533"/>
      <c r="P2014" s="533"/>
      <c r="Q2014" s="533"/>
      <c r="R2014" s="533"/>
      <c r="S2014" s="533"/>
      <c r="T2014" s="533"/>
      <c r="U2014" s="533"/>
      <c r="V2014" s="533"/>
      <c r="W2014" s="533"/>
      <c r="X2014" s="533"/>
      <c r="Y2014" s="533"/>
    </row>
    <row r="2015" spans="1:25" s="88" customFormat="1" hidden="1" x14ac:dyDescent="0.25">
      <c r="A2015" s="509"/>
      <c r="B2015" s="256"/>
      <c r="C2015" s="221"/>
      <c r="D2015" s="218"/>
      <c r="E2015" s="218"/>
      <c r="F2015" s="218"/>
      <c r="G2015" s="286"/>
      <c r="H2015" s="604"/>
      <c r="I2015" s="605"/>
      <c r="J2015" s="605"/>
      <c r="K2015" s="533"/>
      <c r="L2015" s="533"/>
      <c r="M2015" s="533"/>
      <c r="N2015" s="268"/>
      <c r="O2015" s="533"/>
      <c r="P2015" s="533"/>
      <c r="Q2015" s="533"/>
      <c r="R2015" s="533"/>
      <c r="S2015" s="533"/>
      <c r="T2015" s="533"/>
      <c r="U2015" s="533"/>
      <c r="V2015" s="533"/>
      <c r="W2015" s="533"/>
      <c r="X2015" s="533"/>
      <c r="Y2015" s="533"/>
    </row>
    <row r="2016" spans="1:25" s="88" customFormat="1" hidden="1" x14ac:dyDescent="0.25">
      <c r="A2016" s="509"/>
      <c r="B2016" s="256"/>
      <c r="C2016" s="221"/>
      <c r="D2016" s="218"/>
      <c r="E2016" s="218"/>
      <c r="F2016" s="218"/>
      <c r="G2016" s="286"/>
      <c r="H2016" s="604"/>
      <c r="I2016" s="605"/>
      <c r="J2016" s="605"/>
      <c r="K2016" s="533"/>
      <c r="L2016" s="533"/>
      <c r="M2016" s="533"/>
      <c r="N2016" s="268"/>
      <c r="O2016" s="533"/>
      <c r="P2016" s="533"/>
      <c r="Q2016" s="533"/>
      <c r="R2016" s="533"/>
      <c r="S2016" s="533"/>
      <c r="T2016" s="533"/>
      <c r="U2016" s="533"/>
      <c r="V2016" s="533"/>
      <c r="W2016" s="533"/>
      <c r="X2016" s="533"/>
      <c r="Y2016" s="533"/>
    </row>
    <row r="2017" spans="1:25" s="88" customFormat="1" hidden="1" x14ac:dyDescent="0.25">
      <c r="A2017" s="509"/>
      <c r="B2017" s="256"/>
      <c r="C2017" s="221"/>
      <c r="D2017" s="218"/>
      <c r="E2017" s="218"/>
      <c r="F2017" s="218"/>
      <c r="G2017" s="286"/>
      <c r="H2017" s="604"/>
      <c r="I2017" s="605"/>
      <c r="J2017" s="605"/>
      <c r="K2017" s="533"/>
      <c r="L2017" s="533"/>
      <c r="M2017" s="533"/>
      <c r="N2017" s="268"/>
      <c r="O2017" s="533"/>
      <c r="P2017" s="533"/>
      <c r="Q2017" s="533"/>
      <c r="R2017" s="533"/>
      <c r="S2017" s="533"/>
      <c r="T2017" s="533"/>
      <c r="U2017" s="533"/>
      <c r="V2017" s="533"/>
      <c r="W2017" s="533"/>
      <c r="X2017" s="533"/>
      <c r="Y2017" s="533"/>
    </row>
    <row r="2018" spans="1:25" s="88" customFormat="1" hidden="1" x14ac:dyDescent="0.25">
      <c r="A2018" s="509"/>
      <c r="B2018" s="256"/>
      <c r="C2018" s="221"/>
      <c r="D2018" s="218"/>
      <c r="E2018" s="218"/>
      <c r="F2018" s="218"/>
      <c r="G2018" s="286"/>
      <c r="H2018" s="604"/>
      <c r="I2018" s="605"/>
      <c r="J2018" s="605"/>
      <c r="K2018" s="533"/>
      <c r="L2018" s="533"/>
      <c r="M2018" s="533"/>
      <c r="N2018" s="268"/>
      <c r="O2018" s="533"/>
      <c r="P2018" s="533"/>
      <c r="Q2018" s="533"/>
      <c r="R2018" s="533"/>
      <c r="S2018" s="533"/>
      <c r="T2018" s="533"/>
      <c r="U2018" s="533"/>
      <c r="V2018" s="533"/>
      <c r="W2018" s="533"/>
      <c r="X2018" s="533"/>
      <c r="Y2018" s="533"/>
    </row>
    <row r="2019" spans="1:25" s="88" customFormat="1" hidden="1" x14ac:dyDescent="0.25">
      <c r="A2019" s="509"/>
      <c r="B2019" s="256"/>
      <c r="C2019" s="221"/>
      <c r="D2019" s="218"/>
      <c r="E2019" s="218"/>
      <c r="F2019" s="218"/>
      <c r="G2019" s="286"/>
      <c r="H2019" s="604"/>
      <c r="I2019" s="605"/>
      <c r="J2019" s="605"/>
      <c r="K2019" s="533"/>
      <c r="L2019" s="533"/>
      <c r="M2019" s="533"/>
      <c r="N2019" s="268"/>
      <c r="O2019" s="533"/>
      <c r="P2019" s="533"/>
      <c r="Q2019" s="533"/>
      <c r="R2019" s="533"/>
      <c r="S2019" s="533"/>
      <c r="T2019" s="533"/>
      <c r="U2019" s="533"/>
      <c r="V2019" s="533"/>
      <c r="W2019" s="533"/>
      <c r="X2019" s="533"/>
      <c r="Y2019" s="533"/>
    </row>
    <row r="2020" spans="1:25" s="88" customFormat="1" hidden="1" x14ac:dyDescent="0.25">
      <c r="A2020" s="509"/>
      <c r="B2020" s="256"/>
      <c r="C2020" s="221"/>
      <c r="D2020" s="218"/>
      <c r="E2020" s="218"/>
      <c r="F2020" s="218"/>
      <c r="G2020" s="286"/>
      <c r="H2020" s="604"/>
      <c r="I2020" s="605"/>
      <c r="J2020" s="605"/>
      <c r="K2020" s="533"/>
      <c r="L2020" s="533"/>
      <c r="M2020" s="533"/>
      <c r="N2020" s="268"/>
      <c r="O2020" s="533"/>
      <c r="P2020" s="533"/>
      <c r="Q2020" s="533"/>
      <c r="R2020" s="533"/>
      <c r="S2020" s="533"/>
      <c r="T2020" s="533"/>
      <c r="U2020" s="533"/>
      <c r="V2020" s="533"/>
      <c r="W2020" s="533"/>
      <c r="X2020" s="533"/>
      <c r="Y2020" s="533"/>
    </row>
    <row r="2021" spans="1:25" s="88" customFormat="1" hidden="1" x14ac:dyDescent="0.25">
      <c r="A2021" s="509"/>
      <c r="B2021" s="256"/>
      <c r="C2021" s="221"/>
      <c r="D2021" s="218"/>
      <c r="E2021" s="218"/>
      <c r="F2021" s="218"/>
      <c r="G2021" s="286"/>
      <c r="H2021" s="604"/>
      <c r="I2021" s="605"/>
      <c r="J2021" s="605"/>
      <c r="K2021" s="533"/>
      <c r="L2021" s="533"/>
      <c r="M2021" s="533"/>
      <c r="N2021" s="268"/>
      <c r="O2021" s="533"/>
      <c r="P2021" s="533"/>
      <c r="Q2021" s="533"/>
      <c r="R2021" s="533"/>
      <c r="S2021" s="533"/>
      <c r="T2021" s="533"/>
      <c r="U2021" s="533"/>
      <c r="V2021" s="533"/>
      <c r="W2021" s="533"/>
      <c r="X2021" s="533"/>
      <c r="Y2021" s="533"/>
    </row>
    <row r="2022" spans="1:25" s="88" customFormat="1" hidden="1" x14ac:dyDescent="0.25">
      <c r="A2022" s="509"/>
      <c r="B2022" s="256"/>
      <c r="C2022" s="221"/>
      <c r="D2022" s="218"/>
      <c r="E2022" s="218"/>
      <c r="F2022" s="218"/>
      <c r="G2022" s="286"/>
      <c r="H2022" s="604"/>
      <c r="I2022" s="605"/>
      <c r="J2022" s="605"/>
      <c r="K2022" s="533"/>
      <c r="L2022" s="533"/>
      <c r="M2022" s="533"/>
      <c r="N2022" s="268"/>
      <c r="O2022" s="533"/>
      <c r="P2022" s="533"/>
      <c r="Q2022" s="533"/>
      <c r="R2022" s="533"/>
      <c r="S2022" s="533"/>
      <c r="T2022" s="533"/>
      <c r="U2022" s="533"/>
      <c r="V2022" s="533"/>
      <c r="W2022" s="533"/>
      <c r="X2022" s="533"/>
      <c r="Y2022" s="533"/>
    </row>
    <row r="2023" spans="1:25" s="88" customFormat="1" hidden="1" x14ac:dyDescent="0.25">
      <c r="A2023" s="509"/>
      <c r="B2023" s="256"/>
      <c r="C2023" s="221"/>
      <c r="D2023" s="218"/>
      <c r="E2023" s="218"/>
      <c r="F2023" s="218"/>
      <c r="G2023" s="286"/>
      <c r="H2023" s="604"/>
      <c r="I2023" s="605"/>
      <c r="J2023" s="605"/>
      <c r="K2023" s="533"/>
      <c r="L2023" s="533"/>
      <c r="M2023" s="533"/>
      <c r="N2023" s="268"/>
      <c r="O2023" s="533"/>
      <c r="P2023" s="533"/>
      <c r="Q2023" s="533"/>
      <c r="R2023" s="533"/>
      <c r="S2023" s="533"/>
      <c r="T2023" s="533"/>
      <c r="U2023" s="533"/>
      <c r="V2023" s="533"/>
      <c r="W2023" s="533"/>
      <c r="X2023" s="533"/>
      <c r="Y2023" s="533"/>
    </row>
    <row r="2024" spans="1:25" s="88" customFormat="1" hidden="1" x14ac:dyDescent="0.25">
      <c r="A2024" s="509"/>
      <c r="B2024" s="256"/>
      <c r="C2024" s="221"/>
      <c r="D2024" s="218"/>
      <c r="E2024" s="218"/>
      <c r="F2024" s="218"/>
      <c r="G2024" s="286"/>
      <c r="H2024" s="604"/>
      <c r="I2024" s="605"/>
      <c r="J2024" s="605"/>
      <c r="K2024" s="533"/>
      <c r="L2024" s="533"/>
      <c r="M2024" s="533"/>
      <c r="N2024" s="268"/>
      <c r="O2024" s="533"/>
      <c r="P2024" s="533"/>
      <c r="Q2024" s="533"/>
      <c r="R2024" s="533"/>
      <c r="S2024" s="533"/>
      <c r="T2024" s="533"/>
      <c r="U2024" s="533"/>
      <c r="V2024" s="533"/>
      <c r="W2024" s="533"/>
      <c r="X2024" s="533"/>
      <c r="Y2024" s="533"/>
    </row>
    <row r="2025" spans="1:25" s="88" customFormat="1" hidden="1" x14ac:dyDescent="0.25">
      <c r="A2025" s="509"/>
      <c r="B2025" s="256"/>
      <c r="C2025" s="221"/>
      <c r="D2025" s="218"/>
      <c r="E2025" s="218"/>
      <c r="F2025" s="218"/>
      <c r="G2025" s="286"/>
      <c r="H2025" s="604"/>
      <c r="I2025" s="605"/>
      <c r="J2025" s="605"/>
      <c r="K2025" s="533"/>
      <c r="L2025" s="533"/>
      <c r="M2025" s="533"/>
      <c r="N2025" s="268"/>
      <c r="O2025" s="533"/>
      <c r="P2025" s="533"/>
      <c r="Q2025" s="533"/>
      <c r="R2025" s="533"/>
      <c r="S2025" s="533"/>
      <c r="T2025" s="533"/>
      <c r="U2025" s="533"/>
      <c r="V2025" s="533"/>
      <c r="W2025" s="533"/>
      <c r="X2025" s="533"/>
      <c r="Y2025" s="533"/>
    </row>
    <row r="2026" spans="1:25" s="88" customFormat="1" hidden="1" x14ac:dyDescent="0.25">
      <c r="A2026" s="509"/>
      <c r="B2026" s="256"/>
      <c r="C2026" s="221"/>
      <c r="D2026" s="218"/>
      <c r="E2026" s="218"/>
      <c r="F2026" s="218"/>
      <c r="G2026" s="286"/>
      <c r="H2026" s="604"/>
      <c r="I2026" s="605"/>
      <c r="J2026" s="605"/>
      <c r="K2026" s="533"/>
      <c r="L2026" s="533"/>
      <c r="M2026" s="533"/>
      <c r="N2026" s="268"/>
      <c r="O2026" s="533"/>
      <c r="P2026" s="533"/>
      <c r="Q2026" s="533"/>
      <c r="R2026" s="533"/>
      <c r="S2026" s="533"/>
      <c r="T2026" s="533"/>
      <c r="U2026" s="533"/>
      <c r="V2026" s="533"/>
      <c r="W2026" s="533"/>
      <c r="X2026" s="533"/>
      <c r="Y2026" s="533"/>
    </row>
    <row r="2027" spans="1:25" s="88" customFormat="1" hidden="1" x14ac:dyDescent="0.25">
      <c r="A2027" s="509"/>
      <c r="B2027" s="256"/>
      <c r="C2027" s="221"/>
      <c r="D2027" s="218"/>
      <c r="E2027" s="218"/>
      <c r="F2027" s="218"/>
      <c r="G2027" s="286"/>
      <c r="H2027" s="604"/>
      <c r="I2027" s="605"/>
      <c r="J2027" s="605"/>
      <c r="K2027" s="533"/>
      <c r="L2027" s="533"/>
      <c r="M2027" s="533"/>
      <c r="N2027" s="268"/>
      <c r="O2027" s="533"/>
      <c r="P2027" s="533"/>
      <c r="Q2027" s="533"/>
      <c r="R2027" s="533"/>
      <c r="S2027" s="533"/>
      <c r="T2027" s="533"/>
      <c r="U2027" s="533"/>
      <c r="V2027" s="533"/>
      <c r="W2027" s="533"/>
      <c r="X2027" s="533"/>
      <c r="Y2027" s="533"/>
    </row>
    <row r="2028" spans="1:25" s="88" customFormat="1" hidden="1" x14ac:dyDescent="0.25">
      <c r="A2028" s="509"/>
      <c r="B2028" s="256"/>
      <c r="C2028" s="221"/>
      <c r="D2028" s="218"/>
      <c r="E2028" s="218"/>
      <c r="F2028" s="218"/>
      <c r="G2028" s="286"/>
      <c r="H2028" s="604"/>
      <c r="I2028" s="605"/>
      <c r="J2028" s="605"/>
      <c r="K2028" s="533"/>
      <c r="L2028" s="533"/>
      <c r="M2028" s="533"/>
      <c r="N2028" s="268"/>
      <c r="O2028" s="533"/>
      <c r="P2028" s="533"/>
      <c r="Q2028" s="533"/>
      <c r="R2028" s="533"/>
      <c r="S2028" s="533"/>
      <c r="T2028" s="533"/>
      <c r="U2028" s="533"/>
      <c r="V2028" s="533"/>
      <c r="W2028" s="533"/>
      <c r="X2028" s="533"/>
      <c r="Y2028" s="533"/>
    </row>
    <row r="2029" spans="1:25" s="88" customFormat="1" hidden="1" x14ac:dyDescent="0.25">
      <c r="A2029" s="509"/>
      <c r="B2029" s="256"/>
      <c r="C2029" s="221"/>
      <c r="D2029" s="218"/>
      <c r="E2029" s="218"/>
      <c r="F2029" s="218"/>
      <c r="G2029" s="286"/>
      <c r="H2029" s="604"/>
      <c r="I2029" s="605"/>
      <c r="J2029" s="605"/>
      <c r="K2029" s="533"/>
      <c r="L2029" s="533"/>
      <c r="M2029" s="533"/>
      <c r="N2029" s="268"/>
      <c r="O2029" s="533"/>
      <c r="P2029" s="533"/>
      <c r="Q2029" s="533"/>
      <c r="R2029" s="533"/>
      <c r="S2029" s="533"/>
      <c r="T2029" s="533"/>
      <c r="U2029" s="533"/>
      <c r="V2029" s="533"/>
      <c r="W2029" s="533"/>
      <c r="X2029" s="533"/>
      <c r="Y2029" s="533"/>
    </row>
    <row r="2030" spans="1:25" s="88" customFormat="1" hidden="1" x14ac:dyDescent="0.25">
      <c r="A2030" s="509"/>
      <c r="B2030" s="256"/>
      <c r="C2030" s="221"/>
      <c r="D2030" s="218"/>
      <c r="E2030" s="218"/>
      <c r="F2030" s="218"/>
      <c r="G2030" s="286"/>
      <c r="H2030" s="604"/>
      <c r="I2030" s="605"/>
      <c r="J2030" s="605"/>
      <c r="K2030" s="533"/>
      <c r="L2030" s="533"/>
      <c r="M2030" s="533"/>
      <c r="N2030" s="268"/>
      <c r="O2030" s="533"/>
      <c r="P2030" s="533"/>
      <c r="Q2030" s="533"/>
      <c r="R2030" s="533"/>
      <c r="S2030" s="533"/>
      <c r="T2030" s="533"/>
      <c r="U2030" s="533"/>
      <c r="V2030" s="533"/>
      <c r="W2030" s="533"/>
      <c r="X2030" s="533"/>
      <c r="Y2030" s="533"/>
    </row>
    <row r="2031" spans="1:25" s="88" customFormat="1" hidden="1" x14ac:dyDescent="0.25">
      <c r="A2031" s="509"/>
      <c r="B2031" s="256"/>
      <c r="C2031" s="221"/>
      <c r="D2031" s="218"/>
      <c r="E2031" s="218"/>
      <c r="F2031" s="218"/>
      <c r="G2031" s="286"/>
      <c r="H2031" s="604"/>
      <c r="I2031" s="605"/>
      <c r="J2031" s="605"/>
      <c r="K2031" s="533"/>
      <c r="L2031" s="533"/>
      <c r="M2031" s="533"/>
      <c r="N2031" s="268"/>
      <c r="O2031" s="533"/>
      <c r="P2031" s="533"/>
      <c r="Q2031" s="533"/>
      <c r="R2031" s="533"/>
      <c r="S2031" s="533"/>
      <c r="T2031" s="533"/>
      <c r="U2031" s="533"/>
      <c r="V2031" s="533"/>
      <c r="W2031" s="533"/>
      <c r="X2031" s="533"/>
      <c r="Y2031" s="533"/>
    </row>
    <row r="2032" spans="1:25" s="88" customFormat="1" hidden="1" x14ac:dyDescent="0.25">
      <c r="A2032" s="509"/>
      <c r="B2032" s="256"/>
      <c r="C2032" s="221"/>
      <c r="D2032" s="218"/>
      <c r="E2032" s="218"/>
      <c r="F2032" s="218"/>
      <c r="G2032" s="286"/>
      <c r="H2032" s="604"/>
      <c r="I2032" s="605"/>
      <c r="J2032" s="605"/>
      <c r="K2032" s="533"/>
      <c r="L2032" s="533"/>
      <c r="M2032" s="533"/>
      <c r="N2032" s="268"/>
      <c r="O2032" s="533"/>
      <c r="P2032" s="533"/>
      <c r="Q2032" s="533"/>
      <c r="R2032" s="533"/>
      <c r="S2032" s="533"/>
      <c r="T2032" s="533"/>
      <c r="U2032" s="533"/>
      <c r="V2032" s="533"/>
      <c r="W2032" s="533"/>
      <c r="X2032" s="533"/>
      <c r="Y2032" s="533"/>
    </row>
    <row r="2033" spans="1:25" s="88" customFormat="1" hidden="1" x14ac:dyDescent="0.25">
      <c r="A2033" s="509"/>
      <c r="B2033" s="256"/>
      <c r="C2033" s="221"/>
      <c r="D2033" s="218"/>
      <c r="E2033" s="218"/>
      <c r="F2033" s="218"/>
      <c r="G2033" s="286"/>
      <c r="H2033" s="604"/>
      <c r="I2033" s="605"/>
      <c r="J2033" s="605"/>
      <c r="K2033" s="533"/>
      <c r="L2033" s="533"/>
      <c r="M2033" s="533"/>
      <c r="N2033" s="268"/>
      <c r="O2033" s="533"/>
      <c r="P2033" s="533"/>
      <c r="Q2033" s="533"/>
      <c r="R2033" s="533"/>
      <c r="S2033" s="533"/>
      <c r="T2033" s="533"/>
      <c r="U2033" s="533"/>
      <c r="V2033" s="533"/>
      <c r="W2033" s="533"/>
      <c r="X2033" s="533"/>
      <c r="Y2033" s="533"/>
    </row>
    <row r="2034" spans="1:25" s="88" customFormat="1" hidden="1" x14ac:dyDescent="0.25">
      <c r="A2034" s="509"/>
      <c r="B2034" s="256"/>
      <c r="C2034" s="221"/>
      <c r="D2034" s="218"/>
      <c r="E2034" s="218"/>
      <c r="F2034" s="218"/>
      <c r="G2034" s="286"/>
      <c r="H2034" s="604"/>
      <c r="I2034" s="605"/>
      <c r="J2034" s="605"/>
      <c r="K2034" s="533"/>
      <c r="L2034" s="533"/>
      <c r="M2034" s="533"/>
      <c r="N2034" s="268"/>
      <c r="O2034" s="533"/>
      <c r="P2034" s="533"/>
      <c r="Q2034" s="533"/>
      <c r="R2034" s="533"/>
      <c r="S2034" s="533"/>
      <c r="T2034" s="533"/>
      <c r="U2034" s="533"/>
      <c r="V2034" s="533"/>
      <c r="W2034" s="533"/>
      <c r="X2034" s="533"/>
      <c r="Y2034" s="533"/>
    </row>
    <row r="2035" spans="1:25" s="88" customFormat="1" hidden="1" x14ac:dyDescent="0.25">
      <c r="A2035" s="509"/>
      <c r="B2035" s="256"/>
      <c r="C2035" s="221"/>
      <c r="D2035" s="218"/>
      <c r="E2035" s="218"/>
      <c r="F2035" s="218"/>
      <c r="G2035" s="286"/>
      <c r="H2035" s="604"/>
      <c r="I2035" s="605"/>
      <c r="J2035" s="605"/>
      <c r="K2035" s="533"/>
      <c r="L2035" s="533"/>
      <c r="M2035" s="533"/>
      <c r="N2035" s="268"/>
      <c r="O2035" s="533"/>
      <c r="P2035" s="533"/>
      <c r="Q2035" s="533"/>
      <c r="R2035" s="533"/>
      <c r="S2035" s="533"/>
      <c r="T2035" s="533"/>
      <c r="U2035" s="533"/>
      <c r="V2035" s="533"/>
      <c r="W2035" s="533"/>
      <c r="X2035" s="533"/>
      <c r="Y2035" s="533"/>
    </row>
    <row r="2036" spans="1:25" s="88" customFormat="1" hidden="1" x14ac:dyDescent="0.25">
      <c r="A2036" s="509"/>
      <c r="B2036" s="256"/>
      <c r="C2036" s="221"/>
      <c r="D2036" s="218"/>
      <c r="E2036" s="218"/>
      <c r="F2036" s="218"/>
      <c r="G2036" s="286"/>
      <c r="H2036" s="604"/>
      <c r="I2036" s="605"/>
      <c r="J2036" s="605"/>
      <c r="K2036" s="533"/>
      <c r="L2036" s="533"/>
      <c r="M2036" s="533"/>
      <c r="N2036" s="268"/>
      <c r="O2036" s="533"/>
      <c r="P2036" s="533"/>
      <c r="Q2036" s="533"/>
      <c r="R2036" s="533"/>
      <c r="S2036" s="533"/>
      <c r="T2036" s="533"/>
      <c r="U2036" s="533"/>
      <c r="V2036" s="533"/>
      <c r="W2036" s="533"/>
      <c r="X2036" s="533"/>
      <c r="Y2036" s="533"/>
    </row>
    <row r="2037" spans="1:25" s="88" customFormat="1" hidden="1" x14ac:dyDescent="0.25">
      <c r="A2037" s="509"/>
      <c r="B2037" s="256"/>
      <c r="C2037" s="221"/>
      <c r="D2037" s="218"/>
      <c r="E2037" s="218"/>
      <c r="F2037" s="218"/>
      <c r="G2037" s="286"/>
      <c r="H2037" s="604"/>
      <c r="I2037" s="605"/>
      <c r="J2037" s="605"/>
      <c r="K2037" s="533"/>
      <c r="L2037" s="533"/>
      <c r="M2037" s="533"/>
      <c r="N2037" s="268"/>
      <c r="O2037" s="533"/>
      <c r="P2037" s="533"/>
      <c r="Q2037" s="533"/>
      <c r="R2037" s="533"/>
      <c r="S2037" s="533"/>
      <c r="T2037" s="533"/>
      <c r="U2037" s="533"/>
      <c r="V2037" s="533"/>
      <c r="W2037" s="533"/>
      <c r="X2037" s="533"/>
      <c r="Y2037" s="533"/>
    </row>
    <row r="2038" spans="1:25" s="88" customFormat="1" hidden="1" x14ac:dyDescent="0.25">
      <c r="A2038" s="509"/>
      <c r="B2038" s="256"/>
      <c r="C2038" s="221"/>
      <c r="D2038" s="218"/>
      <c r="E2038" s="218"/>
      <c r="F2038" s="218"/>
      <c r="G2038" s="286"/>
      <c r="H2038" s="604"/>
      <c r="I2038" s="605"/>
      <c r="J2038" s="605"/>
      <c r="K2038" s="533"/>
      <c r="L2038" s="533"/>
      <c r="M2038" s="533"/>
      <c r="N2038" s="268"/>
      <c r="O2038" s="533"/>
      <c r="P2038" s="533"/>
      <c r="Q2038" s="533"/>
      <c r="R2038" s="533"/>
      <c r="S2038" s="533"/>
      <c r="T2038" s="533"/>
      <c r="U2038" s="533"/>
      <c r="V2038" s="533"/>
      <c r="W2038" s="533"/>
      <c r="X2038" s="533"/>
      <c r="Y2038" s="533"/>
    </row>
    <row r="2039" spans="1:25" s="88" customFormat="1" hidden="1" x14ac:dyDescent="0.25">
      <c r="A2039" s="509"/>
      <c r="B2039" s="256"/>
      <c r="C2039" s="221"/>
      <c r="D2039" s="218"/>
      <c r="E2039" s="218"/>
      <c r="F2039" s="218"/>
      <c r="G2039" s="286"/>
      <c r="H2039" s="604"/>
      <c r="I2039" s="605"/>
      <c r="J2039" s="605"/>
      <c r="K2039" s="533"/>
      <c r="L2039" s="533"/>
      <c r="M2039" s="533"/>
      <c r="N2039" s="268"/>
      <c r="O2039" s="533"/>
      <c r="P2039" s="533"/>
      <c r="Q2039" s="533"/>
      <c r="R2039" s="533"/>
      <c r="S2039" s="533"/>
      <c r="T2039" s="533"/>
      <c r="U2039" s="533"/>
      <c r="V2039" s="533"/>
      <c r="W2039" s="533"/>
      <c r="X2039" s="533"/>
      <c r="Y2039" s="533"/>
    </row>
    <row r="2040" spans="1:25" s="88" customFormat="1" hidden="1" x14ac:dyDescent="0.25">
      <c r="A2040" s="509"/>
      <c r="B2040" s="256"/>
      <c r="C2040" s="221"/>
      <c r="D2040" s="218"/>
      <c r="E2040" s="218"/>
      <c r="F2040" s="218"/>
      <c r="G2040" s="286"/>
      <c r="H2040" s="604"/>
      <c r="I2040" s="605"/>
      <c r="J2040" s="605"/>
      <c r="K2040" s="533"/>
      <c r="L2040" s="533"/>
      <c r="M2040" s="533"/>
      <c r="N2040" s="268"/>
      <c r="O2040" s="533"/>
      <c r="P2040" s="533"/>
      <c r="Q2040" s="533"/>
      <c r="R2040" s="533"/>
      <c r="S2040" s="533"/>
      <c r="T2040" s="533"/>
      <c r="U2040" s="533"/>
      <c r="V2040" s="533"/>
      <c r="W2040" s="533"/>
      <c r="X2040" s="533"/>
      <c r="Y2040" s="533"/>
    </row>
    <row r="2041" spans="1:25" s="88" customFormat="1" hidden="1" x14ac:dyDescent="0.25">
      <c r="A2041" s="509"/>
      <c r="B2041" s="256"/>
      <c r="C2041" s="221"/>
      <c r="D2041" s="218"/>
      <c r="E2041" s="218"/>
      <c r="F2041" s="218"/>
      <c r="G2041" s="286"/>
      <c r="H2041" s="604"/>
      <c r="I2041" s="605"/>
      <c r="J2041" s="605"/>
      <c r="K2041" s="533"/>
      <c r="L2041" s="533"/>
      <c r="M2041" s="533"/>
      <c r="N2041" s="268"/>
      <c r="O2041" s="533"/>
      <c r="P2041" s="533"/>
      <c r="Q2041" s="533"/>
      <c r="R2041" s="533"/>
      <c r="S2041" s="533"/>
      <c r="T2041" s="533"/>
      <c r="U2041" s="533"/>
      <c r="V2041" s="533"/>
      <c r="W2041" s="533"/>
      <c r="X2041" s="533"/>
      <c r="Y2041" s="533"/>
    </row>
    <row r="2042" spans="1:25" s="88" customFormat="1" hidden="1" x14ac:dyDescent="0.25">
      <c r="A2042" s="509"/>
      <c r="B2042" s="256"/>
      <c r="C2042" s="221"/>
      <c r="D2042" s="218"/>
      <c r="E2042" s="218"/>
      <c r="F2042" s="218"/>
      <c r="G2042" s="286"/>
      <c r="H2042" s="604"/>
      <c r="I2042" s="605"/>
      <c r="J2042" s="605"/>
      <c r="K2042" s="533"/>
      <c r="L2042" s="533"/>
      <c r="M2042" s="533"/>
      <c r="N2042" s="268"/>
      <c r="O2042" s="533"/>
      <c r="P2042" s="533"/>
      <c r="Q2042" s="533"/>
      <c r="R2042" s="533"/>
      <c r="S2042" s="533"/>
      <c r="T2042" s="533"/>
      <c r="U2042" s="533"/>
      <c r="V2042" s="533"/>
      <c r="W2042" s="533"/>
      <c r="X2042" s="533"/>
      <c r="Y2042" s="533"/>
    </row>
    <row r="2043" spans="1:25" s="88" customFormat="1" hidden="1" x14ac:dyDescent="0.25">
      <c r="A2043" s="509"/>
      <c r="B2043" s="256"/>
      <c r="C2043" s="221"/>
      <c r="D2043" s="218"/>
      <c r="E2043" s="218"/>
      <c r="F2043" s="218"/>
      <c r="G2043" s="286"/>
      <c r="H2043" s="604"/>
      <c r="I2043" s="605"/>
      <c r="J2043" s="605"/>
      <c r="K2043" s="533"/>
      <c r="L2043" s="533"/>
      <c r="M2043" s="533"/>
      <c r="N2043" s="268"/>
      <c r="O2043" s="533"/>
      <c r="P2043" s="533"/>
      <c r="Q2043" s="533"/>
      <c r="R2043" s="533"/>
      <c r="S2043" s="533"/>
      <c r="T2043" s="533"/>
      <c r="U2043" s="533"/>
      <c r="V2043" s="533"/>
      <c r="W2043" s="533"/>
      <c r="X2043" s="533"/>
      <c r="Y2043" s="533"/>
    </row>
    <row r="2044" spans="1:25" s="88" customFormat="1" hidden="1" x14ac:dyDescent="0.25">
      <c r="A2044" s="509"/>
      <c r="B2044" s="256"/>
      <c r="C2044" s="221"/>
      <c r="D2044" s="218"/>
      <c r="E2044" s="218"/>
      <c r="F2044" s="218"/>
      <c r="G2044" s="286"/>
      <c r="H2044" s="604"/>
      <c r="I2044" s="605"/>
      <c r="J2044" s="605"/>
      <c r="K2044" s="533"/>
      <c r="L2044" s="533"/>
      <c r="M2044" s="533"/>
      <c r="N2044" s="268"/>
      <c r="O2044" s="533"/>
      <c r="P2044" s="533"/>
      <c r="Q2044" s="533"/>
      <c r="R2044" s="533"/>
      <c r="S2044" s="533"/>
      <c r="T2044" s="533"/>
      <c r="U2044" s="533"/>
      <c r="V2044" s="533"/>
      <c r="W2044" s="533"/>
      <c r="X2044" s="533"/>
      <c r="Y2044" s="533"/>
    </row>
    <row r="2045" spans="1:25" s="88" customFormat="1" hidden="1" x14ac:dyDescent="0.25">
      <c r="A2045" s="509"/>
      <c r="B2045" s="256"/>
      <c r="C2045" s="221"/>
      <c r="D2045" s="218"/>
      <c r="E2045" s="218"/>
      <c r="F2045" s="218"/>
      <c r="G2045" s="286"/>
      <c r="H2045" s="604"/>
      <c r="I2045" s="605"/>
      <c r="J2045" s="605"/>
      <c r="K2045" s="533"/>
      <c r="L2045" s="533"/>
      <c r="M2045" s="533"/>
      <c r="N2045" s="268"/>
      <c r="O2045" s="533"/>
      <c r="P2045" s="533"/>
      <c r="Q2045" s="533"/>
      <c r="R2045" s="533"/>
      <c r="S2045" s="533"/>
      <c r="T2045" s="533"/>
      <c r="U2045" s="533"/>
      <c r="V2045" s="533"/>
      <c r="W2045" s="533"/>
      <c r="X2045" s="533"/>
      <c r="Y2045" s="533"/>
    </row>
    <row r="2046" spans="1:25" s="88" customFormat="1" hidden="1" x14ac:dyDescent="0.25">
      <c r="A2046" s="509"/>
      <c r="B2046" s="256"/>
      <c r="C2046" s="221"/>
      <c r="D2046" s="218"/>
      <c r="E2046" s="218"/>
      <c r="F2046" s="218"/>
      <c r="G2046" s="286"/>
      <c r="H2046" s="604"/>
      <c r="I2046" s="605"/>
      <c r="J2046" s="605"/>
      <c r="K2046" s="533"/>
      <c r="L2046" s="533"/>
      <c r="M2046" s="533"/>
      <c r="N2046" s="268"/>
      <c r="O2046" s="533"/>
      <c r="P2046" s="533"/>
      <c r="Q2046" s="533"/>
      <c r="R2046" s="533"/>
      <c r="S2046" s="533"/>
      <c r="T2046" s="533"/>
      <c r="U2046" s="533"/>
      <c r="V2046" s="533"/>
      <c r="W2046" s="533"/>
      <c r="X2046" s="533"/>
      <c r="Y2046" s="533"/>
    </row>
    <row r="2047" spans="1:25" s="88" customFormat="1" hidden="1" x14ac:dyDescent="0.25">
      <c r="A2047" s="509"/>
      <c r="B2047" s="256"/>
      <c r="C2047" s="221"/>
      <c r="D2047" s="218"/>
      <c r="E2047" s="218"/>
      <c r="F2047" s="218"/>
      <c r="G2047" s="286"/>
      <c r="H2047" s="604"/>
      <c r="I2047" s="605"/>
      <c r="J2047" s="605"/>
      <c r="K2047" s="533"/>
      <c r="L2047" s="533"/>
      <c r="M2047" s="533"/>
      <c r="N2047" s="268"/>
      <c r="O2047" s="533"/>
      <c r="P2047" s="533"/>
      <c r="Q2047" s="533"/>
      <c r="R2047" s="533"/>
      <c r="S2047" s="533"/>
      <c r="T2047" s="533"/>
      <c r="U2047" s="533"/>
      <c r="V2047" s="533"/>
      <c r="W2047" s="533"/>
      <c r="X2047" s="533"/>
      <c r="Y2047" s="533"/>
    </row>
    <row r="2048" spans="1:25" s="88" customFormat="1" hidden="1" x14ac:dyDescent="0.25">
      <c r="A2048" s="509"/>
      <c r="B2048" s="256"/>
      <c r="C2048" s="221"/>
      <c r="D2048" s="218"/>
      <c r="E2048" s="218"/>
      <c r="F2048" s="218"/>
      <c r="G2048" s="286"/>
      <c r="H2048" s="604"/>
      <c r="I2048" s="605"/>
      <c r="J2048" s="605"/>
      <c r="K2048" s="533"/>
      <c r="L2048" s="533"/>
      <c r="M2048" s="533"/>
      <c r="N2048" s="268"/>
      <c r="O2048" s="533"/>
      <c r="P2048" s="533"/>
      <c r="Q2048" s="533"/>
      <c r="R2048" s="533"/>
      <c r="S2048" s="533"/>
      <c r="T2048" s="533"/>
      <c r="U2048" s="533"/>
      <c r="V2048" s="533"/>
      <c r="W2048" s="533"/>
      <c r="X2048" s="533"/>
      <c r="Y2048" s="533"/>
    </row>
    <row r="2049" spans="1:25" s="88" customFormat="1" hidden="1" x14ac:dyDescent="0.25">
      <c r="A2049" s="509"/>
      <c r="B2049" s="256"/>
      <c r="C2049" s="221"/>
      <c r="D2049" s="218"/>
      <c r="E2049" s="218"/>
      <c r="F2049" s="218"/>
      <c r="G2049" s="286"/>
      <c r="H2049" s="604"/>
      <c r="I2049" s="605"/>
      <c r="J2049" s="605"/>
      <c r="K2049" s="533"/>
      <c r="L2049" s="533"/>
      <c r="M2049" s="533"/>
      <c r="N2049" s="268"/>
      <c r="O2049" s="533"/>
      <c r="P2049" s="533"/>
      <c r="Q2049" s="533"/>
      <c r="R2049" s="533"/>
      <c r="S2049" s="533"/>
      <c r="T2049" s="533"/>
      <c r="U2049" s="533"/>
      <c r="V2049" s="533"/>
      <c r="W2049" s="533"/>
      <c r="X2049" s="533"/>
      <c r="Y2049" s="533"/>
    </row>
    <row r="2050" spans="1:25" s="88" customFormat="1" hidden="1" x14ac:dyDescent="0.25">
      <c r="A2050" s="509"/>
      <c r="B2050" s="256"/>
      <c r="C2050" s="221"/>
      <c r="D2050" s="218"/>
      <c r="E2050" s="218"/>
      <c r="F2050" s="218"/>
      <c r="G2050" s="230"/>
      <c r="H2050" s="594"/>
      <c r="I2050" s="595"/>
      <c r="J2050" s="595"/>
      <c r="K2050" s="533"/>
      <c r="L2050" s="533"/>
      <c r="M2050" s="533"/>
      <c r="N2050" s="268"/>
      <c r="O2050" s="533"/>
      <c r="P2050" s="533"/>
      <c r="Q2050" s="533"/>
      <c r="R2050" s="533"/>
      <c r="S2050" s="533"/>
      <c r="T2050" s="533"/>
      <c r="U2050" s="533"/>
      <c r="V2050" s="533"/>
      <c r="W2050" s="533"/>
      <c r="X2050" s="533"/>
      <c r="Y2050" s="533"/>
    </row>
    <row r="2051" spans="1:25" s="88" customFormat="1" hidden="1" x14ac:dyDescent="0.25">
      <c r="A2051" s="509"/>
      <c r="B2051" s="256"/>
      <c r="C2051" s="323" t="s">
        <v>4157</v>
      </c>
      <c r="D2051" s="84"/>
      <c r="E2051" s="222"/>
      <c r="F2051" s="222"/>
      <c r="G2051" s="287" t="s">
        <v>4158</v>
      </c>
      <c r="H2051" s="594"/>
      <c r="I2051" s="595"/>
      <c r="J2051" s="595"/>
      <c r="K2051" s="533"/>
      <c r="L2051" s="533"/>
      <c r="M2051" s="533"/>
      <c r="N2051" s="268"/>
      <c r="O2051" s="533"/>
      <c r="P2051" s="533"/>
      <c r="Q2051" s="533"/>
      <c r="R2051" s="533"/>
      <c r="S2051" s="533"/>
      <c r="T2051" s="533"/>
      <c r="U2051" s="533"/>
      <c r="V2051" s="533"/>
      <c r="W2051" s="533"/>
      <c r="X2051" s="533"/>
      <c r="Y2051" s="533"/>
    </row>
    <row r="2052" spans="1:25" s="88" customFormat="1" hidden="1" x14ac:dyDescent="0.25">
      <c r="A2052" s="509"/>
      <c r="B2052" s="256"/>
      <c r="C2052" s="221"/>
      <c r="D2052" s="312">
        <v>170</v>
      </c>
      <c r="E2052" s="312"/>
      <c r="F2052" s="312"/>
      <c r="G2052" s="338" t="s">
        <v>4158</v>
      </c>
      <c r="H2052" s="594"/>
      <c r="I2052" s="595"/>
      <c r="J2052" s="595"/>
      <c r="K2052" s="533"/>
      <c r="L2052" s="533"/>
      <c r="M2052" s="533"/>
      <c r="N2052" s="268"/>
      <c r="O2052" s="533"/>
      <c r="P2052" s="533"/>
      <c r="Q2052" s="533"/>
      <c r="R2052" s="533"/>
      <c r="S2052" s="533"/>
      <c r="T2052" s="533"/>
      <c r="U2052" s="533"/>
      <c r="V2052" s="533"/>
      <c r="W2052" s="533"/>
      <c r="X2052" s="533"/>
      <c r="Y2052" s="533"/>
    </row>
    <row r="2053" spans="1:25" s="88" customFormat="1" hidden="1" x14ac:dyDescent="0.25">
      <c r="A2053" s="509"/>
      <c r="B2053" s="256"/>
      <c r="C2053" s="221"/>
      <c r="D2053" s="218"/>
      <c r="E2053" s="218"/>
      <c r="F2053" s="263">
        <v>411</v>
      </c>
      <c r="G2053" s="295" t="s">
        <v>4189</v>
      </c>
      <c r="H2053" s="594"/>
      <c r="I2053" s="595"/>
      <c r="J2053" s="595">
        <f t="shared" ref="J2053:J2084" si="66">SUM(H2053:I2053)</f>
        <v>0</v>
      </c>
      <c r="K2053" s="533"/>
      <c r="L2053" s="533"/>
      <c r="M2053" s="533"/>
      <c r="N2053" s="268"/>
      <c r="O2053" s="533"/>
      <c r="P2053" s="533"/>
      <c r="Q2053" s="533"/>
      <c r="R2053" s="533"/>
      <c r="S2053" s="533"/>
      <c r="T2053" s="533"/>
      <c r="U2053" s="533"/>
      <c r="V2053" s="533"/>
      <c r="W2053" s="533"/>
      <c r="X2053" s="533"/>
      <c r="Y2053" s="533"/>
    </row>
    <row r="2054" spans="1:25" s="88" customFormat="1" hidden="1" x14ac:dyDescent="0.25">
      <c r="A2054" s="509"/>
      <c r="B2054" s="256"/>
      <c r="C2054" s="221"/>
      <c r="D2054" s="218"/>
      <c r="E2054" s="218"/>
      <c r="F2054" s="263">
        <v>412</v>
      </c>
      <c r="G2054" s="292" t="s">
        <v>3784</v>
      </c>
      <c r="H2054" s="594"/>
      <c r="I2054" s="595"/>
      <c r="J2054" s="595">
        <f t="shared" si="66"/>
        <v>0</v>
      </c>
      <c r="K2054" s="533"/>
      <c r="L2054" s="533"/>
      <c r="M2054" s="533"/>
      <c r="N2054" s="268"/>
      <c r="O2054" s="533"/>
      <c r="P2054" s="533"/>
      <c r="Q2054" s="533"/>
      <c r="R2054" s="533"/>
      <c r="S2054" s="533"/>
      <c r="T2054" s="533"/>
      <c r="U2054" s="533"/>
      <c r="V2054" s="533"/>
      <c r="W2054" s="533"/>
      <c r="X2054" s="533"/>
      <c r="Y2054" s="533"/>
    </row>
    <row r="2055" spans="1:25" s="88" customFormat="1" hidden="1" x14ac:dyDescent="0.25">
      <c r="A2055" s="509"/>
      <c r="B2055" s="256"/>
      <c r="C2055" s="221"/>
      <c r="D2055" s="218"/>
      <c r="E2055" s="218"/>
      <c r="F2055" s="263">
        <v>413</v>
      </c>
      <c r="G2055" s="295" t="s">
        <v>4190</v>
      </c>
      <c r="H2055" s="594"/>
      <c r="I2055" s="595"/>
      <c r="J2055" s="595">
        <f t="shared" si="66"/>
        <v>0</v>
      </c>
      <c r="K2055" s="533"/>
      <c r="L2055" s="533"/>
      <c r="M2055" s="533"/>
      <c r="N2055" s="268"/>
      <c r="O2055" s="533"/>
      <c r="P2055" s="533"/>
      <c r="Q2055" s="533"/>
      <c r="R2055" s="533"/>
      <c r="S2055" s="533"/>
      <c r="T2055" s="533"/>
      <c r="U2055" s="533"/>
      <c r="V2055" s="533"/>
      <c r="W2055" s="533"/>
      <c r="X2055" s="533"/>
      <c r="Y2055" s="533"/>
    </row>
    <row r="2056" spans="1:25" s="88" customFormat="1" hidden="1" x14ac:dyDescent="0.25">
      <c r="A2056" s="509"/>
      <c r="B2056" s="256"/>
      <c r="C2056" s="221"/>
      <c r="D2056" s="218"/>
      <c r="E2056" s="218"/>
      <c r="F2056" s="263">
        <v>414</v>
      </c>
      <c r="G2056" s="295" t="s">
        <v>3787</v>
      </c>
      <c r="H2056" s="594"/>
      <c r="I2056" s="595"/>
      <c r="J2056" s="595">
        <f t="shared" si="66"/>
        <v>0</v>
      </c>
      <c r="K2056" s="533"/>
      <c r="L2056" s="533"/>
      <c r="M2056" s="533"/>
      <c r="N2056" s="268"/>
      <c r="O2056" s="533"/>
      <c r="P2056" s="533"/>
      <c r="Q2056" s="533"/>
      <c r="R2056" s="533"/>
      <c r="S2056" s="533"/>
      <c r="T2056" s="533"/>
      <c r="U2056" s="533"/>
      <c r="V2056" s="533"/>
      <c r="W2056" s="533"/>
      <c r="X2056" s="533"/>
      <c r="Y2056" s="533"/>
    </row>
    <row r="2057" spans="1:25" s="88" customFormat="1" hidden="1" x14ac:dyDescent="0.25">
      <c r="A2057" s="509"/>
      <c r="B2057" s="256"/>
      <c r="C2057" s="221"/>
      <c r="D2057" s="218"/>
      <c r="E2057" s="218"/>
      <c r="F2057" s="263">
        <v>415</v>
      </c>
      <c r="G2057" s="295" t="s">
        <v>4199</v>
      </c>
      <c r="H2057" s="594"/>
      <c r="I2057" s="595"/>
      <c r="J2057" s="595">
        <f t="shared" si="66"/>
        <v>0</v>
      </c>
      <c r="K2057" s="533"/>
      <c r="L2057" s="533"/>
      <c r="M2057" s="533"/>
      <c r="N2057" s="268"/>
      <c r="O2057" s="533"/>
      <c r="P2057" s="533"/>
      <c r="Q2057" s="533"/>
      <c r="R2057" s="533"/>
      <c r="S2057" s="533"/>
      <c r="T2057" s="533"/>
      <c r="U2057" s="533"/>
      <c r="V2057" s="533"/>
      <c r="W2057" s="533"/>
      <c r="X2057" s="533"/>
      <c r="Y2057" s="533"/>
    </row>
    <row r="2058" spans="1:25" s="88" customFormat="1" hidden="1" x14ac:dyDescent="0.25">
      <c r="A2058" s="509"/>
      <c r="B2058" s="256"/>
      <c r="C2058" s="221"/>
      <c r="D2058" s="218"/>
      <c r="E2058" s="218"/>
      <c r="F2058" s="263">
        <v>416</v>
      </c>
      <c r="G2058" s="295" t="s">
        <v>4200</v>
      </c>
      <c r="H2058" s="594"/>
      <c r="I2058" s="595"/>
      <c r="J2058" s="595">
        <f t="shared" si="66"/>
        <v>0</v>
      </c>
      <c r="K2058" s="533"/>
      <c r="L2058" s="533"/>
      <c r="M2058" s="533"/>
      <c r="N2058" s="268"/>
      <c r="O2058" s="533"/>
      <c r="P2058" s="533"/>
      <c r="Q2058" s="533"/>
      <c r="R2058" s="533"/>
      <c r="S2058" s="533"/>
      <c r="T2058" s="533"/>
      <c r="U2058" s="533"/>
      <c r="V2058" s="533"/>
      <c r="W2058" s="533"/>
      <c r="X2058" s="533"/>
      <c r="Y2058" s="533"/>
    </row>
    <row r="2059" spans="1:25" s="88" customFormat="1" hidden="1" x14ac:dyDescent="0.25">
      <c r="A2059" s="509"/>
      <c r="B2059" s="256"/>
      <c r="C2059" s="221"/>
      <c r="D2059" s="218"/>
      <c r="E2059" s="218"/>
      <c r="F2059" s="263">
        <v>417</v>
      </c>
      <c r="G2059" s="295" t="s">
        <v>4201</v>
      </c>
      <c r="H2059" s="594"/>
      <c r="I2059" s="595"/>
      <c r="J2059" s="595">
        <f t="shared" si="66"/>
        <v>0</v>
      </c>
      <c r="K2059" s="533"/>
      <c r="L2059" s="533"/>
      <c r="M2059" s="533"/>
      <c r="N2059" s="268"/>
      <c r="O2059" s="533"/>
      <c r="P2059" s="533"/>
      <c r="Q2059" s="533"/>
      <c r="R2059" s="533"/>
      <c r="S2059" s="533"/>
      <c r="T2059" s="533"/>
      <c r="U2059" s="533"/>
      <c r="V2059" s="533"/>
      <c r="W2059" s="533"/>
      <c r="X2059" s="533"/>
      <c r="Y2059" s="533"/>
    </row>
    <row r="2060" spans="1:25" s="88" customFormat="1" hidden="1" x14ac:dyDescent="0.25">
      <c r="A2060" s="509"/>
      <c r="B2060" s="256"/>
      <c r="C2060" s="221"/>
      <c r="D2060" s="218"/>
      <c r="E2060" s="218"/>
      <c r="F2060" s="263">
        <v>418</v>
      </c>
      <c r="G2060" s="295" t="s">
        <v>3793</v>
      </c>
      <c r="H2060" s="594"/>
      <c r="I2060" s="595"/>
      <c r="J2060" s="595">
        <f t="shared" si="66"/>
        <v>0</v>
      </c>
      <c r="K2060" s="533"/>
      <c r="L2060" s="533"/>
      <c r="M2060" s="533"/>
      <c r="N2060" s="268"/>
      <c r="O2060" s="533"/>
      <c r="P2060" s="533"/>
      <c r="Q2060" s="533"/>
      <c r="R2060" s="533"/>
      <c r="S2060" s="533"/>
      <c r="T2060" s="533"/>
      <c r="U2060" s="533"/>
      <c r="V2060" s="533"/>
      <c r="W2060" s="533"/>
      <c r="X2060" s="533"/>
      <c r="Y2060" s="533"/>
    </row>
    <row r="2061" spans="1:25" s="88" customFormat="1" hidden="1" x14ac:dyDescent="0.25">
      <c r="A2061" s="509"/>
      <c r="B2061" s="256"/>
      <c r="C2061" s="221"/>
      <c r="D2061" s="218"/>
      <c r="E2061" s="218"/>
      <c r="F2061" s="263">
        <v>421</v>
      </c>
      <c r="G2061" s="295" t="s">
        <v>3797</v>
      </c>
      <c r="H2061" s="594"/>
      <c r="I2061" s="595"/>
      <c r="J2061" s="595">
        <f t="shared" si="66"/>
        <v>0</v>
      </c>
      <c r="K2061" s="533"/>
      <c r="L2061" s="533"/>
      <c r="M2061" s="533"/>
      <c r="N2061" s="268"/>
      <c r="O2061" s="533"/>
      <c r="P2061" s="533"/>
      <c r="Q2061" s="533"/>
      <c r="R2061" s="533"/>
      <c r="S2061" s="533"/>
      <c r="T2061" s="533"/>
      <c r="U2061" s="533"/>
      <c r="V2061" s="533"/>
      <c r="W2061" s="533"/>
      <c r="X2061" s="533"/>
      <c r="Y2061" s="533"/>
    </row>
    <row r="2062" spans="1:25" s="88" customFormat="1" hidden="1" x14ac:dyDescent="0.25">
      <c r="A2062" s="509"/>
      <c r="B2062" s="256"/>
      <c r="C2062" s="221"/>
      <c r="D2062" s="218"/>
      <c r="E2062" s="218"/>
      <c r="F2062" s="263">
        <v>422</v>
      </c>
      <c r="G2062" s="295" t="s">
        <v>3798</v>
      </c>
      <c r="H2062" s="594"/>
      <c r="I2062" s="595"/>
      <c r="J2062" s="595">
        <f t="shared" si="66"/>
        <v>0</v>
      </c>
      <c r="K2062" s="533"/>
      <c r="L2062" s="533"/>
      <c r="M2062" s="533"/>
      <c r="N2062" s="268"/>
      <c r="O2062" s="533"/>
      <c r="P2062" s="533"/>
      <c r="Q2062" s="533"/>
      <c r="R2062" s="533"/>
      <c r="S2062" s="533"/>
      <c r="T2062" s="533"/>
      <c r="U2062" s="533"/>
      <c r="V2062" s="533"/>
      <c r="W2062" s="533"/>
      <c r="X2062" s="533"/>
      <c r="Y2062" s="533"/>
    </row>
    <row r="2063" spans="1:25" s="88" customFormat="1" hidden="1" x14ac:dyDescent="0.25">
      <c r="A2063" s="509"/>
      <c r="B2063" s="256"/>
      <c r="C2063" s="221"/>
      <c r="D2063" s="218"/>
      <c r="E2063" s="218"/>
      <c r="F2063" s="263">
        <v>423</v>
      </c>
      <c r="G2063" s="295" t="s">
        <v>3799</v>
      </c>
      <c r="H2063" s="594"/>
      <c r="I2063" s="595"/>
      <c r="J2063" s="595">
        <f t="shared" si="66"/>
        <v>0</v>
      </c>
      <c r="K2063" s="533"/>
      <c r="L2063" s="533"/>
      <c r="M2063" s="533"/>
      <c r="N2063" s="268"/>
      <c r="O2063" s="533"/>
      <c r="P2063" s="533"/>
      <c r="Q2063" s="533"/>
      <c r="R2063" s="533"/>
      <c r="S2063" s="533"/>
      <c r="T2063" s="533"/>
      <c r="U2063" s="533"/>
      <c r="V2063" s="533"/>
      <c r="W2063" s="533"/>
      <c r="X2063" s="533"/>
      <c r="Y2063" s="533"/>
    </row>
    <row r="2064" spans="1:25" s="88" customFormat="1" hidden="1" x14ac:dyDescent="0.25">
      <c r="A2064" s="509"/>
      <c r="B2064" s="256"/>
      <c r="C2064" s="221"/>
      <c r="D2064" s="218"/>
      <c r="E2064" s="218"/>
      <c r="F2064" s="263">
        <v>424</v>
      </c>
      <c r="G2064" s="295" t="s">
        <v>3801</v>
      </c>
      <c r="H2064" s="594"/>
      <c r="I2064" s="595"/>
      <c r="J2064" s="595">
        <f t="shared" si="66"/>
        <v>0</v>
      </c>
      <c r="K2064" s="533"/>
      <c r="L2064" s="533"/>
      <c r="M2064" s="533"/>
      <c r="N2064" s="268"/>
      <c r="O2064" s="533"/>
      <c r="P2064" s="533"/>
      <c r="Q2064" s="533"/>
      <c r="R2064" s="533"/>
      <c r="S2064" s="533"/>
      <c r="T2064" s="533"/>
      <c r="U2064" s="533"/>
      <c r="V2064" s="533"/>
      <c r="W2064" s="533"/>
      <c r="X2064" s="533"/>
      <c r="Y2064" s="533"/>
    </row>
    <row r="2065" spans="1:25" s="88" customFormat="1" hidden="1" x14ac:dyDescent="0.25">
      <c r="A2065" s="509"/>
      <c r="B2065" s="256"/>
      <c r="C2065" s="221"/>
      <c r="D2065" s="218"/>
      <c r="E2065" s="218"/>
      <c r="F2065" s="263">
        <v>425</v>
      </c>
      <c r="G2065" s="295" t="s">
        <v>4202</v>
      </c>
      <c r="H2065" s="594"/>
      <c r="I2065" s="595"/>
      <c r="J2065" s="595">
        <f t="shared" si="66"/>
        <v>0</v>
      </c>
      <c r="K2065" s="533"/>
      <c r="L2065" s="533"/>
      <c r="M2065" s="533"/>
      <c r="N2065" s="268"/>
      <c r="O2065" s="533"/>
      <c r="P2065" s="533"/>
      <c r="Q2065" s="533"/>
      <c r="R2065" s="533"/>
      <c r="S2065" s="533"/>
      <c r="T2065" s="533"/>
      <c r="U2065" s="533"/>
      <c r="V2065" s="533"/>
      <c r="W2065" s="533"/>
      <c r="X2065" s="533"/>
      <c r="Y2065" s="533"/>
    </row>
    <row r="2066" spans="1:25" s="88" customFormat="1" hidden="1" x14ac:dyDescent="0.25">
      <c r="A2066" s="509"/>
      <c r="B2066" s="256"/>
      <c r="C2066" s="221"/>
      <c r="D2066" s="218"/>
      <c r="E2066" s="218"/>
      <c r="F2066" s="263">
        <v>426</v>
      </c>
      <c r="G2066" s="295" t="s">
        <v>3805</v>
      </c>
      <c r="H2066" s="594"/>
      <c r="I2066" s="595"/>
      <c r="J2066" s="595">
        <f t="shared" si="66"/>
        <v>0</v>
      </c>
      <c r="K2066" s="533"/>
      <c r="L2066" s="533"/>
      <c r="M2066" s="533"/>
      <c r="N2066" s="268"/>
      <c r="O2066" s="533"/>
      <c r="P2066" s="533"/>
      <c r="Q2066" s="533"/>
      <c r="R2066" s="533"/>
      <c r="S2066" s="533"/>
      <c r="T2066" s="533"/>
      <c r="U2066" s="533"/>
      <c r="V2066" s="533"/>
      <c r="W2066" s="533"/>
      <c r="X2066" s="533"/>
      <c r="Y2066" s="533"/>
    </row>
    <row r="2067" spans="1:25" s="88" customFormat="1" hidden="1" x14ac:dyDescent="0.25">
      <c r="A2067" s="509"/>
      <c r="B2067" s="256"/>
      <c r="C2067" s="221"/>
      <c r="D2067" s="218"/>
      <c r="E2067" s="218"/>
      <c r="F2067" s="263">
        <v>431</v>
      </c>
      <c r="G2067" s="295" t="s">
        <v>4203</v>
      </c>
      <c r="H2067" s="594"/>
      <c r="I2067" s="595"/>
      <c r="J2067" s="595">
        <f t="shared" si="66"/>
        <v>0</v>
      </c>
      <c r="K2067" s="533"/>
      <c r="L2067" s="533"/>
      <c r="M2067" s="533"/>
      <c r="N2067" s="268"/>
      <c r="O2067" s="533"/>
      <c r="P2067" s="533"/>
      <c r="Q2067" s="533"/>
      <c r="R2067" s="533"/>
      <c r="S2067" s="533"/>
      <c r="T2067" s="533"/>
      <c r="U2067" s="533"/>
      <c r="V2067" s="533"/>
      <c r="W2067" s="533"/>
      <c r="X2067" s="533"/>
      <c r="Y2067" s="533"/>
    </row>
    <row r="2068" spans="1:25" s="88" customFormat="1" hidden="1" x14ac:dyDescent="0.25">
      <c r="A2068" s="509"/>
      <c r="B2068" s="256"/>
      <c r="C2068" s="221"/>
      <c r="D2068" s="218"/>
      <c r="E2068" s="218"/>
      <c r="F2068" s="263">
        <v>432</v>
      </c>
      <c r="G2068" s="295" t="s">
        <v>4204</v>
      </c>
      <c r="H2068" s="594"/>
      <c r="I2068" s="595"/>
      <c r="J2068" s="595">
        <f t="shared" si="66"/>
        <v>0</v>
      </c>
      <c r="K2068" s="533"/>
      <c r="L2068" s="533"/>
      <c r="M2068" s="533"/>
      <c r="N2068" s="268"/>
      <c r="O2068" s="533"/>
      <c r="P2068" s="533"/>
      <c r="Q2068" s="533"/>
      <c r="R2068" s="533"/>
      <c r="S2068" s="533"/>
      <c r="T2068" s="533"/>
      <c r="U2068" s="533"/>
      <c r="V2068" s="533"/>
      <c r="W2068" s="533"/>
      <c r="X2068" s="533"/>
      <c r="Y2068" s="533"/>
    </row>
    <row r="2069" spans="1:25" s="88" customFormat="1" hidden="1" x14ac:dyDescent="0.25">
      <c r="A2069" s="509"/>
      <c r="B2069" s="256"/>
      <c r="C2069" s="221"/>
      <c r="D2069" s="218"/>
      <c r="E2069" s="218"/>
      <c r="F2069" s="263">
        <v>433</v>
      </c>
      <c r="G2069" s="295" t="s">
        <v>4205</v>
      </c>
      <c r="H2069" s="594"/>
      <c r="I2069" s="595"/>
      <c r="J2069" s="595">
        <f t="shared" si="66"/>
        <v>0</v>
      </c>
      <c r="K2069" s="533"/>
      <c r="L2069" s="533"/>
      <c r="M2069" s="533"/>
      <c r="N2069" s="268"/>
      <c r="O2069" s="533"/>
      <c r="P2069" s="533"/>
      <c r="Q2069" s="533"/>
      <c r="R2069" s="533"/>
      <c r="S2069" s="533"/>
      <c r="T2069" s="533"/>
      <c r="U2069" s="533"/>
      <c r="V2069" s="533"/>
      <c r="W2069" s="533"/>
      <c r="X2069" s="533"/>
      <c r="Y2069" s="533"/>
    </row>
    <row r="2070" spans="1:25" s="88" customFormat="1" hidden="1" x14ac:dyDescent="0.25">
      <c r="A2070" s="509"/>
      <c r="B2070" s="256"/>
      <c r="C2070" s="221"/>
      <c r="D2070" s="218"/>
      <c r="E2070" s="218"/>
      <c r="F2070" s="263">
        <v>434</v>
      </c>
      <c r="G2070" s="295" t="s">
        <v>4206</v>
      </c>
      <c r="H2070" s="594"/>
      <c r="I2070" s="595"/>
      <c r="J2070" s="595">
        <f t="shared" si="66"/>
        <v>0</v>
      </c>
      <c r="K2070" s="533"/>
      <c r="L2070" s="533"/>
      <c r="M2070" s="533"/>
      <c r="N2070" s="268"/>
      <c r="O2070" s="533"/>
      <c r="P2070" s="533"/>
      <c r="Q2070" s="533"/>
      <c r="R2070" s="533"/>
      <c r="S2070" s="533"/>
      <c r="T2070" s="533"/>
      <c r="U2070" s="533"/>
      <c r="V2070" s="533"/>
      <c r="W2070" s="533"/>
      <c r="X2070" s="533"/>
      <c r="Y2070" s="533"/>
    </row>
    <row r="2071" spans="1:25" s="88" customFormat="1" hidden="1" x14ac:dyDescent="0.25">
      <c r="A2071" s="509"/>
      <c r="B2071" s="256"/>
      <c r="C2071" s="221"/>
      <c r="D2071" s="218"/>
      <c r="E2071" s="218"/>
      <c r="F2071" s="263">
        <v>435</v>
      </c>
      <c r="G2071" s="295" t="s">
        <v>3812</v>
      </c>
      <c r="H2071" s="594"/>
      <c r="I2071" s="595"/>
      <c r="J2071" s="595">
        <f t="shared" si="66"/>
        <v>0</v>
      </c>
      <c r="K2071" s="533"/>
      <c r="L2071" s="533"/>
      <c r="M2071" s="533"/>
      <c r="N2071" s="268"/>
      <c r="O2071" s="533"/>
      <c r="P2071" s="533"/>
      <c r="Q2071" s="533"/>
      <c r="R2071" s="533"/>
      <c r="S2071" s="533"/>
      <c r="T2071" s="533"/>
      <c r="U2071" s="533"/>
      <c r="V2071" s="533"/>
      <c r="W2071" s="533"/>
      <c r="X2071" s="533"/>
      <c r="Y2071" s="533"/>
    </row>
    <row r="2072" spans="1:25" s="88" customFormat="1" hidden="1" x14ac:dyDescent="0.25">
      <c r="A2072" s="509"/>
      <c r="B2072" s="256"/>
      <c r="C2072" s="221"/>
      <c r="D2072" s="218"/>
      <c r="E2072" s="218"/>
      <c r="F2072" s="263">
        <v>441</v>
      </c>
      <c r="G2072" s="295" t="s">
        <v>4207</v>
      </c>
      <c r="H2072" s="594"/>
      <c r="I2072" s="595"/>
      <c r="J2072" s="595">
        <f t="shared" si="66"/>
        <v>0</v>
      </c>
      <c r="K2072" s="533"/>
      <c r="L2072" s="533"/>
      <c r="M2072" s="533"/>
      <c r="N2072" s="268"/>
      <c r="O2072" s="533"/>
      <c r="P2072" s="533"/>
      <c r="Q2072" s="533"/>
      <c r="R2072" s="533"/>
      <c r="S2072" s="533"/>
      <c r="T2072" s="533"/>
      <c r="U2072" s="533"/>
      <c r="V2072" s="533"/>
      <c r="W2072" s="533"/>
      <c r="X2072" s="533"/>
      <c r="Y2072" s="533"/>
    </row>
    <row r="2073" spans="1:25" s="88" customFormat="1" hidden="1" x14ac:dyDescent="0.25">
      <c r="A2073" s="509"/>
      <c r="B2073" s="256"/>
      <c r="C2073" s="221"/>
      <c r="D2073" s="218"/>
      <c r="E2073" s="218"/>
      <c r="F2073" s="263">
        <v>442</v>
      </c>
      <c r="G2073" s="295" t="s">
        <v>4208</v>
      </c>
      <c r="H2073" s="594"/>
      <c r="I2073" s="595"/>
      <c r="J2073" s="595">
        <f t="shared" si="66"/>
        <v>0</v>
      </c>
      <c r="K2073" s="533"/>
      <c r="L2073" s="533"/>
      <c r="M2073" s="533"/>
      <c r="N2073" s="268"/>
      <c r="O2073" s="533"/>
      <c r="P2073" s="533"/>
      <c r="Q2073" s="533"/>
      <c r="R2073" s="533"/>
      <c r="S2073" s="533"/>
      <c r="T2073" s="533"/>
      <c r="U2073" s="533"/>
      <c r="V2073" s="533"/>
      <c r="W2073" s="533"/>
      <c r="X2073" s="533"/>
      <c r="Y2073" s="533"/>
    </row>
    <row r="2074" spans="1:25" s="88" customFormat="1" hidden="1" x14ac:dyDescent="0.25">
      <c r="A2074" s="509"/>
      <c r="B2074" s="256"/>
      <c r="C2074" s="221"/>
      <c r="D2074" s="218"/>
      <c r="E2074" s="218"/>
      <c r="F2074" s="263">
        <v>443</v>
      </c>
      <c r="G2074" s="295" t="s">
        <v>3817</v>
      </c>
      <c r="H2074" s="594"/>
      <c r="I2074" s="595"/>
      <c r="J2074" s="595">
        <f t="shared" si="66"/>
        <v>0</v>
      </c>
      <c r="K2074" s="533"/>
      <c r="L2074" s="533"/>
      <c r="M2074" s="533"/>
      <c r="N2074" s="268"/>
      <c r="O2074" s="533"/>
      <c r="P2074" s="533"/>
      <c r="Q2074" s="533"/>
      <c r="R2074" s="533"/>
      <c r="S2074" s="533"/>
      <c r="T2074" s="533"/>
      <c r="U2074" s="533"/>
      <c r="V2074" s="533"/>
      <c r="W2074" s="533"/>
      <c r="X2074" s="533"/>
      <c r="Y2074" s="533"/>
    </row>
    <row r="2075" spans="1:25" s="88" customFormat="1" hidden="1" x14ac:dyDescent="0.25">
      <c r="A2075" s="509"/>
      <c r="B2075" s="256"/>
      <c r="C2075" s="221"/>
      <c r="D2075" s="218"/>
      <c r="E2075" s="218"/>
      <c r="F2075" s="263">
        <v>444</v>
      </c>
      <c r="G2075" s="295" t="s">
        <v>3818</v>
      </c>
      <c r="H2075" s="594"/>
      <c r="I2075" s="595"/>
      <c r="J2075" s="595">
        <f t="shared" si="66"/>
        <v>0</v>
      </c>
      <c r="K2075" s="533"/>
      <c r="L2075" s="533"/>
      <c r="M2075" s="533"/>
      <c r="N2075" s="268"/>
      <c r="O2075" s="533"/>
      <c r="P2075" s="533"/>
      <c r="Q2075" s="533"/>
      <c r="R2075" s="533"/>
      <c r="S2075" s="533"/>
      <c r="T2075" s="533"/>
      <c r="U2075" s="533"/>
      <c r="V2075" s="533"/>
      <c r="W2075" s="533"/>
      <c r="X2075" s="533"/>
      <c r="Y2075" s="533"/>
    </row>
    <row r="2076" spans="1:25" s="88" customFormat="1" ht="30" hidden="1" x14ac:dyDescent="0.25">
      <c r="A2076" s="509"/>
      <c r="B2076" s="256"/>
      <c r="C2076" s="221"/>
      <c r="D2076" s="218"/>
      <c r="E2076" s="218"/>
      <c r="F2076" s="263">
        <v>4511</v>
      </c>
      <c r="G2076" s="223" t="s">
        <v>1692</v>
      </c>
      <c r="H2076" s="594"/>
      <c r="I2076" s="595"/>
      <c r="J2076" s="595">
        <f t="shared" si="66"/>
        <v>0</v>
      </c>
      <c r="K2076" s="533"/>
      <c r="L2076" s="533"/>
      <c r="M2076" s="533"/>
      <c r="N2076" s="268"/>
      <c r="O2076" s="533"/>
      <c r="P2076" s="533"/>
      <c r="Q2076" s="533"/>
      <c r="R2076" s="533"/>
      <c r="S2076" s="533"/>
      <c r="T2076" s="533"/>
      <c r="U2076" s="533"/>
      <c r="V2076" s="533"/>
      <c r="W2076" s="533"/>
      <c r="X2076" s="533"/>
      <c r="Y2076" s="533"/>
    </row>
    <row r="2077" spans="1:25" s="88" customFormat="1" ht="30" hidden="1" x14ac:dyDescent="0.25">
      <c r="A2077" s="509"/>
      <c r="B2077" s="256"/>
      <c r="C2077" s="221"/>
      <c r="D2077" s="218"/>
      <c r="E2077" s="218"/>
      <c r="F2077" s="263">
        <v>4512</v>
      </c>
      <c r="G2077" s="223" t="s">
        <v>1701</v>
      </c>
      <c r="H2077" s="594"/>
      <c r="I2077" s="595"/>
      <c r="J2077" s="595">
        <f t="shared" si="66"/>
        <v>0</v>
      </c>
      <c r="K2077" s="533"/>
      <c r="L2077" s="533"/>
      <c r="M2077" s="533"/>
      <c r="N2077" s="268"/>
      <c r="O2077" s="533"/>
      <c r="P2077" s="533"/>
      <c r="Q2077" s="533"/>
      <c r="R2077" s="533"/>
      <c r="S2077" s="533"/>
      <c r="T2077" s="533"/>
      <c r="U2077" s="533"/>
      <c r="V2077" s="533"/>
      <c r="W2077" s="533"/>
      <c r="X2077" s="533"/>
      <c r="Y2077" s="533"/>
    </row>
    <row r="2078" spans="1:25" s="88" customFormat="1" hidden="1" x14ac:dyDescent="0.25">
      <c r="A2078" s="509"/>
      <c r="B2078" s="256"/>
      <c r="C2078" s="221"/>
      <c r="D2078" s="218"/>
      <c r="E2078" s="218"/>
      <c r="F2078" s="263">
        <v>452</v>
      </c>
      <c r="G2078" s="295" t="s">
        <v>4209</v>
      </c>
      <c r="H2078" s="594"/>
      <c r="I2078" s="595"/>
      <c r="J2078" s="595">
        <f t="shared" si="66"/>
        <v>0</v>
      </c>
      <c r="K2078" s="533"/>
      <c r="L2078" s="533"/>
      <c r="M2078" s="533"/>
      <c r="N2078" s="268"/>
      <c r="O2078" s="533"/>
      <c r="P2078" s="533"/>
      <c r="Q2078" s="533"/>
      <c r="R2078" s="533"/>
      <c r="S2078" s="533"/>
      <c r="T2078" s="533"/>
      <c r="U2078" s="533"/>
      <c r="V2078" s="533"/>
      <c r="W2078" s="533"/>
      <c r="X2078" s="533"/>
      <c r="Y2078" s="533"/>
    </row>
    <row r="2079" spans="1:25" s="88" customFormat="1" hidden="1" x14ac:dyDescent="0.25">
      <c r="A2079" s="509"/>
      <c r="B2079" s="256"/>
      <c r="C2079" s="221"/>
      <c r="D2079" s="218"/>
      <c r="E2079" s="218"/>
      <c r="F2079" s="263">
        <v>453</v>
      </c>
      <c r="G2079" s="295" t="s">
        <v>4210</v>
      </c>
      <c r="H2079" s="594"/>
      <c r="I2079" s="595"/>
      <c r="J2079" s="595">
        <f t="shared" si="66"/>
        <v>0</v>
      </c>
      <c r="K2079" s="533"/>
      <c r="L2079" s="533"/>
      <c r="M2079" s="533"/>
      <c r="N2079" s="268"/>
      <c r="O2079" s="533"/>
      <c r="P2079" s="533"/>
      <c r="Q2079" s="533"/>
      <c r="R2079" s="533"/>
      <c r="S2079" s="533"/>
      <c r="T2079" s="533"/>
      <c r="U2079" s="533"/>
      <c r="V2079" s="533"/>
      <c r="W2079" s="533"/>
      <c r="X2079" s="533"/>
      <c r="Y2079" s="533"/>
    </row>
    <row r="2080" spans="1:25" s="88" customFormat="1" hidden="1" x14ac:dyDescent="0.25">
      <c r="A2080" s="509"/>
      <c r="B2080" s="256"/>
      <c r="C2080" s="221"/>
      <c r="D2080" s="218"/>
      <c r="E2080" s="218"/>
      <c r="F2080" s="263">
        <v>454</v>
      </c>
      <c r="G2080" s="295" t="s">
        <v>3823</v>
      </c>
      <c r="H2080" s="594"/>
      <c r="I2080" s="595"/>
      <c r="J2080" s="595">
        <f t="shared" si="66"/>
        <v>0</v>
      </c>
      <c r="K2080" s="533"/>
      <c r="L2080" s="533"/>
      <c r="M2080" s="533"/>
      <c r="N2080" s="268"/>
      <c r="O2080" s="533"/>
      <c r="P2080" s="533"/>
      <c r="Q2080" s="533"/>
      <c r="R2080" s="533"/>
      <c r="S2080" s="533"/>
      <c r="T2080" s="533"/>
      <c r="U2080" s="533"/>
      <c r="V2080" s="533"/>
      <c r="W2080" s="533"/>
      <c r="X2080" s="533"/>
      <c r="Y2080" s="533"/>
    </row>
    <row r="2081" spans="1:25" s="88" customFormat="1" hidden="1" x14ac:dyDescent="0.25">
      <c r="A2081" s="509"/>
      <c r="B2081" s="256"/>
      <c r="C2081" s="221"/>
      <c r="D2081" s="218"/>
      <c r="E2081" s="218"/>
      <c r="F2081" s="263">
        <v>461</v>
      </c>
      <c r="G2081" s="295" t="s">
        <v>4191</v>
      </c>
      <c r="H2081" s="594"/>
      <c r="I2081" s="595"/>
      <c r="J2081" s="595">
        <f t="shared" si="66"/>
        <v>0</v>
      </c>
      <c r="K2081" s="533"/>
      <c r="L2081" s="533"/>
      <c r="M2081" s="533"/>
      <c r="N2081" s="268"/>
      <c r="O2081" s="533"/>
      <c r="P2081" s="533"/>
      <c r="Q2081" s="533"/>
      <c r="R2081" s="533"/>
      <c r="S2081" s="533"/>
      <c r="T2081" s="533"/>
      <c r="U2081" s="533"/>
      <c r="V2081" s="533"/>
      <c r="W2081" s="533"/>
      <c r="X2081" s="533"/>
      <c r="Y2081" s="533"/>
    </row>
    <row r="2082" spans="1:25" s="88" customFormat="1" hidden="1" x14ac:dyDescent="0.25">
      <c r="A2082" s="509"/>
      <c r="B2082" s="256"/>
      <c r="C2082" s="221"/>
      <c r="D2082" s="218"/>
      <c r="E2082" s="218"/>
      <c r="F2082" s="263">
        <v>462</v>
      </c>
      <c r="G2082" s="295" t="s">
        <v>3826</v>
      </c>
      <c r="H2082" s="594"/>
      <c r="I2082" s="595"/>
      <c r="J2082" s="595">
        <f t="shared" si="66"/>
        <v>0</v>
      </c>
      <c r="K2082" s="533"/>
      <c r="L2082" s="533"/>
      <c r="M2082" s="533"/>
      <c r="N2082" s="268"/>
      <c r="O2082" s="533"/>
      <c r="P2082" s="533"/>
      <c r="Q2082" s="533"/>
      <c r="R2082" s="533"/>
      <c r="S2082" s="533"/>
      <c r="T2082" s="533"/>
      <c r="U2082" s="533"/>
      <c r="V2082" s="533"/>
      <c r="W2082" s="533"/>
      <c r="X2082" s="533"/>
      <c r="Y2082" s="533"/>
    </row>
    <row r="2083" spans="1:25" s="88" customFormat="1" hidden="1" x14ac:dyDescent="0.25">
      <c r="A2083" s="509"/>
      <c r="B2083" s="256"/>
      <c r="C2083" s="221"/>
      <c r="D2083" s="218"/>
      <c r="E2083" s="218"/>
      <c r="F2083" s="263">
        <v>4631</v>
      </c>
      <c r="G2083" s="295" t="s">
        <v>3827</v>
      </c>
      <c r="H2083" s="594"/>
      <c r="I2083" s="595"/>
      <c r="J2083" s="595">
        <f t="shared" si="66"/>
        <v>0</v>
      </c>
      <c r="K2083" s="533"/>
      <c r="L2083" s="533"/>
      <c r="M2083" s="533"/>
      <c r="N2083" s="268"/>
      <c r="O2083" s="533"/>
      <c r="P2083" s="533"/>
      <c r="Q2083" s="533"/>
      <c r="R2083" s="533"/>
      <c r="S2083" s="533"/>
      <c r="T2083" s="533"/>
      <c r="U2083" s="533"/>
      <c r="V2083" s="533"/>
      <c r="W2083" s="533"/>
      <c r="X2083" s="533"/>
      <c r="Y2083" s="533"/>
    </row>
    <row r="2084" spans="1:25" s="88" customFormat="1" hidden="1" x14ac:dyDescent="0.25">
      <c r="A2084" s="509"/>
      <c r="B2084" s="256"/>
      <c r="C2084" s="221"/>
      <c r="D2084" s="218"/>
      <c r="E2084" s="218"/>
      <c r="F2084" s="263">
        <v>4632</v>
      </c>
      <c r="G2084" s="295" t="s">
        <v>3828</v>
      </c>
      <c r="H2084" s="594"/>
      <c r="I2084" s="595"/>
      <c r="J2084" s="595">
        <f t="shared" si="66"/>
        <v>0</v>
      </c>
      <c r="K2084" s="533"/>
      <c r="L2084" s="533"/>
      <c r="M2084" s="533"/>
      <c r="N2084" s="268"/>
      <c r="O2084" s="533"/>
      <c r="P2084" s="533"/>
      <c r="Q2084" s="533"/>
      <c r="R2084" s="533"/>
      <c r="S2084" s="533"/>
      <c r="T2084" s="533"/>
      <c r="U2084" s="533"/>
      <c r="V2084" s="533"/>
      <c r="W2084" s="533"/>
      <c r="X2084" s="533"/>
      <c r="Y2084" s="533"/>
    </row>
    <row r="2085" spans="1:25" s="88" customFormat="1" hidden="1" x14ac:dyDescent="0.25">
      <c r="A2085" s="509"/>
      <c r="B2085" s="256"/>
      <c r="C2085" s="221"/>
      <c r="D2085" s="218"/>
      <c r="E2085" s="218"/>
      <c r="F2085" s="263">
        <v>464</v>
      </c>
      <c r="G2085" s="295" t="s">
        <v>3829</v>
      </c>
      <c r="H2085" s="594"/>
      <c r="I2085" s="595"/>
      <c r="J2085" s="595">
        <f t="shared" ref="J2085:J2112" si="67">SUM(H2085:I2085)</f>
        <v>0</v>
      </c>
      <c r="K2085" s="533"/>
      <c r="L2085" s="533"/>
      <c r="M2085" s="533"/>
      <c r="N2085" s="268"/>
      <c r="O2085" s="533"/>
      <c r="P2085" s="533"/>
      <c r="Q2085" s="533"/>
      <c r="R2085" s="533"/>
      <c r="S2085" s="533"/>
      <c r="T2085" s="533"/>
      <c r="U2085" s="533"/>
      <c r="V2085" s="533"/>
      <c r="W2085" s="533"/>
      <c r="X2085" s="533"/>
      <c r="Y2085" s="533"/>
    </row>
    <row r="2086" spans="1:25" s="88" customFormat="1" hidden="1" x14ac:dyDescent="0.25">
      <c r="A2086" s="509"/>
      <c r="B2086" s="256"/>
      <c r="C2086" s="221"/>
      <c r="D2086" s="218"/>
      <c r="E2086" s="218"/>
      <c r="F2086" s="263">
        <v>465</v>
      </c>
      <c r="G2086" s="295" t="s">
        <v>4192</v>
      </c>
      <c r="H2086" s="594"/>
      <c r="I2086" s="595"/>
      <c r="J2086" s="595">
        <f t="shared" si="67"/>
        <v>0</v>
      </c>
      <c r="K2086" s="533"/>
      <c r="L2086" s="533"/>
      <c r="M2086" s="533"/>
      <c r="N2086" s="268"/>
      <c r="O2086" s="533"/>
      <c r="P2086" s="533"/>
      <c r="Q2086" s="533"/>
      <c r="R2086" s="533"/>
      <c r="S2086" s="533"/>
      <c r="T2086" s="533"/>
      <c r="U2086" s="533"/>
      <c r="V2086" s="533"/>
      <c r="W2086" s="533"/>
      <c r="X2086" s="533"/>
      <c r="Y2086" s="533"/>
    </row>
    <row r="2087" spans="1:25" s="88" customFormat="1" hidden="1" x14ac:dyDescent="0.25">
      <c r="A2087" s="509"/>
      <c r="B2087" s="256"/>
      <c r="C2087" s="221"/>
      <c r="D2087" s="218"/>
      <c r="E2087" s="218"/>
      <c r="F2087" s="263">
        <v>472</v>
      </c>
      <c r="G2087" s="295" t="s">
        <v>3833</v>
      </c>
      <c r="H2087" s="594"/>
      <c r="I2087" s="595"/>
      <c r="J2087" s="595">
        <f t="shared" si="67"/>
        <v>0</v>
      </c>
      <c r="K2087" s="533"/>
      <c r="L2087" s="533"/>
      <c r="M2087" s="533"/>
      <c r="N2087" s="268"/>
      <c r="O2087" s="533"/>
      <c r="P2087" s="533"/>
      <c r="Q2087" s="533"/>
      <c r="R2087" s="533"/>
      <c r="S2087" s="533"/>
      <c r="T2087" s="533"/>
      <c r="U2087" s="533"/>
      <c r="V2087" s="533"/>
      <c r="W2087" s="533"/>
      <c r="X2087" s="533"/>
      <c r="Y2087" s="533"/>
    </row>
    <row r="2088" spans="1:25" s="88" customFormat="1" hidden="1" x14ac:dyDescent="0.25">
      <c r="A2088" s="509"/>
      <c r="B2088" s="256"/>
      <c r="C2088" s="221"/>
      <c r="D2088" s="218"/>
      <c r="E2088" s="218"/>
      <c r="F2088" s="263">
        <v>481</v>
      </c>
      <c r="G2088" s="295" t="s">
        <v>4211</v>
      </c>
      <c r="H2088" s="594"/>
      <c r="I2088" s="595"/>
      <c r="J2088" s="595">
        <f t="shared" si="67"/>
        <v>0</v>
      </c>
      <c r="K2088" s="533"/>
      <c r="L2088" s="533"/>
      <c r="M2088" s="533"/>
      <c r="N2088" s="268"/>
      <c r="O2088" s="533"/>
      <c r="P2088" s="533"/>
      <c r="Q2088" s="533"/>
      <c r="R2088" s="533"/>
      <c r="S2088" s="533"/>
      <c r="T2088" s="533"/>
      <c r="U2088" s="533"/>
      <c r="V2088" s="533"/>
      <c r="W2088" s="533"/>
      <c r="X2088" s="533"/>
      <c r="Y2088" s="533"/>
    </row>
    <row r="2089" spans="1:25" s="88" customFormat="1" hidden="1" x14ac:dyDescent="0.25">
      <c r="A2089" s="509"/>
      <c r="B2089" s="256"/>
      <c r="C2089" s="221"/>
      <c r="D2089" s="218"/>
      <c r="E2089" s="218"/>
      <c r="F2089" s="263">
        <v>482</v>
      </c>
      <c r="G2089" s="295" t="s">
        <v>4212</v>
      </c>
      <c r="H2089" s="594"/>
      <c r="I2089" s="595"/>
      <c r="J2089" s="595">
        <f t="shared" si="67"/>
        <v>0</v>
      </c>
      <c r="K2089" s="533"/>
      <c r="L2089" s="533"/>
      <c r="M2089" s="533"/>
      <c r="N2089" s="268"/>
      <c r="O2089" s="533"/>
      <c r="P2089" s="533"/>
      <c r="Q2089" s="533"/>
      <c r="R2089" s="533"/>
      <c r="S2089" s="533"/>
      <c r="T2089" s="533"/>
      <c r="U2089" s="533"/>
      <c r="V2089" s="533"/>
      <c r="W2089" s="533"/>
      <c r="X2089" s="533"/>
      <c r="Y2089" s="533"/>
    </row>
    <row r="2090" spans="1:25" s="88" customFormat="1" hidden="1" x14ac:dyDescent="0.25">
      <c r="A2090" s="509"/>
      <c r="B2090" s="256"/>
      <c r="C2090" s="221"/>
      <c r="D2090" s="218"/>
      <c r="E2090" s="218"/>
      <c r="F2090" s="263">
        <v>483</v>
      </c>
      <c r="G2090" s="298" t="s">
        <v>4213</v>
      </c>
      <c r="H2090" s="594"/>
      <c r="I2090" s="595"/>
      <c r="J2090" s="595">
        <f t="shared" si="67"/>
        <v>0</v>
      </c>
      <c r="K2090" s="533"/>
      <c r="L2090" s="533"/>
      <c r="M2090" s="533"/>
      <c r="N2090" s="268"/>
      <c r="O2090" s="533"/>
      <c r="P2090" s="533"/>
      <c r="Q2090" s="533"/>
      <c r="R2090" s="533"/>
      <c r="S2090" s="533"/>
      <c r="T2090" s="533"/>
      <c r="U2090" s="533"/>
      <c r="V2090" s="533"/>
      <c r="W2090" s="533"/>
      <c r="X2090" s="533"/>
      <c r="Y2090" s="533"/>
    </row>
    <row r="2091" spans="1:25" s="88" customFormat="1" ht="30" hidden="1" x14ac:dyDescent="0.25">
      <c r="A2091" s="509"/>
      <c r="B2091" s="256"/>
      <c r="C2091" s="221"/>
      <c r="D2091" s="218"/>
      <c r="E2091" s="218"/>
      <c r="F2091" s="263">
        <v>484</v>
      </c>
      <c r="G2091" s="295" t="s">
        <v>4214</v>
      </c>
      <c r="H2091" s="594"/>
      <c r="I2091" s="595"/>
      <c r="J2091" s="595">
        <f t="shared" si="67"/>
        <v>0</v>
      </c>
      <c r="K2091" s="533"/>
      <c r="L2091" s="533"/>
      <c r="M2091" s="533"/>
      <c r="N2091" s="268"/>
      <c r="O2091" s="533"/>
      <c r="P2091" s="533"/>
      <c r="Q2091" s="533"/>
      <c r="R2091" s="533"/>
      <c r="S2091" s="533"/>
      <c r="T2091" s="533"/>
      <c r="U2091" s="533"/>
      <c r="V2091" s="533"/>
      <c r="W2091" s="533"/>
      <c r="X2091" s="533"/>
      <c r="Y2091" s="533"/>
    </row>
    <row r="2092" spans="1:25" s="88" customFormat="1" ht="30" hidden="1" x14ac:dyDescent="0.25">
      <c r="A2092" s="509"/>
      <c r="B2092" s="256"/>
      <c r="C2092" s="221"/>
      <c r="D2092" s="218"/>
      <c r="E2092" s="218"/>
      <c r="F2092" s="263">
        <v>485</v>
      </c>
      <c r="G2092" s="295" t="s">
        <v>4215</v>
      </c>
      <c r="H2092" s="594"/>
      <c r="I2092" s="595"/>
      <c r="J2092" s="595">
        <f t="shared" si="67"/>
        <v>0</v>
      </c>
      <c r="K2092" s="533"/>
      <c r="L2092" s="533"/>
      <c r="M2092" s="533"/>
      <c r="N2092" s="268"/>
      <c r="O2092" s="533"/>
      <c r="P2092" s="533"/>
      <c r="Q2092" s="533"/>
      <c r="R2092" s="533"/>
      <c r="S2092" s="533"/>
      <c r="T2092" s="533"/>
      <c r="U2092" s="533"/>
      <c r="V2092" s="533"/>
      <c r="W2092" s="533"/>
      <c r="X2092" s="533"/>
      <c r="Y2092" s="533"/>
    </row>
    <row r="2093" spans="1:25" s="88" customFormat="1" ht="30" hidden="1" x14ac:dyDescent="0.25">
      <c r="A2093" s="509"/>
      <c r="B2093" s="256"/>
      <c r="C2093" s="221"/>
      <c r="D2093" s="218"/>
      <c r="E2093" s="218"/>
      <c r="F2093" s="263">
        <v>489</v>
      </c>
      <c r="G2093" s="295" t="s">
        <v>3841</v>
      </c>
      <c r="H2093" s="594"/>
      <c r="I2093" s="595"/>
      <c r="J2093" s="595">
        <f t="shared" si="67"/>
        <v>0</v>
      </c>
      <c r="K2093" s="533"/>
      <c r="L2093" s="533"/>
      <c r="M2093" s="533"/>
      <c r="N2093" s="268"/>
      <c r="O2093" s="533"/>
      <c r="P2093" s="533"/>
      <c r="Q2093" s="533"/>
      <c r="R2093" s="533"/>
      <c r="S2093" s="533"/>
      <c r="T2093" s="533"/>
      <c r="U2093" s="533"/>
      <c r="V2093" s="533"/>
      <c r="W2093" s="533"/>
      <c r="X2093" s="533"/>
      <c r="Y2093" s="533"/>
    </row>
    <row r="2094" spans="1:25" s="88" customFormat="1" hidden="1" x14ac:dyDescent="0.25">
      <c r="A2094" s="509"/>
      <c r="B2094" s="256"/>
      <c r="C2094" s="221"/>
      <c r="D2094" s="218"/>
      <c r="E2094" s="218"/>
      <c r="F2094" s="263">
        <v>494</v>
      </c>
      <c r="G2094" s="295" t="s">
        <v>4193</v>
      </c>
      <c r="H2094" s="594"/>
      <c r="I2094" s="595"/>
      <c r="J2094" s="595">
        <f t="shared" si="67"/>
        <v>0</v>
      </c>
      <c r="K2094" s="533"/>
      <c r="L2094" s="533"/>
      <c r="M2094" s="533"/>
      <c r="N2094" s="268"/>
      <c r="O2094" s="533"/>
      <c r="P2094" s="533"/>
      <c r="Q2094" s="533"/>
      <c r="R2094" s="533"/>
      <c r="S2094" s="533"/>
      <c r="T2094" s="533"/>
      <c r="U2094" s="533"/>
      <c r="V2094" s="533"/>
      <c r="W2094" s="533"/>
      <c r="X2094" s="533"/>
      <c r="Y2094" s="533"/>
    </row>
    <row r="2095" spans="1:25" s="88" customFormat="1" ht="30" hidden="1" x14ac:dyDescent="0.25">
      <c r="A2095" s="509"/>
      <c r="B2095" s="256"/>
      <c r="C2095" s="221"/>
      <c r="D2095" s="218"/>
      <c r="E2095" s="218"/>
      <c r="F2095" s="263">
        <v>495</v>
      </c>
      <c r="G2095" s="295" t="s">
        <v>4194</v>
      </c>
      <c r="H2095" s="594"/>
      <c r="I2095" s="595"/>
      <c r="J2095" s="595">
        <f t="shared" si="67"/>
        <v>0</v>
      </c>
      <c r="K2095" s="533"/>
      <c r="L2095" s="533"/>
      <c r="M2095" s="533"/>
      <c r="N2095" s="268"/>
      <c r="O2095" s="533"/>
      <c r="P2095" s="533"/>
      <c r="Q2095" s="533"/>
      <c r="R2095" s="533"/>
      <c r="S2095" s="533"/>
      <c r="T2095" s="533"/>
      <c r="U2095" s="533"/>
      <c r="V2095" s="533"/>
      <c r="W2095" s="533"/>
      <c r="X2095" s="533"/>
      <c r="Y2095" s="533"/>
    </row>
    <row r="2096" spans="1:25" s="88" customFormat="1" ht="30" hidden="1" x14ac:dyDescent="0.25">
      <c r="A2096" s="509"/>
      <c r="B2096" s="256"/>
      <c r="C2096" s="221"/>
      <c r="D2096" s="218"/>
      <c r="E2096" s="218"/>
      <c r="F2096" s="263">
        <v>496</v>
      </c>
      <c r="G2096" s="295" t="s">
        <v>4195</v>
      </c>
      <c r="H2096" s="594"/>
      <c r="I2096" s="595"/>
      <c r="J2096" s="595">
        <f t="shared" si="67"/>
        <v>0</v>
      </c>
      <c r="K2096" s="533"/>
      <c r="L2096" s="533"/>
      <c r="M2096" s="533"/>
      <c r="N2096" s="268"/>
      <c r="O2096" s="533"/>
      <c r="P2096" s="533"/>
      <c r="Q2096" s="533"/>
      <c r="R2096" s="533"/>
      <c r="S2096" s="533"/>
      <c r="T2096" s="533"/>
      <c r="U2096" s="533"/>
      <c r="V2096" s="533"/>
      <c r="W2096" s="533"/>
      <c r="X2096" s="533"/>
      <c r="Y2096" s="533"/>
    </row>
    <row r="2097" spans="1:25" s="88" customFormat="1" hidden="1" x14ac:dyDescent="0.25">
      <c r="A2097" s="509"/>
      <c r="B2097" s="256"/>
      <c r="C2097" s="221"/>
      <c r="D2097" s="218"/>
      <c r="E2097" s="218"/>
      <c r="F2097" s="263">
        <v>499</v>
      </c>
      <c r="G2097" s="295" t="s">
        <v>4196</v>
      </c>
      <c r="H2097" s="594"/>
      <c r="I2097" s="595"/>
      <c r="J2097" s="595">
        <f t="shared" si="67"/>
        <v>0</v>
      </c>
      <c r="K2097" s="533"/>
      <c r="L2097" s="533"/>
      <c r="M2097" s="533"/>
      <c r="N2097" s="268"/>
      <c r="O2097" s="533"/>
      <c r="P2097" s="533"/>
      <c r="Q2097" s="533"/>
      <c r="R2097" s="533"/>
      <c r="S2097" s="533"/>
      <c r="T2097" s="533"/>
      <c r="U2097" s="533"/>
      <c r="V2097" s="533"/>
      <c r="W2097" s="533"/>
      <c r="X2097" s="533"/>
      <c r="Y2097" s="533"/>
    </row>
    <row r="2098" spans="1:25" s="88" customFormat="1" hidden="1" x14ac:dyDescent="0.25">
      <c r="A2098" s="509"/>
      <c r="B2098" s="256"/>
      <c r="C2098" s="221"/>
      <c r="D2098" s="218"/>
      <c r="E2098" s="218"/>
      <c r="F2098" s="263">
        <v>511</v>
      </c>
      <c r="G2098" s="298" t="s">
        <v>4216</v>
      </c>
      <c r="H2098" s="594"/>
      <c r="I2098" s="595"/>
      <c r="J2098" s="595">
        <f t="shared" si="67"/>
        <v>0</v>
      </c>
      <c r="K2098" s="533"/>
      <c r="L2098" s="533"/>
      <c r="M2098" s="533"/>
      <c r="N2098" s="268"/>
      <c r="O2098" s="533"/>
      <c r="P2098" s="533"/>
      <c r="Q2098" s="533"/>
      <c r="R2098" s="533"/>
      <c r="S2098" s="533"/>
      <c r="T2098" s="533"/>
      <c r="U2098" s="533"/>
      <c r="V2098" s="533"/>
      <c r="W2098" s="533"/>
      <c r="X2098" s="533"/>
      <c r="Y2098" s="533"/>
    </row>
    <row r="2099" spans="1:25" s="88" customFormat="1" hidden="1" x14ac:dyDescent="0.25">
      <c r="A2099" s="509"/>
      <c r="B2099" s="256"/>
      <c r="C2099" s="221"/>
      <c r="D2099" s="218"/>
      <c r="E2099" s="218"/>
      <c r="F2099" s="263">
        <v>512</v>
      </c>
      <c r="G2099" s="298" t="s">
        <v>4217</v>
      </c>
      <c r="H2099" s="594"/>
      <c r="I2099" s="595"/>
      <c r="J2099" s="595">
        <f t="shared" si="67"/>
        <v>0</v>
      </c>
      <c r="K2099" s="533"/>
      <c r="L2099" s="533"/>
      <c r="M2099" s="533"/>
      <c r="N2099" s="268"/>
      <c r="O2099" s="533"/>
      <c r="P2099" s="533"/>
      <c r="Q2099" s="533"/>
      <c r="R2099" s="533"/>
      <c r="S2099" s="533"/>
      <c r="T2099" s="533"/>
      <c r="U2099" s="533"/>
      <c r="V2099" s="533"/>
      <c r="W2099" s="533"/>
      <c r="X2099" s="533"/>
      <c r="Y2099" s="533"/>
    </row>
    <row r="2100" spans="1:25" s="88" customFormat="1" hidden="1" x14ac:dyDescent="0.25">
      <c r="A2100" s="509"/>
      <c r="B2100" s="256"/>
      <c r="C2100" s="221"/>
      <c r="D2100" s="218"/>
      <c r="E2100" s="218"/>
      <c r="F2100" s="263">
        <v>513</v>
      </c>
      <c r="G2100" s="298" t="s">
        <v>4218</v>
      </c>
      <c r="H2100" s="594"/>
      <c r="I2100" s="595"/>
      <c r="J2100" s="595">
        <f t="shared" si="67"/>
        <v>0</v>
      </c>
      <c r="K2100" s="533"/>
      <c r="L2100" s="533"/>
      <c r="M2100" s="533"/>
      <c r="N2100" s="268"/>
      <c r="O2100" s="533"/>
      <c r="P2100" s="533"/>
      <c r="Q2100" s="533"/>
      <c r="R2100" s="533"/>
      <c r="S2100" s="533"/>
      <c r="T2100" s="533"/>
      <c r="U2100" s="533"/>
      <c r="V2100" s="533"/>
      <c r="W2100" s="533"/>
      <c r="X2100" s="533"/>
      <c r="Y2100" s="533"/>
    </row>
    <row r="2101" spans="1:25" s="88" customFormat="1" hidden="1" x14ac:dyDescent="0.25">
      <c r="A2101" s="509"/>
      <c r="B2101" s="256"/>
      <c r="C2101" s="221"/>
      <c r="D2101" s="218"/>
      <c r="E2101" s="218"/>
      <c r="F2101" s="263">
        <v>514</v>
      </c>
      <c r="G2101" s="295" t="s">
        <v>4219</v>
      </c>
      <c r="H2101" s="594"/>
      <c r="I2101" s="595"/>
      <c r="J2101" s="595">
        <f t="shared" si="67"/>
        <v>0</v>
      </c>
      <c r="K2101" s="533"/>
      <c r="L2101" s="533"/>
      <c r="M2101" s="533"/>
      <c r="N2101" s="268"/>
      <c r="O2101" s="533"/>
      <c r="P2101" s="533"/>
      <c r="Q2101" s="533"/>
      <c r="R2101" s="533"/>
      <c r="S2101" s="533"/>
      <c r="T2101" s="533"/>
      <c r="U2101" s="533"/>
      <c r="V2101" s="533"/>
      <c r="W2101" s="533"/>
      <c r="X2101" s="533"/>
      <c r="Y2101" s="533"/>
    </row>
    <row r="2102" spans="1:25" s="88" customFormat="1" hidden="1" x14ac:dyDescent="0.25">
      <c r="A2102" s="509"/>
      <c r="B2102" s="256"/>
      <c r="C2102" s="221"/>
      <c r="D2102" s="218"/>
      <c r="E2102" s="218"/>
      <c r="F2102" s="263">
        <v>515</v>
      </c>
      <c r="G2102" s="295" t="s">
        <v>3852</v>
      </c>
      <c r="H2102" s="594"/>
      <c r="I2102" s="595"/>
      <c r="J2102" s="595">
        <f t="shared" si="67"/>
        <v>0</v>
      </c>
      <c r="K2102" s="533"/>
      <c r="L2102" s="533"/>
      <c r="M2102" s="533"/>
      <c r="N2102" s="268"/>
      <c r="O2102" s="533"/>
      <c r="P2102" s="533"/>
      <c r="Q2102" s="533"/>
      <c r="R2102" s="533"/>
      <c r="S2102" s="533"/>
      <c r="T2102" s="533"/>
      <c r="U2102" s="533"/>
      <c r="V2102" s="533"/>
      <c r="W2102" s="533"/>
      <c r="X2102" s="533"/>
      <c r="Y2102" s="533"/>
    </row>
    <row r="2103" spans="1:25" s="88" customFormat="1" hidden="1" x14ac:dyDescent="0.25">
      <c r="A2103" s="509"/>
      <c r="B2103" s="256"/>
      <c r="C2103" s="221"/>
      <c r="D2103" s="218"/>
      <c r="E2103" s="218"/>
      <c r="F2103" s="263">
        <v>521</v>
      </c>
      <c r="G2103" s="295" t="s">
        <v>4220</v>
      </c>
      <c r="H2103" s="594"/>
      <c r="I2103" s="595"/>
      <c r="J2103" s="595">
        <f t="shared" si="67"/>
        <v>0</v>
      </c>
      <c r="K2103" s="533"/>
      <c r="L2103" s="533"/>
      <c r="M2103" s="533"/>
      <c r="N2103" s="268"/>
      <c r="O2103" s="533"/>
      <c r="P2103" s="533"/>
      <c r="Q2103" s="533"/>
      <c r="R2103" s="533"/>
      <c r="S2103" s="533"/>
      <c r="T2103" s="533"/>
      <c r="U2103" s="533"/>
      <c r="V2103" s="533"/>
      <c r="W2103" s="533"/>
      <c r="X2103" s="533"/>
      <c r="Y2103" s="533"/>
    </row>
    <row r="2104" spans="1:25" s="88" customFormat="1" hidden="1" x14ac:dyDescent="0.25">
      <c r="A2104" s="509"/>
      <c r="B2104" s="256"/>
      <c r="C2104" s="221"/>
      <c r="D2104" s="218"/>
      <c r="E2104" s="218"/>
      <c r="F2104" s="263">
        <v>522</v>
      </c>
      <c r="G2104" s="295" t="s">
        <v>4221</v>
      </c>
      <c r="H2104" s="594"/>
      <c r="I2104" s="595"/>
      <c r="J2104" s="595">
        <f t="shared" si="67"/>
        <v>0</v>
      </c>
      <c r="K2104" s="533"/>
      <c r="L2104" s="533"/>
      <c r="M2104" s="533"/>
      <c r="N2104" s="268"/>
      <c r="O2104" s="533"/>
      <c r="P2104" s="533"/>
      <c r="Q2104" s="533"/>
      <c r="R2104" s="533"/>
      <c r="S2104" s="533"/>
      <c r="T2104" s="533"/>
      <c r="U2104" s="533"/>
      <c r="V2104" s="533"/>
      <c r="W2104" s="533"/>
      <c r="X2104" s="533"/>
      <c r="Y2104" s="533"/>
    </row>
    <row r="2105" spans="1:25" s="88" customFormat="1" hidden="1" x14ac:dyDescent="0.25">
      <c r="A2105" s="509"/>
      <c r="B2105" s="256"/>
      <c r="C2105" s="221"/>
      <c r="D2105" s="218"/>
      <c r="E2105" s="218"/>
      <c r="F2105" s="263">
        <v>523</v>
      </c>
      <c r="G2105" s="295" t="s">
        <v>3857</v>
      </c>
      <c r="H2105" s="594"/>
      <c r="I2105" s="595"/>
      <c r="J2105" s="595">
        <f t="shared" si="67"/>
        <v>0</v>
      </c>
      <c r="K2105" s="533"/>
      <c r="L2105" s="533"/>
      <c r="M2105" s="533"/>
      <c r="N2105" s="268"/>
      <c r="O2105" s="533"/>
      <c r="P2105" s="533"/>
      <c r="Q2105" s="533"/>
      <c r="R2105" s="533"/>
      <c r="S2105" s="533"/>
      <c r="T2105" s="533"/>
      <c r="U2105" s="533"/>
      <c r="V2105" s="533"/>
      <c r="W2105" s="533"/>
      <c r="X2105" s="533"/>
      <c r="Y2105" s="533"/>
    </row>
    <row r="2106" spans="1:25" s="88" customFormat="1" hidden="1" x14ac:dyDescent="0.25">
      <c r="A2106" s="509"/>
      <c r="B2106" s="256"/>
      <c r="C2106" s="221"/>
      <c r="D2106" s="218"/>
      <c r="E2106" s="218"/>
      <c r="F2106" s="263">
        <v>531</v>
      </c>
      <c r="G2106" s="292" t="s">
        <v>4197</v>
      </c>
      <c r="H2106" s="594"/>
      <c r="I2106" s="595"/>
      <c r="J2106" s="595">
        <f t="shared" si="67"/>
        <v>0</v>
      </c>
      <c r="K2106" s="533"/>
      <c r="L2106" s="533"/>
      <c r="M2106" s="533"/>
      <c r="N2106" s="268"/>
      <c r="O2106" s="533"/>
      <c r="P2106" s="533"/>
      <c r="Q2106" s="533"/>
      <c r="R2106" s="533"/>
      <c r="S2106" s="533"/>
      <c r="T2106" s="533"/>
      <c r="U2106" s="533"/>
      <c r="V2106" s="533"/>
      <c r="W2106" s="533"/>
      <c r="X2106" s="533"/>
      <c r="Y2106" s="533"/>
    </row>
    <row r="2107" spans="1:25" s="88" customFormat="1" hidden="1" x14ac:dyDescent="0.25">
      <c r="A2107" s="509"/>
      <c r="B2107" s="256"/>
      <c r="C2107" s="221"/>
      <c r="D2107" s="218"/>
      <c r="E2107" s="218"/>
      <c r="F2107" s="263">
        <v>541</v>
      </c>
      <c r="G2107" s="295" t="s">
        <v>4222</v>
      </c>
      <c r="H2107" s="594"/>
      <c r="I2107" s="595"/>
      <c r="J2107" s="595">
        <f t="shared" si="67"/>
        <v>0</v>
      </c>
      <c r="K2107" s="533"/>
      <c r="L2107" s="533"/>
      <c r="M2107" s="533"/>
      <c r="N2107" s="268"/>
      <c r="O2107" s="533"/>
      <c r="P2107" s="533"/>
      <c r="Q2107" s="533"/>
      <c r="R2107" s="533"/>
      <c r="S2107" s="533"/>
      <c r="T2107" s="533"/>
      <c r="U2107" s="533"/>
      <c r="V2107" s="533"/>
      <c r="W2107" s="533"/>
      <c r="X2107" s="533"/>
      <c r="Y2107" s="533"/>
    </row>
    <row r="2108" spans="1:25" s="88" customFormat="1" hidden="1" x14ac:dyDescent="0.25">
      <c r="A2108" s="509"/>
      <c r="B2108" s="256"/>
      <c r="C2108" s="221"/>
      <c r="D2108" s="218"/>
      <c r="E2108" s="218"/>
      <c r="F2108" s="263">
        <v>542</v>
      </c>
      <c r="G2108" s="295" t="s">
        <v>4223</v>
      </c>
      <c r="H2108" s="594"/>
      <c r="I2108" s="595"/>
      <c r="J2108" s="595">
        <f t="shared" si="67"/>
        <v>0</v>
      </c>
      <c r="K2108" s="533"/>
      <c r="L2108" s="533"/>
      <c r="M2108" s="533"/>
      <c r="N2108" s="268"/>
      <c r="O2108" s="533"/>
      <c r="P2108" s="533"/>
      <c r="Q2108" s="533"/>
      <c r="R2108" s="533"/>
      <c r="S2108" s="533"/>
      <c r="T2108" s="533"/>
      <c r="U2108" s="533"/>
      <c r="V2108" s="533"/>
      <c r="W2108" s="533"/>
      <c r="X2108" s="533"/>
      <c r="Y2108" s="533"/>
    </row>
    <row r="2109" spans="1:25" s="88" customFormat="1" hidden="1" x14ac:dyDescent="0.25">
      <c r="A2109" s="509"/>
      <c r="B2109" s="256"/>
      <c r="C2109" s="221"/>
      <c r="D2109" s="218"/>
      <c r="E2109" s="218"/>
      <c r="F2109" s="263">
        <v>543</v>
      </c>
      <c r="G2109" s="295" t="s">
        <v>3862</v>
      </c>
      <c r="H2109" s="594"/>
      <c r="I2109" s="595"/>
      <c r="J2109" s="595">
        <f t="shared" si="67"/>
        <v>0</v>
      </c>
      <c r="K2109" s="533"/>
      <c r="L2109" s="533"/>
      <c r="M2109" s="533"/>
      <c r="N2109" s="268"/>
      <c r="O2109" s="533"/>
      <c r="P2109" s="533"/>
      <c r="Q2109" s="533"/>
      <c r="R2109" s="533"/>
      <c r="S2109" s="533"/>
      <c r="T2109" s="533"/>
      <c r="U2109" s="533"/>
      <c r="V2109" s="533"/>
      <c r="W2109" s="533"/>
      <c r="X2109" s="533"/>
      <c r="Y2109" s="533"/>
    </row>
    <row r="2110" spans="1:25" s="88" customFormat="1" ht="30" hidden="1" x14ac:dyDescent="0.25">
      <c r="A2110" s="509"/>
      <c r="B2110" s="256"/>
      <c r="C2110" s="221"/>
      <c r="D2110" s="218"/>
      <c r="E2110" s="218"/>
      <c r="F2110" s="263">
        <v>551</v>
      </c>
      <c r="G2110" s="295" t="s">
        <v>4198</v>
      </c>
      <c r="H2110" s="594"/>
      <c r="I2110" s="595"/>
      <c r="J2110" s="595">
        <f t="shared" si="67"/>
        <v>0</v>
      </c>
      <c r="K2110" s="533"/>
      <c r="L2110" s="533"/>
      <c r="M2110" s="533"/>
      <c r="N2110" s="268"/>
      <c r="O2110" s="533"/>
      <c r="P2110" s="533"/>
      <c r="Q2110" s="533"/>
      <c r="R2110" s="533"/>
      <c r="S2110" s="533"/>
      <c r="T2110" s="533"/>
      <c r="U2110" s="533"/>
      <c r="V2110" s="533"/>
      <c r="W2110" s="533"/>
      <c r="X2110" s="533"/>
      <c r="Y2110" s="533"/>
    </row>
    <row r="2111" spans="1:25" s="88" customFormat="1" hidden="1" x14ac:dyDescent="0.25">
      <c r="A2111" s="509"/>
      <c r="B2111" s="256"/>
      <c r="C2111" s="221"/>
      <c r="D2111" s="218"/>
      <c r="E2111" s="218"/>
      <c r="F2111" s="264">
        <v>611</v>
      </c>
      <c r="G2111" s="299" t="s">
        <v>3868</v>
      </c>
      <c r="H2111" s="594"/>
      <c r="I2111" s="595"/>
      <c r="J2111" s="595">
        <f t="shared" si="67"/>
        <v>0</v>
      </c>
      <c r="K2111" s="533"/>
      <c r="L2111" s="533"/>
      <c r="M2111" s="533"/>
      <c r="N2111" s="268"/>
      <c r="O2111" s="533"/>
      <c r="P2111" s="533"/>
      <c r="Q2111" s="533"/>
      <c r="R2111" s="533"/>
      <c r="S2111" s="533"/>
      <c r="T2111" s="533"/>
      <c r="U2111" s="533"/>
      <c r="V2111" s="533"/>
      <c r="W2111" s="533"/>
      <c r="X2111" s="533"/>
      <c r="Y2111" s="533"/>
    </row>
    <row r="2112" spans="1:25" s="88" customFormat="1" ht="15.75" hidden="1" thickBot="1" x14ac:dyDescent="0.3">
      <c r="A2112" s="509"/>
      <c r="B2112" s="256"/>
      <c r="C2112" s="221"/>
      <c r="D2112" s="218"/>
      <c r="E2112" s="218"/>
      <c r="F2112" s="264">
        <v>620</v>
      </c>
      <c r="G2112" s="299" t="s">
        <v>88</v>
      </c>
      <c r="H2112" s="594"/>
      <c r="I2112" s="595"/>
      <c r="J2112" s="595">
        <f t="shared" si="67"/>
        <v>0</v>
      </c>
      <c r="K2112" s="533"/>
      <c r="L2112" s="533"/>
      <c r="M2112" s="533"/>
      <c r="N2112" s="268"/>
      <c r="O2112" s="533"/>
      <c r="P2112" s="533"/>
      <c r="Q2112" s="533"/>
      <c r="R2112" s="533"/>
      <c r="S2112" s="533"/>
      <c r="T2112" s="533"/>
      <c r="U2112" s="533"/>
      <c r="V2112" s="533"/>
      <c r="W2112" s="533"/>
      <c r="X2112" s="533"/>
      <c r="Y2112" s="533"/>
    </row>
    <row r="2113" spans="1:25" s="88" customFormat="1" hidden="1" x14ac:dyDescent="0.25">
      <c r="A2113" s="509"/>
      <c r="B2113" s="256"/>
      <c r="C2113" s="221"/>
      <c r="D2113" s="218"/>
      <c r="E2113" s="293"/>
      <c r="F2113" s="301"/>
      <c r="G2113" s="326" t="s">
        <v>4403</v>
      </c>
      <c r="H2113" s="596"/>
      <c r="I2113" s="622"/>
      <c r="J2113" s="597"/>
      <c r="K2113" s="533"/>
      <c r="L2113" s="533"/>
      <c r="M2113" s="533"/>
      <c r="N2113" s="268"/>
      <c r="O2113" s="533"/>
      <c r="P2113" s="533"/>
      <c r="Q2113" s="533"/>
      <c r="R2113" s="533"/>
      <c r="S2113" s="533"/>
      <c r="T2113" s="533"/>
      <c r="U2113" s="533"/>
      <c r="V2113" s="533"/>
      <c r="W2113" s="533"/>
      <c r="X2113" s="533"/>
      <c r="Y2113" s="533"/>
    </row>
    <row r="2114" spans="1:25" s="88" customFormat="1" ht="15.75" hidden="1" thickBot="1" x14ac:dyDescent="0.3">
      <c r="A2114" s="509"/>
      <c r="B2114" s="256"/>
      <c r="C2114" s="221"/>
      <c r="D2114" s="218"/>
      <c r="E2114" s="222"/>
      <c r="F2114" s="249" t="s">
        <v>234</v>
      </c>
      <c r="G2114" s="252" t="s">
        <v>235</v>
      </c>
      <c r="H2114" s="598">
        <f>SUM(H2053:H2112)</f>
        <v>0</v>
      </c>
      <c r="I2114" s="599"/>
      <c r="J2114" s="599">
        <f t="shared" ref="J2114:J2129" si="68">SUM(H2114:I2114)</f>
        <v>0</v>
      </c>
      <c r="K2114" s="533"/>
      <c r="L2114" s="533"/>
      <c r="M2114" s="533"/>
      <c r="N2114" s="268"/>
      <c r="O2114" s="533"/>
      <c r="P2114" s="533"/>
      <c r="Q2114" s="533"/>
      <c r="R2114" s="533"/>
      <c r="S2114" s="533"/>
      <c r="T2114" s="533"/>
      <c r="U2114" s="533"/>
      <c r="V2114" s="533"/>
      <c r="W2114" s="533"/>
      <c r="X2114" s="533"/>
      <c r="Y2114" s="533"/>
    </row>
    <row r="2115" spans="1:25" s="88" customFormat="1" hidden="1" x14ac:dyDescent="0.25">
      <c r="A2115" s="509"/>
      <c r="B2115" s="256"/>
      <c r="C2115" s="221"/>
      <c r="D2115" s="218"/>
      <c r="E2115" s="218"/>
      <c r="F2115" s="249" t="s">
        <v>236</v>
      </c>
      <c r="G2115" s="252" t="s">
        <v>237</v>
      </c>
      <c r="H2115" s="594"/>
      <c r="I2115" s="595"/>
      <c r="J2115" s="599">
        <f t="shared" si="68"/>
        <v>0</v>
      </c>
      <c r="K2115" s="533"/>
      <c r="L2115" s="533"/>
      <c r="M2115" s="533"/>
      <c r="N2115" s="268"/>
      <c r="O2115" s="533"/>
      <c r="P2115" s="533"/>
      <c r="Q2115" s="533"/>
      <c r="R2115" s="533"/>
      <c r="S2115" s="533"/>
      <c r="T2115" s="533"/>
      <c r="U2115" s="533"/>
      <c r="V2115" s="533"/>
      <c r="W2115" s="533"/>
      <c r="X2115" s="533"/>
      <c r="Y2115" s="533"/>
    </row>
    <row r="2116" spans="1:25" s="88" customFormat="1" hidden="1" x14ac:dyDescent="0.25">
      <c r="A2116" s="509"/>
      <c r="B2116" s="256"/>
      <c r="C2116" s="221"/>
      <c r="D2116" s="218"/>
      <c r="E2116" s="218"/>
      <c r="F2116" s="249" t="s">
        <v>238</v>
      </c>
      <c r="G2116" s="252" t="s">
        <v>239</v>
      </c>
      <c r="H2116" s="594"/>
      <c r="I2116" s="595"/>
      <c r="J2116" s="599">
        <f t="shared" si="68"/>
        <v>0</v>
      </c>
      <c r="K2116" s="533"/>
      <c r="L2116" s="533"/>
      <c r="M2116" s="533"/>
      <c r="N2116" s="268"/>
      <c r="O2116" s="533"/>
      <c r="P2116" s="533"/>
      <c r="Q2116" s="533"/>
      <c r="R2116" s="533"/>
      <c r="S2116" s="533"/>
      <c r="T2116" s="533"/>
      <c r="U2116" s="533"/>
      <c r="V2116" s="533"/>
      <c r="W2116" s="533"/>
      <c r="X2116" s="533"/>
      <c r="Y2116" s="533"/>
    </row>
    <row r="2117" spans="1:25" s="88" customFormat="1" hidden="1" x14ac:dyDescent="0.25">
      <c r="A2117" s="509"/>
      <c r="B2117" s="256"/>
      <c r="C2117" s="221"/>
      <c r="D2117" s="218"/>
      <c r="E2117" s="218"/>
      <c r="F2117" s="249" t="s">
        <v>240</v>
      </c>
      <c r="G2117" s="252" t="s">
        <v>241</v>
      </c>
      <c r="H2117" s="594"/>
      <c r="I2117" s="595"/>
      <c r="J2117" s="599">
        <f t="shared" si="68"/>
        <v>0</v>
      </c>
      <c r="K2117" s="533"/>
      <c r="L2117" s="533"/>
      <c r="M2117" s="533"/>
      <c r="N2117" s="268"/>
      <c r="O2117" s="533"/>
      <c r="P2117" s="533"/>
      <c r="Q2117" s="533"/>
      <c r="R2117" s="533"/>
      <c r="S2117" s="533"/>
      <c r="T2117" s="533"/>
      <c r="U2117" s="533"/>
      <c r="V2117" s="533"/>
      <c r="W2117" s="533"/>
      <c r="X2117" s="533"/>
      <c r="Y2117" s="533"/>
    </row>
    <row r="2118" spans="1:25" s="88" customFormat="1" hidden="1" x14ac:dyDescent="0.25">
      <c r="A2118" s="509"/>
      <c r="B2118" s="256"/>
      <c r="C2118" s="221"/>
      <c r="D2118" s="218"/>
      <c r="E2118" s="218"/>
      <c r="F2118" s="249" t="s">
        <v>242</v>
      </c>
      <c r="G2118" s="252" t="s">
        <v>243</v>
      </c>
      <c r="H2118" s="594"/>
      <c r="I2118" s="595"/>
      <c r="J2118" s="599">
        <f t="shared" si="68"/>
        <v>0</v>
      </c>
      <c r="K2118" s="533"/>
      <c r="L2118" s="533"/>
      <c r="M2118" s="533"/>
      <c r="N2118" s="268"/>
      <c r="O2118" s="533"/>
      <c r="P2118" s="533"/>
      <c r="Q2118" s="533"/>
      <c r="R2118" s="533"/>
      <c r="S2118" s="533"/>
      <c r="T2118" s="533"/>
      <c r="U2118" s="533"/>
      <c r="V2118" s="533"/>
      <c r="W2118" s="533"/>
      <c r="X2118" s="533"/>
      <c r="Y2118" s="533"/>
    </row>
    <row r="2119" spans="1:25" s="88" customFormat="1" hidden="1" x14ac:dyDescent="0.25">
      <c r="A2119" s="509"/>
      <c r="B2119" s="256"/>
      <c r="C2119" s="221"/>
      <c r="D2119" s="218"/>
      <c r="E2119" s="218"/>
      <c r="F2119" s="249" t="s">
        <v>244</v>
      </c>
      <c r="G2119" s="252" t="s">
        <v>245</v>
      </c>
      <c r="H2119" s="594"/>
      <c r="I2119" s="595"/>
      <c r="J2119" s="599">
        <f t="shared" si="68"/>
        <v>0</v>
      </c>
      <c r="K2119" s="533"/>
      <c r="L2119" s="533"/>
      <c r="M2119" s="533"/>
      <c r="N2119" s="268"/>
      <c r="O2119" s="533"/>
      <c r="P2119" s="533"/>
      <c r="Q2119" s="533"/>
      <c r="R2119" s="533"/>
      <c r="S2119" s="533"/>
      <c r="T2119" s="533"/>
      <c r="U2119" s="533"/>
      <c r="V2119" s="533"/>
      <c r="W2119" s="533"/>
      <c r="X2119" s="533"/>
      <c r="Y2119" s="533"/>
    </row>
    <row r="2120" spans="1:25" s="88" customFormat="1" hidden="1" x14ac:dyDescent="0.25">
      <c r="A2120" s="509"/>
      <c r="B2120" s="256"/>
      <c r="C2120" s="221"/>
      <c r="D2120" s="218"/>
      <c r="E2120" s="218"/>
      <c r="F2120" s="249" t="s">
        <v>246</v>
      </c>
      <c r="G2120" s="252" t="s">
        <v>247</v>
      </c>
      <c r="H2120" s="594"/>
      <c r="I2120" s="595"/>
      <c r="J2120" s="599">
        <f t="shared" si="68"/>
        <v>0</v>
      </c>
      <c r="K2120" s="533"/>
      <c r="L2120" s="533"/>
      <c r="M2120" s="533"/>
      <c r="N2120" s="268"/>
      <c r="O2120" s="533"/>
      <c r="P2120" s="533"/>
      <c r="Q2120" s="533"/>
      <c r="R2120" s="533"/>
      <c r="S2120" s="533"/>
      <c r="T2120" s="533"/>
      <c r="U2120" s="533"/>
      <c r="V2120" s="533"/>
      <c r="W2120" s="533"/>
      <c r="X2120" s="533"/>
      <c r="Y2120" s="533"/>
    </row>
    <row r="2121" spans="1:25" s="88" customFormat="1" hidden="1" x14ac:dyDescent="0.25">
      <c r="A2121" s="509"/>
      <c r="B2121" s="256"/>
      <c r="C2121" s="221"/>
      <c r="D2121" s="218"/>
      <c r="E2121" s="218"/>
      <c r="F2121" s="249" t="s">
        <v>248</v>
      </c>
      <c r="G2121" s="252" t="s">
        <v>249</v>
      </c>
      <c r="H2121" s="594"/>
      <c r="I2121" s="595"/>
      <c r="J2121" s="599">
        <f t="shared" si="68"/>
        <v>0</v>
      </c>
      <c r="K2121" s="533"/>
      <c r="L2121" s="533"/>
      <c r="M2121" s="533"/>
      <c r="N2121" s="268"/>
      <c r="O2121" s="533"/>
      <c r="P2121" s="533"/>
      <c r="Q2121" s="533"/>
      <c r="R2121" s="533"/>
      <c r="S2121" s="533"/>
      <c r="T2121" s="533"/>
      <c r="U2121" s="533"/>
      <c r="V2121" s="533"/>
      <c r="W2121" s="533"/>
      <c r="X2121" s="533"/>
      <c r="Y2121" s="533"/>
    </row>
    <row r="2122" spans="1:25" s="88" customFormat="1" hidden="1" x14ac:dyDescent="0.25">
      <c r="A2122" s="509"/>
      <c r="B2122" s="256"/>
      <c r="C2122" s="221"/>
      <c r="D2122" s="218"/>
      <c r="E2122" s="218"/>
      <c r="F2122" s="249" t="s">
        <v>250</v>
      </c>
      <c r="G2122" s="252" t="s">
        <v>57</v>
      </c>
      <c r="H2122" s="594"/>
      <c r="I2122" s="595"/>
      <c r="J2122" s="599">
        <f t="shared" si="68"/>
        <v>0</v>
      </c>
      <c r="K2122" s="533"/>
      <c r="L2122" s="533"/>
      <c r="M2122" s="533"/>
      <c r="N2122" s="268"/>
      <c r="O2122" s="533"/>
      <c r="P2122" s="533"/>
      <c r="Q2122" s="533"/>
      <c r="R2122" s="533"/>
      <c r="S2122" s="533"/>
      <c r="T2122" s="533"/>
      <c r="U2122" s="533"/>
      <c r="V2122" s="533"/>
      <c r="W2122" s="533"/>
      <c r="X2122" s="533"/>
      <c r="Y2122" s="533"/>
    </row>
    <row r="2123" spans="1:25" s="88" customFormat="1" hidden="1" x14ac:dyDescent="0.25">
      <c r="A2123" s="509"/>
      <c r="B2123" s="256"/>
      <c r="C2123" s="221"/>
      <c r="D2123" s="218"/>
      <c r="E2123" s="218"/>
      <c r="F2123" s="249" t="s">
        <v>251</v>
      </c>
      <c r="G2123" s="252" t="s">
        <v>252</v>
      </c>
      <c r="H2123" s="594"/>
      <c r="I2123" s="595"/>
      <c r="J2123" s="599">
        <f t="shared" si="68"/>
        <v>0</v>
      </c>
      <c r="K2123" s="533"/>
      <c r="L2123" s="533"/>
      <c r="M2123" s="533"/>
      <c r="N2123" s="268"/>
      <c r="O2123" s="533"/>
      <c r="P2123" s="533"/>
      <c r="Q2123" s="533"/>
      <c r="R2123" s="533"/>
      <c r="S2123" s="533"/>
      <c r="T2123" s="533"/>
      <c r="U2123" s="533"/>
      <c r="V2123" s="533"/>
      <c r="W2123" s="533"/>
      <c r="X2123" s="533"/>
      <c r="Y2123" s="533"/>
    </row>
    <row r="2124" spans="1:25" s="88" customFormat="1" hidden="1" x14ac:dyDescent="0.25">
      <c r="A2124" s="509"/>
      <c r="B2124" s="256"/>
      <c r="C2124" s="221"/>
      <c r="D2124" s="218"/>
      <c r="E2124" s="218"/>
      <c r="F2124" s="249" t="s">
        <v>253</v>
      </c>
      <c r="G2124" s="252" t="s">
        <v>254</v>
      </c>
      <c r="H2124" s="594"/>
      <c r="I2124" s="595"/>
      <c r="J2124" s="599">
        <f t="shared" si="68"/>
        <v>0</v>
      </c>
      <c r="K2124" s="533"/>
      <c r="L2124" s="533"/>
      <c r="M2124" s="533"/>
      <c r="N2124" s="268"/>
      <c r="O2124" s="533"/>
      <c r="P2124" s="533"/>
      <c r="Q2124" s="533"/>
      <c r="R2124" s="533"/>
      <c r="S2124" s="533"/>
      <c r="T2124" s="533"/>
      <c r="U2124" s="533"/>
      <c r="V2124" s="533"/>
      <c r="W2124" s="533"/>
      <c r="X2124" s="533"/>
      <c r="Y2124" s="533"/>
    </row>
    <row r="2125" spans="1:25" s="88" customFormat="1" ht="30" hidden="1" x14ac:dyDescent="0.25">
      <c r="A2125" s="509"/>
      <c r="B2125" s="256"/>
      <c r="C2125" s="221"/>
      <c r="D2125" s="218"/>
      <c r="E2125" s="218"/>
      <c r="F2125" s="249" t="s">
        <v>255</v>
      </c>
      <c r="G2125" s="252" t="s">
        <v>256</v>
      </c>
      <c r="H2125" s="594"/>
      <c r="I2125" s="595"/>
      <c r="J2125" s="599">
        <f t="shared" si="68"/>
        <v>0</v>
      </c>
      <c r="K2125" s="533"/>
      <c r="L2125" s="533"/>
      <c r="M2125" s="533"/>
      <c r="N2125" s="268"/>
      <c r="O2125" s="533"/>
      <c r="P2125" s="533"/>
      <c r="Q2125" s="533"/>
      <c r="R2125" s="533"/>
      <c r="S2125" s="533"/>
      <c r="T2125" s="533"/>
      <c r="U2125" s="533"/>
      <c r="V2125" s="533"/>
      <c r="W2125" s="533"/>
      <c r="X2125" s="533"/>
      <c r="Y2125" s="533"/>
    </row>
    <row r="2126" spans="1:25" s="88" customFormat="1" hidden="1" x14ac:dyDescent="0.25">
      <c r="A2126" s="509"/>
      <c r="B2126" s="256"/>
      <c r="C2126" s="221"/>
      <c r="D2126" s="218"/>
      <c r="E2126" s="218"/>
      <c r="F2126" s="249" t="s">
        <v>257</v>
      </c>
      <c r="G2126" s="252" t="s">
        <v>258</v>
      </c>
      <c r="H2126" s="594"/>
      <c r="I2126" s="595"/>
      <c r="J2126" s="599">
        <f t="shared" si="68"/>
        <v>0</v>
      </c>
      <c r="K2126" s="533"/>
      <c r="L2126" s="533"/>
      <c r="M2126" s="533"/>
      <c r="N2126" s="268"/>
      <c r="O2126" s="533"/>
      <c r="P2126" s="533"/>
      <c r="Q2126" s="533"/>
      <c r="R2126" s="533"/>
      <c r="S2126" s="533"/>
      <c r="T2126" s="533"/>
      <c r="U2126" s="533"/>
      <c r="V2126" s="533"/>
      <c r="W2126" s="533"/>
      <c r="X2126" s="533"/>
      <c r="Y2126" s="533"/>
    </row>
    <row r="2127" spans="1:25" s="88" customFormat="1" ht="30" hidden="1" x14ac:dyDescent="0.25">
      <c r="A2127" s="509"/>
      <c r="B2127" s="256"/>
      <c r="C2127" s="221"/>
      <c r="D2127" s="218"/>
      <c r="E2127" s="218"/>
      <c r="F2127" s="249" t="s">
        <v>259</v>
      </c>
      <c r="G2127" s="252" t="s">
        <v>260</v>
      </c>
      <c r="H2127" s="594"/>
      <c r="I2127" s="595"/>
      <c r="J2127" s="599">
        <f t="shared" si="68"/>
        <v>0</v>
      </c>
      <c r="K2127" s="533"/>
      <c r="L2127" s="533"/>
      <c r="M2127" s="533"/>
      <c r="N2127" s="268"/>
      <c r="O2127" s="533"/>
      <c r="P2127" s="533"/>
      <c r="Q2127" s="533"/>
      <c r="R2127" s="533"/>
      <c r="S2127" s="533"/>
      <c r="T2127" s="533"/>
      <c r="U2127" s="533"/>
      <c r="V2127" s="533"/>
      <c r="W2127" s="533"/>
      <c r="X2127" s="533"/>
      <c r="Y2127" s="533"/>
    </row>
    <row r="2128" spans="1:25" s="88" customFormat="1" hidden="1" x14ac:dyDescent="0.25">
      <c r="A2128" s="509"/>
      <c r="B2128" s="256"/>
      <c r="C2128" s="221"/>
      <c r="D2128" s="218"/>
      <c r="E2128" s="218"/>
      <c r="F2128" s="249" t="s">
        <v>261</v>
      </c>
      <c r="G2128" s="252" t="s">
        <v>262</v>
      </c>
      <c r="H2128" s="594"/>
      <c r="I2128" s="595"/>
      <c r="J2128" s="599">
        <f t="shared" si="68"/>
        <v>0</v>
      </c>
      <c r="K2128" s="533"/>
      <c r="L2128" s="533"/>
      <c r="M2128" s="533"/>
      <c r="N2128" s="268"/>
      <c r="O2128" s="533"/>
      <c r="P2128" s="533"/>
      <c r="Q2128" s="533"/>
      <c r="R2128" s="533"/>
      <c r="S2128" s="533"/>
      <c r="T2128" s="533"/>
      <c r="U2128" s="533"/>
      <c r="V2128" s="533"/>
      <c r="W2128" s="533"/>
      <c r="X2128" s="533"/>
      <c r="Y2128" s="533"/>
    </row>
    <row r="2129" spans="1:25" s="88" customFormat="1" ht="15.75" hidden="1" thickBot="1" x14ac:dyDescent="0.3">
      <c r="A2129" s="509"/>
      <c r="B2129" s="256"/>
      <c r="C2129" s="221"/>
      <c r="D2129" s="218"/>
      <c r="E2129" s="218"/>
      <c r="F2129" s="249" t="s">
        <v>263</v>
      </c>
      <c r="G2129" s="252" t="s">
        <v>264</v>
      </c>
      <c r="H2129" s="598"/>
      <c r="I2129" s="599"/>
      <c r="J2129" s="599">
        <f t="shared" si="68"/>
        <v>0</v>
      </c>
      <c r="K2129" s="533"/>
      <c r="L2129" s="533"/>
      <c r="M2129" s="533"/>
      <c r="N2129" s="268"/>
      <c r="O2129" s="533"/>
      <c r="P2129" s="533"/>
      <c r="Q2129" s="533"/>
      <c r="R2129" s="533"/>
      <c r="S2129" s="533"/>
      <c r="T2129" s="533"/>
      <c r="U2129" s="533"/>
      <c r="V2129" s="533"/>
      <c r="W2129" s="533"/>
      <c r="X2129" s="533"/>
      <c r="Y2129" s="533"/>
    </row>
    <row r="2130" spans="1:25" s="88" customFormat="1" ht="15.75" hidden="1" thickBot="1" x14ac:dyDescent="0.3">
      <c r="A2130" s="509"/>
      <c r="B2130" s="256"/>
      <c r="C2130" s="221"/>
      <c r="D2130" s="218"/>
      <c r="E2130" s="218"/>
      <c r="F2130" s="218"/>
      <c r="G2130" s="229" t="s">
        <v>4404</v>
      </c>
      <c r="H2130" s="600">
        <f>SUM(H2114:H2129)</f>
        <v>0</v>
      </c>
      <c r="I2130" s="601">
        <f>SUM(I2115:I2129)</f>
        <v>0</v>
      </c>
      <c r="J2130" s="601">
        <f>SUM(J2114:J2129)</f>
        <v>0</v>
      </c>
      <c r="K2130" s="533"/>
      <c r="L2130" s="533"/>
      <c r="M2130" s="533"/>
      <c r="N2130" s="268"/>
      <c r="O2130" s="533"/>
      <c r="P2130" s="533"/>
      <c r="Q2130" s="533"/>
      <c r="R2130" s="533"/>
      <c r="S2130" s="533"/>
      <c r="T2130" s="533"/>
      <c r="U2130" s="533"/>
      <c r="V2130" s="533"/>
      <c r="W2130" s="533"/>
      <c r="X2130" s="533"/>
      <c r="Y2130" s="533"/>
    </row>
    <row r="2131" spans="1:25" s="88" customFormat="1" ht="28.5" hidden="1" x14ac:dyDescent="0.25">
      <c r="A2131" s="509"/>
      <c r="B2131" s="256"/>
      <c r="C2131" s="221"/>
      <c r="D2131" s="218"/>
      <c r="E2131" s="260"/>
      <c r="F2131" s="264"/>
      <c r="G2131" s="231" t="s">
        <v>4405</v>
      </c>
      <c r="H2131" s="602"/>
      <c r="I2131" s="623"/>
      <c r="J2131" s="603"/>
      <c r="K2131" s="533"/>
      <c r="L2131" s="533"/>
      <c r="M2131" s="533"/>
      <c r="N2131" s="268"/>
      <c r="O2131" s="533"/>
      <c r="P2131" s="533"/>
      <c r="Q2131" s="533"/>
      <c r="R2131" s="533"/>
      <c r="S2131" s="533"/>
      <c r="T2131" s="533"/>
      <c r="U2131" s="533"/>
      <c r="V2131" s="533"/>
      <c r="W2131" s="533"/>
      <c r="X2131" s="533"/>
      <c r="Y2131" s="533"/>
    </row>
    <row r="2132" spans="1:25" s="88" customFormat="1" ht="15.75" hidden="1" thickBot="1" x14ac:dyDescent="0.3">
      <c r="A2132" s="509"/>
      <c r="B2132" s="256"/>
      <c r="C2132" s="221"/>
      <c r="D2132" s="218"/>
      <c r="E2132" s="222"/>
      <c r="F2132" s="249" t="s">
        <v>234</v>
      </c>
      <c r="G2132" s="252" t="s">
        <v>235</v>
      </c>
      <c r="H2132" s="598">
        <f>SUM(H2053:H2112)</f>
        <v>0</v>
      </c>
      <c r="I2132" s="599"/>
      <c r="J2132" s="599">
        <f t="shared" ref="J2132:J2147" si="69">SUM(H2132:I2132)</f>
        <v>0</v>
      </c>
      <c r="K2132" s="533"/>
      <c r="L2132" s="533"/>
      <c r="M2132" s="533"/>
      <c r="N2132" s="268"/>
      <c r="O2132" s="533"/>
      <c r="P2132" s="533"/>
      <c r="Q2132" s="533"/>
      <c r="R2132" s="533"/>
      <c r="S2132" s="533"/>
      <c r="T2132" s="533"/>
      <c r="U2132" s="533"/>
      <c r="V2132" s="533"/>
      <c r="W2132" s="533"/>
      <c r="X2132" s="533"/>
      <c r="Y2132" s="533"/>
    </row>
    <row r="2133" spans="1:25" s="88" customFormat="1" hidden="1" x14ac:dyDescent="0.25">
      <c r="A2133" s="509"/>
      <c r="B2133" s="256"/>
      <c r="C2133" s="221"/>
      <c r="D2133" s="218"/>
      <c r="E2133" s="218"/>
      <c r="F2133" s="249" t="s">
        <v>236</v>
      </c>
      <c r="G2133" s="252" t="s">
        <v>237</v>
      </c>
      <c r="H2133" s="594"/>
      <c r="I2133" s="595"/>
      <c r="J2133" s="599">
        <f t="shared" si="69"/>
        <v>0</v>
      </c>
      <c r="K2133" s="533"/>
      <c r="L2133" s="533"/>
      <c r="M2133" s="533"/>
      <c r="N2133" s="268"/>
      <c r="O2133" s="533"/>
      <c r="P2133" s="533"/>
      <c r="Q2133" s="533"/>
      <c r="R2133" s="533"/>
      <c r="S2133" s="533"/>
      <c r="T2133" s="533"/>
      <c r="U2133" s="533"/>
      <c r="V2133" s="533"/>
      <c r="W2133" s="533"/>
      <c r="X2133" s="533"/>
      <c r="Y2133" s="533"/>
    </row>
    <row r="2134" spans="1:25" s="88" customFormat="1" hidden="1" x14ac:dyDescent="0.25">
      <c r="A2134" s="509"/>
      <c r="B2134" s="256"/>
      <c r="C2134" s="221"/>
      <c r="D2134" s="218"/>
      <c r="E2134" s="218"/>
      <c r="F2134" s="249" t="s">
        <v>238</v>
      </c>
      <c r="G2134" s="252" t="s">
        <v>239</v>
      </c>
      <c r="H2134" s="594"/>
      <c r="I2134" s="595"/>
      <c r="J2134" s="599">
        <f t="shared" si="69"/>
        <v>0</v>
      </c>
      <c r="K2134" s="533"/>
      <c r="L2134" s="533"/>
      <c r="M2134" s="533"/>
      <c r="N2134" s="268"/>
      <c r="O2134" s="533"/>
      <c r="P2134" s="533"/>
      <c r="Q2134" s="533"/>
      <c r="R2134" s="533"/>
      <c r="S2134" s="533"/>
      <c r="T2134" s="533"/>
      <c r="U2134" s="533"/>
      <c r="V2134" s="533"/>
      <c r="W2134" s="533"/>
      <c r="X2134" s="533"/>
      <c r="Y2134" s="533"/>
    </row>
    <row r="2135" spans="1:25" s="88" customFormat="1" hidden="1" x14ac:dyDescent="0.25">
      <c r="A2135" s="509"/>
      <c r="B2135" s="256"/>
      <c r="C2135" s="221"/>
      <c r="D2135" s="218"/>
      <c r="E2135" s="218"/>
      <c r="F2135" s="249" t="s">
        <v>240</v>
      </c>
      <c r="G2135" s="252" t="s">
        <v>241</v>
      </c>
      <c r="H2135" s="594"/>
      <c r="I2135" s="595"/>
      <c r="J2135" s="599">
        <f t="shared" si="69"/>
        <v>0</v>
      </c>
      <c r="K2135" s="533"/>
      <c r="L2135" s="533"/>
      <c r="M2135" s="533"/>
      <c r="N2135" s="268"/>
      <c r="O2135" s="533"/>
      <c r="P2135" s="533"/>
      <c r="Q2135" s="533"/>
      <c r="R2135" s="533"/>
      <c r="S2135" s="533"/>
      <c r="T2135" s="533"/>
      <c r="U2135" s="533"/>
      <c r="V2135" s="533"/>
      <c r="W2135" s="533"/>
      <c r="X2135" s="533"/>
      <c r="Y2135" s="533"/>
    </row>
    <row r="2136" spans="1:25" s="88" customFormat="1" hidden="1" x14ac:dyDescent="0.25">
      <c r="A2136" s="509"/>
      <c r="B2136" s="256"/>
      <c r="C2136" s="221"/>
      <c r="D2136" s="218"/>
      <c r="E2136" s="218"/>
      <c r="F2136" s="249" t="s">
        <v>242</v>
      </c>
      <c r="G2136" s="252" t="s">
        <v>243</v>
      </c>
      <c r="H2136" s="594"/>
      <c r="I2136" s="595"/>
      <c r="J2136" s="599">
        <f t="shared" si="69"/>
        <v>0</v>
      </c>
      <c r="K2136" s="533"/>
      <c r="L2136" s="533"/>
      <c r="M2136" s="533"/>
      <c r="N2136" s="268"/>
      <c r="O2136" s="533"/>
      <c r="P2136" s="533"/>
      <c r="Q2136" s="533"/>
      <c r="R2136" s="533"/>
      <c r="S2136" s="533"/>
      <c r="T2136" s="533"/>
      <c r="U2136" s="533"/>
      <c r="V2136" s="533"/>
      <c r="W2136" s="533"/>
      <c r="X2136" s="533"/>
      <c r="Y2136" s="533"/>
    </row>
    <row r="2137" spans="1:25" s="88" customFormat="1" hidden="1" x14ac:dyDescent="0.25">
      <c r="A2137" s="509"/>
      <c r="B2137" s="256"/>
      <c r="C2137" s="221"/>
      <c r="D2137" s="218"/>
      <c r="E2137" s="218"/>
      <c r="F2137" s="249" t="s">
        <v>244</v>
      </c>
      <c r="G2137" s="252" t="s">
        <v>245</v>
      </c>
      <c r="H2137" s="594"/>
      <c r="I2137" s="595"/>
      <c r="J2137" s="599">
        <f t="shared" si="69"/>
        <v>0</v>
      </c>
      <c r="K2137" s="533"/>
      <c r="L2137" s="533"/>
      <c r="M2137" s="533"/>
      <c r="N2137" s="268"/>
      <c r="O2137" s="533"/>
      <c r="P2137" s="533"/>
      <c r="Q2137" s="533"/>
      <c r="R2137" s="533"/>
      <c r="S2137" s="533"/>
      <c r="T2137" s="533"/>
      <c r="U2137" s="533"/>
      <c r="V2137" s="533"/>
      <c r="W2137" s="533"/>
      <c r="X2137" s="533"/>
      <c r="Y2137" s="533"/>
    </row>
    <row r="2138" spans="1:25" s="88" customFormat="1" hidden="1" x14ac:dyDescent="0.25">
      <c r="A2138" s="509"/>
      <c r="B2138" s="256"/>
      <c r="C2138" s="221"/>
      <c r="D2138" s="218"/>
      <c r="E2138" s="218"/>
      <c r="F2138" s="249" t="s">
        <v>246</v>
      </c>
      <c r="G2138" s="252" t="s">
        <v>247</v>
      </c>
      <c r="H2138" s="594"/>
      <c r="I2138" s="595"/>
      <c r="J2138" s="599">
        <f t="shared" si="69"/>
        <v>0</v>
      </c>
      <c r="K2138" s="533"/>
      <c r="L2138" s="533"/>
      <c r="M2138" s="533"/>
      <c r="N2138" s="268"/>
      <c r="O2138" s="533"/>
      <c r="P2138" s="533"/>
      <c r="Q2138" s="533"/>
      <c r="R2138" s="533"/>
      <c r="S2138" s="533"/>
      <c r="T2138" s="533"/>
      <c r="U2138" s="533"/>
      <c r="V2138" s="533"/>
      <c r="W2138" s="533"/>
      <c r="X2138" s="533"/>
      <c r="Y2138" s="533"/>
    </row>
    <row r="2139" spans="1:25" s="88" customFormat="1" hidden="1" x14ac:dyDescent="0.25">
      <c r="A2139" s="509"/>
      <c r="B2139" s="256"/>
      <c r="C2139" s="221"/>
      <c r="D2139" s="218"/>
      <c r="E2139" s="218"/>
      <c r="F2139" s="249" t="s">
        <v>248</v>
      </c>
      <c r="G2139" s="252" t="s">
        <v>249</v>
      </c>
      <c r="H2139" s="594"/>
      <c r="I2139" s="595"/>
      <c r="J2139" s="599">
        <f t="shared" si="69"/>
        <v>0</v>
      </c>
      <c r="K2139" s="533"/>
      <c r="L2139" s="533"/>
      <c r="M2139" s="533"/>
      <c r="N2139" s="268"/>
      <c r="O2139" s="533"/>
      <c r="P2139" s="533"/>
      <c r="Q2139" s="533"/>
      <c r="R2139" s="533"/>
      <c r="S2139" s="533"/>
      <c r="T2139" s="533"/>
      <c r="U2139" s="533"/>
      <c r="V2139" s="533"/>
      <c r="W2139" s="533"/>
      <c r="X2139" s="533"/>
      <c r="Y2139" s="533"/>
    </row>
    <row r="2140" spans="1:25" s="88" customFormat="1" hidden="1" x14ac:dyDescent="0.25">
      <c r="A2140" s="509"/>
      <c r="B2140" s="256"/>
      <c r="C2140" s="221"/>
      <c r="D2140" s="218"/>
      <c r="E2140" s="218"/>
      <c r="F2140" s="249" t="s">
        <v>250</v>
      </c>
      <c r="G2140" s="252" t="s">
        <v>57</v>
      </c>
      <c r="H2140" s="594"/>
      <c r="I2140" s="595"/>
      <c r="J2140" s="599">
        <f t="shared" si="69"/>
        <v>0</v>
      </c>
      <c r="K2140" s="533"/>
      <c r="L2140" s="533"/>
      <c r="M2140" s="533"/>
      <c r="N2140" s="268"/>
      <c r="O2140" s="533"/>
      <c r="P2140" s="533"/>
      <c r="Q2140" s="533"/>
      <c r="R2140" s="533"/>
      <c r="S2140" s="533"/>
      <c r="T2140" s="533"/>
      <c r="U2140" s="533"/>
      <c r="V2140" s="533"/>
      <c r="W2140" s="533"/>
      <c r="X2140" s="533"/>
      <c r="Y2140" s="533"/>
    </row>
    <row r="2141" spans="1:25" s="88" customFormat="1" hidden="1" x14ac:dyDescent="0.25">
      <c r="A2141" s="509"/>
      <c r="B2141" s="256"/>
      <c r="C2141" s="221"/>
      <c r="D2141" s="218"/>
      <c r="E2141" s="218"/>
      <c r="F2141" s="249" t="s">
        <v>251</v>
      </c>
      <c r="G2141" s="252" t="s">
        <v>252</v>
      </c>
      <c r="H2141" s="594"/>
      <c r="I2141" s="595"/>
      <c r="J2141" s="599">
        <f t="shared" si="69"/>
        <v>0</v>
      </c>
      <c r="K2141" s="533"/>
      <c r="L2141" s="533"/>
      <c r="M2141" s="533"/>
      <c r="N2141" s="268"/>
      <c r="O2141" s="533"/>
      <c r="P2141" s="533"/>
      <c r="Q2141" s="533"/>
      <c r="R2141" s="533"/>
      <c r="S2141" s="533"/>
      <c r="T2141" s="533"/>
      <c r="U2141" s="533"/>
      <c r="V2141" s="533"/>
      <c r="W2141" s="533"/>
      <c r="X2141" s="533"/>
      <c r="Y2141" s="533"/>
    </row>
    <row r="2142" spans="1:25" s="88" customFormat="1" hidden="1" x14ac:dyDescent="0.25">
      <c r="A2142" s="509"/>
      <c r="B2142" s="256"/>
      <c r="C2142" s="221"/>
      <c r="D2142" s="218"/>
      <c r="E2142" s="218"/>
      <c r="F2142" s="249" t="s">
        <v>253</v>
      </c>
      <c r="G2142" s="252" t="s">
        <v>254</v>
      </c>
      <c r="H2142" s="594"/>
      <c r="I2142" s="595"/>
      <c r="J2142" s="599">
        <f t="shared" si="69"/>
        <v>0</v>
      </c>
      <c r="K2142" s="533"/>
      <c r="L2142" s="533"/>
      <c r="M2142" s="533"/>
      <c r="N2142" s="268"/>
      <c r="O2142" s="533"/>
      <c r="P2142" s="533"/>
      <c r="Q2142" s="533"/>
      <c r="R2142" s="533"/>
      <c r="S2142" s="533"/>
      <c r="T2142" s="533"/>
      <c r="U2142" s="533"/>
      <c r="V2142" s="533"/>
      <c r="W2142" s="533"/>
      <c r="X2142" s="533"/>
      <c r="Y2142" s="533"/>
    </row>
    <row r="2143" spans="1:25" s="88" customFormat="1" ht="30" hidden="1" x14ac:dyDescent="0.25">
      <c r="A2143" s="509"/>
      <c r="B2143" s="256"/>
      <c r="C2143" s="221"/>
      <c r="D2143" s="218"/>
      <c r="E2143" s="218"/>
      <c r="F2143" s="249" t="s">
        <v>255</v>
      </c>
      <c r="G2143" s="252" t="s">
        <v>256</v>
      </c>
      <c r="H2143" s="594"/>
      <c r="I2143" s="595"/>
      <c r="J2143" s="599">
        <f t="shared" si="69"/>
        <v>0</v>
      </c>
      <c r="K2143" s="533"/>
      <c r="L2143" s="533"/>
      <c r="M2143" s="533"/>
      <c r="N2143" s="268"/>
      <c r="O2143" s="533"/>
      <c r="P2143" s="533"/>
      <c r="Q2143" s="533"/>
      <c r="R2143" s="533"/>
      <c r="S2143" s="533"/>
      <c r="T2143" s="533"/>
      <c r="U2143" s="533"/>
      <c r="V2143" s="533"/>
      <c r="W2143" s="533"/>
      <c r="X2143" s="533"/>
      <c r="Y2143" s="533"/>
    </row>
    <row r="2144" spans="1:25" s="88" customFormat="1" hidden="1" x14ac:dyDescent="0.25">
      <c r="A2144" s="509"/>
      <c r="B2144" s="256"/>
      <c r="C2144" s="221"/>
      <c r="D2144" s="218"/>
      <c r="E2144" s="218"/>
      <c r="F2144" s="249" t="s">
        <v>257</v>
      </c>
      <c r="G2144" s="252" t="s">
        <v>258</v>
      </c>
      <c r="H2144" s="594"/>
      <c r="I2144" s="595"/>
      <c r="J2144" s="599">
        <f t="shared" si="69"/>
        <v>0</v>
      </c>
      <c r="K2144" s="533"/>
      <c r="L2144" s="533"/>
      <c r="M2144" s="533"/>
      <c r="N2144" s="268"/>
      <c r="O2144" s="533"/>
      <c r="P2144" s="533"/>
      <c r="Q2144" s="533"/>
      <c r="R2144" s="533"/>
      <c r="S2144" s="533"/>
      <c r="T2144" s="533"/>
      <c r="U2144" s="533"/>
      <c r="V2144" s="533"/>
      <c r="W2144" s="533"/>
      <c r="X2144" s="533"/>
      <c r="Y2144" s="533"/>
    </row>
    <row r="2145" spans="1:25" s="88" customFormat="1" ht="30" hidden="1" x14ac:dyDescent="0.25">
      <c r="A2145" s="509"/>
      <c r="B2145" s="256"/>
      <c r="C2145" s="221"/>
      <c r="D2145" s="218"/>
      <c r="E2145" s="218"/>
      <c r="F2145" s="249" t="s">
        <v>259</v>
      </c>
      <c r="G2145" s="252" t="s">
        <v>260</v>
      </c>
      <c r="H2145" s="594"/>
      <c r="I2145" s="595"/>
      <c r="J2145" s="599">
        <f t="shared" si="69"/>
        <v>0</v>
      </c>
      <c r="K2145" s="533"/>
      <c r="L2145" s="533"/>
      <c r="M2145" s="533"/>
      <c r="N2145" s="268"/>
      <c r="O2145" s="533"/>
      <c r="P2145" s="533"/>
      <c r="Q2145" s="533"/>
      <c r="R2145" s="533"/>
      <c r="S2145" s="533"/>
      <c r="T2145" s="533"/>
      <c r="U2145" s="533"/>
      <c r="V2145" s="533"/>
      <c r="W2145" s="533"/>
      <c r="X2145" s="533"/>
      <c r="Y2145" s="533"/>
    </row>
    <row r="2146" spans="1:25" s="88" customFormat="1" hidden="1" x14ac:dyDescent="0.25">
      <c r="A2146" s="509"/>
      <c r="B2146" s="256"/>
      <c r="C2146" s="221"/>
      <c r="D2146" s="218"/>
      <c r="E2146" s="218"/>
      <c r="F2146" s="249" t="s">
        <v>261</v>
      </c>
      <c r="G2146" s="252" t="s">
        <v>262</v>
      </c>
      <c r="H2146" s="594"/>
      <c r="I2146" s="595"/>
      <c r="J2146" s="599">
        <f t="shared" si="69"/>
        <v>0</v>
      </c>
      <c r="K2146" s="533"/>
      <c r="L2146" s="533"/>
      <c r="M2146" s="533"/>
      <c r="N2146" s="268"/>
      <c r="O2146" s="533"/>
      <c r="P2146" s="533"/>
      <c r="Q2146" s="533"/>
      <c r="R2146" s="533"/>
      <c r="S2146" s="533"/>
      <c r="T2146" s="533"/>
      <c r="U2146" s="533"/>
      <c r="V2146" s="533"/>
      <c r="W2146" s="533"/>
      <c r="X2146" s="533"/>
      <c r="Y2146" s="533"/>
    </row>
    <row r="2147" spans="1:25" s="88" customFormat="1" ht="15.75" hidden="1" thickBot="1" x14ac:dyDescent="0.3">
      <c r="A2147" s="509"/>
      <c r="B2147" s="256"/>
      <c r="C2147" s="221"/>
      <c r="D2147" s="218"/>
      <c r="E2147" s="218"/>
      <c r="F2147" s="249" t="s">
        <v>263</v>
      </c>
      <c r="G2147" s="252" t="s">
        <v>264</v>
      </c>
      <c r="H2147" s="598"/>
      <c r="I2147" s="599"/>
      <c r="J2147" s="599">
        <f t="shared" si="69"/>
        <v>0</v>
      </c>
      <c r="K2147" s="533"/>
      <c r="L2147" s="533"/>
      <c r="M2147" s="533"/>
      <c r="N2147" s="268"/>
      <c r="O2147" s="533"/>
      <c r="P2147" s="533"/>
      <c r="Q2147" s="533"/>
      <c r="R2147" s="533"/>
      <c r="S2147" s="533"/>
      <c r="T2147" s="533"/>
      <c r="U2147" s="533"/>
      <c r="V2147" s="533"/>
      <c r="W2147" s="533"/>
      <c r="X2147" s="533"/>
      <c r="Y2147" s="533"/>
    </row>
    <row r="2148" spans="1:25" s="88" customFormat="1" ht="15.75" hidden="1" thickBot="1" x14ac:dyDescent="0.3">
      <c r="A2148" s="509"/>
      <c r="B2148" s="256"/>
      <c r="C2148" s="221"/>
      <c r="D2148" s="218"/>
      <c r="E2148" s="218"/>
      <c r="F2148" s="218"/>
      <c r="G2148" s="229" t="s">
        <v>4238</v>
      </c>
      <c r="H2148" s="600">
        <f>SUM(H2132:H2147)</f>
        <v>0</v>
      </c>
      <c r="I2148" s="601">
        <f>SUM(I2133:I2147)</f>
        <v>0</v>
      </c>
      <c r="J2148" s="601">
        <f>SUM(J2132:J2147)</f>
        <v>0</v>
      </c>
      <c r="K2148" s="533"/>
      <c r="L2148" s="533"/>
      <c r="M2148" s="533"/>
      <c r="N2148" s="268"/>
      <c r="O2148" s="533"/>
      <c r="P2148" s="533"/>
      <c r="Q2148" s="533"/>
      <c r="R2148" s="533"/>
      <c r="S2148" s="533"/>
      <c r="T2148" s="533"/>
      <c r="U2148" s="533"/>
      <c r="V2148" s="533"/>
      <c r="W2148" s="533"/>
      <c r="X2148" s="533"/>
      <c r="Y2148" s="533"/>
    </row>
    <row r="2149" spans="1:25" s="88" customFormat="1" x14ac:dyDescent="0.25">
      <c r="A2149" s="509"/>
      <c r="B2149" s="256"/>
      <c r="C2149" s="320"/>
      <c r="D2149" s="84"/>
      <c r="E2149" s="84"/>
      <c r="F2149" s="84"/>
      <c r="G2149" s="217"/>
      <c r="H2149" s="594"/>
      <c r="I2149" s="595"/>
      <c r="J2149" s="595"/>
      <c r="K2149" s="533"/>
      <c r="L2149" s="533"/>
      <c r="M2149" s="533"/>
      <c r="N2149" s="268"/>
      <c r="O2149" s="533"/>
      <c r="P2149" s="533"/>
      <c r="Q2149" s="533"/>
      <c r="R2149" s="533"/>
      <c r="S2149" s="533"/>
      <c r="T2149" s="533"/>
      <c r="U2149" s="533"/>
      <c r="V2149" s="533"/>
      <c r="W2149" s="533"/>
      <c r="X2149" s="533"/>
      <c r="Y2149" s="533"/>
    </row>
    <row r="2150" spans="1:25" s="88" customFormat="1" hidden="1" x14ac:dyDescent="0.25">
      <c r="A2150" s="509"/>
      <c r="B2150" s="256"/>
      <c r="C2150" s="323" t="s">
        <v>4162</v>
      </c>
      <c r="D2150" s="86"/>
      <c r="E2150" s="274"/>
      <c r="F2150" s="219"/>
      <c r="G2150" s="287" t="s">
        <v>4163</v>
      </c>
      <c r="H2150" s="611"/>
      <c r="I2150" s="612"/>
      <c r="J2150" s="612"/>
      <c r="K2150" s="533"/>
      <c r="L2150" s="533"/>
      <c r="M2150" s="533"/>
      <c r="N2150" s="268"/>
      <c r="O2150" s="533"/>
      <c r="P2150" s="533"/>
      <c r="Q2150" s="533"/>
      <c r="R2150" s="533"/>
      <c r="S2150" s="533"/>
      <c r="T2150" s="533"/>
      <c r="U2150" s="533"/>
      <c r="V2150" s="533"/>
      <c r="W2150" s="533"/>
      <c r="X2150" s="533"/>
      <c r="Y2150" s="533"/>
    </row>
    <row r="2151" spans="1:25" s="88" customFormat="1" hidden="1" x14ac:dyDescent="0.25">
      <c r="A2151" s="509"/>
      <c r="B2151" s="256"/>
      <c r="C2151" s="341"/>
      <c r="D2151" s="342">
        <v>830</v>
      </c>
      <c r="E2151" s="340"/>
      <c r="F2151" s="340"/>
      <c r="G2151" s="324" t="s">
        <v>4406</v>
      </c>
      <c r="H2151" s="613"/>
      <c r="I2151" s="614"/>
      <c r="J2151" s="614"/>
      <c r="K2151" s="533"/>
      <c r="L2151" s="533"/>
      <c r="M2151" s="533"/>
      <c r="N2151" s="268"/>
      <c r="O2151" s="533"/>
      <c r="P2151" s="533"/>
      <c r="Q2151" s="533"/>
      <c r="R2151" s="533"/>
      <c r="S2151" s="533"/>
      <c r="T2151" s="533"/>
      <c r="U2151" s="533"/>
      <c r="V2151" s="533"/>
      <c r="W2151" s="533"/>
      <c r="X2151" s="533"/>
      <c r="Y2151" s="533"/>
    </row>
    <row r="2152" spans="1:25" s="88" customFormat="1" hidden="1" x14ac:dyDescent="0.25">
      <c r="A2152" s="509"/>
      <c r="B2152" s="256"/>
      <c r="C2152" s="320"/>
      <c r="D2152" s="84"/>
      <c r="E2152" s="84"/>
      <c r="F2152" s="263">
        <v>423</v>
      </c>
      <c r="G2152" s="295" t="s">
        <v>3799</v>
      </c>
      <c r="H2152" s="594"/>
      <c r="I2152" s="595"/>
      <c r="J2152" s="595">
        <f t="shared" ref="J2152:J2159" si="70">SUM(H2152:I2152)</f>
        <v>0</v>
      </c>
      <c r="K2152" s="533"/>
      <c r="L2152" s="533"/>
      <c r="M2152" s="533"/>
      <c r="N2152" s="268"/>
      <c r="O2152" s="533"/>
      <c r="P2152" s="533"/>
      <c r="Q2152" s="533"/>
      <c r="R2152" s="533"/>
      <c r="S2152" s="533"/>
      <c r="T2152" s="533"/>
      <c r="U2152" s="533"/>
      <c r="V2152" s="533"/>
      <c r="W2152" s="533"/>
      <c r="X2152" s="533"/>
      <c r="Y2152" s="533"/>
    </row>
    <row r="2153" spans="1:25" s="88" customFormat="1" hidden="1" x14ac:dyDescent="0.25">
      <c r="A2153" s="509"/>
      <c r="B2153" s="256"/>
      <c r="C2153" s="320"/>
      <c r="D2153" s="84"/>
      <c r="E2153" s="84"/>
      <c r="F2153" s="263">
        <v>424</v>
      </c>
      <c r="G2153" s="295" t="s">
        <v>3801</v>
      </c>
      <c r="H2153" s="594"/>
      <c r="I2153" s="595"/>
      <c r="J2153" s="595">
        <f t="shared" si="70"/>
        <v>0</v>
      </c>
      <c r="K2153" s="533"/>
      <c r="L2153" s="533"/>
      <c r="M2153" s="533"/>
      <c r="N2153" s="268"/>
      <c r="O2153" s="533"/>
      <c r="P2153" s="533"/>
      <c r="Q2153" s="533"/>
      <c r="R2153" s="533"/>
      <c r="S2153" s="533"/>
      <c r="T2153" s="533"/>
      <c r="U2153" s="533"/>
      <c r="V2153" s="533"/>
      <c r="W2153" s="533"/>
      <c r="X2153" s="533"/>
      <c r="Y2153" s="533"/>
    </row>
    <row r="2154" spans="1:25" s="88" customFormat="1" ht="30" hidden="1" x14ac:dyDescent="0.25">
      <c r="A2154" s="509"/>
      <c r="B2154" s="256"/>
      <c r="C2154" s="320"/>
      <c r="D2154" s="84"/>
      <c r="E2154" s="84"/>
      <c r="F2154" s="263">
        <v>4511</v>
      </c>
      <c r="G2154" s="223" t="s">
        <v>1692</v>
      </c>
      <c r="H2154" s="594"/>
      <c r="I2154" s="595"/>
      <c r="J2154" s="595">
        <f t="shared" si="70"/>
        <v>0</v>
      </c>
      <c r="K2154" s="533"/>
      <c r="L2154" s="533"/>
      <c r="M2154" s="533"/>
      <c r="N2154" s="268"/>
      <c r="O2154" s="533"/>
      <c r="P2154" s="533"/>
      <c r="Q2154" s="533"/>
      <c r="R2154" s="533"/>
      <c r="S2154" s="533"/>
      <c r="T2154" s="533"/>
      <c r="U2154" s="533"/>
      <c r="V2154" s="533"/>
      <c r="W2154" s="533"/>
      <c r="X2154" s="533"/>
      <c r="Y2154" s="533"/>
    </row>
    <row r="2155" spans="1:25" s="88" customFormat="1" ht="30" hidden="1" x14ac:dyDescent="0.25">
      <c r="A2155" s="509"/>
      <c r="B2155" s="256"/>
      <c r="C2155" s="320"/>
      <c r="D2155" s="84"/>
      <c r="E2155" s="84"/>
      <c r="F2155" s="263">
        <v>4512</v>
      </c>
      <c r="G2155" s="223" t="s">
        <v>1701</v>
      </c>
      <c r="H2155" s="594"/>
      <c r="I2155" s="595"/>
      <c r="J2155" s="595">
        <f t="shared" si="70"/>
        <v>0</v>
      </c>
      <c r="K2155" s="533"/>
      <c r="L2155" s="533"/>
      <c r="M2155" s="533"/>
      <c r="N2155" s="268"/>
      <c r="O2155" s="533"/>
      <c r="P2155" s="533"/>
      <c r="Q2155" s="533"/>
      <c r="R2155" s="533"/>
      <c r="S2155" s="533"/>
      <c r="T2155" s="533"/>
      <c r="U2155" s="533"/>
      <c r="V2155" s="533"/>
      <c r="W2155" s="533"/>
      <c r="X2155" s="533"/>
      <c r="Y2155" s="533"/>
    </row>
    <row r="2156" spans="1:25" s="88" customFormat="1" hidden="1" x14ac:dyDescent="0.25">
      <c r="A2156" s="509"/>
      <c r="B2156" s="256"/>
      <c r="C2156" s="320"/>
      <c r="D2156" s="84"/>
      <c r="E2156" s="84"/>
      <c r="F2156" s="263">
        <v>452</v>
      </c>
      <c r="G2156" s="295" t="s">
        <v>4209</v>
      </c>
      <c r="H2156" s="594"/>
      <c r="I2156" s="595"/>
      <c r="J2156" s="595">
        <f t="shared" si="70"/>
        <v>0</v>
      </c>
      <c r="K2156" s="533"/>
      <c r="L2156" s="533"/>
      <c r="M2156" s="533"/>
      <c r="N2156" s="268"/>
      <c r="O2156" s="533"/>
      <c r="P2156" s="533"/>
      <c r="Q2156" s="533"/>
      <c r="R2156" s="533"/>
      <c r="S2156" s="533"/>
      <c r="T2156" s="533"/>
      <c r="U2156" s="533"/>
      <c r="V2156" s="533"/>
      <c r="W2156" s="533"/>
      <c r="X2156" s="533"/>
      <c r="Y2156" s="533"/>
    </row>
    <row r="2157" spans="1:25" s="88" customFormat="1" hidden="1" x14ac:dyDescent="0.25">
      <c r="A2157" s="509"/>
      <c r="B2157" s="256"/>
      <c r="C2157" s="320"/>
      <c r="D2157" s="84"/>
      <c r="E2157" s="84"/>
      <c r="F2157" s="263">
        <v>453</v>
      </c>
      <c r="G2157" s="295" t="s">
        <v>4210</v>
      </c>
      <c r="H2157" s="594"/>
      <c r="I2157" s="595"/>
      <c r="J2157" s="595">
        <f t="shared" si="70"/>
        <v>0</v>
      </c>
      <c r="K2157" s="533"/>
      <c r="L2157" s="533"/>
      <c r="M2157" s="533"/>
      <c r="N2157" s="268"/>
      <c r="O2157" s="533"/>
      <c r="P2157" s="533"/>
      <c r="Q2157" s="533"/>
      <c r="R2157" s="533"/>
      <c r="S2157" s="533"/>
      <c r="T2157" s="533"/>
      <c r="U2157" s="533"/>
      <c r="V2157" s="533"/>
      <c r="W2157" s="533"/>
      <c r="X2157" s="533"/>
      <c r="Y2157" s="533"/>
    </row>
    <row r="2158" spans="1:25" s="88" customFormat="1" hidden="1" x14ac:dyDescent="0.25">
      <c r="A2158" s="509"/>
      <c r="B2158" s="256"/>
      <c r="C2158" s="320"/>
      <c r="D2158" s="84"/>
      <c r="E2158" s="84"/>
      <c r="F2158" s="263">
        <v>454</v>
      </c>
      <c r="G2158" s="295" t="s">
        <v>3823</v>
      </c>
      <c r="H2158" s="594"/>
      <c r="I2158" s="595"/>
      <c r="J2158" s="595">
        <f t="shared" si="70"/>
        <v>0</v>
      </c>
      <c r="K2158" s="533"/>
      <c r="L2158" s="533"/>
      <c r="M2158" s="533"/>
      <c r="N2158" s="268"/>
      <c r="O2158" s="533"/>
      <c r="P2158" s="533"/>
      <c r="Q2158" s="533"/>
      <c r="R2158" s="533"/>
      <c r="S2158" s="533"/>
      <c r="T2158" s="533"/>
      <c r="U2158" s="533"/>
      <c r="V2158" s="533"/>
      <c r="W2158" s="533"/>
      <c r="X2158" s="533"/>
      <c r="Y2158" s="533"/>
    </row>
    <row r="2159" spans="1:25" s="88" customFormat="1" ht="15.75" hidden="1" thickBot="1" x14ac:dyDescent="0.3">
      <c r="A2159" s="509"/>
      <c r="B2159" s="256"/>
      <c r="C2159" s="221"/>
      <c r="D2159" s="218"/>
      <c r="E2159" s="218"/>
      <c r="F2159" s="263">
        <v>481</v>
      </c>
      <c r="G2159" s="295" t="s">
        <v>4211</v>
      </c>
      <c r="H2159" s="594"/>
      <c r="I2159" s="595"/>
      <c r="J2159" s="595">
        <f t="shared" si="70"/>
        <v>0</v>
      </c>
      <c r="K2159" s="533"/>
      <c r="L2159" s="533"/>
      <c r="M2159" s="533"/>
      <c r="N2159" s="268"/>
      <c r="O2159" s="533"/>
      <c r="P2159" s="533"/>
      <c r="Q2159" s="533"/>
      <c r="R2159" s="533"/>
      <c r="S2159" s="533"/>
      <c r="T2159" s="533"/>
      <c r="U2159" s="533"/>
      <c r="V2159" s="533"/>
      <c r="W2159" s="533"/>
      <c r="X2159" s="533"/>
      <c r="Y2159" s="533"/>
    </row>
    <row r="2160" spans="1:25" s="88" customFormat="1" hidden="1" x14ac:dyDescent="0.25">
      <c r="A2160" s="509"/>
      <c r="B2160" s="256"/>
      <c r="C2160" s="221"/>
      <c r="D2160" s="218"/>
      <c r="E2160" s="293"/>
      <c r="F2160" s="301"/>
      <c r="G2160" s="327" t="s">
        <v>4407</v>
      </c>
      <c r="H2160" s="596"/>
      <c r="I2160" s="622"/>
      <c r="J2160" s="597"/>
      <c r="K2160" s="533"/>
      <c r="L2160" s="533"/>
      <c r="M2160" s="533"/>
      <c r="N2160" s="268"/>
      <c r="O2160" s="533"/>
      <c r="P2160" s="533"/>
      <c r="Q2160" s="533"/>
      <c r="R2160" s="533"/>
      <c r="S2160" s="533"/>
      <c r="T2160" s="533"/>
      <c r="U2160" s="533"/>
      <c r="V2160" s="533"/>
      <c r="W2160" s="533"/>
      <c r="X2160" s="533"/>
      <c r="Y2160" s="533"/>
    </row>
    <row r="2161" spans="1:25" s="88" customFormat="1" ht="15.75" hidden="1" thickBot="1" x14ac:dyDescent="0.3">
      <c r="A2161" s="509"/>
      <c r="B2161" s="256"/>
      <c r="C2161" s="221"/>
      <c r="D2161" s="218"/>
      <c r="E2161" s="222"/>
      <c r="F2161" s="249" t="s">
        <v>234</v>
      </c>
      <c r="G2161" s="252" t="s">
        <v>235</v>
      </c>
      <c r="H2161" s="598">
        <f>SUM(H2152:H2159)</f>
        <v>0</v>
      </c>
      <c r="I2161" s="599"/>
      <c r="J2161" s="599">
        <f t="shared" ref="J2161:J2176" si="71">SUM(H2161:I2161)</f>
        <v>0</v>
      </c>
      <c r="K2161" s="533"/>
      <c r="L2161" s="533"/>
      <c r="M2161" s="533"/>
      <c r="N2161" s="268"/>
      <c r="O2161" s="533"/>
      <c r="P2161" s="533"/>
      <c r="Q2161" s="533"/>
      <c r="R2161" s="533"/>
      <c r="S2161" s="533"/>
      <c r="T2161" s="533"/>
      <c r="U2161" s="533"/>
      <c r="V2161" s="533"/>
      <c r="W2161" s="533"/>
      <c r="X2161" s="533"/>
      <c r="Y2161" s="533"/>
    </row>
    <row r="2162" spans="1:25" s="88" customFormat="1" hidden="1" x14ac:dyDescent="0.25">
      <c r="A2162" s="509"/>
      <c r="B2162" s="256"/>
      <c r="C2162" s="221"/>
      <c r="D2162" s="218"/>
      <c r="E2162" s="218"/>
      <c r="F2162" s="249" t="s">
        <v>236</v>
      </c>
      <c r="G2162" s="252" t="s">
        <v>237</v>
      </c>
      <c r="H2162" s="594"/>
      <c r="I2162" s="595"/>
      <c r="J2162" s="599">
        <f t="shared" si="71"/>
        <v>0</v>
      </c>
      <c r="K2162" s="533"/>
      <c r="L2162" s="533"/>
      <c r="M2162" s="533"/>
      <c r="N2162" s="268"/>
      <c r="O2162" s="533"/>
      <c r="P2162" s="533"/>
      <c r="Q2162" s="533"/>
      <c r="R2162" s="533"/>
      <c r="S2162" s="533"/>
      <c r="T2162" s="533"/>
      <c r="U2162" s="533"/>
      <c r="V2162" s="533"/>
      <c r="W2162" s="533"/>
      <c r="X2162" s="533"/>
      <c r="Y2162" s="533"/>
    </row>
    <row r="2163" spans="1:25" s="88" customFormat="1" hidden="1" x14ac:dyDescent="0.25">
      <c r="A2163" s="509"/>
      <c r="B2163" s="256"/>
      <c r="C2163" s="221"/>
      <c r="D2163" s="218"/>
      <c r="E2163" s="218"/>
      <c r="F2163" s="249" t="s">
        <v>238</v>
      </c>
      <c r="G2163" s="252" t="s">
        <v>239</v>
      </c>
      <c r="H2163" s="594"/>
      <c r="I2163" s="595"/>
      <c r="J2163" s="599">
        <f t="shared" si="71"/>
        <v>0</v>
      </c>
      <c r="K2163" s="533"/>
      <c r="L2163" s="533"/>
      <c r="M2163" s="533"/>
      <c r="N2163" s="268"/>
      <c r="O2163" s="533"/>
      <c r="P2163" s="533"/>
      <c r="Q2163" s="533"/>
      <c r="R2163" s="533"/>
      <c r="S2163" s="533"/>
      <c r="T2163" s="533"/>
      <c r="U2163" s="533"/>
      <c r="V2163" s="533"/>
      <c r="W2163" s="533"/>
      <c r="X2163" s="533"/>
      <c r="Y2163" s="533"/>
    </row>
    <row r="2164" spans="1:25" s="88" customFormat="1" hidden="1" x14ac:dyDescent="0.25">
      <c r="A2164" s="509"/>
      <c r="B2164" s="256"/>
      <c r="C2164" s="221"/>
      <c r="D2164" s="218"/>
      <c r="E2164" s="218"/>
      <c r="F2164" s="249" t="s">
        <v>240</v>
      </c>
      <c r="G2164" s="252" t="s">
        <v>241</v>
      </c>
      <c r="H2164" s="594"/>
      <c r="I2164" s="595"/>
      <c r="J2164" s="599">
        <f t="shared" si="71"/>
        <v>0</v>
      </c>
      <c r="K2164" s="533"/>
      <c r="L2164" s="533"/>
      <c r="M2164" s="533"/>
      <c r="N2164" s="268"/>
      <c r="O2164" s="533"/>
      <c r="P2164" s="533"/>
      <c r="Q2164" s="533"/>
      <c r="R2164" s="533"/>
      <c r="S2164" s="533"/>
      <c r="T2164" s="533"/>
      <c r="U2164" s="533"/>
      <c r="V2164" s="533"/>
      <c r="W2164" s="533"/>
      <c r="X2164" s="533"/>
      <c r="Y2164" s="533"/>
    </row>
    <row r="2165" spans="1:25" s="88" customFormat="1" hidden="1" x14ac:dyDescent="0.25">
      <c r="A2165" s="509"/>
      <c r="B2165" s="256"/>
      <c r="C2165" s="221"/>
      <c r="D2165" s="218"/>
      <c r="E2165" s="218"/>
      <c r="F2165" s="249" t="s">
        <v>242</v>
      </c>
      <c r="G2165" s="252" t="s">
        <v>243</v>
      </c>
      <c r="H2165" s="594"/>
      <c r="I2165" s="595"/>
      <c r="J2165" s="599">
        <f t="shared" si="71"/>
        <v>0</v>
      </c>
      <c r="K2165" s="533"/>
      <c r="L2165" s="533"/>
      <c r="M2165" s="533"/>
      <c r="N2165" s="268"/>
      <c r="O2165" s="533"/>
      <c r="P2165" s="533"/>
      <c r="Q2165" s="533"/>
      <c r="R2165" s="533"/>
      <c r="S2165" s="533"/>
      <c r="T2165" s="533"/>
      <c r="U2165" s="533"/>
      <c r="V2165" s="533"/>
      <c r="W2165" s="533"/>
      <c r="X2165" s="533"/>
      <c r="Y2165" s="533"/>
    </row>
    <row r="2166" spans="1:25" s="88" customFormat="1" hidden="1" x14ac:dyDescent="0.25">
      <c r="A2166" s="509"/>
      <c r="B2166" s="256"/>
      <c r="C2166" s="221"/>
      <c r="D2166" s="218"/>
      <c r="E2166" s="218"/>
      <c r="F2166" s="249" t="s">
        <v>244</v>
      </c>
      <c r="G2166" s="252" t="s">
        <v>245</v>
      </c>
      <c r="H2166" s="594"/>
      <c r="I2166" s="595"/>
      <c r="J2166" s="599">
        <f t="shared" si="71"/>
        <v>0</v>
      </c>
      <c r="K2166" s="533"/>
      <c r="L2166" s="533"/>
      <c r="M2166" s="533"/>
      <c r="N2166" s="268"/>
      <c r="O2166" s="533"/>
      <c r="P2166" s="533"/>
      <c r="Q2166" s="533"/>
      <c r="R2166" s="533"/>
      <c r="S2166" s="533"/>
      <c r="T2166" s="533"/>
      <c r="U2166" s="533"/>
      <c r="V2166" s="533"/>
      <c r="W2166" s="533"/>
      <c r="X2166" s="533"/>
      <c r="Y2166" s="533"/>
    </row>
    <row r="2167" spans="1:25" s="88" customFormat="1" hidden="1" x14ac:dyDescent="0.25">
      <c r="A2167" s="509"/>
      <c r="B2167" s="256"/>
      <c r="C2167" s="221"/>
      <c r="D2167" s="218"/>
      <c r="E2167" s="218"/>
      <c r="F2167" s="249" t="s">
        <v>246</v>
      </c>
      <c r="G2167" s="252" t="s">
        <v>247</v>
      </c>
      <c r="H2167" s="594"/>
      <c r="I2167" s="595"/>
      <c r="J2167" s="599">
        <f t="shared" si="71"/>
        <v>0</v>
      </c>
      <c r="K2167" s="533"/>
      <c r="L2167" s="533"/>
      <c r="M2167" s="533"/>
      <c r="N2167" s="268"/>
      <c r="O2167" s="533"/>
      <c r="P2167" s="533"/>
      <c r="Q2167" s="533"/>
      <c r="R2167" s="533"/>
      <c r="S2167" s="533"/>
      <c r="T2167" s="533"/>
      <c r="U2167" s="533"/>
      <c r="V2167" s="533"/>
      <c r="W2167" s="533"/>
      <c r="X2167" s="533"/>
      <c r="Y2167" s="533"/>
    </row>
    <row r="2168" spans="1:25" s="88" customFormat="1" hidden="1" x14ac:dyDescent="0.25">
      <c r="A2168" s="509"/>
      <c r="B2168" s="256"/>
      <c r="C2168" s="221"/>
      <c r="D2168" s="218"/>
      <c r="E2168" s="218"/>
      <c r="F2168" s="249" t="s">
        <v>248</v>
      </c>
      <c r="G2168" s="252" t="s">
        <v>249</v>
      </c>
      <c r="H2168" s="594"/>
      <c r="I2168" s="595"/>
      <c r="J2168" s="599">
        <f t="shared" si="71"/>
        <v>0</v>
      </c>
      <c r="K2168" s="533"/>
      <c r="L2168" s="533"/>
      <c r="M2168" s="533"/>
      <c r="N2168" s="268"/>
      <c r="O2168" s="533"/>
      <c r="P2168" s="533"/>
      <c r="Q2168" s="533"/>
      <c r="R2168" s="533"/>
      <c r="S2168" s="533"/>
      <c r="T2168" s="533"/>
      <c r="U2168" s="533"/>
      <c r="V2168" s="533"/>
      <c r="W2168" s="533"/>
      <c r="X2168" s="533"/>
      <c r="Y2168" s="533"/>
    </row>
    <row r="2169" spans="1:25" s="88" customFormat="1" hidden="1" x14ac:dyDescent="0.25">
      <c r="A2169" s="509"/>
      <c r="B2169" s="256"/>
      <c r="C2169" s="221"/>
      <c r="D2169" s="218"/>
      <c r="E2169" s="218"/>
      <c r="F2169" s="249" t="s">
        <v>250</v>
      </c>
      <c r="G2169" s="252" t="s">
        <v>57</v>
      </c>
      <c r="H2169" s="594"/>
      <c r="I2169" s="595"/>
      <c r="J2169" s="599">
        <f t="shared" si="71"/>
        <v>0</v>
      </c>
      <c r="K2169" s="533"/>
      <c r="L2169" s="533"/>
      <c r="M2169" s="533"/>
      <c r="N2169" s="268"/>
      <c r="O2169" s="533"/>
      <c r="P2169" s="533"/>
      <c r="Q2169" s="533"/>
      <c r="R2169" s="533"/>
      <c r="S2169" s="533"/>
      <c r="T2169" s="533"/>
      <c r="U2169" s="533"/>
      <c r="V2169" s="533"/>
      <c r="W2169" s="533"/>
      <c r="X2169" s="533"/>
      <c r="Y2169" s="533"/>
    </row>
    <row r="2170" spans="1:25" s="88" customFormat="1" hidden="1" x14ac:dyDescent="0.25">
      <c r="A2170" s="509"/>
      <c r="B2170" s="256"/>
      <c r="C2170" s="221"/>
      <c r="D2170" s="218"/>
      <c r="E2170" s="218"/>
      <c r="F2170" s="249" t="s">
        <v>251</v>
      </c>
      <c r="G2170" s="252" t="s">
        <v>252</v>
      </c>
      <c r="H2170" s="594"/>
      <c r="I2170" s="595"/>
      <c r="J2170" s="599">
        <f t="shared" si="71"/>
        <v>0</v>
      </c>
      <c r="K2170" s="533"/>
      <c r="L2170" s="533"/>
      <c r="M2170" s="533"/>
      <c r="N2170" s="268"/>
      <c r="O2170" s="533"/>
      <c r="P2170" s="533"/>
      <c r="Q2170" s="533"/>
      <c r="R2170" s="533"/>
      <c r="S2170" s="533"/>
      <c r="T2170" s="533"/>
      <c r="U2170" s="533"/>
      <c r="V2170" s="533"/>
      <c r="W2170" s="533"/>
      <c r="X2170" s="533"/>
      <c r="Y2170" s="533"/>
    </row>
    <row r="2171" spans="1:25" s="88" customFormat="1" hidden="1" x14ac:dyDescent="0.25">
      <c r="A2171" s="509"/>
      <c r="B2171" s="256"/>
      <c r="C2171" s="221"/>
      <c r="D2171" s="218"/>
      <c r="E2171" s="218"/>
      <c r="F2171" s="249" t="s">
        <v>253</v>
      </c>
      <c r="G2171" s="252" t="s">
        <v>254</v>
      </c>
      <c r="H2171" s="594"/>
      <c r="I2171" s="595"/>
      <c r="J2171" s="599">
        <f t="shared" si="71"/>
        <v>0</v>
      </c>
      <c r="K2171" s="533"/>
      <c r="L2171" s="533"/>
      <c r="M2171" s="533"/>
      <c r="N2171" s="268"/>
      <c r="O2171" s="533"/>
      <c r="P2171" s="533"/>
      <c r="Q2171" s="533"/>
      <c r="R2171" s="533"/>
      <c r="S2171" s="533"/>
      <c r="T2171" s="533"/>
      <c r="U2171" s="533"/>
      <c r="V2171" s="533"/>
      <c r="W2171" s="533"/>
      <c r="X2171" s="533"/>
      <c r="Y2171" s="533"/>
    </row>
    <row r="2172" spans="1:25" s="88" customFormat="1" ht="30" hidden="1" x14ac:dyDescent="0.25">
      <c r="A2172" s="509"/>
      <c r="B2172" s="256"/>
      <c r="C2172" s="221"/>
      <c r="D2172" s="218"/>
      <c r="E2172" s="218"/>
      <c r="F2172" s="249" t="s">
        <v>255</v>
      </c>
      <c r="G2172" s="252" t="s">
        <v>256</v>
      </c>
      <c r="H2172" s="594"/>
      <c r="I2172" s="595"/>
      <c r="J2172" s="599">
        <f t="shared" si="71"/>
        <v>0</v>
      </c>
      <c r="K2172" s="533"/>
      <c r="L2172" s="533"/>
      <c r="M2172" s="533"/>
      <c r="N2172" s="268"/>
      <c r="O2172" s="533"/>
      <c r="P2172" s="533"/>
      <c r="Q2172" s="533"/>
      <c r="R2172" s="533"/>
      <c r="S2172" s="533"/>
      <c r="T2172" s="533"/>
      <c r="U2172" s="533"/>
      <c r="V2172" s="533"/>
      <c r="W2172" s="533"/>
      <c r="X2172" s="533"/>
      <c r="Y2172" s="533"/>
    </row>
    <row r="2173" spans="1:25" s="88" customFormat="1" hidden="1" x14ac:dyDescent="0.25">
      <c r="A2173" s="509"/>
      <c r="B2173" s="256"/>
      <c r="C2173" s="221"/>
      <c r="D2173" s="218"/>
      <c r="E2173" s="218"/>
      <c r="F2173" s="249" t="s">
        <v>257</v>
      </c>
      <c r="G2173" s="252" t="s">
        <v>258</v>
      </c>
      <c r="H2173" s="594"/>
      <c r="I2173" s="595"/>
      <c r="J2173" s="599">
        <f t="shared" si="71"/>
        <v>0</v>
      </c>
      <c r="K2173" s="533"/>
      <c r="L2173" s="533"/>
      <c r="M2173" s="533"/>
      <c r="N2173" s="268"/>
      <c r="O2173" s="533"/>
      <c r="P2173" s="533"/>
      <c r="Q2173" s="533"/>
      <c r="R2173" s="533"/>
      <c r="S2173" s="533"/>
      <c r="T2173" s="533"/>
      <c r="U2173" s="533"/>
      <c r="V2173" s="533"/>
      <c r="W2173" s="533"/>
      <c r="X2173" s="533"/>
      <c r="Y2173" s="533"/>
    </row>
    <row r="2174" spans="1:25" s="88" customFormat="1" ht="30" hidden="1" x14ac:dyDescent="0.25">
      <c r="A2174" s="509"/>
      <c r="B2174" s="256"/>
      <c r="C2174" s="221"/>
      <c r="D2174" s="218"/>
      <c r="E2174" s="218"/>
      <c r="F2174" s="249" t="s">
        <v>259</v>
      </c>
      <c r="G2174" s="252" t="s">
        <v>260</v>
      </c>
      <c r="H2174" s="594"/>
      <c r="I2174" s="595"/>
      <c r="J2174" s="599">
        <f t="shared" si="71"/>
        <v>0</v>
      </c>
      <c r="K2174" s="533"/>
      <c r="L2174" s="533"/>
      <c r="M2174" s="533"/>
      <c r="N2174" s="268"/>
      <c r="O2174" s="533"/>
      <c r="P2174" s="533"/>
      <c r="Q2174" s="533"/>
      <c r="R2174" s="533"/>
      <c r="S2174" s="533"/>
      <c r="T2174" s="533"/>
      <c r="U2174" s="533"/>
      <c r="V2174" s="533"/>
      <c r="W2174" s="533"/>
      <c r="X2174" s="533"/>
      <c r="Y2174" s="533"/>
    </row>
    <row r="2175" spans="1:25" s="88" customFormat="1" hidden="1" x14ac:dyDescent="0.25">
      <c r="A2175" s="509"/>
      <c r="B2175" s="256"/>
      <c r="C2175" s="221"/>
      <c r="D2175" s="218"/>
      <c r="E2175" s="218"/>
      <c r="F2175" s="249" t="s">
        <v>261</v>
      </c>
      <c r="G2175" s="252" t="s">
        <v>262</v>
      </c>
      <c r="H2175" s="594"/>
      <c r="I2175" s="595"/>
      <c r="J2175" s="599">
        <f t="shared" si="71"/>
        <v>0</v>
      </c>
      <c r="K2175" s="533"/>
      <c r="L2175" s="533"/>
      <c r="M2175" s="533"/>
      <c r="N2175" s="268"/>
      <c r="O2175" s="533"/>
      <c r="P2175" s="533"/>
      <c r="Q2175" s="533"/>
      <c r="R2175" s="533"/>
      <c r="S2175" s="533"/>
      <c r="T2175" s="533"/>
      <c r="U2175" s="533"/>
      <c r="V2175" s="533"/>
      <c r="W2175" s="533"/>
      <c r="X2175" s="533"/>
      <c r="Y2175" s="533"/>
    </row>
    <row r="2176" spans="1:25" s="88" customFormat="1" ht="15.75" hidden="1" thickBot="1" x14ac:dyDescent="0.3">
      <c r="A2176" s="509"/>
      <c r="B2176" s="256"/>
      <c r="C2176" s="221"/>
      <c r="D2176" s="218"/>
      <c r="E2176" s="218"/>
      <c r="F2176" s="249" t="s">
        <v>263</v>
      </c>
      <c r="G2176" s="252" t="s">
        <v>264</v>
      </c>
      <c r="H2176" s="598"/>
      <c r="I2176" s="599"/>
      <c r="J2176" s="599">
        <f t="shared" si="71"/>
        <v>0</v>
      </c>
      <c r="K2176" s="533"/>
      <c r="L2176" s="533"/>
      <c r="M2176" s="533"/>
      <c r="N2176" s="268"/>
      <c r="O2176" s="533"/>
      <c r="P2176" s="533"/>
      <c r="Q2176" s="533"/>
      <c r="R2176" s="533"/>
      <c r="S2176" s="533"/>
      <c r="T2176" s="533"/>
      <c r="U2176" s="533"/>
      <c r="V2176" s="533"/>
      <c r="W2176" s="533"/>
      <c r="X2176" s="533"/>
      <c r="Y2176" s="533"/>
    </row>
    <row r="2177" spans="1:25" s="88" customFormat="1" ht="15.75" hidden="1" thickBot="1" x14ac:dyDescent="0.3">
      <c r="A2177" s="509"/>
      <c r="B2177" s="256"/>
      <c r="C2177" s="221"/>
      <c r="D2177" s="218"/>
      <c r="E2177" s="218"/>
      <c r="F2177" s="218"/>
      <c r="G2177" s="229" t="s">
        <v>4408</v>
      </c>
      <c r="H2177" s="600">
        <f>SUM(H2161:H2176)</f>
        <v>0</v>
      </c>
      <c r="I2177" s="601">
        <f>SUM(I2162:I2176)</f>
        <v>0</v>
      </c>
      <c r="J2177" s="601">
        <f>SUM(J2161:J2176)</f>
        <v>0</v>
      </c>
      <c r="K2177" s="533"/>
      <c r="L2177" s="533"/>
      <c r="M2177" s="533"/>
      <c r="N2177" s="268"/>
      <c r="O2177" s="533"/>
      <c r="P2177" s="533"/>
      <c r="Q2177" s="533"/>
      <c r="R2177" s="533"/>
      <c r="S2177" s="533"/>
      <c r="T2177" s="533"/>
      <c r="U2177" s="533"/>
      <c r="V2177" s="533"/>
      <c r="W2177" s="533"/>
      <c r="X2177" s="533"/>
      <c r="Y2177" s="533"/>
    </row>
    <row r="2178" spans="1:25" s="88" customFormat="1" ht="19.5" hidden="1" customHeight="1" x14ac:dyDescent="0.25">
      <c r="A2178" s="509"/>
      <c r="B2178" s="256"/>
      <c r="C2178" s="221"/>
      <c r="D2178" s="218"/>
      <c r="E2178" s="218"/>
      <c r="F2178" s="264"/>
      <c r="G2178" s="231" t="s">
        <v>4291</v>
      </c>
      <c r="H2178" s="602"/>
      <c r="I2178" s="623"/>
      <c r="J2178" s="603"/>
      <c r="K2178" s="533"/>
      <c r="L2178" s="533"/>
      <c r="M2178" s="533"/>
      <c r="N2178" s="268"/>
      <c r="O2178" s="533"/>
      <c r="P2178" s="533"/>
      <c r="Q2178" s="533"/>
      <c r="R2178" s="533"/>
      <c r="S2178" s="533"/>
      <c r="T2178" s="533"/>
      <c r="U2178" s="533"/>
      <c r="V2178" s="533"/>
      <c r="W2178" s="533"/>
      <c r="X2178" s="533"/>
      <c r="Y2178" s="533"/>
    </row>
    <row r="2179" spans="1:25" s="88" customFormat="1" ht="13.5" hidden="1" customHeight="1" thickBot="1" x14ac:dyDescent="0.3">
      <c r="A2179" s="509"/>
      <c r="B2179" s="256"/>
      <c r="C2179" s="320"/>
      <c r="D2179" s="273"/>
      <c r="E2179" s="222"/>
      <c r="F2179" s="249" t="s">
        <v>234</v>
      </c>
      <c r="G2179" s="252" t="s">
        <v>235</v>
      </c>
      <c r="H2179" s="598">
        <f>SUM(H2152:H2159)</f>
        <v>0</v>
      </c>
      <c r="I2179" s="599"/>
      <c r="J2179" s="595">
        <f t="shared" ref="J2179:J2194" si="72">SUM(H2179:I2179)</f>
        <v>0</v>
      </c>
      <c r="K2179" s="533"/>
      <c r="L2179" s="533"/>
      <c r="M2179" s="533"/>
      <c r="N2179" s="268"/>
      <c r="O2179" s="533"/>
      <c r="P2179" s="533"/>
      <c r="Q2179" s="533"/>
      <c r="R2179" s="533"/>
      <c r="S2179" s="533"/>
      <c r="T2179" s="533"/>
      <c r="U2179" s="533"/>
      <c r="V2179" s="533"/>
      <c r="W2179" s="533"/>
      <c r="X2179" s="533"/>
      <c r="Y2179" s="533"/>
    </row>
    <row r="2180" spans="1:25" s="88" customFormat="1" ht="13.5" hidden="1" customHeight="1" x14ac:dyDescent="0.25">
      <c r="A2180" s="509"/>
      <c r="B2180" s="256"/>
      <c r="C2180" s="321"/>
      <c r="D2180" s="273"/>
      <c r="E2180" s="222"/>
      <c r="F2180" s="249" t="s">
        <v>236</v>
      </c>
      <c r="G2180" s="252" t="s">
        <v>237</v>
      </c>
      <c r="H2180" s="594"/>
      <c r="I2180" s="595"/>
      <c r="J2180" s="599">
        <f t="shared" si="72"/>
        <v>0</v>
      </c>
      <c r="K2180" s="533"/>
      <c r="L2180" s="533"/>
      <c r="M2180" s="533"/>
      <c r="N2180" s="268"/>
      <c r="O2180" s="533"/>
      <c r="P2180" s="533"/>
      <c r="Q2180" s="533"/>
      <c r="R2180" s="533"/>
      <c r="S2180" s="533"/>
      <c r="T2180" s="533"/>
      <c r="U2180" s="533"/>
      <c r="V2180" s="533"/>
      <c r="W2180" s="533"/>
      <c r="X2180" s="533"/>
      <c r="Y2180" s="533"/>
    </row>
    <row r="2181" spans="1:25" s="88" customFormat="1" ht="6" hidden="1" customHeight="1" x14ac:dyDescent="0.25">
      <c r="A2181" s="509"/>
      <c r="B2181" s="256"/>
      <c r="C2181" s="320"/>
      <c r="D2181" s="84"/>
      <c r="E2181" s="84"/>
      <c r="F2181" s="249" t="s">
        <v>238</v>
      </c>
      <c r="G2181" s="252" t="s">
        <v>239</v>
      </c>
      <c r="H2181" s="594"/>
      <c r="I2181" s="595"/>
      <c r="J2181" s="599">
        <f t="shared" si="72"/>
        <v>0</v>
      </c>
      <c r="K2181" s="533"/>
      <c r="L2181" s="533"/>
      <c r="M2181" s="533"/>
      <c r="N2181" s="268"/>
      <c r="O2181" s="533"/>
      <c r="P2181" s="533"/>
      <c r="Q2181" s="533"/>
      <c r="R2181" s="533"/>
      <c r="S2181" s="533"/>
      <c r="T2181" s="533"/>
      <c r="U2181" s="533"/>
      <c r="V2181" s="533"/>
      <c r="W2181" s="533"/>
      <c r="X2181" s="533"/>
      <c r="Y2181" s="533"/>
    </row>
    <row r="2182" spans="1:25" s="88" customFormat="1" ht="6" hidden="1" customHeight="1" x14ac:dyDescent="0.25">
      <c r="A2182" s="509"/>
      <c r="B2182" s="256"/>
      <c r="C2182" s="321"/>
      <c r="D2182" s="273"/>
      <c r="E2182" s="222"/>
      <c r="F2182" s="249" t="s">
        <v>240</v>
      </c>
      <c r="G2182" s="252" t="s">
        <v>241</v>
      </c>
      <c r="H2182" s="594"/>
      <c r="I2182" s="595"/>
      <c r="J2182" s="599">
        <f t="shared" si="72"/>
        <v>0</v>
      </c>
      <c r="K2182" s="533"/>
      <c r="L2182" s="533"/>
      <c r="M2182" s="533"/>
      <c r="N2182" s="268"/>
      <c r="O2182" s="533"/>
      <c r="P2182" s="533"/>
      <c r="Q2182" s="533"/>
      <c r="R2182" s="533"/>
      <c r="S2182" s="533"/>
      <c r="T2182" s="533"/>
      <c r="U2182" s="533"/>
      <c r="V2182" s="533"/>
      <c r="W2182" s="533"/>
      <c r="X2182" s="533"/>
      <c r="Y2182" s="533"/>
    </row>
    <row r="2183" spans="1:25" s="88" customFormat="1" ht="6" hidden="1" customHeight="1" x14ac:dyDescent="0.25">
      <c r="A2183" s="509"/>
      <c r="B2183" s="256"/>
      <c r="C2183" s="321"/>
      <c r="D2183" s="273"/>
      <c r="E2183" s="222"/>
      <c r="F2183" s="249" t="s">
        <v>242</v>
      </c>
      <c r="G2183" s="252" t="s">
        <v>243</v>
      </c>
      <c r="H2183" s="594"/>
      <c r="I2183" s="595"/>
      <c r="J2183" s="599">
        <f t="shared" si="72"/>
        <v>0</v>
      </c>
      <c r="K2183" s="533"/>
      <c r="L2183" s="533"/>
      <c r="M2183" s="533"/>
      <c r="N2183" s="268"/>
      <c r="O2183" s="533"/>
      <c r="P2183" s="533"/>
      <c r="Q2183" s="533"/>
      <c r="R2183" s="533"/>
      <c r="S2183" s="533"/>
      <c r="T2183" s="533"/>
      <c r="U2183" s="533"/>
      <c r="V2183" s="533"/>
      <c r="W2183" s="533"/>
      <c r="X2183" s="533"/>
      <c r="Y2183" s="533"/>
    </row>
    <row r="2184" spans="1:25" s="88" customFormat="1" ht="6" hidden="1" customHeight="1" x14ac:dyDescent="0.25">
      <c r="A2184" s="509"/>
      <c r="B2184" s="256"/>
      <c r="C2184" s="320"/>
      <c r="D2184" s="84"/>
      <c r="E2184" s="84"/>
      <c r="F2184" s="249" t="s">
        <v>244</v>
      </c>
      <c r="G2184" s="252" t="s">
        <v>245</v>
      </c>
      <c r="H2184" s="594"/>
      <c r="I2184" s="595"/>
      <c r="J2184" s="599">
        <f t="shared" si="72"/>
        <v>0</v>
      </c>
      <c r="K2184" s="533"/>
      <c r="L2184" s="533"/>
      <c r="M2184" s="533"/>
      <c r="N2184" s="268"/>
      <c r="O2184" s="533"/>
      <c r="P2184" s="533"/>
      <c r="Q2184" s="533"/>
      <c r="R2184" s="533"/>
      <c r="S2184" s="533"/>
      <c r="T2184" s="533"/>
      <c r="U2184" s="533"/>
      <c r="V2184" s="533"/>
      <c r="W2184" s="533"/>
      <c r="X2184" s="533"/>
      <c r="Y2184" s="533"/>
    </row>
    <row r="2185" spans="1:25" s="88" customFormat="1" ht="6" hidden="1" customHeight="1" x14ac:dyDescent="0.25">
      <c r="A2185" s="509"/>
      <c r="B2185" s="256"/>
      <c r="C2185" s="320"/>
      <c r="D2185" s="84"/>
      <c r="E2185" s="84"/>
      <c r="F2185" s="249" t="s">
        <v>246</v>
      </c>
      <c r="G2185" s="252" t="s">
        <v>247</v>
      </c>
      <c r="H2185" s="594"/>
      <c r="I2185" s="595"/>
      <c r="J2185" s="599">
        <f t="shared" si="72"/>
        <v>0</v>
      </c>
      <c r="K2185" s="533"/>
      <c r="L2185" s="533"/>
      <c r="M2185" s="533"/>
      <c r="N2185" s="268"/>
      <c r="O2185" s="533"/>
      <c r="P2185" s="533"/>
      <c r="Q2185" s="533"/>
      <c r="R2185" s="533"/>
      <c r="S2185" s="533"/>
      <c r="T2185" s="533"/>
      <c r="U2185" s="533"/>
      <c r="V2185" s="533"/>
      <c r="W2185" s="533"/>
      <c r="X2185" s="533"/>
      <c r="Y2185" s="533"/>
    </row>
    <row r="2186" spans="1:25" s="88" customFormat="1" ht="6" hidden="1" customHeight="1" x14ac:dyDescent="0.25">
      <c r="A2186" s="509"/>
      <c r="B2186" s="256"/>
      <c r="C2186" s="320"/>
      <c r="D2186" s="84"/>
      <c r="E2186" s="84"/>
      <c r="F2186" s="249" t="s">
        <v>248</v>
      </c>
      <c r="G2186" s="252" t="s">
        <v>249</v>
      </c>
      <c r="H2186" s="594"/>
      <c r="I2186" s="595"/>
      <c r="J2186" s="599">
        <f t="shared" si="72"/>
        <v>0</v>
      </c>
      <c r="K2186" s="533"/>
      <c r="L2186" s="533"/>
      <c r="M2186" s="533"/>
      <c r="N2186" s="268"/>
      <c r="O2186" s="533"/>
      <c r="P2186" s="533"/>
      <c r="Q2186" s="533"/>
      <c r="R2186" s="533"/>
      <c r="S2186" s="533"/>
      <c r="T2186" s="533"/>
      <c r="U2186" s="533"/>
      <c r="V2186" s="533"/>
      <c r="W2186" s="533"/>
      <c r="X2186" s="533"/>
      <c r="Y2186" s="533"/>
    </row>
    <row r="2187" spans="1:25" s="88" customFormat="1" ht="6" hidden="1" customHeight="1" x14ac:dyDescent="0.25">
      <c r="A2187" s="509"/>
      <c r="B2187" s="256"/>
      <c r="C2187" s="320"/>
      <c r="D2187" s="84"/>
      <c r="E2187" s="84"/>
      <c r="F2187" s="249" t="s">
        <v>250</v>
      </c>
      <c r="G2187" s="252" t="s">
        <v>57</v>
      </c>
      <c r="H2187" s="594"/>
      <c r="I2187" s="595"/>
      <c r="J2187" s="599">
        <f t="shared" si="72"/>
        <v>0</v>
      </c>
      <c r="K2187" s="533"/>
      <c r="L2187" s="533"/>
      <c r="M2187" s="533"/>
      <c r="N2187" s="268"/>
      <c r="O2187" s="533"/>
      <c r="P2187" s="533"/>
      <c r="Q2187" s="533"/>
      <c r="R2187" s="533"/>
      <c r="S2187" s="533"/>
      <c r="T2187" s="533"/>
      <c r="U2187" s="533"/>
      <c r="V2187" s="533"/>
      <c r="W2187" s="533"/>
      <c r="X2187" s="533"/>
      <c r="Y2187" s="533"/>
    </row>
    <row r="2188" spans="1:25" s="88" customFormat="1" ht="6" hidden="1" customHeight="1" x14ac:dyDescent="0.25">
      <c r="A2188" s="509"/>
      <c r="B2188" s="256"/>
      <c r="C2188" s="320"/>
      <c r="D2188" s="84"/>
      <c r="E2188" s="84"/>
      <c r="F2188" s="249" t="s">
        <v>251</v>
      </c>
      <c r="G2188" s="252" t="s">
        <v>252</v>
      </c>
      <c r="H2188" s="594"/>
      <c r="I2188" s="595"/>
      <c r="J2188" s="599">
        <f t="shared" si="72"/>
        <v>0</v>
      </c>
      <c r="K2188" s="533"/>
      <c r="L2188" s="533"/>
      <c r="M2188" s="533"/>
      <c r="N2188" s="268"/>
      <c r="O2188" s="533"/>
      <c r="P2188" s="533"/>
      <c r="Q2188" s="533"/>
      <c r="R2188" s="533"/>
      <c r="S2188" s="533"/>
      <c r="T2188" s="533"/>
      <c r="U2188" s="533"/>
      <c r="V2188" s="533"/>
      <c r="W2188" s="533"/>
      <c r="X2188" s="533"/>
      <c r="Y2188" s="533"/>
    </row>
    <row r="2189" spans="1:25" s="88" customFormat="1" ht="6" hidden="1" customHeight="1" x14ac:dyDescent="0.25">
      <c r="A2189" s="509"/>
      <c r="B2189" s="256"/>
      <c r="C2189" s="221"/>
      <c r="D2189" s="218"/>
      <c r="E2189" s="218"/>
      <c r="F2189" s="249" t="s">
        <v>253</v>
      </c>
      <c r="G2189" s="252" t="s">
        <v>254</v>
      </c>
      <c r="H2189" s="594"/>
      <c r="I2189" s="595"/>
      <c r="J2189" s="599">
        <f t="shared" si="72"/>
        <v>0</v>
      </c>
      <c r="K2189" s="533"/>
      <c r="L2189" s="533"/>
      <c r="M2189" s="533"/>
      <c r="N2189" s="268"/>
      <c r="O2189" s="533"/>
      <c r="P2189" s="533"/>
      <c r="Q2189" s="533"/>
      <c r="R2189" s="533"/>
      <c r="S2189" s="533"/>
      <c r="T2189" s="533"/>
      <c r="U2189" s="533"/>
      <c r="V2189" s="533"/>
      <c r="W2189" s="533"/>
      <c r="X2189" s="533"/>
      <c r="Y2189" s="533"/>
    </row>
    <row r="2190" spans="1:25" s="88" customFormat="1" ht="6" hidden="1" customHeight="1" x14ac:dyDescent="0.25">
      <c r="A2190" s="509"/>
      <c r="B2190" s="256"/>
      <c r="C2190" s="221"/>
      <c r="D2190" s="218"/>
      <c r="E2190" s="218"/>
      <c r="F2190" s="249" t="s">
        <v>255</v>
      </c>
      <c r="G2190" s="252" t="s">
        <v>256</v>
      </c>
      <c r="H2190" s="594"/>
      <c r="I2190" s="595"/>
      <c r="J2190" s="599">
        <f t="shared" si="72"/>
        <v>0</v>
      </c>
      <c r="K2190" s="533"/>
      <c r="L2190" s="533"/>
      <c r="M2190" s="533"/>
      <c r="N2190" s="268"/>
      <c r="O2190" s="533"/>
      <c r="P2190" s="533"/>
      <c r="Q2190" s="533"/>
      <c r="R2190" s="533"/>
      <c r="S2190" s="533"/>
      <c r="T2190" s="533"/>
      <c r="U2190" s="533"/>
      <c r="V2190" s="533"/>
      <c r="W2190" s="533"/>
      <c r="X2190" s="533"/>
      <c r="Y2190" s="533"/>
    </row>
    <row r="2191" spans="1:25" s="88" customFormat="1" ht="6" hidden="1" customHeight="1" x14ac:dyDescent="0.25">
      <c r="A2191" s="509"/>
      <c r="B2191" s="256"/>
      <c r="C2191" s="221"/>
      <c r="D2191" s="218"/>
      <c r="E2191" s="218"/>
      <c r="F2191" s="249" t="s">
        <v>257</v>
      </c>
      <c r="G2191" s="252" t="s">
        <v>258</v>
      </c>
      <c r="H2191" s="594"/>
      <c r="I2191" s="595"/>
      <c r="J2191" s="599">
        <f t="shared" si="72"/>
        <v>0</v>
      </c>
      <c r="K2191" s="533"/>
      <c r="L2191" s="533"/>
      <c r="M2191" s="533"/>
      <c r="N2191" s="268"/>
      <c r="O2191" s="533"/>
      <c r="P2191" s="533"/>
      <c r="Q2191" s="533"/>
      <c r="R2191" s="533"/>
      <c r="S2191" s="533"/>
      <c r="T2191" s="533"/>
      <c r="U2191" s="533"/>
      <c r="V2191" s="533"/>
      <c r="W2191" s="533"/>
      <c r="X2191" s="533"/>
      <c r="Y2191" s="533"/>
    </row>
    <row r="2192" spans="1:25" s="88" customFormat="1" ht="6" hidden="1" customHeight="1" x14ac:dyDescent="0.25">
      <c r="A2192" s="509"/>
      <c r="B2192" s="256"/>
      <c r="C2192" s="221"/>
      <c r="D2192" s="218"/>
      <c r="E2192" s="218"/>
      <c r="F2192" s="249" t="s">
        <v>259</v>
      </c>
      <c r="G2192" s="252" t="s">
        <v>260</v>
      </c>
      <c r="H2192" s="594"/>
      <c r="I2192" s="595"/>
      <c r="J2192" s="599">
        <f t="shared" si="72"/>
        <v>0</v>
      </c>
      <c r="K2192" s="533"/>
      <c r="L2192" s="533"/>
      <c r="M2192" s="533"/>
      <c r="N2192" s="268"/>
      <c r="O2192" s="533"/>
      <c r="P2192" s="533"/>
      <c r="Q2192" s="533"/>
      <c r="R2192" s="533"/>
      <c r="S2192" s="533"/>
      <c r="T2192" s="533"/>
      <c r="U2192" s="533"/>
      <c r="V2192" s="533"/>
      <c r="W2192" s="533"/>
      <c r="X2192" s="533"/>
      <c r="Y2192" s="533"/>
    </row>
    <row r="2193" spans="1:25" s="88" customFormat="1" ht="6" hidden="1" customHeight="1" x14ac:dyDescent="0.25">
      <c r="A2193" s="509"/>
      <c r="B2193" s="256"/>
      <c r="C2193" s="221"/>
      <c r="D2193" s="218"/>
      <c r="E2193" s="218"/>
      <c r="F2193" s="249" t="s">
        <v>261</v>
      </c>
      <c r="G2193" s="252" t="s">
        <v>262</v>
      </c>
      <c r="H2193" s="594"/>
      <c r="I2193" s="595"/>
      <c r="J2193" s="599">
        <f t="shared" si="72"/>
        <v>0</v>
      </c>
      <c r="K2193" s="533"/>
      <c r="L2193" s="533"/>
      <c r="M2193" s="533"/>
      <c r="N2193" s="268"/>
      <c r="O2193" s="533"/>
      <c r="P2193" s="533"/>
      <c r="Q2193" s="533"/>
      <c r="R2193" s="533"/>
      <c r="S2193" s="533"/>
      <c r="T2193" s="533"/>
      <c r="U2193" s="533"/>
      <c r="V2193" s="533"/>
      <c r="W2193" s="533"/>
      <c r="X2193" s="533"/>
      <c r="Y2193" s="533"/>
    </row>
    <row r="2194" spans="1:25" s="88" customFormat="1" ht="6" hidden="1" customHeight="1" thickBot="1" x14ac:dyDescent="0.3">
      <c r="A2194" s="509"/>
      <c r="B2194" s="256"/>
      <c r="C2194" s="221"/>
      <c r="D2194" s="218"/>
      <c r="E2194" s="218"/>
      <c r="F2194" s="249" t="s">
        <v>263</v>
      </c>
      <c r="G2194" s="252" t="s">
        <v>264</v>
      </c>
      <c r="H2194" s="598"/>
      <c r="I2194" s="599"/>
      <c r="J2194" s="599">
        <f t="shared" si="72"/>
        <v>0</v>
      </c>
      <c r="K2194" s="533"/>
      <c r="L2194" s="533"/>
      <c r="M2194" s="533"/>
      <c r="N2194" s="268"/>
      <c r="O2194" s="533"/>
      <c r="P2194" s="533"/>
      <c r="Q2194" s="533"/>
      <c r="R2194" s="533"/>
      <c r="S2194" s="533"/>
      <c r="T2194" s="533"/>
      <c r="U2194" s="533"/>
      <c r="V2194" s="533"/>
      <c r="W2194" s="533"/>
      <c r="X2194" s="533"/>
      <c r="Y2194" s="533"/>
    </row>
    <row r="2195" spans="1:25" s="88" customFormat="1" ht="15.75" hidden="1" thickBot="1" x14ac:dyDescent="0.3">
      <c r="A2195" s="509"/>
      <c r="B2195" s="256"/>
      <c r="C2195" s="221"/>
      <c r="D2195" s="218"/>
      <c r="E2195" s="218"/>
      <c r="F2195" s="218"/>
      <c r="G2195" s="229" t="s">
        <v>4239</v>
      </c>
      <c r="H2195" s="600">
        <f>SUM(H2179:H2194)</f>
        <v>0</v>
      </c>
      <c r="I2195" s="601">
        <f>SUM(I2180:I2194)</f>
        <v>0</v>
      </c>
      <c r="J2195" s="601">
        <f>SUM(J2179:J2194)</f>
        <v>0</v>
      </c>
      <c r="K2195" s="533"/>
      <c r="L2195" s="533"/>
      <c r="M2195" s="533"/>
      <c r="N2195" s="268"/>
      <c r="O2195" s="533"/>
      <c r="P2195" s="533"/>
      <c r="Q2195" s="533"/>
      <c r="R2195" s="533"/>
      <c r="S2195" s="533"/>
      <c r="T2195" s="533"/>
      <c r="U2195" s="533"/>
      <c r="V2195" s="533"/>
      <c r="W2195" s="533"/>
      <c r="X2195" s="533"/>
      <c r="Y2195" s="533"/>
    </row>
    <row r="2196" spans="1:25" s="88" customFormat="1" hidden="1" x14ac:dyDescent="0.25">
      <c r="A2196" s="509"/>
      <c r="B2196" s="256"/>
      <c r="C2196" s="221"/>
      <c r="D2196" s="218"/>
      <c r="E2196" s="218"/>
      <c r="F2196" s="218"/>
      <c r="G2196" s="230"/>
      <c r="H2196" s="594"/>
      <c r="I2196" s="595"/>
      <c r="J2196" s="595"/>
      <c r="K2196" s="533"/>
      <c r="L2196" s="533"/>
      <c r="M2196" s="533"/>
      <c r="N2196" s="268"/>
      <c r="O2196" s="533"/>
      <c r="P2196" s="533"/>
      <c r="Q2196" s="533"/>
      <c r="R2196" s="533"/>
      <c r="S2196" s="533"/>
      <c r="T2196" s="533"/>
      <c r="U2196" s="533"/>
      <c r="V2196" s="533"/>
      <c r="W2196" s="533"/>
      <c r="X2196" s="533"/>
      <c r="Y2196" s="533"/>
    </row>
    <row r="2197" spans="1:25" s="88" customFormat="1" hidden="1" x14ac:dyDescent="0.25">
      <c r="A2197" s="509"/>
      <c r="B2197" s="256"/>
      <c r="C2197" s="323" t="s">
        <v>4165</v>
      </c>
      <c r="D2197" s="84"/>
      <c r="E2197" s="222"/>
      <c r="F2197" s="218"/>
      <c r="G2197" s="287" t="s">
        <v>4237</v>
      </c>
      <c r="H2197" s="594"/>
      <c r="I2197" s="595"/>
      <c r="J2197" s="595"/>
      <c r="K2197" s="533"/>
      <c r="L2197" s="533"/>
      <c r="M2197" s="533"/>
      <c r="N2197" s="268"/>
      <c r="O2197" s="533"/>
      <c r="P2197" s="533"/>
      <c r="Q2197" s="533"/>
      <c r="R2197" s="533"/>
      <c r="S2197" s="533"/>
      <c r="T2197" s="533"/>
      <c r="U2197" s="533"/>
      <c r="V2197" s="533"/>
      <c r="W2197" s="533"/>
      <c r="X2197" s="533"/>
      <c r="Y2197" s="533"/>
    </row>
    <row r="2198" spans="1:25" s="88" customFormat="1" hidden="1" x14ac:dyDescent="0.25">
      <c r="A2198" s="509"/>
      <c r="B2198" s="256"/>
      <c r="C2198" s="221"/>
      <c r="D2198" s="343" t="s">
        <v>3908</v>
      </c>
      <c r="E2198" s="312"/>
      <c r="F2198" s="312"/>
      <c r="G2198" s="338" t="s">
        <v>103</v>
      </c>
      <c r="H2198" s="594"/>
      <c r="I2198" s="595"/>
      <c r="J2198" s="595"/>
      <c r="K2198" s="533"/>
      <c r="L2198" s="533"/>
      <c r="M2198" s="533"/>
      <c r="N2198" s="268"/>
      <c r="O2198" s="533"/>
      <c r="P2198" s="533"/>
      <c r="Q2198" s="533"/>
      <c r="R2198" s="533"/>
      <c r="S2198" s="533"/>
      <c r="T2198" s="533"/>
      <c r="U2198" s="533"/>
      <c r="V2198" s="533"/>
      <c r="W2198" s="533"/>
      <c r="X2198" s="533"/>
      <c r="Y2198" s="533"/>
    </row>
    <row r="2199" spans="1:25" s="88" customFormat="1" hidden="1" x14ac:dyDescent="0.25">
      <c r="A2199" s="509"/>
      <c r="B2199" s="256"/>
      <c r="C2199" s="221"/>
      <c r="D2199" s="218"/>
      <c r="E2199" s="218"/>
      <c r="F2199" s="263">
        <v>422</v>
      </c>
      <c r="G2199" s="295" t="s">
        <v>3798</v>
      </c>
      <c r="H2199" s="594"/>
      <c r="I2199" s="595"/>
      <c r="J2199" s="595">
        <f t="shared" ref="J2199:J2204" si="73">SUM(H2199:I2199)</f>
        <v>0</v>
      </c>
      <c r="K2199" s="533"/>
      <c r="L2199" s="533"/>
      <c r="M2199" s="533"/>
      <c r="N2199" s="268"/>
      <c r="O2199" s="533"/>
      <c r="P2199" s="533"/>
      <c r="Q2199" s="533"/>
      <c r="R2199" s="533"/>
      <c r="S2199" s="533"/>
      <c r="T2199" s="533"/>
      <c r="U2199" s="533"/>
      <c r="V2199" s="533"/>
      <c r="W2199" s="533"/>
      <c r="X2199" s="533"/>
      <c r="Y2199" s="533"/>
    </row>
    <row r="2200" spans="1:25" s="88" customFormat="1" hidden="1" x14ac:dyDescent="0.25">
      <c r="A2200" s="509"/>
      <c r="B2200" s="256"/>
      <c r="C2200" s="221"/>
      <c r="D2200" s="218"/>
      <c r="E2200" s="218"/>
      <c r="F2200" s="263">
        <v>423</v>
      </c>
      <c r="G2200" s="295" t="s">
        <v>3799</v>
      </c>
      <c r="H2200" s="594"/>
      <c r="I2200" s="595"/>
      <c r="J2200" s="595">
        <f t="shared" si="73"/>
        <v>0</v>
      </c>
      <c r="K2200" s="533"/>
      <c r="L2200" s="533"/>
      <c r="M2200" s="533"/>
      <c r="N2200" s="268"/>
      <c r="O2200" s="533"/>
      <c r="P2200" s="533"/>
      <c r="Q2200" s="533"/>
      <c r="R2200" s="533"/>
      <c r="S2200" s="533"/>
      <c r="T2200" s="533"/>
      <c r="U2200" s="533"/>
      <c r="V2200" s="533"/>
      <c r="W2200" s="533"/>
      <c r="X2200" s="533"/>
      <c r="Y2200" s="533"/>
    </row>
    <row r="2201" spans="1:25" s="88" customFormat="1" hidden="1" x14ac:dyDescent="0.25">
      <c r="A2201" s="509"/>
      <c r="B2201" s="256"/>
      <c r="C2201" s="221"/>
      <c r="D2201" s="218"/>
      <c r="E2201" s="218"/>
      <c r="F2201" s="263">
        <v>424</v>
      </c>
      <c r="G2201" s="295" t="s">
        <v>3801</v>
      </c>
      <c r="H2201" s="594"/>
      <c r="I2201" s="595"/>
      <c r="J2201" s="595">
        <f t="shared" si="73"/>
        <v>0</v>
      </c>
      <c r="K2201" s="533"/>
      <c r="L2201" s="533"/>
      <c r="M2201" s="533"/>
      <c r="N2201" s="268"/>
      <c r="O2201" s="533"/>
      <c r="P2201" s="533"/>
      <c r="Q2201" s="533"/>
      <c r="R2201" s="533"/>
      <c r="S2201" s="533"/>
      <c r="T2201" s="533"/>
      <c r="U2201" s="533"/>
      <c r="V2201" s="533"/>
      <c r="W2201" s="533"/>
      <c r="X2201" s="533"/>
      <c r="Y2201" s="533"/>
    </row>
    <row r="2202" spans="1:25" s="88" customFormat="1" hidden="1" x14ac:dyDescent="0.25">
      <c r="A2202" s="509"/>
      <c r="B2202" s="256"/>
      <c r="C2202" s="221"/>
      <c r="D2202" s="218"/>
      <c r="E2202" s="218"/>
      <c r="F2202" s="263">
        <v>426</v>
      </c>
      <c r="G2202" s="295" t="s">
        <v>3805</v>
      </c>
      <c r="H2202" s="594"/>
      <c r="I2202" s="595"/>
      <c r="J2202" s="595">
        <f t="shared" si="73"/>
        <v>0</v>
      </c>
      <c r="K2202" s="533"/>
      <c r="L2202" s="533"/>
      <c r="M2202" s="533"/>
      <c r="N2202" s="268"/>
      <c r="O2202" s="533"/>
      <c r="P2202" s="533"/>
      <c r="Q2202" s="533"/>
      <c r="R2202" s="533"/>
      <c r="S2202" s="533"/>
      <c r="T2202" s="533"/>
      <c r="U2202" s="533"/>
      <c r="V2202" s="533"/>
      <c r="W2202" s="533"/>
      <c r="X2202" s="533"/>
      <c r="Y2202" s="533"/>
    </row>
    <row r="2203" spans="1:25" s="88" customFormat="1" hidden="1" x14ac:dyDescent="0.25">
      <c r="A2203" s="509"/>
      <c r="B2203" s="256"/>
      <c r="C2203" s="221"/>
      <c r="D2203" s="218"/>
      <c r="E2203" s="218"/>
      <c r="F2203" s="263">
        <v>472</v>
      </c>
      <c r="G2203" s="295" t="s">
        <v>3833</v>
      </c>
      <c r="H2203" s="594"/>
      <c r="I2203" s="595"/>
      <c r="J2203" s="595">
        <f t="shared" si="73"/>
        <v>0</v>
      </c>
      <c r="K2203" s="533"/>
      <c r="L2203" s="533"/>
      <c r="M2203" s="533"/>
      <c r="N2203" s="268"/>
      <c r="O2203" s="533"/>
      <c r="P2203" s="533"/>
      <c r="Q2203" s="533"/>
      <c r="R2203" s="533"/>
      <c r="S2203" s="533"/>
      <c r="T2203" s="533"/>
      <c r="U2203" s="533"/>
      <c r="V2203" s="533"/>
      <c r="W2203" s="533"/>
      <c r="X2203" s="533"/>
      <c r="Y2203" s="533"/>
    </row>
    <row r="2204" spans="1:25" s="88" customFormat="1" ht="15.75" hidden="1" thickBot="1" x14ac:dyDescent="0.3">
      <c r="A2204" s="509"/>
      <c r="B2204" s="256"/>
      <c r="C2204" s="221"/>
      <c r="D2204" s="218"/>
      <c r="E2204" s="218"/>
      <c r="F2204" s="263">
        <v>481</v>
      </c>
      <c r="G2204" s="295" t="s">
        <v>4211</v>
      </c>
      <c r="H2204" s="594"/>
      <c r="I2204" s="595"/>
      <c r="J2204" s="595">
        <f t="shared" si="73"/>
        <v>0</v>
      </c>
      <c r="K2204" s="533"/>
      <c r="L2204" s="533"/>
      <c r="M2204" s="533"/>
      <c r="N2204" s="268"/>
      <c r="O2204" s="533"/>
      <c r="P2204" s="533"/>
      <c r="Q2204" s="533"/>
      <c r="R2204" s="533"/>
      <c r="S2204" s="533"/>
      <c r="T2204" s="533"/>
      <c r="U2204" s="533"/>
      <c r="V2204" s="533"/>
      <c r="W2204" s="533"/>
      <c r="X2204" s="533"/>
      <c r="Y2204" s="533"/>
    </row>
    <row r="2205" spans="1:25" s="88" customFormat="1" hidden="1" x14ac:dyDescent="0.25">
      <c r="A2205" s="509"/>
      <c r="B2205" s="256"/>
      <c r="C2205" s="221"/>
      <c r="D2205" s="218"/>
      <c r="E2205" s="293"/>
      <c r="F2205" s="301"/>
      <c r="G2205" s="327" t="s">
        <v>4390</v>
      </c>
      <c r="H2205" s="596"/>
      <c r="I2205" s="622"/>
      <c r="J2205" s="597"/>
      <c r="K2205" s="533"/>
      <c r="L2205" s="533"/>
      <c r="M2205" s="533"/>
      <c r="N2205" s="268"/>
      <c r="O2205" s="533"/>
      <c r="P2205" s="533"/>
      <c r="Q2205" s="533"/>
      <c r="R2205" s="533"/>
      <c r="S2205" s="533"/>
      <c r="T2205" s="533"/>
      <c r="U2205" s="533"/>
      <c r="V2205" s="533"/>
      <c r="W2205" s="533"/>
      <c r="X2205" s="533"/>
      <c r="Y2205" s="533"/>
    </row>
    <row r="2206" spans="1:25" s="88" customFormat="1" hidden="1" x14ac:dyDescent="0.25">
      <c r="A2206" s="509"/>
      <c r="B2206" s="256"/>
      <c r="C2206" s="221"/>
      <c r="D2206" s="218"/>
      <c r="E2206" s="222"/>
      <c r="F2206" s="249" t="s">
        <v>234</v>
      </c>
      <c r="G2206" s="252" t="s">
        <v>235</v>
      </c>
      <c r="H2206" s="598">
        <f>SUM(H2199:H2204)</f>
        <v>0</v>
      </c>
      <c r="I2206" s="599"/>
      <c r="J2206" s="599">
        <f t="shared" ref="J2206:J2221" si="74">SUM(H2206:I2206)</f>
        <v>0</v>
      </c>
      <c r="K2206" s="533"/>
      <c r="L2206" s="533"/>
      <c r="M2206" s="533"/>
      <c r="N2206" s="268"/>
      <c r="O2206" s="533"/>
      <c r="P2206" s="533"/>
      <c r="Q2206" s="533"/>
      <c r="R2206" s="533"/>
      <c r="S2206" s="533"/>
      <c r="T2206" s="533"/>
      <c r="U2206" s="533"/>
      <c r="V2206" s="533"/>
      <c r="W2206" s="533"/>
      <c r="X2206" s="533"/>
      <c r="Y2206" s="533"/>
    </row>
    <row r="2207" spans="1:25" s="88" customFormat="1" hidden="1" x14ac:dyDescent="0.25">
      <c r="A2207" s="509"/>
      <c r="B2207" s="256"/>
      <c r="C2207" s="221"/>
      <c r="D2207" s="218"/>
      <c r="E2207" s="218"/>
      <c r="F2207" s="249" t="s">
        <v>236</v>
      </c>
      <c r="G2207" s="252" t="s">
        <v>237</v>
      </c>
      <c r="H2207" s="594"/>
      <c r="I2207" s="595"/>
      <c r="J2207" s="599">
        <f t="shared" si="74"/>
        <v>0</v>
      </c>
      <c r="K2207" s="533"/>
      <c r="L2207" s="533"/>
      <c r="M2207" s="533"/>
      <c r="N2207" s="268"/>
      <c r="O2207" s="533"/>
      <c r="P2207" s="533"/>
      <c r="Q2207" s="533"/>
      <c r="R2207" s="533"/>
      <c r="S2207" s="533"/>
      <c r="T2207" s="533"/>
      <c r="U2207" s="533"/>
      <c r="V2207" s="533"/>
      <c r="W2207" s="533"/>
      <c r="X2207" s="533"/>
      <c r="Y2207" s="533"/>
    </row>
    <row r="2208" spans="1:25" s="88" customFormat="1" hidden="1" x14ac:dyDescent="0.25">
      <c r="A2208" s="509"/>
      <c r="B2208" s="256"/>
      <c r="C2208" s="221"/>
      <c r="D2208" s="218"/>
      <c r="E2208" s="218"/>
      <c r="F2208" s="249" t="s">
        <v>238</v>
      </c>
      <c r="G2208" s="252" t="s">
        <v>239</v>
      </c>
      <c r="H2208" s="594"/>
      <c r="I2208" s="595"/>
      <c r="J2208" s="599">
        <f t="shared" si="74"/>
        <v>0</v>
      </c>
      <c r="K2208" s="533"/>
      <c r="L2208" s="533"/>
      <c r="M2208" s="533"/>
      <c r="N2208" s="268"/>
      <c r="O2208" s="533"/>
      <c r="P2208" s="533"/>
      <c r="Q2208" s="533"/>
      <c r="R2208" s="533"/>
      <c r="S2208" s="533"/>
      <c r="T2208" s="533"/>
      <c r="U2208" s="533"/>
      <c r="V2208" s="533"/>
      <c r="W2208" s="533"/>
      <c r="X2208" s="533"/>
      <c r="Y2208" s="533"/>
    </row>
    <row r="2209" spans="1:25" s="88" customFormat="1" hidden="1" x14ac:dyDescent="0.25">
      <c r="A2209" s="509"/>
      <c r="B2209" s="256"/>
      <c r="C2209" s="221"/>
      <c r="D2209" s="218"/>
      <c r="E2209" s="218"/>
      <c r="F2209" s="249" t="s">
        <v>240</v>
      </c>
      <c r="G2209" s="252" t="s">
        <v>241</v>
      </c>
      <c r="H2209" s="594"/>
      <c r="I2209" s="595"/>
      <c r="J2209" s="599">
        <f t="shared" si="74"/>
        <v>0</v>
      </c>
      <c r="K2209" s="533"/>
      <c r="L2209" s="533"/>
      <c r="M2209" s="533"/>
      <c r="N2209" s="268"/>
      <c r="O2209" s="533"/>
      <c r="P2209" s="533"/>
      <c r="Q2209" s="533"/>
      <c r="R2209" s="533"/>
      <c r="S2209" s="533"/>
      <c r="T2209" s="533"/>
      <c r="U2209" s="533"/>
      <c r="V2209" s="533"/>
      <c r="W2209" s="533"/>
      <c r="X2209" s="533"/>
      <c r="Y2209" s="533"/>
    </row>
    <row r="2210" spans="1:25" s="88" customFormat="1" hidden="1" x14ac:dyDescent="0.25">
      <c r="A2210" s="509"/>
      <c r="B2210" s="256"/>
      <c r="C2210" s="221"/>
      <c r="D2210" s="218"/>
      <c r="E2210" s="218"/>
      <c r="F2210" s="249" t="s">
        <v>242</v>
      </c>
      <c r="G2210" s="252" t="s">
        <v>243</v>
      </c>
      <c r="H2210" s="594"/>
      <c r="I2210" s="595"/>
      <c r="J2210" s="599">
        <f t="shared" si="74"/>
        <v>0</v>
      </c>
      <c r="K2210" s="533"/>
      <c r="L2210" s="533"/>
      <c r="M2210" s="533"/>
      <c r="N2210" s="268"/>
      <c r="O2210" s="533"/>
      <c r="P2210" s="533"/>
      <c r="Q2210" s="533"/>
      <c r="R2210" s="533"/>
      <c r="S2210" s="533"/>
      <c r="T2210" s="533"/>
      <c r="U2210" s="533"/>
      <c r="V2210" s="533"/>
      <c r="W2210" s="533"/>
      <c r="X2210" s="533"/>
      <c r="Y2210" s="533"/>
    </row>
    <row r="2211" spans="1:25" s="88" customFormat="1" hidden="1" x14ac:dyDescent="0.25">
      <c r="A2211" s="509"/>
      <c r="B2211" s="256"/>
      <c r="C2211" s="221"/>
      <c r="D2211" s="218"/>
      <c r="E2211" s="218"/>
      <c r="F2211" s="249" t="s">
        <v>244</v>
      </c>
      <c r="G2211" s="252" t="s">
        <v>245</v>
      </c>
      <c r="H2211" s="594"/>
      <c r="I2211" s="595"/>
      <c r="J2211" s="599">
        <f t="shared" si="74"/>
        <v>0</v>
      </c>
      <c r="K2211" s="533"/>
      <c r="L2211" s="533"/>
      <c r="M2211" s="533"/>
      <c r="N2211" s="268"/>
      <c r="O2211" s="533"/>
      <c r="P2211" s="533"/>
      <c r="Q2211" s="533"/>
      <c r="R2211" s="533"/>
      <c r="S2211" s="533"/>
      <c r="T2211" s="533"/>
      <c r="U2211" s="533"/>
      <c r="V2211" s="533"/>
      <c r="W2211" s="533"/>
      <c r="X2211" s="533"/>
      <c r="Y2211" s="533"/>
    </row>
    <row r="2212" spans="1:25" s="88" customFormat="1" hidden="1" x14ac:dyDescent="0.25">
      <c r="A2212" s="509"/>
      <c r="B2212" s="256"/>
      <c r="C2212" s="221"/>
      <c r="D2212" s="218"/>
      <c r="E2212" s="218"/>
      <c r="F2212" s="249" t="s">
        <v>246</v>
      </c>
      <c r="G2212" s="252" t="s">
        <v>247</v>
      </c>
      <c r="H2212" s="594"/>
      <c r="I2212" s="595"/>
      <c r="J2212" s="599">
        <f t="shared" si="74"/>
        <v>0</v>
      </c>
      <c r="K2212" s="533"/>
      <c r="L2212" s="533"/>
      <c r="M2212" s="533"/>
      <c r="N2212" s="268"/>
      <c r="O2212" s="533"/>
      <c r="P2212" s="533"/>
      <c r="Q2212" s="533"/>
      <c r="R2212" s="533"/>
      <c r="S2212" s="533"/>
      <c r="T2212" s="533"/>
      <c r="U2212" s="533"/>
      <c r="V2212" s="533"/>
      <c r="W2212" s="533"/>
      <c r="X2212" s="533"/>
      <c r="Y2212" s="533"/>
    </row>
    <row r="2213" spans="1:25" s="88" customFormat="1" hidden="1" x14ac:dyDescent="0.25">
      <c r="A2213" s="509"/>
      <c r="B2213" s="256"/>
      <c r="C2213" s="221"/>
      <c r="D2213" s="218"/>
      <c r="E2213" s="218"/>
      <c r="F2213" s="249" t="s">
        <v>248</v>
      </c>
      <c r="G2213" s="252" t="s">
        <v>249</v>
      </c>
      <c r="H2213" s="594"/>
      <c r="I2213" s="595"/>
      <c r="J2213" s="599">
        <f t="shared" si="74"/>
        <v>0</v>
      </c>
      <c r="K2213" s="533"/>
      <c r="L2213" s="533"/>
      <c r="M2213" s="533"/>
      <c r="N2213" s="268"/>
      <c r="O2213" s="533"/>
      <c r="P2213" s="533"/>
      <c r="Q2213" s="533"/>
      <c r="R2213" s="533"/>
      <c r="S2213" s="533"/>
      <c r="T2213" s="533"/>
      <c r="U2213" s="533"/>
      <c r="V2213" s="533"/>
      <c r="W2213" s="533"/>
      <c r="X2213" s="533"/>
      <c r="Y2213" s="533"/>
    </row>
    <row r="2214" spans="1:25" s="88" customFormat="1" hidden="1" x14ac:dyDescent="0.25">
      <c r="A2214" s="509"/>
      <c r="B2214" s="256"/>
      <c r="C2214" s="221"/>
      <c r="D2214" s="218"/>
      <c r="E2214" s="218"/>
      <c r="F2214" s="249" t="s">
        <v>250</v>
      </c>
      <c r="G2214" s="252" t="s">
        <v>57</v>
      </c>
      <c r="H2214" s="594"/>
      <c r="I2214" s="595"/>
      <c r="J2214" s="599">
        <f t="shared" si="74"/>
        <v>0</v>
      </c>
      <c r="K2214" s="533"/>
      <c r="L2214" s="533"/>
      <c r="M2214" s="533"/>
      <c r="N2214" s="268"/>
      <c r="O2214" s="533"/>
      <c r="P2214" s="533"/>
      <c r="Q2214" s="533"/>
      <c r="R2214" s="533"/>
      <c r="S2214" s="533"/>
      <c r="T2214" s="533"/>
      <c r="U2214" s="533"/>
      <c r="V2214" s="533"/>
      <c r="W2214" s="533"/>
      <c r="X2214" s="533"/>
      <c r="Y2214" s="533"/>
    </row>
    <row r="2215" spans="1:25" s="88" customFormat="1" hidden="1" x14ac:dyDescent="0.25">
      <c r="A2215" s="509"/>
      <c r="B2215" s="256"/>
      <c r="C2215" s="221"/>
      <c r="D2215" s="218"/>
      <c r="E2215" s="218"/>
      <c r="F2215" s="249" t="s">
        <v>251</v>
      </c>
      <c r="G2215" s="252" t="s">
        <v>252</v>
      </c>
      <c r="H2215" s="594"/>
      <c r="I2215" s="595"/>
      <c r="J2215" s="599">
        <f t="shared" si="74"/>
        <v>0</v>
      </c>
      <c r="K2215" s="533"/>
      <c r="L2215" s="533"/>
      <c r="M2215" s="533"/>
      <c r="N2215" s="268"/>
      <c r="O2215" s="533"/>
      <c r="P2215" s="533"/>
      <c r="Q2215" s="533"/>
      <c r="R2215" s="533"/>
      <c r="S2215" s="533"/>
      <c r="T2215" s="533"/>
      <c r="U2215" s="533"/>
      <c r="V2215" s="533"/>
      <c r="W2215" s="533"/>
      <c r="X2215" s="533"/>
      <c r="Y2215" s="533"/>
    </row>
    <row r="2216" spans="1:25" s="88" customFormat="1" hidden="1" x14ac:dyDescent="0.25">
      <c r="A2216" s="509"/>
      <c r="B2216" s="256"/>
      <c r="C2216" s="221"/>
      <c r="D2216" s="218"/>
      <c r="E2216" s="218"/>
      <c r="F2216" s="249" t="s">
        <v>253</v>
      </c>
      <c r="G2216" s="252" t="s">
        <v>254</v>
      </c>
      <c r="H2216" s="594"/>
      <c r="I2216" s="595"/>
      <c r="J2216" s="599">
        <f t="shared" si="74"/>
        <v>0</v>
      </c>
      <c r="K2216" s="533"/>
      <c r="L2216" s="533"/>
      <c r="M2216" s="533"/>
      <c r="N2216" s="268"/>
      <c r="O2216" s="533"/>
      <c r="P2216" s="533"/>
      <c r="Q2216" s="533"/>
      <c r="R2216" s="533"/>
      <c r="S2216" s="533"/>
      <c r="T2216" s="533"/>
      <c r="U2216" s="533"/>
      <c r="V2216" s="533"/>
      <c r="W2216" s="533"/>
      <c r="X2216" s="533"/>
      <c r="Y2216" s="533"/>
    </row>
    <row r="2217" spans="1:25" s="88" customFormat="1" ht="30" hidden="1" x14ac:dyDescent="0.25">
      <c r="A2217" s="509"/>
      <c r="B2217" s="256"/>
      <c r="C2217" s="221"/>
      <c r="D2217" s="218"/>
      <c r="E2217" s="218"/>
      <c r="F2217" s="249" t="s">
        <v>255</v>
      </c>
      <c r="G2217" s="252" t="s">
        <v>256</v>
      </c>
      <c r="H2217" s="594"/>
      <c r="I2217" s="595"/>
      <c r="J2217" s="599">
        <f t="shared" si="74"/>
        <v>0</v>
      </c>
      <c r="K2217" s="533"/>
      <c r="L2217" s="533"/>
      <c r="M2217" s="533"/>
      <c r="N2217" s="268"/>
      <c r="O2217" s="533"/>
      <c r="P2217" s="533"/>
      <c r="Q2217" s="533"/>
      <c r="R2217" s="533"/>
      <c r="S2217" s="533"/>
      <c r="T2217" s="533"/>
      <c r="U2217" s="533"/>
      <c r="V2217" s="533"/>
      <c r="W2217" s="533"/>
      <c r="X2217" s="533"/>
      <c r="Y2217" s="533"/>
    </row>
    <row r="2218" spans="1:25" s="88" customFormat="1" hidden="1" x14ac:dyDescent="0.25">
      <c r="A2218" s="509"/>
      <c r="B2218" s="256"/>
      <c r="C2218" s="221"/>
      <c r="D2218" s="218"/>
      <c r="E2218" s="218"/>
      <c r="F2218" s="249" t="s">
        <v>257</v>
      </c>
      <c r="G2218" s="252" t="s">
        <v>258</v>
      </c>
      <c r="H2218" s="594"/>
      <c r="I2218" s="595"/>
      <c r="J2218" s="599">
        <f t="shared" si="74"/>
        <v>0</v>
      </c>
      <c r="K2218" s="533"/>
      <c r="L2218" s="533"/>
      <c r="M2218" s="533"/>
      <c r="N2218" s="268"/>
      <c r="O2218" s="533"/>
      <c r="P2218" s="533"/>
      <c r="Q2218" s="533"/>
      <c r="R2218" s="533"/>
      <c r="S2218" s="533"/>
      <c r="T2218" s="533"/>
      <c r="U2218" s="533"/>
      <c r="V2218" s="533"/>
      <c r="W2218" s="533"/>
      <c r="X2218" s="533"/>
      <c r="Y2218" s="533"/>
    </row>
    <row r="2219" spans="1:25" s="88" customFormat="1" ht="30" hidden="1" x14ac:dyDescent="0.25">
      <c r="A2219" s="509"/>
      <c r="B2219" s="256"/>
      <c r="C2219" s="221"/>
      <c r="D2219" s="218"/>
      <c r="E2219" s="218"/>
      <c r="F2219" s="249" t="s">
        <v>259</v>
      </c>
      <c r="G2219" s="252" t="s">
        <v>260</v>
      </c>
      <c r="H2219" s="594"/>
      <c r="I2219" s="595"/>
      <c r="J2219" s="599">
        <f t="shared" si="74"/>
        <v>0</v>
      </c>
      <c r="K2219" s="533"/>
      <c r="L2219" s="533"/>
      <c r="M2219" s="533"/>
      <c r="N2219" s="268"/>
      <c r="O2219" s="533"/>
      <c r="P2219" s="533"/>
      <c r="Q2219" s="533"/>
      <c r="R2219" s="533"/>
      <c r="S2219" s="533"/>
      <c r="T2219" s="533"/>
      <c r="U2219" s="533"/>
      <c r="V2219" s="533"/>
      <c r="W2219" s="533"/>
      <c r="X2219" s="533"/>
      <c r="Y2219" s="533"/>
    </row>
    <row r="2220" spans="1:25" s="88" customFormat="1" hidden="1" x14ac:dyDescent="0.25">
      <c r="A2220" s="509"/>
      <c r="B2220" s="256"/>
      <c r="C2220" s="221"/>
      <c r="D2220" s="218"/>
      <c r="E2220" s="218"/>
      <c r="F2220" s="249" t="s">
        <v>261</v>
      </c>
      <c r="G2220" s="252" t="s">
        <v>262</v>
      </c>
      <c r="H2220" s="594"/>
      <c r="I2220" s="595"/>
      <c r="J2220" s="599">
        <f t="shared" si="74"/>
        <v>0</v>
      </c>
      <c r="K2220" s="533"/>
      <c r="L2220" s="533"/>
      <c r="M2220" s="533"/>
      <c r="N2220" s="268"/>
      <c r="O2220" s="533"/>
      <c r="P2220" s="533"/>
      <c r="Q2220" s="533"/>
      <c r="R2220" s="533"/>
      <c r="S2220" s="533"/>
      <c r="T2220" s="533"/>
      <c r="U2220" s="533"/>
      <c r="V2220" s="533"/>
      <c r="W2220" s="533"/>
      <c r="X2220" s="533"/>
      <c r="Y2220" s="533"/>
    </row>
    <row r="2221" spans="1:25" s="88" customFormat="1" ht="15.75" hidden="1" thickBot="1" x14ac:dyDescent="0.3">
      <c r="A2221" s="509"/>
      <c r="B2221" s="256"/>
      <c r="C2221" s="221"/>
      <c r="D2221" s="218"/>
      <c r="E2221" s="218"/>
      <c r="F2221" s="249" t="s">
        <v>263</v>
      </c>
      <c r="G2221" s="252" t="s">
        <v>264</v>
      </c>
      <c r="H2221" s="598"/>
      <c r="I2221" s="599"/>
      <c r="J2221" s="599">
        <f t="shared" si="74"/>
        <v>0</v>
      </c>
      <c r="K2221" s="533"/>
      <c r="L2221" s="533"/>
      <c r="M2221" s="533"/>
      <c r="N2221" s="268"/>
      <c r="O2221" s="533"/>
      <c r="P2221" s="533"/>
      <c r="Q2221" s="533"/>
      <c r="R2221" s="533"/>
      <c r="S2221" s="533"/>
      <c r="T2221" s="533"/>
      <c r="U2221" s="533"/>
      <c r="V2221" s="533"/>
      <c r="W2221" s="533"/>
      <c r="X2221" s="533"/>
      <c r="Y2221" s="533"/>
    </row>
    <row r="2222" spans="1:25" s="88" customFormat="1" ht="15.75" hidden="1" thickBot="1" x14ac:dyDescent="0.3">
      <c r="A2222" s="509"/>
      <c r="B2222" s="256"/>
      <c r="C2222" s="221"/>
      <c r="D2222" s="218"/>
      <c r="E2222" s="218"/>
      <c r="F2222" s="218"/>
      <c r="G2222" s="229" t="s">
        <v>4391</v>
      </c>
      <c r="H2222" s="600">
        <f>SUM(H2206:H2221)</f>
        <v>0</v>
      </c>
      <c r="I2222" s="601">
        <f>SUM(I2207:I2221)</f>
        <v>0</v>
      </c>
      <c r="J2222" s="601">
        <f>SUM(J2206:J2221)</f>
        <v>0</v>
      </c>
      <c r="K2222" s="533"/>
      <c r="L2222" s="533"/>
      <c r="M2222" s="533"/>
      <c r="N2222" s="268"/>
      <c r="O2222" s="533"/>
      <c r="P2222" s="533"/>
      <c r="Q2222" s="533"/>
      <c r="R2222" s="533"/>
      <c r="S2222" s="533"/>
      <c r="T2222" s="533"/>
      <c r="U2222" s="533"/>
      <c r="V2222" s="533"/>
      <c r="W2222" s="533"/>
      <c r="X2222" s="533"/>
      <c r="Y2222" s="533"/>
    </row>
    <row r="2223" spans="1:25" s="88" customFormat="1" ht="28.5" hidden="1" x14ac:dyDescent="0.25">
      <c r="A2223" s="509"/>
      <c r="B2223" s="256"/>
      <c r="C2223" s="221"/>
      <c r="D2223" s="218"/>
      <c r="E2223" s="218"/>
      <c r="F2223" s="264"/>
      <c r="G2223" s="231" t="s">
        <v>4242</v>
      </c>
      <c r="H2223" s="602"/>
      <c r="I2223" s="623"/>
      <c r="J2223" s="603"/>
      <c r="K2223" s="533"/>
      <c r="L2223" s="533"/>
      <c r="M2223" s="533"/>
      <c r="N2223" s="268"/>
      <c r="O2223" s="533"/>
      <c r="P2223" s="533"/>
      <c r="Q2223" s="533"/>
      <c r="R2223" s="533"/>
      <c r="S2223" s="533"/>
      <c r="T2223" s="533"/>
      <c r="U2223" s="533"/>
      <c r="V2223" s="533"/>
      <c r="W2223" s="533"/>
      <c r="X2223" s="533"/>
      <c r="Y2223" s="533"/>
    </row>
    <row r="2224" spans="1:25" s="88" customFormat="1" hidden="1" x14ac:dyDescent="0.25">
      <c r="A2224" s="509"/>
      <c r="B2224" s="256"/>
      <c r="C2224" s="221"/>
      <c r="D2224" s="218"/>
      <c r="E2224" s="218"/>
      <c r="F2224" s="249" t="s">
        <v>234</v>
      </c>
      <c r="G2224" s="252" t="s">
        <v>235</v>
      </c>
      <c r="H2224" s="598">
        <f>SUM(H2199:H2204)</f>
        <v>0</v>
      </c>
      <c r="I2224" s="599"/>
      <c r="J2224" s="595">
        <f t="shared" ref="J2224:J2239" si="75">SUM(H2224:I2224)</f>
        <v>0</v>
      </c>
      <c r="K2224" s="533"/>
      <c r="L2224" s="533"/>
      <c r="M2224" s="533"/>
      <c r="N2224" s="268"/>
      <c r="O2224" s="533"/>
      <c r="P2224" s="533"/>
      <c r="Q2224" s="533"/>
      <c r="R2224" s="533"/>
      <c r="S2224" s="533"/>
      <c r="T2224" s="533"/>
      <c r="U2224" s="533"/>
      <c r="V2224" s="533"/>
      <c r="W2224" s="533"/>
      <c r="X2224" s="533"/>
      <c r="Y2224" s="533"/>
    </row>
    <row r="2225" spans="1:25" s="88" customFormat="1" hidden="1" x14ac:dyDescent="0.25">
      <c r="A2225" s="509"/>
      <c r="B2225" s="256"/>
      <c r="C2225" s="221"/>
      <c r="D2225" s="218"/>
      <c r="E2225" s="218"/>
      <c r="F2225" s="249" t="s">
        <v>236</v>
      </c>
      <c r="G2225" s="252" t="s">
        <v>237</v>
      </c>
      <c r="H2225" s="594"/>
      <c r="I2225" s="595"/>
      <c r="J2225" s="599">
        <f t="shared" si="75"/>
        <v>0</v>
      </c>
      <c r="K2225" s="533"/>
      <c r="L2225" s="533"/>
      <c r="M2225" s="533"/>
      <c r="N2225" s="268"/>
      <c r="O2225" s="533"/>
      <c r="P2225" s="533"/>
      <c r="Q2225" s="533"/>
      <c r="R2225" s="533"/>
      <c r="S2225" s="533"/>
      <c r="T2225" s="533"/>
      <c r="U2225" s="533"/>
      <c r="V2225" s="533"/>
      <c r="W2225" s="533"/>
      <c r="X2225" s="533"/>
      <c r="Y2225" s="533"/>
    </row>
    <row r="2226" spans="1:25" s="88" customFormat="1" hidden="1" x14ac:dyDescent="0.25">
      <c r="A2226" s="509"/>
      <c r="B2226" s="256"/>
      <c r="C2226" s="221"/>
      <c r="D2226" s="218"/>
      <c r="E2226" s="218"/>
      <c r="F2226" s="249" t="s">
        <v>238</v>
      </c>
      <c r="G2226" s="252" t="s">
        <v>239</v>
      </c>
      <c r="H2226" s="594"/>
      <c r="I2226" s="595"/>
      <c r="J2226" s="599">
        <f t="shared" si="75"/>
        <v>0</v>
      </c>
      <c r="K2226" s="533"/>
      <c r="L2226" s="533"/>
      <c r="M2226" s="533"/>
      <c r="N2226" s="268"/>
      <c r="O2226" s="533"/>
      <c r="P2226" s="533"/>
      <c r="Q2226" s="533"/>
      <c r="R2226" s="533"/>
      <c r="S2226" s="533"/>
      <c r="T2226" s="533"/>
      <c r="U2226" s="533"/>
      <c r="V2226" s="533"/>
      <c r="W2226" s="533"/>
      <c r="X2226" s="533"/>
      <c r="Y2226" s="533"/>
    </row>
    <row r="2227" spans="1:25" s="88" customFormat="1" hidden="1" x14ac:dyDescent="0.25">
      <c r="A2227" s="509"/>
      <c r="B2227" s="256"/>
      <c r="C2227" s="221"/>
      <c r="D2227" s="218"/>
      <c r="E2227" s="218"/>
      <c r="F2227" s="249" t="s">
        <v>240</v>
      </c>
      <c r="G2227" s="252" t="s">
        <v>241</v>
      </c>
      <c r="H2227" s="594"/>
      <c r="I2227" s="595"/>
      <c r="J2227" s="599">
        <f t="shared" si="75"/>
        <v>0</v>
      </c>
      <c r="K2227" s="533"/>
      <c r="L2227" s="533"/>
      <c r="M2227" s="533"/>
      <c r="N2227" s="268"/>
      <c r="O2227" s="533"/>
      <c r="P2227" s="533"/>
      <c r="Q2227" s="533"/>
      <c r="R2227" s="533"/>
      <c r="S2227" s="533"/>
      <c r="T2227" s="533"/>
      <c r="U2227" s="533"/>
      <c r="V2227" s="533"/>
      <c r="W2227" s="533"/>
      <c r="X2227" s="533"/>
      <c r="Y2227" s="533"/>
    </row>
    <row r="2228" spans="1:25" s="88" customFormat="1" hidden="1" x14ac:dyDescent="0.25">
      <c r="A2228" s="509"/>
      <c r="B2228" s="256"/>
      <c r="C2228" s="221"/>
      <c r="D2228" s="218"/>
      <c r="E2228" s="218"/>
      <c r="F2228" s="249" t="s">
        <v>242</v>
      </c>
      <c r="G2228" s="252" t="s">
        <v>243</v>
      </c>
      <c r="H2228" s="594"/>
      <c r="I2228" s="595"/>
      <c r="J2228" s="599">
        <f t="shared" si="75"/>
        <v>0</v>
      </c>
      <c r="K2228" s="533"/>
      <c r="L2228" s="533"/>
      <c r="M2228" s="533"/>
      <c r="N2228" s="268"/>
      <c r="O2228" s="533"/>
      <c r="P2228" s="533"/>
      <c r="Q2228" s="533"/>
      <c r="R2228" s="533"/>
      <c r="S2228" s="533"/>
      <c r="T2228" s="533"/>
      <c r="U2228" s="533"/>
      <c r="V2228" s="533"/>
      <c r="W2228" s="533"/>
      <c r="X2228" s="533"/>
      <c r="Y2228" s="533"/>
    </row>
    <row r="2229" spans="1:25" s="88" customFormat="1" hidden="1" x14ac:dyDescent="0.25">
      <c r="A2229" s="509"/>
      <c r="B2229" s="256"/>
      <c r="C2229" s="221"/>
      <c r="D2229" s="218"/>
      <c r="E2229" s="218"/>
      <c r="F2229" s="249" t="s">
        <v>244</v>
      </c>
      <c r="G2229" s="252" t="s">
        <v>245</v>
      </c>
      <c r="H2229" s="594"/>
      <c r="I2229" s="595"/>
      <c r="J2229" s="599">
        <f t="shared" si="75"/>
        <v>0</v>
      </c>
      <c r="K2229" s="533"/>
      <c r="L2229" s="533"/>
      <c r="M2229" s="533"/>
      <c r="N2229" s="268"/>
      <c r="O2229" s="533"/>
      <c r="P2229" s="533"/>
      <c r="Q2229" s="533"/>
      <c r="R2229" s="533"/>
      <c r="S2229" s="533"/>
      <c r="T2229" s="533"/>
      <c r="U2229" s="533"/>
      <c r="V2229" s="533"/>
      <c r="W2229" s="533"/>
      <c r="X2229" s="533"/>
      <c r="Y2229" s="533"/>
    </row>
    <row r="2230" spans="1:25" s="88" customFormat="1" hidden="1" x14ac:dyDescent="0.25">
      <c r="A2230" s="509"/>
      <c r="B2230" s="256"/>
      <c r="C2230" s="221"/>
      <c r="D2230" s="218"/>
      <c r="E2230" s="218"/>
      <c r="F2230" s="249" t="s">
        <v>246</v>
      </c>
      <c r="G2230" s="252" t="s">
        <v>247</v>
      </c>
      <c r="H2230" s="594"/>
      <c r="I2230" s="595"/>
      <c r="J2230" s="599">
        <f t="shared" si="75"/>
        <v>0</v>
      </c>
      <c r="K2230" s="533"/>
      <c r="L2230" s="533"/>
      <c r="M2230" s="533"/>
      <c r="N2230" s="268"/>
      <c r="O2230" s="533"/>
      <c r="P2230" s="533"/>
      <c r="Q2230" s="533"/>
      <c r="R2230" s="533"/>
      <c r="S2230" s="533"/>
      <c r="T2230" s="533"/>
      <c r="U2230" s="533"/>
      <c r="V2230" s="533"/>
      <c r="W2230" s="533"/>
      <c r="X2230" s="533"/>
      <c r="Y2230" s="533"/>
    </row>
    <row r="2231" spans="1:25" s="88" customFormat="1" hidden="1" x14ac:dyDescent="0.25">
      <c r="A2231" s="509"/>
      <c r="B2231" s="256"/>
      <c r="C2231" s="221"/>
      <c r="D2231" s="218"/>
      <c r="E2231" s="218"/>
      <c r="F2231" s="249" t="s">
        <v>248</v>
      </c>
      <c r="G2231" s="252" t="s">
        <v>249</v>
      </c>
      <c r="H2231" s="594"/>
      <c r="I2231" s="595"/>
      <c r="J2231" s="599">
        <f t="shared" si="75"/>
        <v>0</v>
      </c>
      <c r="K2231" s="533"/>
      <c r="L2231" s="533"/>
      <c r="M2231" s="533"/>
      <c r="N2231" s="268"/>
      <c r="O2231" s="533"/>
      <c r="P2231" s="533"/>
      <c r="Q2231" s="533"/>
      <c r="R2231" s="533"/>
      <c r="S2231" s="533"/>
      <c r="T2231" s="533"/>
      <c r="U2231" s="533"/>
      <c r="V2231" s="533"/>
      <c r="W2231" s="533"/>
      <c r="X2231" s="533"/>
      <c r="Y2231" s="533"/>
    </row>
    <row r="2232" spans="1:25" s="88" customFormat="1" hidden="1" x14ac:dyDescent="0.25">
      <c r="A2232" s="509"/>
      <c r="B2232" s="256"/>
      <c r="C2232" s="221"/>
      <c r="D2232" s="218"/>
      <c r="E2232" s="218"/>
      <c r="F2232" s="249" t="s">
        <v>250</v>
      </c>
      <c r="G2232" s="252" t="s">
        <v>57</v>
      </c>
      <c r="H2232" s="594"/>
      <c r="I2232" s="595"/>
      <c r="J2232" s="599">
        <f t="shared" si="75"/>
        <v>0</v>
      </c>
      <c r="K2232" s="533"/>
      <c r="L2232" s="533"/>
      <c r="M2232" s="533"/>
      <c r="N2232" s="268"/>
      <c r="O2232" s="533"/>
      <c r="P2232" s="533"/>
      <c r="Q2232" s="533"/>
      <c r="R2232" s="533"/>
      <c r="S2232" s="533"/>
      <c r="T2232" s="533"/>
      <c r="U2232" s="533"/>
      <c r="V2232" s="533"/>
      <c r="W2232" s="533"/>
      <c r="X2232" s="533"/>
      <c r="Y2232" s="533"/>
    </row>
    <row r="2233" spans="1:25" s="88" customFormat="1" hidden="1" x14ac:dyDescent="0.25">
      <c r="A2233" s="509"/>
      <c r="B2233" s="256"/>
      <c r="C2233" s="221"/>
      <c r="D2233" s="218"/>
      <c r="E2233" s="218"/>
      <c r="F2233" s="249" t="s">
        <v>251</v>
      </c>
      <c r="G2233" s="252" t="s">
        <v>252</v>
      </c>
      <c r="H2233" s="594"/>
      <c r="I2233" s="595"/>
      <c r="J2233" s="599">
        <f t="shared" si="75"/>
        <v>0</v>
      </c>
      <c r="K2233" s="533"/>
      <c r="L2233" s="533"/>
      <c r="M2233" s="533"/>
      <c r="N2233" s="268"/>
      <c r="O2233" s="533"/>
      <c r="P2233" s="533"/>
      <c r="Q2233" s="533"/>
      <c r="R2233" s="533"/>
      <c r="S2233" s="533"/>
      <c r="T2233" s="533"/>
      <c r="U2233" s="533"/>
      <c r="V2233" s="533"/>
      <c r="W2233" s="533"/>
      <c r="X2233" s="533"/>
      <c r="Y2233" s="533"/>
    </row>
    <row r="2234" spans="1:25" s="88" customFormat="1" hidden="1" x14ac:dyDescent="0.25">
      <c r="A2234" s="509"/>
      <c r="B2234" s="256"/>
      <c r="C2234" s="221"/>
      <c r="D2234" s="218"/>
      <c r="E2234" s="218"/>
      <c r="F2234" s="249" t="s">
        <v>253</v>
      </c>
      <c r="G2234" s="252" t="s">
        <v>254</v>
      </c>
      <c r="H2234" s="594"/>
      <c r="I2234" s="595"/>
      <c r="J2234" s="599">
        <f t="shared" si="75"/>
        <v>0</v>
      </c>
      <c r="K2234" s="533"/>
      <c r="L2234" s="533"/>
      <c r="M2234" s="533"/>
      <c r="N2234" s="268"/>
      <c r="O2234" s="533"/>
      <c r="P2234" s="533"/>
      <c r="Q2234" s="533"/>
      <c r="R2234" s="533"/>
      <c r="S2234" s="533"/>
      <c r="T2234" s="533"/>
      <c r="U2234" s="533"/>
      <c r="V2234" s="533"/>
      <c r="W2234" s="533"/>
      <c r="X2234" s="533"/>
      <c r="Y2234" s="533"/>
    </row>
    <row r="2235" spans="1:25" s="88" customFormat="1" ht="30" hidden="1" x14ac:dyDescent="0.25">
      <c r="A2235" s="509"/>
      <c r="B2235" s="256"/>
      <c r="C2235" s="221"/>
      <c r="D2235" s="218"/>
      <c r="E2235" s="218"/>
      <c r="F2235" s="249" t="s">
        <v>255</v>
      </c>
      <c r="G2235" s="252" t="s">
        <v>256</v>
      </c>
      <c r="H2235" s="594"/>
      <c r="I2235" s="595"/>
      <c r="J2235" s="599">
        <f t="shared" si="75"/>
        <v>0</v>
      </c>
      <c r="K2235" s="533"/>
      <c r="L2235" s="533"/>
      <c r="M2235" s="533"/>
      <c r="N2235" s="268"/>
      <c r="O2235" s="533"/>
      <c r="P2235" s="533"/>
      <c r="Q2235" s="533"/>
      <c r="R2235" s="533"/>
      <c r="S2235" s="533"/>
      <c r="T2235" s="533"/>
      <c r="U2235" s="533"/>
      <c r="V2235" s="533"/>
      <c r="W2235" s="533"/>
      <c r="X2235" s="533"/>
      <c r="Y2235" s="533"/>
    </row>
    <row r="2236" spans="1:25" s="88" customFormat="1" hidden="1" x14ac:dyDescent="0.25">
      <c r="A2236" s="509"/>
      <c r="B2236" s="256"/>
      <c r="C2236" s="221"/>
      <c r="D2236" s="218"/>
      <c r="E2236" s="218"/>
      <c r="F2236" s="249" t="s">
        <v>257</v>
      </c>
      <c r="G2236" s="252" t="s">
        <v>258</v>
      </c>
      <c r="H2236" s="594"/>
      <c r="I2236" s="595"/>
      <c r="J2236" s="599">
        <f t="shared" si="75"/>
        <v>0</v>
      </c>
      <c r="K2236" s="533"/>
      <c r="L2236" s="533"/>
      <c r="M2236" s="533"/>
      <c r="N2236" s="268"/>
      <c r="O2236" s="533"/>
      <c r="P2236" s="533"/>
      <c r="Q2236" s="533"/>
      <c r="R2236" s="533"/>
      <c r="S2236" s="533"/>
      <c r="T2236" s="533"/>
      <c r="U2236" s="533"/>
      <c r="V2236" s="533"/>
      <c r="W2236" s="533"/>
      <c r="X2236" s="533"/>
      <c r="Y2236" s="533"/>
    </row>
    <row r="2237" spans="1:25" s="88" customFormat="1" ht="30" hidden="1" x14ac:dyDescent="0.25">
      <c r="A2237" s="509"/>
      <c r="B2237" s="256"/>
      <c r="C2237" s="221"/>
      <c r="D2237" s="218"/>
      <c r="E2237" s="218"/>
      <c r="F2237" s="249" t="s">
        <v>259</v>
      </c>
      <c r="G2237" s="252" t="s">
        <v>260</v>
      </c>
      <c r="H2237" s="594"/>
      <c r="I2237" s="595"/>
      <c r="J2237" s="599">
        <f t="shared" si="75"/>
        <v>0</v>
      </c>
      <c r="K2237" s="533"/>
      <c r="L2237" s="533"/>
      <c r="M2237" s="533"/>
      <c r="N2237" s="268"/>
      <c r="O2237" s="533"/>
      <c r="P2237" s="533"/>
      <c r="Q2237" s="533"/>
      <c r="R2237" s="533"/>
      <c r="S2237" s="533"/>
      <c r="T2237" s="533"/>
      <c r="U2237" s="533"/>
      <c r="V2237" s="533"/>
      <c r="W2237" s="533"/>
      <c r="X2237" s="533"/>
      <c r="Y2237" s="533"/>
    </row>
    <row r="2238" spans="1:25" s="88" customFormat="1" hidden="1" x14ac:dyDescent="0.25">
      <c r="A2238" s="509"/>
      <c r="B2238" s="256"/>
      <c r="C2238" s="221"/>
      <c r="D2238" s="218"/>
      <c r="E2238" s="218"/>
      <c r="F2238" s="249" t="s">
        <v>261</v>
      </c>
      <c r="G2238" s="252" t="s">
        <v>262</v>
      </c>
      <c r="H2238" s="594"/>
      <c r="I2238" s="595"/>
      <c r="J2238" s="599">
        <f t="shared" si="75"/>
        <v>0</v>
      </c>
      <c r="K2238" s="533"/>
      <c r="L2238" s="533"/>
      <c r="M2238" s="533"/>
      <c r="N2238" s="268"/>
      <c r="O2238" s="533"/>
      <c r="P2238" s="533"/>
      <c r="Q2238" s="533"/>
      <c r="R2238" s="533"/>
      <c r="S2238" s="533"/>
      <c r="T2238" s="533"/>
      <c r="U2238" s="533"/>
      <c r="V2238" s="533"/>
      <c r="W2238" s="533"/>
      <c r="X2238" s="533"/>
      <c r="Y2238" s="533"/>
    </row>
    <row r="2239" spans="1:25" s="88" customFormat="1" ht="15.75" hidden="1" thickBot="1" x14ac:dyDescent="0.3">
      <c r="A2239" s="509"/>
      <c r="B2239" s="256"/>
      <c r="C2239" s="221"/>
      <c r="D2239" s="218"/>
      <c r="E2239" s="218"/>
      <c r="F2239" s="249" t="s">
        <v>263</v>
      </c>
      <c r="G2239" s="252" t="s">
        <v>264</v>
      </c>
      <c r="H2239" s="598"/>
      <c r="I2239" s="599"/>
      <c r="J2239" s="599">
        <f t="shared" si="75"/>
        <v>0</v>
      </c>
      <c r="K2239" s="533"/>
      <c r="L2239" s="533"/>
      <c r="M2239" s="533"/>
      <c r="N2239" s="268"/>
      <c r="O2239" s="533"/>
      <c r="P2239" s="533"/>
      <c r="Q2239" s="533"/>
      <c r="R2239" s="533"/>
      <c r="S2239" s="533"/>
      <c r="T2239" s="533"/>
      <c r="U2239" s="533"/>
      <c r="V2239" s="533"/>
      <c r="W2239" s="533"/>
      <c r="X2239" s="533"/>
      <c r="Y2239" s="533"/>
    </row>
    <row r="2240" spans="1:25" s="88" customFormat="1" ht="15.75" hidden="1" thickBot="1" x14ac:dyDescent="0.3">
      <c r="A2240" s="509"/>
      <c r="B2240" s="256"/>
      <c r="C2240" s="221"/>
      <c r="D2240" s="218"/>
      <c r="E2240" s="218"/>
      <c r="F2240" s="218"/>
      <c r="G2240" s="229" t="s">
        <v>4241</v>
      </c>
      <c r="H2240" s="600">
        <f>SUM(H2224:H2239)</f>
        <v>0</v>
      </c>
      <c r="I2240" s="601">
        <f>SUM(I2225:I2239)</f>
        <v>0</v>
      </c>
      <c r="J2240" s="601">
        <f>SUM(J2224:J2239)</f>
        <v>0</v>
      </c>
      <c r="K2240" s="533"/>
      <c r="L2240" s="533"/>
      <c r="M2240" s="533"/>
      <c r="N2240" s="268"/>
      <c r="O2240" s="533"/>
      <c r="P2240" s="533"/>
      <c r="Q2240" s="533"/>
      <c r="R2240" s="533"/>
      <c r="S2240" s="533"/>
      <c r="T2240" s="533"/>
      <c r="U2240" s="533"/>
      <c r="V2240" s="533"/>
      <c r="W2240" s="533"/>
      <c r="X2240" s="533"/>
      <c r="Y2240" s="533"/>
    </row>
    <row r="2241" spans="1:25" s="88" customFormat="1" hidden="1" x14ac:dyDescent="0.25">
      <c r="A2241" s="509"/>
      <c r="B2241" s="256"/>
      <c r="C2241" s="221"/>
      <c r="D2241" s="218"/>
      <c r="E2241" s="218"/>
      <c r="F2241" s="263"/>
      <c r="G2241" s="295"/>
      <c r="H2241" s="594"/>
      <c r="I2241" s="595"/>
      <c r="J2241" s="595"/>
      <c r="K2241" s="533"/>
      <c r="L2241" s="533"/>
      <c r="M2241" s="533"/>
      <c r="N2241" s="268"/>
      <c r="O2241" s="533"/>
      <c r="P2241" s="533"/>
      <c r="Q2241" s="533"/>
      <c r="R2241" s="533"/>
      <c r="S2241" s="533"/>
      <c r="T2241" s="533"/>
      <c r="U2241" s="533"/>
      <c r="V2241" s="533"/>
      <c r="W2241" s="533"/>
      <c r="X2241" s="533"/>
      <c r="Y2241" s="533"/>
    </row>
    <row r="2242" spans="1:25" s="88" customFormat="1" hidden="1" x14ac:dyDescent="0.25">
      <c r="A2242" s="509"/>
      <c r="B2242" s="256"/>
      <c r="C2242" s="323" t="s">
        <v>4167</v>
      </c>
      <c r="D2242" s="218"/>
      <c r="E2242" s="218"/>
      <c r="F2242" s="263"/>
      <c r="G2242" s="287" t="s">
        <v>4243</v>
      </c>
      <c r="H2242" s="594"/>
      <c r="I2242" s="595"/>
      <c r="J2242" s="595"/>
      <c r="K2242" s="533"/>
      <c r="L2242" s="533"/>
      <c r="M2242" s="533"/>
      <c r="N2242" s="268"/>
      <c r="O2242" s="533"/>
      <c r="P2242" s="533"/>
      <c r="Q2242" s="533"/>
      <c r="R2242" s="533"/>
      <c r="S2242" s="533"/>
      <c r="T2242" s="533"/>
      <c r="U2242" s="533"/>
      <c r="V2242" s="533"/>
      <c r="W2242" s="533"/>
      <c r="X2242" s="533"/>
      <c r="Y2242" s="533"/>
    </row>
    <row r="2243" spans="1:25" s="88" customFormat="1" hidden="1" x14ac:dyDescent="0.25">
      <c r="A2243" s="509"/>
      <c r="B2243" s="256"/>
      <c r="C2243" s="221"/>
      <c r="D2243" s="312">
        <v>330</v>
      </c>
      <c r="E2243" s="312"/>
      <c r="F2243" s="312"/>
      <c r="G2243" s="338" t="s">
        <v>130</v>
      </c>
      <c r="H2243" s="594"/>
      <c r="I2243" s="595"/>
      <c r="J2243" s="595"/>
      <c r="K2243" s="533"/>
      <c r="L2243" s="533"/>
      <c r="M2243" s="533"/>
      <c r="N2243" s="268"/>
      <c r="O2243" s="533"/>
      <c r="P2243" s="533"/>
      <c r="Q2243" s="533"/>
      <c r="R2243" s="533"/>
      <c r="S2243" s="533"/>
      <c r="T2243" s="533"/>
      <c r="U2243" s="533"/>
      <c r="V2243" s="533"/>
      <c r="W2243" s="533"/>
      <c r="X2243" s="533"/>
      <c r="Y2243" s="533"/>
    </row>
    <row r="2244" spans="1:25" s="88" customFormat="1" hidden="1" x14ac:dyDescent="0.25">
      <c r="A2244" s="509"/>
      <c r="B2244" s="256"/>
      <c r="C2244" s="221"/>
      <c r="D2244" s="312"/>
      <c r="E2244" s="312"/>
      <c r="F2244" s="218">
        <v>411</v>
      </c>
      <c r="G2244" s="520" t="s">
        <v>4189</v>
      </c>
      <c r="H2244" s="594"/>
      <c r="I2244" s="595"/>
      <c r="J2244" s="595"/>
      <c r="K2244" s="533"/>
      <c r="L2244" s="533"/>
      <c r="M2244" s="533"/>
      <c r="N2244" s="268"/>
      <c r="O2244" s="533"/>
      <c r="P2244" s="533"/>
      <c r="Q2244" s="533"/>
      <c r="R2244" s="533"/>
      <c r="S2244" s="533"/>
      <c r="T2244" s="533"/>
      <c r="U2244" s="533"/>
      <c r="V2244" s="533"/>
      <c r="W2244" s="533"/>
      <c r="X2244" s="533"/>
      <c r="Y2244" s="533"/>
    </row>
    <row r="2245" spans="1:25" s="88" customFormat="1" hidden="1" x14ac:dyDescent="0.25">
      <c r="A2245" s="509"/>
      <c r="B2245" s="256"/>
      <c r="C2245" s="221"/>
      <c r="D2245" s="312"/>
      <c r="E2245" s="312"/>
      <c r="F2245" s="218">
        <v>412</v>
      </c>
      <c r="G2245" s="516" t="s">
        <v>3784</v>
      </c>
      <c r="H2245" s="594"/>
      <c r="I2245" s="595"/>
      <c r="J2245" s="595"/>
      <c r="K2245" s="533"/>
      <c r="L2245" s="533"/>
      <c r="M2245" s="533"/>
      <c r="N2245" s="268"/>
      <c r="O2245" s="533"/>
      <c r="P2245" s="533"/>
      <c r="Q2245" s="533"/>
      <c r="R2245" s="533"/>
      <c r="S2245" s="533"/>
      <c r="T2245" s="533"/>
      <c r="U2245" s="533"/>
      <c r="V2245" s="533"/>
      <c r="W2245" s="533"/>
      <c r="X2245" s="533"/>
      <c r="Y2245" s="533"/>
    </row>
    <row r="2246" spans="1:25" s="88" customFormat="1" hidden="1" x14ac:dyDescent="0.25">
      <c r="A2246" s="509"/>
      <c r="B2246" s="256"/>
      <c r="C2246" s="221"/>
      <c r="D2246" s="218"/>
      <c r="E2246" s="218"/>
      <c r="F2246" s="263">
        <v>422</v>
      </c>
      <c r="G2246" s="295" t="s">
        <v>3798</v>
      </c>
      <c r="H2246" s="594"/>
      <c r="I2246" s="595"/>
      <c r="J2246" s="595">
        <f>SUM(H2246:I2246)</f>
        <v>0</v>
      </c>
      <c r="K2246" s="533"/>
      <c r="L2246" s="533"/>
      <c r="M2246" s="533"/>
      <c r="N2246" s="268"/>
      <c r="O2246" s="533"/>
      <c r="P2246" s="533"/>
      <c r="Q2246" s="533"/>
      <c r="R2246" s="533"/>
      <c r="S2246" s="533"/>
      <c r="T2246" s="533"/>
      <c r="U2246" s="533"/>
      <c r="V2246" s="533"/>
      <c r="W2246" s="533"/>
      <c r="X2246" s="533"/>
      <c r="Y2246" s="533"/>
    </row>
    <row r="2247" spans="1:25" s="88" customFormat="1" hidden="1" x14ac:dyDescent="0.25">
      <c r="A2247" s="509"/>
      <c r="B2247" s="256"/>
      <c r="C2247" s="221"/>
      <c r="D2247" s="218"/>
      <c r="E2247" s="218"/>
      <c r="F2247" s="263">
        <v>423</v>
      </c>
      <c r="G2247" s="295" t="s">
        <v>3799</v>
      </c>
      <c r="H2247" s="594"/>
      <c r="I2247" s="595"/>
      <c r="J2247" s="595">
        <f>SUM(H2247:I2247)</f>
        <v>0</v>
      </c>
      <c r="K2247" s="533"/>
      <c r="L2247" s="533"/>
      <c r="M2247" s="533"/>
      <c r="N2247" s="268"/>
      <c r="O2247" s="533"/>
      <c r="P2247" s="533"/>
      <c r="Q2247" s="533"/>
      <c r="R2247" s="533"/>
      <c r="S2247" s="533"/>
      <c r="T2247" s="533"/>
      <c r="U2247" s="533"/>
      <c r="V2247" s="533"/>
      <c r="W2247" s="533"/>
      <c r="X2247" s="533"/>
      <c r="Y2247" s="533"/>
    </row>
    <row r="2248" spans="1:25" s="88" customFormat="1" hidden="1" x14ac:dyDescent="0.25">
      <c r="A2248" s="509"/>
      <c r="B2248" s="256"/>
      <c r="C2248" s="221"/>
      <c r="D2248" s="218"/>
      <c r="E2248" s="218"/>
      <c r="F2248" s="263">
        <v>424</v>
      </c>
      <c r="G2248" s="295" t="s">
        <v>3801</v>
      </c>
      <c r="H2248" s="594"/>
      <c r="I2248" s="595"/>
      <c r="J2248" s="595">
        <f>SUM(H2248:I2248)</f>
        <v>0</v>
      </c>
      <c r="K2248" s="533"/>
      <c r="L2248" s="533"/>
      <c r="M2248" s="533"/>
      <c r="N2248" s="268"/>
      <c r="O2248" s="533"/>
      <c r="P2248" s="533"/>
      <c r="Q2248" s="533"/>
      <c r="R2248" s="533"/>
      <c r="S2248" s="533"/>
      <c r="T2248" s="533"/>
      <c r="U2248" s="533"/>
      <c r="V2248" s="533"/>
      <c r="W2248" s="533"/>
      <c r="X2248" s="533"/>
      <c r="Y2248" s="533"/>
    </row>
    <row r="2249" spans="1:25" s="88" customFormat="1" ht="15.75" hidden="1" thickBot="1" x14ac:dyDescent="0.3">
      <c r="A2249" s="509"/>
      <c r="B2249" s="256"/>
      <c r="C2249" s="221"/>
      <c r="D2249" s="218"/>
      <c r="E2249" s="218"/>
      <c r="F2249" s="263">
        <v>426</v>
      </c>
      <c r="G2249" s="295" t="s">
        <v>3805</v>
      </c>
      <c r="H2249" s="594"/>
      <c r="I2249" s="595"/>
      <c r="J2249" s="595">
        <f>SUM(H2249:I2249)</f>
        <v>0</v>
      </c>
      <c r="K2249" s="533"/>
      <c r="L2249" s="533"/>
      <c r="M2249" s="533"/>
      <c r="N2249" s="268"/>
      <c r="O2249" s="533"/>
      <c r="P2249" s="533"/>
      <c r="Q2249" s="533"/>
      <c r="R2249" s="533"/>
      <c r="S2249" s="533"/>
      <c r="T2249" s="533"/>
      <c r="U2249" s="533"/>
      <c r="V2249" s="533"/>
      <c r="W2249" s="533"/>
      <c r="X2249" s="533"/>
      <c r="Y2249" s="533"/>
    </row>
    <row r="2250" spans="1:25" s="88" customFormat="1" hidden="1" x14ac:dyDescent="0.25">
      <c r="A2250" s="509"/>
      <c r="B2250" s="256"/>
      <c r="C2250" s="221"/>
      <c r="D2250" s="218"/>
      <c r="E2250" s="293"/>
      <c r="F2250" s="301"/>
      <c r="G2250" s="327" t="s">
        <v>4367</v>
      </c>
      <c r="H2250" s="596"/>
      <c r="I2250" s="622"/>
      <c r="J2250" s="597"/>
      <c r="K2250" s="533"/>
      <c r="L2250" s="533"/>
      <c r="M2250" s="533"/>
      <c r="N2250" s="268"/>
      <c r="O2250" s="533"/>
      <c r="P2250" s="533"/>
      <c r="Q2250" s="533"/>
      <c r="R2250" s="533"/>
      <c r="S2250" s="533"/>
      <c r="T2250" s="533"/>
      <c r="U2250" s="533"/>
      <c r="V2250" s="533"/>
      <c r="W2250" s="533"/>
      <c r="X2250" s="533"/>
      <c r="Y2250" s="533"/>
    </row>
    <row r="2251" spans="1:25" s="88" customFormat="1" hidden="1" x14ac:dyDescent="0.25">
      <c r="A2251" s="509"/>
      <c r="B2251" s="256"/>
      <c r="C2251" s="221"/>
      <c r="D2251" s="218"/>
      <c r="E2251" s="222"/>
      <c r="F2251" s="249" t="s">
        <v>234</v>
      </c>
      <c r="G2251" s="252" t="s">
        <v>235</v>
      </c>
      <c r="H2251" s="598">
        <f>SUM(H2246:H2249)</f>
        <v>0</v>
      </c>
      <c r="I2251" s="599"/>
      <c r="J2251" s="599">
        <f t="shared" ref="J2251:J2266" si="76">SUM(H2251:I2251)</f>
        <v>0</v>
      </c>
      <c r="K2251" s="533"/>
      <c r="L2251" s="533"/>
      <c r="M2251" s="533"/>
      <c r="N2251" s="268"/>
      <c r="O2251" s="533"/>
      <c r="P2251" s="533"/>
      <c r="Q2251" s="533"/>
      <c r="R2251" s="533"/>
      <c r="S2251" s="533"/>
      <c r="T2251" s="533"/>
      <c r="U2251" s="533"/>
      <c r="V2251" s="533"/>
      <c r="W2251" s="533"/>
      <c r="X2251" s="533"/>
      <c r="Y2251" s="533"/>
    </row>
    <row r="2252" spans="1:25" s="88" customFormat="1" hidden="1" x14ac:dyDescent="0.25">
      <c r="A2252" s="509"/>
      <c r="B2252" s="256"/>
      <c r="C2252" s="221"/>
      <c r="D2252" s="218"/>
      <c r="E2252" s="218"/>
      <c r="F2252" s="249" t="s">
        <v>236</v>
      </c>
      <c r="G2252" s="252" t="s">
        <v>237</v>
      </c>
      <c r="H2252" s="594"/>
      <c r="I2252" s="595"/>
      <c r="J2252" s="599">
        <f t="shared" si="76"/>
        <v>0</v>
      </c>
      <c r="K2252" s="533"/>
      <c r="L2252" s="533"/>
      <c r="M2252" s="533"/>
      <c r="N2252" s="268"/>
      <c r="O2252" s="533"/>
      <c r="P2252" s="533"/>
      <c r="Q2252" s="533"/>
      <c r="R2252" s="533"/>
      <c r="S2252" s="533"/>
      <c r="T2252" s="533"/>
      <c r="U2252" s="533"/>
      <c r="V2252" s="533"/>
      <c r="W2252" s="533"/>
      <c r="X2252" s="533"/>
      <c r="Y2252" s="533"/>
    </row>
    <row r="2253" spans="1:25" s="88" customFormat="1" hidden="1" x14ac:dyDescent="0.25">
      <c r="A2253" s="509"/>
      <c r="B2253" s="256"/>
      <c r="C2253" s="221"/>
      <c r="D2253" s="218"/>
      <c r="E2253" s="218"/>
      <c r="F2253" s="249" t="s">
        <v>238</v>
      </c>
      <c r="G2253" s="252" t="s">
        <v>239</v>
      </c>
      <c r="H2253" s="594"/>
      <c r="I2253" s="595"/>
      <c r="J2253" s="599">
        <f t="shared" si="76"/>
        <v>0</v>
      </c>
      <c r="K2253" s="533"/>
      <c r="L2253" s="533"/>
      <c r="M2253" s="533"/>
      <c r="N2253" s="268"/>
      <c r="O2253" s="533"/>
      <c r="P2253" s="533"/>
      <c r="Q2253" s="533"/>
      <c r="R2253" s="533"/>
      <c r="S2253" s="533"/>
      <c r="T2253" s="533"/>
      <c r="U2253" s="533"/>
      <c r="V2253" s="533"/>
      <c r="W2253" s="533"/>
      <c r="X2253" s="533"/>
      <c r="Y2253" s="533"/>
    </row>
    <row r="2254" spans="1:25" s="88" customFormat="1" hidden="1" x14ac:dyDescent="0.25">
      <c r="A2254" s="509"/>
      <c r="B2254" s="256"/>
      <c r="C2254" s="221"/>
      <c r="D2254" s="218"/>
      <c r="E2254" s="218"/>
      <c r="F2254" s="249" t="s">
        <v>240</v>
      </c>
      <c r="G2254" s="252" t="s">
        <v>241</v>
      </c>
      <c r="H2254" s="594"/>
      <c r="I2254" s="595"/>
      <c r="J2254" s="599">
        <f t="shared" si="76"/>
        <v>0</v>
      </c>
      <c r="K2254" s="533"/>
      <c r="L2254" s="533"/>
      <c r="M2254" s="533"/>
      <c r="N2254" s="268"/>
      <c r="O2254" s="533"/>
      <c r="P2254" s="533"/>
      <c r="Q2254" s="533"/>
      <c r="R2254" s="533"/>
      <c r="S2254" s="533"/>
      <c r="T2254" s="533"/>
      <c r="U2254" s="533"/>
      <c r="V2254" s="533"/>
      <c r="W2254" s="533"/>
      <c r="X2254" s="533"/>
      <c r="Y2254" s="533"/>
    </row>
    <row r="2255" spans="1:25" s="88" customFormat="1" hidden="1" x14ac:dyDescent="0.25">
      <c r="A2255" s="509"/>
      <c r="B2255" s="256"/>
      <c r="C2255" s="221"/>
      <c r="D2255" s="218"/>
      <c r="E2255" s="218"/>
      <c r="F2255" s="249" t="s">
        <v>242</v>
      </c>
      <c r="G2255" s="252" t="s">
        <v>243</v>
      </c>
      <c r="H2255" s="594"/>
      <c r="I2255" s="595"/>
      <c r="J2255" s="599">
        <f t="shared" si="76"/>
        <v>0</v>
      </c>
      <c r="K2255" s="533"/>
      <c r="L2255" s="533"/>
      <c r="M2255" s="533"/>
      <c r="N2255" s="268"/>
      <c r="O2255" s="533"/>
      <c r="P2255" s="533"/>
      <c r="Q2255" s="533"/>
      <c r="R2255" s="533"/>
      <c r="S2255" s="533"/>
      <c r="T2255" s="533"/>
      <c r="U2255" s="533"/>
      <c r="V2255" s="533"/>
      <c r="W2255" s="533"/>
      <c r="X2255" s="533"/>
      <c r="Y2255" s="533"/>
    </row>
    <row r="2256" spans="1:25" s="88" customFormat="1" hidden="1" x14ac:dyDescent="0.25">
      <c r="A2256" s="509"/>
      <c r="B2256" s="256"/>
      <c r="C2256" s="221"/>
      <c r="D2256" s="218"/>
      <c r="E2256" s="218"/>
      <c r="F2256" s="249" t="s">
        <v>244</v>
      </c>
      <c r="G2256" s="252" t="s">
        <v>245</v>
      </c>
      <c r="H2256" s="594"/>
      <c r="I2256" s="595"/>
      <c r="J2256" s="599">
        <f t="shared" si="76"/>
        <v>0</v>
      </c>
      <c r="K2256" s="533"/>
      <c r="L2256" s="533"/>
      <c r="M2256" s="533"/>
      <c r="N2256" s="268"/>
      <c r="O2256" s="533"/>
      <c r="P2256" s="533"/>
      <c r="Q2256" s="533"/>
      <c r="R2256" s="533"/>
      <c r="S2256" s="533"/>
      <c r="T2256" s="533"/>
      <c r="U2256" s="533"/>
      <c r="V2256" s="533"/>
      <c r="W2256" s="533"/>
      <c r="X2256" s="533"/>
      <c r="Y2256" s="533"/>
    </row>
    <row r="2257" spans="1:25" s="88" customFormat="1" hidden="1" x14ac:dyDescent="0.25">
      <c r="A2257" s="509"/>
      <c r="B2257" s="256"/>
      <c r="C2257" s="221"/>
      <c r="D2257" s="218"/>
      <c r="E2257" s="218"/>
      <c r="F2257" s="249" t="s">
        <v>246</v>
      </c>
      <c r="G2257" s="252" t="s">
        <v>247</v>
      </c>
      <c r="H2257" s="594"/>
      <c r="I2257" s="595"/>
      <c r="J2257" s="599">
        <f t="shared" si="76"/>
        <v>0</v>
      </c>
      <c r="K2257" s="533"/>
      <c r="L2257" s="533"/>
      <c r="M2257" s="533"/>
      <c r="N2257" s="268"/>
      <c r="O2257" s="533"/>
      <c r="P2257" s="533"/>
      <c r="Q2257" s="533"/>
      <c r="R2257" s="533"/>
      <c r="S2257" s="533"/>
      <c r="T2257" s="533"/>
      <c r="U2257" s="533"/>
      <c r="V2257" s="533"/>
      <c r="W2257" s="533"/>
      <c r="X2257" s="533"/>
      <c r="Y2257" s="533"/>
    </row>
    <row r="2258" spans="1:25" s="88" customFormat="1" hidden="1" x14ac:dyDescent="0.25">
      <c r="A2258" s="509"/>
      <c r="B2258" s="256"/>
      <c r="C2258" s="221"/>
      <c r="D2258" s="218"/>
      <c r="E2258" s="218"/>
      <c r="F2258" s="249" t="s">
        <v>248</v>
      </c>
      <c r="G2258" s="252" t="s">
        <v>249</v>
      </c>
      <c r="H2258" s="594"/>
      <c r="I2258" s="595"/>
      <c r="J2258" s="599">
        <f t="shared" si="76"/>
        <v>0</v>
      </c>
      <c r="K2258" s="533"/>
      <c r="L2258" s="533"/>
      <c r="M2258" s="533"/>
      <c r="N2258" s="268"/>
      <c r="O2258" s="533"/>
      <c r="P2258" s="533"/>
      <c r="Q2258" s="533"/>
      <c r="R2258" s="533"/>
      <c r="S2258" s="533"/>
      <c r="T2258" s="533"/>
      <c r="U2258" s="533"/>
      <c r="V2258" s="533"/>
      <c r="W2258" s="533"/>
      <c r="X2258" s="533"/>
      <c r="Y2258" s="533"/>
    </row>
    <row r="2259" spans="1:25" s="88" customFormat="1" hidden="1" x14ac:dyDescent="0.25">
      <c r="A2259" s="509"/>
      <c r="B2259" s="256"/>
      <c r="C2259" s="221"/>
      <c r="D2259" s="218"/>
      <c r="E2259" s="218"/>
      <c r="F2259" s="249" t="s">
        <v>250</v>
      </c>
      <c r="G2259" s="252" t="s">
        <v>57</v>
      </c>
      <c r="H2259" s="594"/>
      <c r="I2259" s="595"/>
      <c r="J2259" s="599">
        <f t="shared" si="76"/>
        <v>0</v>
      </c>
      <c r="K2259" s="533"/>
      <c r="L2259" s="533"/>
      <c r="M2259" s="533"/>
      <c r="N2259" s="268"/>
      <c r="O2259" s="533"/>
      <c r="P2259" s="533"/>
      <c r="Q2259" s="533"/>
      <c r="R2259" s="533"/>
      <c r="S2259" s="533"/>
      <c r="T2259" s="533"/>
      <c r="U2259" s="533"/>
      <c r="V2259" s="533"/>
      <c r="W2259" s="533"/>
      <c r="X2259" s="533"/>
      <c r="Y2259" s="533"/>
    </row>
    <row r="2260" spans="1:25" s="88" customFormat="1" hidden="1" x14ac:dyDescent="0.25">
      <c r="A2260" s="509"/>
      <c r="B2260" s="256"/>
      <c r="C2260" s="221"/>
      <c r="D2260" s="218"/>
      <c r="E2260" s="218"/>
      <c r="F2260" s="249" t="s">
        <v>251</v>
      </c>
      <c r="G2260" s="252" t="s">
        <v>252</v>
      </c>
      <c r="H2260" s="594"/>
      <c r="I2260" s="595"/>
      <c r="J2260" s="599">
        <f t="shared" si="76"/>
        <v>0</v>
      </c>
      <c r="K2260" s="533"/>
      <c r="L2260" s="533"/>
      <c r="M2260" s="533"/>
      <c r="N2260" s="268"/>
      <c r="O2260" s="533"/>
      <c r="P2260" s="533"/>
      <c r="Q2260" s="533"/>
      <c r="R2260" s="533"/>
      <c r="S2260" s="533"/>
      <c r="T2260" s="533"/>
      <c r="U2260" s="533"/>
      <c r="V2260" s="533"/>
      <c r="W2260" s="533"/>
      <c r="X2260" s="533"/>
      <c r="Y2260" s="533"/>
    </row>
    <row r="2261" spans="1:25" s="88" customFormat="1" hidden="1" x14ac:dyDescent="0.25">
      <c r="A2261" s="509"/>
      <c r="B2261" s="256"/>
      <c r="C2261" s="221"/>
      <c r="D2261" s="218"/>
      <c r="E2261" s="218"/>
      <c r="F2261" s="249" t="s">
        <v>253</v>
      </c>
      <c r="G2261" s="252" t="s">
        <v>254</v>
      </c>
      <c r="H2261" s="594"/>
      <c r="I2261" s="595"/>
      <c r="J2261" s="599">
        <f t="shared" si="76"/>
        <v>0</v>
      </c>
      <c r="K2261" s="533"/>
      <c r="L2261" s="533"/>
      <c r="M2261" s="533"/>
      <c r="N2261" s="268"/>
      <c r="O2261" s="533"/>
      <c r="P2261" s="533"/>
      <c r="Q2261" s="533"/>
      <c r="R2261" s="533"/>
      <c r="S2261" s="533"/>
      <c r="T2261" s="533"/>
      <c r="U2261" s="533"/>
      <c r="V2261" s="533"/>
      <c r="W2261" s="533"/>
      <c r="X2261" s="533"/>
      <c r="Y2261" s="533"/>
    </row>
    <row r="2262" spans="1:25" s="88" customFormat="1" ht="30" hidden="1" x14ac:dyDescent="0.25">
      <c r="A2262" s="509"/>
      <c r="B2262" s="256"/>
      <c r="C2262" s="221"/>
      <c r="D2262" s="218"/>
      <c r="E2262" s="218"/>
      <c r="F2262" s="249" t="s">
        <v>255</v>
      </c>
      <c r="G2262" s="252" t="s">
        <v>256</v>
      </c>
      <c r="H2262" s="594"/>
      <c r="I2262" s="595"/>
      <c r="J2262" s="599">
        <f t="shared" si="76"/>
        <v>0</v>
      </c>
      <c r="K2262" s="533"/>
      <c r="L2262" s="533"/>
      <c r="M2262" s="533"/>
      <c r="N2262" s="268"/>
      <c r="O2262" s="533"/>
      <c r="P2262" s="533"/>
      <c r="Q2262" s="533"/>
      <c r="R2262" s="533"/>
      <c r="S2262" s="533"/>
      <c r="T2262" s="533"/>
      <c r="U2262" s="533"/>
      <c r="V2262" s="533"/>
      <c r="W2262" s="533"/>
      <c r="X2262" s="533"/>
      <c r="Y2262" s="533"/>
    </row>
    <row r="2263" spans="1:25" s="88" customFormat="1" hidden="1" x14ac:dyDescent="0.25">
      <c r="A2263" s="509"/>
      <c r="B2263" s="256"/>
      <c r="C2263" s="221"/>
      <c r="D2263" s="218"/>
      <c r="E2263" s="218"/>
      <c r="F2263" s="249" t="s">
        <v>257</v>
      </c>
      <c r="G2263" s="252" t="s">
        <v>258</v>
      </c>
      <c r="H2263" s="594"/>
      <c r="I2263" s="595"/>
      <c r="J2263" s="599">
        <f t="shared" si="76"/>
        <v>0</v>
      </c>
      <c r="K2263" s="533"/>
      <c r="L2263" s="533"/>
      <c r="M2263" s="533"/>
      <c r="N2263" s="268"/>
      <c r="O2263" s="533"/>
      <c r="P2263" s="533"/>
      <c r="Q2263" s="533"/>
      <c r="R2263" s="533"/>
      <c r="S2263" s="533"/>
      <c r="T2263" s="533"/>
      <c r="U2263" s="533"/>
      <c r="V2263" s="533"/>
      <c r="W2263" s="533"/>
      <c r="X2263" s="533"/>
      <c r="Y2263" s="533"/>
    </row>
    <row r="2264" spans="1:25" s="88" customFormat="1" ht="30" hidden="1" x14ac:dyDescent="0.25">
      <c r="A2264" s="509"/>
      <c r="B2264" s="256"/>
      <c r="C2264" s="221"/>
      <c r="D2264" s="218"/>
      <c r="E2264" s="218"/>
      <c r="F2264" s="249" t="s">
        <v>259</v>
      </c>
      <c r="G2264" s="252" t="s">
        <v>260</v>
      </c>
      <c r="H2264" s="594"/>
      <c r="I2264" s="595"/>
      <c r="J2264" s="599">
        <f t="shared" si="76"/>
        <v>0</v>
      </c>
      <c r="K2264" s="533"/>
      <c r="L2264" s="533"/>
      <c r="M2264" s="533"/>
      <c r="N2264" s="268"/>
      <c r="O2264" s="533"/>
      <c r="P2264" s="533"/>
      <c r="Q2264" s="533"/>
      <c r="R2264" s="533"/>
      <c r="S2264" s="533"/>
      <c r="T2264" s="533"/>
      <c r="U2264" s="533"/>
      <c r="V2264" s="533"/>
      <c r="W2264" s="533"/>
      <c r="X2264" s="533"/>
      <c r="Y2264" s="533"/>
    </row>
    <row r="2265" spans="1:25" s="88" customFormat="1" hidden="1" x14ac:dyDescent="0.25">
      <c r="A2265" s="509"/>
      <c r="B2265" s="256"/>
      <c r="C2265" s="221"/>
      <c r="D2265" s="218"/>
      <c r="E2265" s="218"/>
      <c r="F2265" s="249" t="s">
        <v>261</v>
      </c>
      <c r="G2265" s="252" t="s">
        <v>262</v>
      </c>
      <c r="H2265" s="594"/>
      <c r="I2265" s="595"/>
      <c r="J2265" s="599">
        <f t="shared" si="76"/>
        <v>0</v>
      </c>
      <c r="K2265" s="533"/>
      <c r="L2265" s="533"/>
      <c r="M2265" s="533"/>
      <c r="N2265" s="268"/>
      <c r="O2265" s="533"/>
      <c r="P2265" s="533"/>
      <c r="Q2265" s="533"/>
      <c r="R2265" s="533"/>
      <c r="S2265" s="533"/>
      <c r="T2265" s="533"/>
      <c r="U2265" s="533"/>
      <c r="V2265" s="533"/>
      <c r="W2265" s="533"/>
      <c r="X2265" s="533"/>
      <c r="Y2265" s="533"/>
    </row>
    <row r="2266" spans="1:25" s="88" customFormat="1" ht="15.75" hidden="1" thickBot="1" x14ac:dyDescent="0.3">
      <c r="A2266" s="509"/>
      <c r="B2266" s="256"/>
      <c r="C2266" s="221"/>
      <c r="D2266" s="218"/>
      <c r="E2266" s="218"/>
      <c r="F2266" s="249" t="s">
        <v>263</v>
      </c>
      <c r="G2266" s="252" t="s">
        <v>264</v>
      </c>
      <c r="H2266" s="598"/>
      <c r="I2266" s="599"/>
      <c r="J2266" s="599">
        <f t="shared" si="76"/>
        <v>0</v>
      </c>
      <c r="K2266" s="533"/>
      <c r="L2266" s="533"/>
      <c r="M2266" s="533"/>
      <c r="N2266" s="268"/>
      <c r="O2266" s="533"/>
      <c r="P2266" s="533"/>
      <c r="Q2266" s="533"/>
      <c r="R2266" s="533"/>
      <c r="S2266" s="533"/>
      <c r="T2266" s="533"/>
      <c r="U2266" s="533"/>
      <c r="V2266" s="533"/>
      <c r="W2266" s="533"/>
      <c r="X2266" s="533"/>
      <c r="Y2266" s="533"/>
    </row>
    <row r="2267" spans="1:25" s="88" customFormat="1" ht="15.75" hidden="1" thickBot="1" x14ac:dyDescent="0.3">
      <c r="A2267" s="509"/>
      <c r="B2267" s="256"/>
      <c r="C2267" s="221"/>
      <c r="D2267" s="218"/>
      <c r="E2267" s="218"/>
      <c r="F2267" s="218"/>
      <c r="G2267" s="229" t="s">
        <v>4308</v>
      </c>
      <c r="H2267" s="600">
        <f>SUM(H2251:H2266)</f>
        <v>0</v>
      </c>
      <c r="I2267" s="601">
        <f>SUM(I2252:I2266)</f>
        <v>0</v>
      </c>
      <c r="J2267" s="601">
        <f>SUM(J2251:J2266)</f>
        <v>0</v>
      </c>
      <c r="K2267" s="533"/>
      <c r="L2267" s="533"/>
      <c r="M2267" s="533"/>
      <c r="N2267" s="268"/>
      <c r="O2267" s="533"/>
      <c r="P2267" s="533"/>
      <c r="Q2267" s="533"/>
      <c r="R2267" s="533"/>
      <c r="S2267" s="533"/>
      <c r="T2267" s="533"/>
      <c r="U2267" s="533"/>
      <c r="V2267" s="533"/>
      <c r="W2267" s="533"/>
      <c r="X2267" s="533"/>
      <c r="Y2267" s="533"/>
    </row>
    <row r="2268" spans="1:25" s="88" customFormat="1" ht="28.5" hidden="1" x14ac:dyDescent="0.25">
      <c r="A2268" s="509"/>
      <c r="B2268" s="256"/>
      <c r="C2268" s="221"/>
      <c r="D2268" s="218"/>
      <c r="E2268" s="218"/>
      <c r="F2268" s="264"/>
      <c r="G2268" s="231" t="s">
        <v>4247</v>
      </c>
      <c r="H2268" s="602"/>
      <c r="I2268" s="623"/>
      <c r="J2268" s="603"/>
      <c r="K2268" s="533"/>
      <c r="L2268" s="533"/>
      <c r="M2268" s="533"/>
      <c r="N2268" s="268"/>
      <c r="O2268" s="533"/>
      <c r="P2268" s="533"/>
      <c r="Q2268" s="533"/>
      <c r="R2268" s="533"/>
      <c r="S2268" s="533"/>
      <c r="T2268" s="533"/>
      <c r="U2268" s="533"/>
      <c r="V2268" s="533"/>
      <c r="W2268" s="533"/>
      <c r="X2268" s="533"/>
      <c r="Y2268" s="533"/>
    </row>
    <row r="2269" spans="1:25" s="88" customFormat="1" hidden="1" x14ac:dyDescent="0.25">
      <c r="A2269" s="509"/>
      <c r="B2269" s="256"/>
      <c r="C2269" s="221"/>
      <c r="D2269" s="218"/>
      <c r="E2269" s="218"/>
      <c r="F2269" s="249" t="s">
        <v>234</v>
      </c>
      <c r="G2269" s="252" t="s">
        <v>235</v>
      </c>
      <c r="H2269" s="598">
        <f>SUM(H2246:H2249)</f>
        <v>0</v>
      </c>
      <c r="I2269" s="599"/>
      <c r="J2269" s="595">
        <f t="shared" ref="J2269:J2284" si="77">SUM(H2269:I2269)</f>
        <v>0</v>
      </c>
      <c r="K2269" s="533"/>
      <c r="L2269" s="533"/>
      <c r="M2269" s="533"/>
      <c r="N2269" s="268"/>
      <c r="O2269" s="533"/>
      <c r="P2269" s="533"/>
      <c r="Q2269" s="533"/>
      <c r="R2269" s="533"/>
      <c r="S2269" s="533"/>
      <c r="T2269" s="533"/>
      <c r="U2269" s="533"/>
      <c r="V2269" s="533"/>
      <c r="W2269" s="533"/>
      <c r="X2269" s="533"/>
      <c r="Y2269" s="533"/>
    </row>
    <row r="2270" spans="1:25" s="88" customFormat="1" hidden="1" x14ac:dyDescent="0.25">
      <c r="A2270" s="509"/>
      <c r="B2270" s="256"/>
      <c r="C2270" s="221"/>
      <c r="D2270" s="218"/>
      <c r="E2270" s="218"/>
      <c r="F2270" s="249" t="s">
        <v>236</v>
      </c>
      <c r="G2270" s="252" t="s">
        <v>237</v>
      </c>
      <c r="H2270" s="594"/>
      <c r="I2270" s="595"/>
      <c r="J2270" s="599">
        <f t="shared" si="77"/>
        <v>0</v>
      </c>
      <c r="K2270" s="533"/>
      <c r="L2270" s="533"/>
      <c r="M2270" s="533"/>
      <c r="N2270" s="268"/>
      <c r="O2270" s="533"/>
      <c r="P2270" s="533"/>
      <c r="Q2270" s="533"/>
      <c r="R2270" s="533"/>
      <c r="S2270" s="533"/>
      <c r="T2270" s="533"/>
      <c r="U2270" s="533"/>
      <c r="V2270" s="533"/>
      <c r="W2270" s="533"/>
      <c r="X2270" s="533"/>
      <c r="Y2270" s="533"/>
    </row>
    <row r="2271" spans="1:25" s="88" customFormat="1" hidden="1" x14ac:dyDescent="0.25">
      <c r="A2271" s="509"/>
      <c r="B2271" s="256"/>
      <c r="C2271" s="221"/>
      <c r="D2271" s="218"/>
      <c r="E2271" s="218"/>
      <c r="F2271" s="249" t="s">
        <v>238</v>
      </c>
      <c r="G2271" s="252" t="s">
        <v>239</v>
      </c>
      <c r="H2271" s="594"/>
      <c r="I2271" s="595"/>
      <c r="J2271" s="599">
        <f t="shared" si="77"/>
        <v>0</v>
      </c>
      <c r="K2271" s="533"/>
      <c r="L2271" s="533"/>
      <c r="M2271" s="533"/>
      <c r="N2271" s="268"/>
      <c r="O2271" s="533"/>
      <c r="P2271" s="533"/>
      <c r="Q2271" s="533"/>
      <c r="R2271" s="533"/>
      <c r="S2271" s="533"/>
      <c r="T2271" s="533"/>
      <c r="U2271" s="533"/>
      <c r="V2271" s="533"/>
      <c r="W2271" s="533"/>
      <c r="X2271" s="533"/>
      <c r="Y2271" s="533"/>
    </row>
    <row r="2272" spans="1:25" s="88" customFormat="1" hidden="1" x14ac:dyDescent="0.25">
      <c r="A2272" s="509"/>
      <c r="B2272" s="256"/>
      <c r="C2272" s="221"/>
      <c r="D2272" s="218"/>
      <c r="E2272" s="218"/>
      <c r="F2272" s="249" t="s">
        <v>240</v>
      </c>
      <c r="G2272" s="252" t="s">
        <v>241</v>
      </c>
      <c r="H2272" s="594"/>
      <c r="I2272" s="595"/>
      <c r="J2272" s="599">
        <f t="shared" si="77"/>
        <v>0</v>
      </c>
      <c r="K2272" s="533"/>
      <c r="L2272" s="533"/>
      <c r="M2272" s="533"/>
      <c r="N2272" s="268"/>
      <c r="O2272" s="533"/>
      <c r="P2272" s="533"/>
      <c r="Q2272" s="533"/>
      <c r="R2272" s="533"/>
      <c r="S2272" s="533"/>
      <c r="T2272" s="533"/>
      <c r="U2272" s="533"/>
      <c r="V2272" s="533"/>
      <c r="W2272" s="533"/>
      <c r="X2272" s="533"/>
      <c r="Y2272" s="533"/>
    </row>
    <row r="2273" spans="1:25" s="88" customFormat="1" hidden="1" x14ac:dyDescent="0.25">
      <c r="A2273" s="509"/>
      <c r="B2273" s="256"/>
      <c r="C2273" s="221"/>
      <c r="D2273" s="218"/>
      <c r="E2273" s="218"/>
      <c r="F2273" s="249" t="s">
        <v>242</v>
      </c>
      <c r="G2273" s="252" t="s">
        <v>243</v>
      </c>
      <c r="H2273" s="594"/>
      <c r="I2273" s="595"/>
      <c r="J2273" s="599">
        <f t="shared" si="77"/>
        <v>0</v>
      </c>
      <c r="K2273" s="533"/>
      <c r="L2273" s="533"/>
      <c r="M2273" s="533"/>
      <c r="N2273" s="268"/>
      <c r="O2273" s="533"/>
      <c r="P2273" s="533"/>
      <c r="Q2273" s="533"/>
      <c r="R2273" s="533"/>
      <c r="S2273" s="533"/>
      <c r="T2273" s="533"/>
      <c r="U2273" s="533"/>
      <c r="V2273" s="533"/>
      <c r="W2273" s="533"/>
      <c r="X2273" s="533"/>
      <c r="Y2273" s="533"/>
    </row>
    <row r="2274" spans="1:25" s="88" customFormat="1" hidden="1" x14ac:dyDescent="0.25">
      <c r="A2274" s="509"/>
      <c r="B2274" s="256"/>
      <c r="C2274" s="221"/>
      <c r="D2274" s="218"/>
      <c r="E2274" s="218"/>
      <c r="F2274" s="249" t="s">
        <v>244</v>
      </c>
      <c r="G2274" s="252" t="s">
        <v>245</v>
      </c>
      <c r="H2274" s="594"/>
      <c r="I2274" s="595"/>
      <c r="J2274" s="599">
        <f t="shared" si="77"/>
        <v>0</v>
      </c>
      <c r="K2274" s="533"/>
      <c r="L2274" s="533"/>
      <c r="M2274" s="533"/>
      <c r="N2274" s="268"/>
      <c r="O2274" s="533"/>
      <c r="P2274" s="533"/>
      <c r="Q2274" s="533"/>
      <c r="R2274" s="533"/>
      <c r="S2274" s="533"/>
      <c r="T2274" s="533"/>
      <c r="U2274" s="533"/>
      <c r="V2274" s="533"/>
      <c r="W2274" s="533"/>
      <c r="X2274" s="533"/>
      <c r="Y2274" s="533"/>
    </row>
    <row r="2275" spans="1:25" s="88" customFormat="1" hidden="1" x14ac:dyDescent="0.25">
      <c r="A2275" s="509"/>
      <c r="B2275" s="256"/>
      <c r="C2275" s="221"/>
      <c r="D2275" s="218"/>
      <c r="E2275" s="218"/>
      <c r="F2275" s="249" t="s">
        <v>246</v>
      </c>
      <c r="G2275" s="252" t="s">
        <v>247</v>
      </c>
      <c r="H2275" s="594"/>
      <c r="I2275" s="595"/>
      <c r="J2275" s="599">
        <f t="shared" si="77"/>
        <v>0</v>
      </c>
      <c r="K2275" s="533"/>
      <c r="L2275" s="533"/>
      <c r="M2275" s="533"/>
      <c r="N2275" s="268"/>
      <c r="O2275" s="533"/>
      <c r="P2275" s="533"/>
      <c r="Q2275" s="533"/>
      <c r="R2275" s="533"/>
      <c r="S2275" s="533"/>
      <c r="T2275" s="533"/>
      <c r="U2275" s="533"/>
      <c r="V2275" s="533"/>
      <c r="W2275" s="533"/>
      <c r="X2275" s="533"/>
      <c r="Y2275" s="533"/>
    </row>
    <row r="2276" spans="1:25" s="88" customFormat="1" hidden="1" x14ac:dyDescent="0.25">
      <c r="A2276" s="509"/>
      <c r="B2276" s="256"/>
      <c r="C2276" s="221"/>
      <c r="D2276" s="218"/>
      <c r="E2276" s="218"/>
      <c r="F2276" s="249" t="s">
        <v>248</v>
      </c>
      <c r="G2276" s="252" t="s">
        <v>249</v>
      </c>
      <c r="H2276" s="594"/>
      <c r="I2276" s="595"/>
      <c r="J2276" s="599">
        <f t="shared" si="77"/>
        <v>0</v>
      </c>
      <c r="K2276" s="533"/>
      <c r="L2276" s="533"/>
      <c r="M2276" s="533"/>
      <c r="N2276" s="268"/>
      <c r="O2276" s="533"/>
      <c r="P2276" s="533"/>
      <c r="Q2276" s="533"/>
      <c r="R2276" s="533"/>
      <c r="S2276" s="533"/>
      <c r="T2276" s="533"/>
      <c r="U2276" s="533"/>
      <c r="V2276" s="533"/>
      <c r="W2276" s="533"/>
      <c r="X2276" s="533"/>
      <c r="Y2276" s="533"/>
    </row>
    <row r="2277" spans="1:25" s="88" customFormat="1" hidden="1" x14ac:dyDescent="0.25">
      <c r="A2277" s="509"/>
      <c r="B2277" s="256"/>
      <c r="C2277" s="221"/>
      <c r="D2277" s="218"/>
      <c r="E2277" s="218"/>
      <c r="F2277" s="249" t="s">
        <v>250</v>
      </c>
      <c r="G2277" s="252" t="s">
        <v>57</v>
      </c>
      <c r="H2277" s="594"/>
      <c r="I2277" s="595"/>
      <c r="J2277" s="599">
        <f t="shared" si="77"/>
        <v>0</v>
      </c>
      <c r="K2277" s="533"/>
      <c r="L2277" s="533"/>
      <c r="M2277" s="533"/>
      <c r="N2277" s="268"/>
      <c r="O2277" s="533"/>
      <c r="P2277" s="533"/>
      <c r="Q2277" s="533"/>
      <c r="R2277" s="533"/>
      <c r="S2277" s="533"/>
      <c r="T2277" s="533"/>
      <c r="U2277" s="533"/>
      <c r="V2277" s="533"/>
      <c r="W2277" s="533"/>
      <c r="X2277" s="533"/>
      <c r="Y2277" s="533"/>
    </row>
    <row r="2278" spans="1:25" s="88" customFormat="1" hidden="1" x14ac:dyDescent="0.25">
      <c r="A2278" s="509"/>
      <c r="B2278" s="256"/>
      <c r="C2278" s="221"/>
      <c r="D2278" s="218"/>
      <c r="E2278" s="218"/>
      <c r="F2278" s="249" t="s">
        <v>251</v>
      </c>
      <c r="G2278" s="252" t="s">
        <v>252</v>
      </c>
      <c r="H2278" s="594"/>
      <c r="I2278" s="595"/>
      <c r="J2278" s="599">
        <f t="shared" si="77"/>
        <v>0</v>
      </c>
      <c r="K2278" s="533"/>
      <c r="L2278" s="533"/>
      <c r="M2278" s="533"/>
      <c r="N2278" s="268"/>
      <c r="O2278" s="533"/>
      <c r="P2278" s="533"/>
      <c r="Q2278" s="533"/>
      <c r="R2278" s="533"/>
      <c r="S2278" s="533"/>
      <c r="T2278" s="533"/>
      <c r="U2278" s="533"/>
      <c r="V2278" s="533"/>
      <c r="W2278" s="533"/>
      <c r="X2278" s="533"/>
      <c r="Y2278" s="533"/>
    </row>
    <row r="2279" spans="1:25" s="88" customFormat="1" hidden="1" x14ac:dyDescent="0.25">
      <c r="A2279" s="509"/>
      <c r="B2279" s="256"/>
      <c r="C2279" s="221"/>
      <c r="D2279" s="218"/>
      <c r="E2279" s="218"/>
      <c r="F2279" s="249" t="s">
        <v>253</v>
      </c>
      <c r="G2279" s="252" t="s">
        <v>254</v>
      </c>
      <c r="H2279" s="594"/>
      <c r="I2279" s="595"/>
      <c r="J2279" s="599">
        <f t="shared" si="77"/>
        <v>0</v>
      </c>
      <c r="K2279" s="533"/>
      <c r="L2279" s="533"/>
      <c r="M2279" s="533"/>
      <c r="N2279" s="268"/>
      <c r="O2279" s="533"/>
      <c r="P2279" s="533"/>
      <c r="Q2279" s="533"/>
      <c r="R2279" s="533"/>
      <c r="S2279" s="533"/>
      <c r="T2279" s="533"/>
      <c r="U2279" s="533"/>
      <c r="V2279" s="533"/>
      <c r="W2279" s="533"/>
      <c r="X2279" s="533"/>
      <c r="Y2279" s="533"/>
    </row>
    <row r="2280" spans="1:25" s="88" customFormat="1" ht="30" hidden="1" x14ac:dyDescent="0.25">
      <c r="A2280" s="509"/>
      <c r="B2280" s="256"/>
      <c r="C2280" s="221"/>
      <c r="D2280" s="218"/>
      <c r="E2280" s="218"/>
      <c r="F2280" s="249" t="s">
        <v>255</v>
      </c>
      <c r="G2280" s="252" t="s">
        <v>256</v>
      </c>
      <c r="H2280" s="594"/>
      <c r="I2280" s="595"/>
      <c r="J2280" s="599">
        <f t="shared" si="77"/>
        <v>0</v>
      </c>
      <c r="K2280" s="533"/>
      <c r="L2280" s="533"/>
      <c r="M2280" s="533"/>
      <c r="N2280" s="268"/>
      <c r="O2280" s="533"/>
      <c r="P2280" s="533"/>
      <c r="Q2280" s="533"/>
      <c r="R2280" s="533"/>
      <c r="S2280" s="533"/>
      <c r="T2280" s="533"/>
      <c r="U2280" s="533"/>
      <c r="V2280" s="533"/>
      <c r="W2280" s="533"/>
      <c r="X2280" s="533"/>
      <c r="Y2280" s="533"/>
    </row>
    <row r="2281" spans="1:25" s="88" customFormat="1" hidden="1" x14ac:dyDescent="0.25">
      <c r="A2281" s="509"/>
      <c r="B2281" s="256"/>
      <c r="C2281" s="221"/>
      <c r="D2281" s="218"/>
      <c r="E2281" s="218"/>
      <c r="F2281" s="249" t="s">
        <v>257</v>
      </c>
      <c r="G2281" s="252" t="s">
        <v>258</v>
      </c>
      <c r="H2281" s="594"/>
      <c r="I2281" s="595"/>
      <c r="J2281" s="599">
        <f t="shared" si="77"/>
        <v>0</v>
      </c>
      <c r="K2281" s="533"/>
      <c r="L2281" s="533"/>
      <c r="M2281" s="533"/>
      <c r="N2281" s="268"/>
      <c r="O2281" s="533"/>
      <c r="P2281" s="533"/>
      <c r="Q2281" s="533"/>
      <c r="R2281" s="533"/>
      <c r="S2281" s="533"/>
      <c r="T2281" s="533"/>
      <c r="U2281" s="533"/>
      <c r="V2281" s="533"/>
      <c r="W2281" s="533"/>
      <c r="X2281" s="533"/>
      <c r="Y2281" s="533"/>
    </row>
    <row r="2282" spans="1:25" s="88" customFormat="1" ht="30" hidden="1" x14ac:dyDescent="0.25">
      <c r="A2282" s="509"/>
      <c r="B2282" s="256"/>
      <c r="C2282" s="221"/>
      <c r="D2282" s="218"/>
      <c r="E2282" s="218"/>
      <c r="F2282" s="249" t="s">
        <v>259</v>
      </c>
      <c r="G2282" s="252" t="s">
        <v>260</v>
      </c>
      <c r="H2282" s="594"/>
      <c r="I2282" s="595"/>
      <c r="J2282" s="599">
        <f t="shared" si="77"/>
        <v>0</v>
      </c>
      <c r="K2282" s="533"/>
      <c r="L2282" s="533"/>
      <c r="M2282" s="533"/>
      <c r="N2282" s="268"/>
      <c r="O2282" s="533"/>
      <c r="P2282" s="533"/>
      <c r="Q2282" s="533"/>
      <c r="R2282" s="533"/>
      <c r="S2282" s="533"/>
      <c r="T2282" s="533"/>
      <c r="U2282" s="533"/>
      <c r="V2282" s="533"/>
      <c r="W2282" s="533"/>
      <c r="X2282" s="533"/>
      <c r="Y2282" s="533"/>
    </row>
    <row r="2283" spans="1:25" s="88" customFormat="1" hidden="1" x14ac:dyDescent="0.25">
      <c r="A2283" s="509"/>
      <c r="B2283" s="256"/>
      <c r="C2283" s="221"/>
      <c r="D2283" s="218"/>
      <c r="E2283" s="218"/>
      <c r="F2283" s="249" t="s">
        <v>261</v>
      </c>
      <c r="G2283" s="252" t="s">
        <v>262</v>
      </c>
      <c r="H2283" s="594"/>
      <c r="I2283" s="595"/>
      <c r="J2283" s="599">
        <f t="shared" si="77"/>
        <v>0</v>
      </c>
      <c r="K2283" s="533"/>
      <c r="L2283" s="533"/>
      <c r="M2283" s="533"/>
      <c r="N2283" s="268"/>
      <c r="O2283" s="533"/>
      <c r="P2283" s="533"/>
      <c r="Q2283" s="533"/>
      <c r="R2283" s="533"/>
      <c r="S2283" s="533"/>
      <c r="T2283" s="533"/>
      <c r="U2283" s="533"/>
      <c r="V2283" s="533"/>
      <c r="W2283" s="533"/>
      <c r="X2283" s="533"/>
      <c r="Y2283" s="533"/>
    </row>
    <row r="2284" spans="1:25" s="88" customFormat="1" ht="15.75" hidden="1" thickBot="1" x14ac:dyDescent="0.3">
      <c r="A2284" s="509"/>
      <c r="B2284" s="256"/>
      <c r="C2284" s="221"/>
      <c r="D2284" s="218"/>
      <c r="E2284" s="218"/>
      <c r="F2284" s="249" t="s">
        <v>263</v>
      </c>
      <c r="G2284" s="252" t="s">
        <v>264</v>
      </c>
      <c r="H2284" s="598"/>
      <c r="I2284" s="599"/>
      <c r="J2284" s="599">
        <f t="shared" si="77"/>
        <v>0</v>
      </c>
      <c r="K2284" s="533"/>
      <c r="L2284" s="533"/>
      <c r="M2284" s="533"/>
      <c r="N2284" s="268"/>
      <c r="O2284" s="533"/>
      <c r="P2284" s="533"/>
      <c r="Q2284" s="533"/>
      <c r="R2284" s="533"/>
      <c r="S2284" s="533"/>
      <c r="T2284" s="533"/>
      <c r="U2284" s="533"/>
      <c r="V2284" s="533"/>
      <c r="W2284" s="533"/>
      <c r="X2284" s="533"/>
      <c r="Y2284" s="533"/>
    </row>
    <row r="2285" spans="1:25" s="88" customFormat="1" ht="15.75" hidden="1" thickBot="1" x14ac:dyDescent="0.3">
      <c r="A2285" s="509"/>
      <c r="B2285" s="256"/>
      <c r="C2285" s="221"/>
      <c r="D2285" s="218"/>
      <c r="E2285" s="218"/>
      <c r="F2285" s="218"/>
      <c r="G2285" s="229" t="s">
        <v>4244</v>
      </c>
      <c r="H2285" s="600">
        <f>SUM(H2269:H2284)</f>
        <v>0</v>
      </c>
      <c r="I2285" s="601">
        <f>SUM(I2270:I2284)</f>
        <v>0</v>
      </c>
      <c r="J2285" s="601">
        <f>SUM(J2269:J2284)</f>
        <v>0</v>
      </c>
      <c r="K2285" s="533"/>
      <c r="L2285" s="533"/>
      <c r="M2285" s="533"/>
      <c r="N2285" s="268"/>
      <c r="O2285" s="533"/>
      <c r="P2285" s="533"/>
      <c r="Q2285" s="533"/>
      <c r="R2285" s="533"/>
      <c r="S2285" s="533"/>
      <c r="T2285" s="533"/>
      <c r="U2285" s="533"/>
      <c r="V2285" s="533"/>
      <c r="W2285" s="533"/>
      <c r="X2285" s="533"/>
      <c r="Y2285" s="533"/>
    </row>
    <row r="2286" spans="1:25" s="88" customFormat="1" ht="12.75" hidden="1" customHeight="1" x14ac:dyDescent="0.25">
      <c r="A2286" s="509"/>
      <c r="B2286" s="256"/>
      <c r="C2286" s="221"/>
      <c r="D2286" s="218"/>
      <c r="E2286" s="218"/>
      <c r="F2286" s="218"/>
      <c r="G2286" s="230"/>
      <c r="H2286" s="594"/>
      <c r="I2286" s="595"/>
      <c r="J2286" s="595"/>
      <c r="K2286" s="533"/>
      <c r="L2286" s="533"/>
      <c r="M2286" s="533"/>
      <c r="N2286" s="268"/>
      <c r="O2286" s="533"/>
      <c r="P2286" s="533"/>
      <c r="Q2286" s="533"/>
      <c r="R2286" s="533"/>
      <c r="S2286" s="533"/>
      <c r="T2286" s="533"/>
      <c r="U2286" s="533"/>
      <c r="V2286" s="533"/>
      <c r="W2286" s="533"/>
      <c r="X2286" s="533"/>
      <c r="Y2286" s="533"/>
    </row>
    <row r="2287" spans="1:25" s="88" customFormat="1" x14ac:dyDescent="0.25">
      <c r="A2287" s="509"/>
      <c r="B2287" s="256"/>
      <c r="C2287" s="323" t="s">
        <v>4169</v>
      </c>
      <c r="D2287" s="219"/>
      <c r="E2287" s="219"/>
      <c r="F2287" s="219"/>
      <c r="G2287" s="287" t="s">
        <v>4245</v>
      </c>
      <c r="H2287" s="594"/>
      <c r="I2287" s="595"/>
      <c r="J2287" s="595"/>
      <c r="K2287" s="533"/>
      <c r="L2287" s="533"/>
      <c r="M2287" s="533"/>
      <c r="N2287" s="268"/>
      <c r="O2287" s="533"/>
      <c r="P2287" s="533"/>
      <c r="Q2287" s="533"/>
      <c r="R2287" s="533"/>
      <c r="S2287" s="533"/>
      <c r="T2287" s="533"/>
      <c r="U2287" s="533"/>
      <c r="V2287" s="533"/>
      <c r="W2287" s="533"/>
      <c r="X2287" s="533"/>
      <c r="Y2287" s="533"/>
    </row>
    <row r="2288" spans="1:25" s="88" customFormat="1" x14ac:dyDescent="0.25">
      <c r="A2288" s="509"/>
      <c r="B2288" s="256"/>
      <c r="C2288" s="320"/>
      <c r="D2288" s="342">
        <v>112</v>
      </c>
      <c r="E2288" s="340"/>
      <c r="F2288" s="340"/>
      <c r="G2288" s="313" t="s">
        <v>107</v>
      </c>
      <c r="H2288" s="594"/>
      <c r="I2288" s="595"/>
      <c r="J2288" s="595"/>
      <c r="K2288" s="533"/>
      <c r="L2288" s="533"/>
      <c r="M2288" s="533"/>
      <c r="N2288" s="268"/>
      <c r="O2288" s="533"/>
      <c r="P2288" s="533"/>
      <c r="Q2288" s="533"/>
      <c r="R2288" s="533"/>
      <c r="S2288" s="533"/>
      <c r="T2288" s="533"/>
      <c r="U2288" s="533"/>
      <c r="V2288" s="533"/>
      <c r="W2288" s="533"/>
      <c r="X2288" s="533"/>
      <c r="Y2288" s="533"/>
    </row>
    <row r="2289" spans="1:25" s="88" customFormat="1" x14ac:dyDescent="0.25">
      <c r="A2289" s="509"/>
      <c r="B2289" s="256"/>
      <c r="C2289" s="221"/>
      <c r="D2289" s="218"/>
      <c r="E2289" s="218">
        <v>36</v>
      </c>
      <c r="F2289" s="263">
        <v>49911</v>
      </c>
      <c r="G2289" s="295" t="s">
        <v>3843</v>
      </c>
      <c r="H2289" s="594">
        <v>500000</v>
      </c>
      <c r="I2289" s="595"/>
      <c r="J2289" s="595">
        <f>SUM(H2289:I2289)</f>
        <v>500000</v>
      </c>
      <c r="K2289" s="533"/>
      <c r="L2289" s="533"/>
      <c r="M2289" s="533"/>
      <c r="N2289" s="268"/>
      <c r="O2289" s="533"/>
      <c r="P2289" s="533"/>
      <c r="Q2289" s="533"/>
      <c r="R2289" s="533"/>
      <c r="S2289" s="533"/>
      <c r="T2289" s="533"/>
      <c r="U2289" s="533"/>
      <c r="V2289" s="533"/>
      <c r="W2289" s="533"/>
      <c r="X2289" s="533"/>
      <c r="Y2289" s="533"/>
    </row>
    <row r="2290" spans="1:25" s="88" customFormat="1" ht="15.75" thickBot="1" x14ac:dyDescent="0.3">
      <c r="A2290" s="509"/>
      <c r="B2290" s="256"/>
      <c r="C2290" s="221"/>
      <c r="D2290" s="218"/>
      <c r="E2290" s="218">
        <v>37</v>
      </c>
      <c r="F2290" s="218">
        <v>49912</v>
      </c>
      <c r="G2290" s="230" t="s">
        <v>3845</v>
      </c>
      <c r="H2290" s="594">
        <v>4000000</v>
      </c>
      <c r="I2290" s="595"/>
      <c r="J2290" s="595">
        <f>SUM(H2290:I2290)</f>
        <v>4000000</v>
      </c>
      <c r="K2290" s="533"/>
      <c r="L2290" s="533"/>
      <c r="M2290" s="533"/>
      <c r="N2290" s="268"/>
      <c r="O2290" s="533"/>
      <c r="P2290" s="533"/>
      <c r="Q2290" s="533"/>
      <c r="R2290" s="533"/>
      <c r="S2290" s="533"/>
      <c r="T2290" s="533"/>
      <c r="U2290" s="533"/>
      <c r="V2290" s="533"/>
      <c r="W2290" s="533"/>
      <c r="X2290" s="533"/>
      <c r="Y2290" s="533"/>
    </row>
    <row r="2291" spans="1:25" s="88" customFormat="1" x14ac:dyDescent="0.25">
      <c r="A2291" s="509"/>
      <c r="B2291" s="256"/>
      <c r="C2291" s="221"/>
      <c r="D2291" s="218"/>
      <c r="E2291" s="293"/>
      <c r="F2291" s="301"/>
      <c r="G2291" s="327" t="s">
        <v>4409</v>
      </c>
      <c r="H2291" s="596"/>
      <c r="I2291" s="622"/>
      <c r="J2291" s="597"/>
      <c r="K2291" s="533"/>
      <c r="L2291" s="533"/>
      <c r="M2291" s="533"/>
      <c r="N2291" s="268"/>
      <c r="O2291" s="533"/>
      <c r="P2291" s="533"/>
      <c r="Q2291" s="533"/>
      <c r="R2291" s="533"/>
      <c r="S2291" s="533"/>
      <c r="T2291" s="533"/>
      <c r="U2291" s="533"/>
      <c r="V2291" s="533"/>
      <c r="W2291" s="533"/>
      <c r="X2291" s="533"/>
      <c r="Y2291" s="533"/>
    </row>
    <row r="2292" spans="1:25" s="88" customFormat="1" ht="15.75" thickBot="1" x14ac:dyDescent="0.3">
      <c r="A2292" s="509"/>
      <c r="B2292" s="256"/>
      <c r="C2292" s="221"/>
      <c r="D2292" s="218"/>
      <c r="E2292" s="222"/>
      <c r="F2292" s="249" t="s">
        <v>234</v>
      </c>
      <c r="G2292" s="252" t="s">
        <v>235</v>
      </c>
      <c r="H2292" s="598">
        <f>SUM(H2289:H2290)</f>
        <v>4500000</v>
      </c>
      <c r="I2292" s="599"/>
      <c r="J2292" s="599">
        <f t="shared" ref="J2292:J2307" si="78">SUM(H2292:I2292)</f>
        <v>4500000</v>
      </c>
      <c r="K2292" s="533"/>
      <c r="L2292" s="533"/>
      <c r="M2292" s="533"/>
      <c r="N2292" s="268"/>
      <c r="O2292" s="533"/>
      <c r="P2292" s="533"/>
      <c r="Q2292" s="533"/>
      <c r="R2292" s="533"/>
      <c r="S2292" s="533"/>
      <c r="T2292" s="533"/>
      <c r="U2292" s="533"/>
      <c r="V2292" s="533"/>
      <c r="W2292" s="533"/>
      <c r="X2292" s="533"/>
      <c r="Y2292" s="533"/>
    </row>
    <row r="2293" spans="1:25" s="88" customFormat="1" hidden="1" x14ac:dyDescent="0.25">
      <c r="A2293" s="509"/>
      <c r="B2293" s="256"/>
      <c r="C2293" s="221"/>
      <c r="D2293" s="218"/>
      <c r="E2293" s="218"/>
      <c r="F2293" s="249" t="s">
        <v>236</v>
      </c>
      <c r="G2293" s="252" t="s">
        <v>237</v>
      </c>
      <c r="H2293" s="594"/>
      <c r="I2293" s="595"/>
      <c r="J2293" s="599">
        <f t="shared" si="78"/>
        <v>0</v>
      </c>
      <c r="K2293" s="533"/>
      <c r="L2293" s="533"/>
      <c r="M2293" s="533"/>
      <c r="N2293" s="268"/>
      <c r="O2293" s="533"/>
      <c r="P2293" s="533"/>
      <c r="Q2293" s="533"/>
      <c r="R2293" s="533"/>
      <c r="S2293" s="533"/>
      <c r="T2293" s="533"/>
      <c r="U2293" s="533"/>
      <c r="V2293" s="533"/>
      <c r="W2293" s="533"/>
      <c r="X2293" s="533"/>
      <c r="Y2293" s="533"/>
    </row>
    <row r="2294" spans="1:25" s="88" customFormat="1" hidden="1" x14ac:dyDescent="0.25">
      <c r="A2294" s="509"/>
      <c r="B2294" s="256"/>
      <c r="C2294" s="221"/>
      <c r="D2294" s="218"/>
      <c r="E2294" s="218"/>
      <c r="F2294" s="249" t="s">
        <v>238</v>
      </c>
      <c r="G2294" s="252" t="s">
        <v>239</v>
      </c>
      <c r="H2294" s="594"/>
      <c r="I2294" s="595"/>
      <c r="J2294" s="599">
        <f t="shared" si="78"/>
        <v>0</v>
      </c>
      <c r="K2294" s="533"/>
      <c r="L2294" s="533"/>
      <c r="M2294" s="533"/>
      <c r="N2294" s="268"/>
      <c r="O2294" s="533"/>
      <c r="P2294" s="533"/>
      <c r="Q2294" s="533"/>
      <c r="R2294" s="533"/>
      <c r="S2294" s="533"/>
      <c r="T2294" s="533"/>
      <c r="U2294" s="533"/>
      <c r="V2294" s="533"/>
      <c r="W2294" s="533"/>
      <c r="X2294" s="533"/>
      <c r="Y2294" s="533"/>
    </row>
    <row r="2295" spans="1:25" s="88" customFormat="1" hidden="1" x14ac:dyDescent="0.25">
      <c r="A2295" s="509"/>
      <c r="B2295" s="256"/>
      <c r="C2295" s="221"/>
      <c r="D2295" s="218"/>
      <c r="E2295" s="218"/>
      <c r="F2295" s="249" t="s">
        <v>240</v>
      </c>
      <c r="G2295" s="252" t="s">
        <v>241</v>
      </c>
      <c r="H2295" s="594"/>
      <c r="I2295" s="595"/>
      <c r="J2295" s="599">
        <f t="shared" si="78"/>
        <v>0</v>
      </c>
      <c r="K2295" s="533"/>
      <c r="L2295" s="533"/>
      <c r="M2295" s="533"/>
      <c r="N2295" s="268"/>
      <c r="O2295" s="533"/>
      <c r="P2295" s="533"/>
      <c r="Q2295" s="533"/>
      <c r="R2295" s="533"/>
      <c r="S2295" s="533"/>
      <c r="T2295" s="533"/>
      <c r="U2295" s="533"/>
      <c r="V2295" s="533"/>
      <c r="W2295" s="533"/>
      <c r="X2295" s="533"/>
      <c r="Y2295" s="533"/>
    </row>
    <row r="2296" spans="1:25" s="88" customFormat="1" hidden="1" x14ac:dyDescent="0.25">
      <c r="A2296" s="509"/>
      <c r="B2296" s="256"/>
      <c r="C2296" s="221"/>
      <c r="D2296" s="218"/>
      <c r="E2296" s="218"/>
      <c r="F2296" s="249" t="s">
        <v>242</v>
      </c>
      <c r="G2296" s="252" t="s">
        <v>243</v>
      </c>
      <c r="H2296" s="594"/>
      <c r="I2296" s="595"/>
      <c r="J2296" s="599">
        <f t="shared" si="78"/>
        <v>0</v>
      </c>
      <c r="K2296" s="533"/>
      <c r="L2296" s="533"/>
      <c r="M2296" s="533"/>
      <c r="N2296" s="268"/>
      <c r="O2296" s="533"/>
      <c r="P2296" s="533"/>
      <c r="Q2296" s="533"/>
      <c r="R2296" s="533"/>
      <c r="S2296" s="533"/>
      <c r="T2296" s="533"/>
      <c r="U2296" s="533"/>
      <c r="V2296" s="533"/>
      <c r="W2296" s="533"/>
      <c r="X2296" s="533"/>
      <c r="Y2296" s="533"/>
    </row>
    <row r="2297" spans="1:25" s="88" customFormat="1" hidden="1" x14ac:dyDescent="0.25">
      <c r="A2297" s="509"/>
      <c r="B2297" s="256"/>
      <c r="C2297" s="221"/>
      <c r="D2297" s="218"/>
      <c r="E2297" s="218"/>
      <c r="F2297" s="249" t="s">
        <v>244</v>
      </c>
      <c r="G2297" s="252" t="s">
        <v>245</v>
      </c>
      <c r="H2297" s="594"/>
      <c r="I2297" s="595"/>
      <c r="J2297" s="599">
        <f t="shared" si="78"/>
        <v>0</v>
      </c>
      <c r="K2297" s="533"/>
      <c r="L2297" s="533"/>
      <c r="M2297" s="533"/>
      <c r="N2297" s="268"/>
      <c r="O2297" s="533"/>
      <c r="P2297" s="533"/>
      <c r="Q2297" s="533"/>
      <c r="R2297" s="533"/>
      <c r="S2297" s="533"/>
      <c r="T2297" s="533"/>
      <c r="U2297" s="533"/>
      <c r="V2297" s="533"/>
      <c r="W2297" s="533"/>
      <c r="X2297" s="533"/>
      <c r="Y2297" s="533"/>
    </row>
    <row r="2298" spans="1:25" s="88" customFormat="1" hidden="1" x14ac:dyDescent="0.25">
      <c r="A2298" s="509"/>
      <c r="B2298" s="256"/>
      <c r="C2298" s="221"/>
      <c r="D2298" s="218"/>
      <c r="E2298" s="218"/>
      <c r="F2298" s="249" t="s">
        <v>246</v>
      </c>
      <c r="G2298" s="252" t="s">
        <v>247</v>
      </c>
      <c r="H2298" s="594"/>
      <c r="I2298" s="595"/>
      <c r="J2298" s="599">
        <f t="shared" si="78"/>
        <v>0</v>
      </c>
      <c r="K2298" s="533"/>
      <c r="L2298" s="533"/>
      <c r="M2298" s="533"/>
      <c r="N2298" s="268"/>
      <c r="O2298" s="533"/>
      <c r="P2298" s="533"/>
      <c r="Q2298" s="533"/>
      <c r="R2298" s="533"/>
      <c r="S2298" s="533"/>
      <c r="T2298" s="533"/>
      <c r="U2298" s="533"/>
      <c r="V2298" s="533"/>
      <c r="W2298" s="533"/>
      <c r="X2298" s="533"/>
      <c r="Y2298" s="533"/>
    </row>
    <row r="2299" spans="1:25" s="88" customFormat="1" hidden="1" x14ac:dyDescent="0.25">
      <c r="A2299" s="509"/>
      <c r="B2299" s="256"/>
      <c r="C2299" s="221"/>
      <c r="D2299" s="218"/>
      <c r="E2299" s="218"/>
      <c r="F2299" s="249" t="s">
        <v>248</v>
      </c>
      <c r="G2299" s="252" t="s">
        <v>249</v>
      </c>
      <c r="H2299" s="594"/>
      <c r="I2299" s="595"/>
      <c r="J2299" s="599">
        <f t="shared" si="78"/>
        <v>0</v>
      </c>
      <c r="K2299" s="533"/>
      <c r="L2299" s="533"/>
      <c r="M2299" s="533"/>
      <c r="N2299" s="268"/>
      <c r="O2299" s="533"/>
      <c r="P2299" s="533"/>
      <c r="Q2299" s="533"/>
      <c r="R2299" s="533"/>
      <c r="S2299" s="533"/>
      <c r="T2299" s="533"/>
      <c r="U2299" s="533"/>
      <c r="V2299" s="533"/>
      <c r="W2299" s="533"/>
      <c r="X2299" s="533"/>
      <c r="Y2299" s="533"/>
    </row>
    <row r="2300" spans="1:25" s="88" customFormat="1" hidden="1" x14ac:dyDescent="0.25">
      <c r="A2300" s="509"/>
      <c r="B2300" s="256"/>
      <c r="C2300" s="221"/>
      <c r="D2300" s="218"/>
      <c r="E2300" s="218"/>
      <c r="F2300" s="249" t="s">
        <v>250</v>
      </c>
      <c r="G2300" s="252" t="s">
        <v>57</v>
      </c>
      <c r="H2300" s="594"/>
      <c r="I2300" s="595"/>
      <c r="J2300" s="599">
        <f t="shared" si="78"/>
        <v>0</v>
      </c>
      <c r="K2300" s="533"/>
      <c r="L2300" s="533"/>
      <c r="M2300" s="533"/>
      <c r="N2300" s="268"/>
      <c r="O2300" s="533"/>
      <c r="P2300" s="533"/>
      <c r="Q2300" s="533"/>
      <c r="R2300" s="533"/>
      <c r="S2300" s="533"/>
      <c r="T2300" s="533"/>
      <c r="U2300" s="533"/>
      <c r="V2300" s="533"/>
      <c r="W2300" s="533"/>
      <c r="X2300" s="533"/>
      <c r="Y2300" s="533"/>
    </row>
    <row r="2301" spans="1:25" s="88" customFormat="1" hidden="1" x14ac:dyDescent="0.25">
      <c r="A2301" s="509"/>
      <c r="B2301" s="256"/>
      <c r="C2301" s="221"/>
      <c r="D2301" s="218"/>
      <c r="E2301" s="218"/>
      <c r="F2301" s="249" t="s">
        <v>251</v>
      </c>
      <c r="G2301" s="252" t="s">
        <v>252</v>
      </c>
      <c r="H2301" s="594"/>
      <c r="I2301" s="595"/>
      <c r="J2301" s="599">
        <f t="shared" si="78"/>
        <v>0</v>
      </c>
      <c r="K2301" s="533"/>
      <c r="L2301" s="533"/>
      <c r="M2301" s="533"/>
      <c r="N2301" s="268"/>
      <c r="O2301" s="533"/>
      <c r="P2301" s="533"/>
      <c r="Q2301" s="533"/>
      <c r="R2301" s="533"/>
      <c r="S2301" s="533"/>
      <c r="T2301" s="533"/>
      <c r="U2301" s="533"/>
      <c r="V2301" s="533"/>
      <c r="W2301" s="533"/>
      <c r="X2301" s="533"/>
      <c r="Y2301" s="533"/>
    </row>
    <row r="2302" spans="1:25" s="88" customFormat="1" hidden="1" x14ac:dyDescent="0.25">
      <c r="A2302" s="509"/>
      <c r="B2302" s="256"/>
      <c r="C2302" s="221"/>
      <c r="D2302" s="218"/>
      <c r="E2302" s="218"/>
      <c r="F2302" s="249" t="s">
        <v>253</v>
      </c>
      <c r="G2302" s="252" t="s">
        <v>254</v>
      </c>
      <c r="H2302" s="594"/>
      <c r="I2302" s="595"/>
      <c r="J2302" s="599">
        <f t="shared" si="78"/>
        <v>0</v>
      </c>
      <c r="K2302" s="533"/>
      <c r="L2302" s="533"/>
      <c r="M2302" s="533"/>
      <c r="N2302" s="268"/>
      <c r="O2302" s="533"/>
      <c r="P2302" s="533"/>
      <c r="Q2302" s="533"/>
      <c r="R2302" s="533"/>
      <c r="S2302" s="533"/>
      <c r="T2302" s="533"/>
      <c r="U2302" s="533"/>
      <c r="V2302" s="533"/>
      <c r="W2302" s="533"/>
      <c r="X2302" s="533"/>
      <c r="Y2302" s="533"/>
    </row>
    <row r="2303" spans="1:25" s="88" customFormat="1" ht="30" hidden="1" x14ac:dyDescent="0.25">
      <c r="A2303" s="509"/>
      <c r="B2303" s="256"/>
      <c r="C2303" s="221"/>
      <c r="D2303" s="218"/>
      <c r="E2303" s="218"/>
      <c r="F2303" s="249" t="s">
        <v>255</v>
      </c>
      <c r="G2303" s="252" t="s">
        <v>256</v>
      </c>
      <c r="H2303" s="594"/>
      <c r="I2303" s="595"/>
      <c r="J2303" s="599">
        <f t="shared" si="78"/>
        <v>0</v>
      </c>
      <c r="K2303" s="533"/>
      <c r="L2303" s="533"/>
      <c r="M2303" s="533"/>
      <c r="N2303" s="268"/>
      <c r="O2303" s="533"/>
      <c r="P2303" s="533"/>
      <c r="Q2303" s="533"/>
      <c r="R2303" s="533"/>
      <c r="S2303" s="533"/>
      <c r="T2303" s="533"/>
      <c r="U2303" s="533"/>
      <c r="V2303" s="533"/>
      <c r="W2303" s="533"/>
      <c r="X2303" s="533"/>
      <c r="Y2303" s="533"/>
    </row>
    <row r="2304" spans="1:25" s="88" customFormat="1" hidden="1" x14ac:dyDescent="0.25">
      <c r="A2304" s="509"/>
      <c r="B2304" s="256"/>
      <c r="C2304" s="221"/>
      <c r="D2304" s="218"/>
      <c r="E2304" s="218"/>
      <c r="F2304" s="249" t="s">
        <v>257</v>
      </c>
      <c r="G2304" s="252" t="s">
        <v>258</v>
      </c>
      <c r="H2304" s="594"/>
      <c r="I2304" s="595"/>
      <c r="J2304" s="599">
        <f t="shared" si="78"/>
        <v>0</v>
      </c>
      <c r="K2304" s="533"/>
      <c r="L2304" s="533"/>
      <c r="M2304" s="533"/>
      <c r="N2304" s="268"/>
      <c r="O2304" s="533"/>
      <c r="P2304" s="533"/>
      <c r="Q2304" s="533"/>
      <c r="R2304" s="533"/>
      <c r="S2304" s="533"/>
      <c r="T2304" s="533"/>
      <c r="U2304" s="533"/>
      <c r="V2304" s="533"/>
      <c r="W2304" s="533"/>
      <c r="X2304" s="533"/>
      <c r="Y2304" s="533"/>
    </row>
    <row r="2305" spans="1:25" s="88" customFormat="1" ht="30" hidden="1" x14ac:dyDescent="0.25">
      <c r="A2305" s="509"/>
      <c r="B2305" s="256"/>
      <c r="C2305" s="221"/>
      <c r="D2305" s="218"/>
      <c r="E2305" s="218"/>
      <c r="F2305" s="249" t="s">
        <v>259</v>
      </c>
      <c r="G2305" s="252" t="s">
        <v>260</v>
      </c>
      <c r="H2305" s="594"/>
      <c r="I2305" s="595"/>
      <c r="J2305" s="599">
        <f t="shared" si="78"/>
        <v>0</v>
      </c>
      <c r="K2305" s="533"/>
      <c r="L2305" s="533"/>
      <c r="M2305" s="533"/>
      <c r="N2305" s="268"/>
      <c r="O2305" s="533"/>
      <c r="P2305" s="533"/>
      <c r="Q2305" s="533"/>
      <c r="R2305" s="533"/>
      <c r="S2305" s="533"/>
      <c r="T2305" s="533"/>
      <c r="U2305" s="533"/>
      <c r="V2305" s="533"/>
      <c r="W2305" s="533"/>
      <c r="X2305" s="533"/>
      <c r="Y2305" s="533"/>
    </row>
    <row r="2306" spans="1:25" s="88" customFormat="1" hidden="1" x14ac:dyDescent="0.25">
      <c r="A2306" s="509"/>
      <c r="B2306" s="256"/>
      <c r="C2306" s="221"/>
      <c r="D2306" s="218"/>
      <c r="E2306" s="218"/>
      <c r="F2306" s="249" t="s">
        <v>261</v>
      </c>
      <c r="G2306" s="252" t="s">
        <v>262</v>
      </c>
      <c r="H2306" s="594"/>
      <c r="I2306" s="595"/>
      <c r="J2306" s="599">
        <f t="shared" si="78"/>
        <v>0</v>
      </c>
      <c r="K2306" s="533"/>
      <c r="L2306" s="533"/>
      <c r="M2306" s="533"/>
      <c r="N2306" s="268"/>
      <c r="O2306" s="533"/>
      <c r="P2306" s="533"/>
      <c r="Q2306" s="533"/>
      <c r="R2306" s="533"/>
      <c r="S2306" s="533"/>
      <c r="T2306" s="533"/>
      <c r="U2306" s="533"/>
      <c r="V2306" s="533"/>
      <c r="W2306" s="533"/>
      <c r="X2306" s="533"/>
      <c r="Y2306" s="533"/>
    </row>
    <row r="2307" spans="1:25" s="88" customFormat="1" ht="15.75" hidden="1" thickBot="1" x14ac:dyDescent="0.3">
      <c r="A2307" s="509"/>
      <c r="B2307" s="256"/>
      <c r="C2307" s="221"/>
      <c r="D2307" s="218"/>
      <c r="E2307" s="218"/>
      <c r="F2307" s="249" t="s">
        <v>263</v>
      </c>
      <c r="G2307" s="252" t="s">
        <v>264</v>
      </c>
      <c r="H2307" s="598"/>
      <c r="I2307" s="599"/>
      <c r="J2307" s="599">
        <f t="shared" si="78"/>
        <v>0</v>
      </c>
      <c r="K2307" s="533"/>
      <c r="L2307" s="533"/>
      <c r="M2307" s="533"/>
      <c r="N2307" s="268"/>
      <c r="O2307" s="533"/>
      <c r="P2307" s="533"/>
      <c r="Q2307" s="533"/>
      <c r="R2307" s="533"/>
      <c r="S2307" s="533"/>
      <c r="T2307" s="533"/>
      <c r="U2307" s="533"/>
      <c r="V2307" s="533"/>
      <c r="W2307" s="533"/>
      <c r="X2307" s="533"/>
      <c r="Y2307" s="533"/>
    </row>
    <row r="2308" spans="1:25" s="88" customFormat="1" ht="15.75" thickBot="1" x14ac:dyDescent="0.3">
      <c r="A2308" s="509"/>
      <c r="B2308" s="256"/>
      <c r="C2308" s="221"/>
      <c r="D2308" s="218"/>
      <c r="E2308" s="218"/>
      <c r="F2308" s="218"/>
      <c r="G2308" s="229" t="s">
        <v>4410</v>
      </c>
      <c r="H2308" s="600">
        <f>SUM(H2292:H2307)</f>
        <v>4500000</v>
      </c>
      <c r="I2308" s="601">
        <f>SUM(I2293:I2307)</f>
        <v>0</v>
      </c>
      <c r="J2308" s="601">
        <f>SUM(J2292:J2307)</f>
        <v>4500000</v>
      </c>
      <c r="K2308" s="533"/>
      <c r="L2308" s="533"/>
      <c r="M2308" s="533"/>
      <c r="N2308" s="268"/>
      <c r="O2308" s="533"/>
      <c r="P2308" s="533"/>
      <c r="Q2308" s="533"/>
      <c r="R2308" s="533"/>
      <c r="S2308" s="533"/>
      <c r="T2308" s="533"/>
      <c r="U2308" s="533"/>
      <c r="V2308" s="533"/>
      <c r="W2308" s="533"/>
      <c r="X2308" s="533"/>
      <c r="Y2308" s="533"/>
    </row>
    <row r="2309" spans="1:25" s="88" customFormat="1" ht="21.75" customHeight="1" x14ac:dyDescent="0.25">
      <c r="A2309" s="509"/>
      <c r="B2309" s="256"/>
      <c r="C2309" s="221"/>
      <c r="D2309" s="218"/>
      <c r="E2309" s="218"/>
      <c r="F2309" s="264"/>
      <c r="G2309" s="231" t="s">
        <v>4246</v>
      </c>
      <c r="H2309" s="602"/>
      <c r="I2309" s="623"/>
      <c r="J2309" s="603"/>
      <c r="K2309" s="533"/>
      <c r="L2309" s="533"/>
      <c r="M2309" s="533"/>
      <c r="N2309" s="268"/>
      <c r="O2309" s="533"/>
      <c r="P2309" s="533"/>
      <c r="Q2309" s="533"/>
      <c r="R2309" s="533"/>
      <c r="S2309" s="533"/>
      <c r="T2309" s="533"/>
      <c r="U2309" s="533"/>
      <c r="V2309" s="533"/>
      <c r="W2309" s="533"/>
      <c r="X2309" s="533"/>
      <c r="Y2309" s="533"/>
    </row>
    <row r="2310" spans="1:25" s="88" customFormat="1" ht="15.75" thickBot="1" x14ac:dyDescent="0.3">
      <c r="A2310" s="509"/>
      <c r="B2310" s="256"/>
      <c r="C2310" s="221"/>
      <c r="D2310" s="218"/>
      <c r="E2310" s="218"/>
      <c r="F2310" s="249" t="s">
        <v>234</v>
      </c>
      <c r="G2310" s="252" t="s">
        <v>235</v>
      </c>
      <c r="H2310" s="598">
        <f>SUM(H2289:H2290)</f>
        <v>4500000</v>
      </c>
      <c r="I2310" s="599"/>
      <c r="J2310" s="599">
        <f t="shared" ref="J2310:J2325" si="79">SUM(H2310:I2310)</f>
        <v>4500000</v>
      </c>
      <c r="K2310" s="533"/>
      <c r="L2310" s="533"/>
      <c r="M2310" s="533"/>
      <c r="N2310" s="268"/>
      <c r="O2310" s="533"/>
      <c r="P2310" s="533"/>
      <c r="Q2310" s="533"/>
      <c r="R2310" s="533"/>
      <c r="S2310" s="533"/>
      <c r="T2310" s="533"/>
      <c r="U2310" s="533"/>
      <c r="V2310" s="533"/>
      <c r="W2310" s="533"/>
      <c r="X2310" s="533"/>
      <c r="Y2310" s="533"/>
    </row>
    <row r="2311" spans="1:25" s="88" customFormat="1" hidden="1" x14ac:dyDescent="0.25">
      <c r="A2311" s="509"/>
      <c r="B2311" s="256"/>
      <c r="C2311" s="221"/>
      <c r="D2311" s="218"/>
      <c r="E2311" s="218"/>
      <c r="F2311" s="249" t="s">
        <v>236</v>
      </c>
      <c r="G2311" s="252" t="s">
        <v>237</v>
      </c>
      <c r="H2311" s="594"/>
      <c r="I2311" s="595"/>
      <c r="J2311" s="599">
        <f t="shared" si="79"/>
        <v>0</v>
      </c>
      <c r="K2311" s="533"/>
      <c r="L2311" s="533"/>
      <c r="M2311" s="533"/>
      <c r="N2311" s="268"/>
      <c r="O2311" s="533"/>
      <c r="P2311" s="533"/>
      <c r="Q2311" s="533"/>
      <c r="R2311" s="533"/>
      <c r="S2311" s="533"/>
      <c r="T2311" s="533"/>
      <c r="U2311" s="533"/>
      <c r="V2311" s="533"/>
      <c r="W2311" s="533"/>
      <c r="X2311" s="533"/>
      <c r="Y2311" s="533"/>
    </row>
    <row r="2312" spans="1:25" s="88" customFormat="1" hidden="1" x14ac:dyDescent="0.25">
      <c r="A2312" s="509"/>
      <c r="B2312" s="256"/>
      <c r="C2312" s="221"/>
      <c r="D2312" s="218"/>
      <c r="E2312" s="218"/>
      <c r="F2312" s="249" t="s">
        <v>238</v>
      </c>
      <c r="G2312" s="252" t="s">
        <v>239</v>
      </c>
      <c r="H2312" s="594"/>
      <c r="I2312" s="595"/>
      <c r="J2312" s="599">
        <f t="shared" si="79"/>
        <v>0</v>
      </c>
      <c r="K2312" s="533"/>
      <c r="L2312" s="533"/>
      <c r="M2312" s="533"/>
      <c r="N2312" s="268"/>
      <c r="O2312" s="533"/>
      <c r="P2312" s="533"/>
      <c r="Q2312" s="533"/>
      <c r="R2312" s="533"/>
      <c r="S2312" s="533"/>
      <c r="T2312" s="533"/>
      <c r="U2312" s="533"/>
      <c r="V2312" s="533"/>
      <c r="W2312" s="533"/>
      <c r="X2312" s="533"/>
      <c r="Y2312" s="533"/>
    </row>
    <row r="2313" spans="1:25" s="88" customFormat="1" hidden="1" x14ac:dyDescent="0.25">
      <c r="A2313" s="509"/>
      <c r="B2313" s="256"/>
      <c r="C2313" s="221"/>
      <c r="D2313" s="218"/>
      <c r="E2313" s="218"/>
      <c r="F2313" s="249" t="s">
        <v>240</v>
      </c>
      <c r="G2313" s="252" t="s">
        <v>241</v>
      </c>
      <c r="H2313" s="594"/>
      <c r="I2313" s="595"/>
      <c r="J2313" s="599">
        <f t="shared" si="79"/>
        <v>0</v>
      </c>
      <c r="K2313" s="533"/>
      <c r="L2313" s="533"/>
      <c r="M2313" s="533"/>
      <c r="N2313" s="268"/>
      <c r="O2313" s="533"/>
      <c r="P2313" s="533"/>
      <c r="Q2313" s="533"/>
      <c r="R2313" s="533"/>
      <c r="S2313" s="533"/>
      <c r="T2313" s="533"/>
      <c r="U2313" s="533"/>
      <c r="V2313" s="533"/>
      <c r="W2313" s="533"/>
      <c r="X2313" s="533"/>
      <c r="Y2313" s="533"/>
    </row>
    <row r="2314" spans="1:25" s="88" customFormat="1" hidden="1" x14ac:dyDescent="0.25">
      <c r="A2314" s="509"/>
      <c r="B2314" s="256"/>
      <c r="C2314" s="221"/>
      <c r="D2314" s="218"/>
      <c r="E2314" s="218"/>
      <c r="F2314" s="249" t="s">
        <v>242</v>
      </c>
      <c r="G2314" s="252" t="s">
        <v>243</v>
      </c>
      <c r="H2314" s="594"/>
      <c r="I2314" s="595"/>
      <c r="J2314" s="599">
        <f t="shared" si="79"/>
        <v>0</v>
      </c>
      <c r="K2314" s="533"/>
      <c r="L2314" s="533"/>
      <c r="M2314" s="533"/>
      <c r="N2314" s="268"/>
      <c r="O2314" s="533"/>
      <c r="P2314" s="533"/>
      <c r="Q2314" s="533"/>
      <c r="R2314" s="533"/>
      <c r="S2314" s="533"/>
      <c r="T2314" s="533"/>
      <c r="U2314" s="533"/>
      <c r="V2314" s="533"/>
      <c r="W2314" s="533"/>
      <c r="X2314" s="533"/>
      <c r="Y2314" s="533"/>
    </row>
    <row r="2315" spans="1:25" s="88" customFormat="1" hidden="1" x14ac:dyDescent="0.25">
      <c r="A2315" s="509"/>
      <c r="B2315" s="256"/>
      <c r="C2315" s="221"/>
      <c r="D2315" s="218"/>
      <c r="E2315" s="218"/>
      <c r="F2315" s="249" t="s">
        <v>244</v>
      </c>
      <c r="G2315" s="252" t="s">
        <v>245</v>
      </c>
      <c r="H2315" s="594"/>
      <c r="I2315" s="595"/>
      <c r="J2315" s="599">
        <f t="shared" si="79"/>
        <v>0</v>
      </c>
      <c r="K2315" s="533"/>
      <c r="L2315" s="533"/>
      <c r="M2315" s="533"/>
      <c r="N2315" s="268"/>
      <c r="O2315" s="533"/>
      <c r="P2315" s="533"/>
      <c r="Q2315" s="533"/>
      <c r="R2315" s="533"/>
      <c r="S2315" s="533"/>
      <c r="T2315" s="533"/>
      <c r="U2315" s="533"/>
      <c r="V2315" s="533"/>
      <c r="W2315" s="533"/>
      <c r="X2315" s="533"/>
      <c r="Y2315" s="533"/>
    </row>
    <row r="2316" spans="1:25" s="88" customFormat="1" hidden="1" x14ac:dyDescent="0.25">
      <c r="A2316" s="509"/>
      <c r="B2316" s="256"/>
      <c r="C2316" s="221"/>
      <c r="D2316" s="218"/>
      <c r="E2316" s="218"/>
      <c r="F2316" s="249" t="s">
        <v>246</v>
      </c>
      <c r="G2316" s="252" t="s">
        <v>247</v>
      </c>
      <c r="H2316" s="594"/>
      <c r="I2316" s="595"/>
      <c r="J2316" s="599">
        <f t="shared" si="79"/>
        <v>0</v>
      </c>
      <c r="K2316" s="533"/>
      <c r="L2316" s="533"/>
      <c r="M2316" s="533"/>
      <c r="N2316" s="268"/>
      <c r="O2316" s="533"/>
      <c r="P2316" s="533"/>
      <c r="Q2316" s="533"/>
      <c r="R2316" s="533"/>
      <c r="S2316" s="533"/>
      <c r="T2316" s="533"/>
      <c r="U2316" s="533"/>
      <c r="V2316" s="533"/>
      <c r="W2316" s="533"/>
      <c r="X2316" s="533"/>
      <c r="Y2316" s="533"/>
    </row>
    <row r="2317" spans="1:25" s="88" customFormat="1" hidden="1" x14ac:dyDescent="0.25">
      <c r="A2317" s="509"/>
      <c r="B2317" s="256"/>
      <c r="C2317" s="221"/>
      <c r="D2317" s="218"/>
      <c r="E2317" s="218"/>
      <c r="F2317" s="249" t="s">
        <v>248</v>
      </c>
      <c r="G2317" s="252" t="s">
        <v>249</v>
      </c>
      <c r="H2317" s="594"/>
      <c r="I2317" s="595"/>
      <c r="J2317" s="599">
        <f t="shared" si="79"/>
        <v>0</v>
      </c>
      <c r="K2317" s="533"/>
      <c r="L2317" s="533"/>
      <c r="M2317" s="533"/>
      <c r="N2317" s="268"/>
      <c r="O2317" s="533"/>
      <c r="P2317" s="533"/>
      <c r="Q2317" s="533"/>
      <c r="R2317" s="533"/>
      <c r="S2317" s="533"/>
      <c r="T2317" s="533"/>
      <c r="U2317" s="533"/>
      <c r="V2317" s="533"/>
      <c r="W2317" s="533"/>
      <c r="X2317" s="533"/>
      <c r="Y2317" s="533"/>
    </row>
    <row r="2318" spans="1:25" s="88" customFormat="1" hidden="1" x14ac:dyDescent="0.25">
      <c r="A2318" s="509"/>
      <c r="B2318" s="256"/>
      <c r="C2318" s="221"/>
      <c r="D2318" s="218"/>
      <c r="E2318" s="218"/>
      <c r="F2318" s="249" t="s">
        <v>250</v>
      </c>
      <c r="G2318" s="252" t="s">
        <v>57</v>
      </c>
      <c r="H2318" s="594"/>
      <c r="I2318" s="595"/>
      <c r="J2318" s="599">
        <f t="shared" si="79"/>
        <v>0</v>
      </c>
      <c r="K2318" s="533"/>
      <c r="L2318" s="533"/>
      <c r="M2318" s="533"/>
      <c r="N2318" s="268"/>
      <c r="O2318" s="533"/>
      <c r="P2318" s="533"/>
      <c r="Q2318" s="533"/>
      <c r="R2318" s="533"/>
      <c r="S2318" s="533"/>
      <c r="T2318" s="533"/>
      <c r="U2318" s="533"/>
      <c r="V2318" s="533"/>
      <c r="W2318" s="533"/>
      <c r="X2318" s="533"/>
      <c r="Y2318" s="533"/>
    </row>
    <row r="2319" spans="1:25" s="88" customFormat="1" hidden="1" x14ac:dyDescent="0.25">
      <c r="A2319" s="509"/>
      <c r="B2319" s="256"/>
      <c r="C2319" s="221"/>
      <c r="D2319" s="218"/>
      <c r="E2319" s="218"/>
      <c r="F2319" s="249" t="s">
        <v>251</v>
      </c>
      <c r="G2319" s="252" t="s">
        <v>252</v>
      </c>
      <c r="H2319" s="594"/>
      <c r="I2319" s="595"/>
      <c r="J2319" s="599">
        <f t="shared" si="79"/>
        <v>0</v>
      </c>
      <c r="K2319" s="533"/>
      <c r="L2319" s="533"/>
      <c r="M2319" s="533"/>
      <c r="N2319" s="268"/>
      <c r="O2319" s="533"/>
      <c r="P2319" s="533"/>
      <c r="Q2319" s="533"/>
      <c r="R2319" s="533"/>
      <c r="S2319" s="533"/>
      <c r="T2319" s="533"/>
      <c r="U2319" s="533"/>
      <c r="V2319" s="533"/>
      <c r="W2319" s="533"/>
      <c r="X2319" s="533"/>
      <c r="Y2319" s="533"/>
    </row>
    <row r="2320" spans="1:25" s="88" customFormat="1" hidden="1" x14ac:dyDescent="0.25">
      <c r="A2320" s="509"/>
      <c r="B2320" s="256"/>
      <c r="C2320" s="221"/>
      <c r="D2320" s="218"/>
      <c r="E2320" s="218"/>
      <c r="F2320" s="249" t="s">
        <v>253</v>
      </c>
      <c r="G2320" s="252" t="s">
        <v>254</v>
      </c>
      <c r="H2320" s="594"/>
      <c r="I2320" s="595"/>
      <c r="J2320" s="599">
        <f t="shared" si="79"/>
        <v>0</v>
      </c>
      <c r="K2320" s="533"/>
      <c r="L2320" s="533"/>
      <c r="M2320" s="533"/>
      <c r="N2320" s="268"/>
      <c r="O2320" s="533"/>
      <c r="P2320" s="533"/>
      <c r="Q2320" s="533"/>
      <c r="R2320" s="533"/>
      <c r="S2320" s="533"/>
      <c r="T2320" s="533"/>
      <c r="U2320" s="533"/>
      <c r="V2320" s="533"/>
      <c r="W2320" s="533"/>
      <c r="X2320" s="533"/>
      <c r="Y2320" s="533"/>
    </row>
    <row r="2321" spans="1:25" s="88" customFormat="1" ht="30" hidden="1" x14ac:dyDescent="0.25">
      <c r="A2321" s="509"/>
      <c r="B2321" s="256"/>
      <c r="C2321" s="221"/>
      <c r="D2321" s="218"/>
      <c r="E2321" s="218"/>
      <c r="F2321" s="249" t="s">
        <v>255</v>
      </c>
      <c r="G2321" s="252" t="s">
        <v>256</v>
      </c>
      <c r="H2321" s="594"/>
      <c r="I2321" s="595"/>
      <c r="J2321" s="599">
        <f t="shared" si="79"/>
        <v>0</v>
      </c>
      <c r="K2321" s="533"/>
      <c r="L2321" s="533"/>
      <c r="M2321" s="533"/>
      <c r="N2321" s="268"/>
      <c r="O2321" s="533"/>
      <c r="P2321" s="533"/>
      <c r="Q2321" s="533"/>
      <c r="R2321" s="533"/>
      <c r="S2321" s="533"/>
      <c r="T2321" s="533"/>
      <c r="U2321" s="533"/>
      <c r="V2321" s="533"/>
      <c r="W2321" s="533"/>
      <c r="X2321" s="533"/>
      <c r="Y2321" s="533"/>
    </row>
    <row r="2322" spans="1:25" s="88" customFormat="1" hidden="1" x14ac:dyDescent="0.25">
      <c r="A2322" s="509"/>
      <c r="B2322" s="256"/>
      <c r="C2322" s="221"/>
      <c r="D2322" s="218"/>
      <c r="E2322" s="218"/>
      <c r="F2322" s="249" t="s">
        <v>257</v>
      </c>
      <c r="G2322" s="252" t="s">
        <v>258</v>
      </c>
      <c r="H2322" s="594"/>
      <c r="I2322" s="595"/>
      <c r="J2322" s="599">
        <f t="shared" si="79"/>
        <v>0</v>
      </c>
      <c r="K2322" s="533"/>
      <c r="L2322" s="533"/>
      <c r="M2322" s="533"/>
      <c r="N2322" s="268"/>
      <c r="O2322" s="533"/>
      <c r="P2322" s="533"/>
      <c r="Q2322" s="533"/>
      <c r="R2322" s="533"/>
      <c r="S2322" s="533"/>
      <c r="T2322" s="533"/>
      <c r="U2322" s="533"/>
      <c r="V2322" s="533"/>
      <c r="W2322" s="533"/>
      <c r="X2322" s="533"/>
      <c r="Y2322" s="533"/>
    </row>
    <row r="2323" spans="1:25" s="88" customFormat="1" ht="30" hidden="1" x14ac:dyDescent="0.25">
      <c r="A2323" s="509"/>
      <c r="B2323" s="256"/>
      <c r="C2323" s="221"/>
      <c r="D2323" s="218"/>
      <c r="E2323" s="218"/>
      <c r="F2323" s="249" t="s">
        <v>259</v>
      </c>
      <c r="G2323" s="252" t="s">
        <v>260</v>
      </c>
      <c r="H2323" s="594"/>
      <c r="I2323" s="595"/>
      <c r="J2323" s="599">
        <f t="shared" si="79"/>
        <v>0</v>
      </c>
      <c r="K2323" s="533"/>
      <c r="L2323" s="533"/>
      <c r="M2323" s="533"/>
      <c r="N2323" s="268"/>
      <c r="O2323" s="533"/>
      <c r="P2323" s="533"/>
      <c r="Q2323" s="533"/>
      <c r="R2323" s="533"/>
      <c r="S2323" s="533"/>
      <c r="T2323" s="533"/>
      <c r="U2323" s="533"/>
      <c r="V2323" s="533"/>
      <c r="W2323" s="533"/>
      <c r="X2323" s="533"/>
      <c r="Y2323" s="533"/>
    </row>
    <row r="2324" spans="1:25" s="88" customFormat="1" hidden="1" x14ac:dyDescent="0.25">
      <c r="A2324" s="509"/>
      <c r="B2324" s="256"/>
      <c r="C2324" s="221"/>
      <c r="D2324" s="218"/>
      <c r="E2324" s="218"/>
      <c r="F2324" s="249" t="s">
        <v>261</v>
      </c>
      <c r="G2324" s="252" t="s">
        <v>262</v>
      </c>
      <c r="H2324" s="594"/>
      <c r="I2324" s="595"/>
      <c r="J2324" s="599">
        <f t="shared" si="79"/>
        <v>0</v>
      </c>
      <c r="K2324" s="533"/>
      <c r="L2324" s="533"/>
      <c r="M2324" s="533"/>
      <c r="N2324" s="268"/>
      <c r="O2324" s="533"/>
      <c r="P2324" s="533"/>
      <c r="Q2324" s="533"/>
      <c r="R2324" s="533"/>
      <c r="S2324" s="533"/>
      <c r="T2324" s="533"/>
      <c r="U2324" s="533"/>
      <c r="V2324" s="533"/>
      <c r="W2324" s="533"/>
      <c r="X2324" s="533"/>
      <c r="Y2324" s="533"/>
    </row>
    <row r="2325" spans="1:25" s="88" customFormat="1" ht="15.75" hidden="1" thickBot="1" x14ac:dyDescent="0.3">
      <c r="A2325" s="509"/>
      <c r="B2325" s="256"/>
      <c r="C2325" s="221"/>
      <c r="D2325" s="218"/>
      <c r="E2325" s="218"/>
      <c r="F2325" s="249" t="s">
        <v>263</v>
      </c>
      <c r="G2325" s="252" t="s">
        <v>264</v>
      </c>
      <c r="H2325" s="598"/>
      <c r="I2325" s="599"/>
      <c r="J2325" s="599">
        <f t="shared" si="79"/>
        <v>0</v>
      </c>
      <c r="K2325" s="533"/>
      <c r="L2325" s="533"/>
      <c r="M2325" s="533"/>
      <c r="N2325" s="268"/>
      <c r="O2325" s="533"/>
      <c r="P2325" s="533"/>
      <c r="Q2325" s="533"/>
      <c r="R2325" s="533"/>
      <c r="S2325" s="533"/>
      <c r="T2325" s="533"/>
      <c r="U2325" s="533"/>
      <c r="V2325" s="533"/>
      <c r="W2325" s="533"/>
      <c r="X2325" s="533"/>
      <c r="Y2325" s="533"/>
    </row>
    <row r="2326" spans="1:25" s="88" customFormat="1" ht="15.75" thickBot="1" x14ac:dyDescent="0.3">
      <c r="A2326" s="509"/>
      <c r="B2326" s="256"/>
      <c r="C2326" s="221"/>
      <c r="D2326" s="218"/>
      <c r="E2326" s="218"/>
      <c r="F2326" s="218"/>
      <c r="G2326" s="229" t="s">
        <v>4292</v>
      </c>
      <c r="H2326" s="600">
        <f>SUM(H2310:H2325)</f>
        <v>4500000</v>
      </c>
      <c r="I2326" s="601">
        <f>SUM(I2311:I2325)</f>
        <v>0</v>
      </c>
      <c r="J2326" s="601">
        <f>SUM(J2310:J2325)</f>
        <v>4500000</v>
      </c>
      <c r="K2326" s="533"/>
      <c r="L2326" s="533"/>
      <c r="M2326" s="533"/>
      <c r="N2326" s="268"/>
      <c r="O2326" s="533"/>
      <c r="P2326" s="533"/>
      <c r="Q2326" s="533"/>
      <c r="R2326" s="533"/>
      <c r="S2326" s="533"/>
      <c r="T2326" s="533"/>
      <c r="U2326" s="533"/>
      <c r="V2326" s="533"/>
      <c r="W2326" s="533"/>
      <c r="X2326" s="533"/>
      <c r="Y2326" s="533"/>
    </row>
    <row r="2327" spans="1:25" s="88" customFormat="1" hidden="1" x14ac:dyDescent="0.25">
      <c r="A2327" s="509"/>
      <c r="B2327" s="256"/>
      <c r="C2327" s="221"/>
      <c r="D2327" s="218"/>
      <c r="E2327" s="218"/>
      <c r="F2327" s="218"/>
      <c r="G2327" s="230"/>
      <c r="H2327" s="594"/>
      <c r="I2327" s="595"/>
      <c r="J2327" s="595"/>
      <c r="K2327" s="533"/>
      <c r="L2327" s="533"/>
      <c r="M2327" s="533"/>
      <c r="N2327" s="268"/>
      <c r="O2327" s="533"/>
      <c r="P2327" s="533"/>
      <c r="Q2327" s="533"/>
      <c r="R2327" s="533"/>
      <c r="S2327" s="533"/>
      <c r="T2327" s="533"/>
      <c r="U2327" s="533"/>
      <c r="V2327" s="533"/>
      <c r="W2327" s="533"/>
      <c r="X2327" s="533"/>
      <c r="Y2327" s="533"/>
    </row>
    <row r="2328" spans="1:25" s="88" customFormat="1" x14ac:dyDescent="0.25">
      <c r="A2328" s="509"/>
      <c r="B2328" s="256"/>
      <c r="C2328" s="221"/>
      <c r="D2328" s="218"/>
      <c r="E2328" s="218"/>
      <c r="F2328" s="264"/>
      <c r="G2328" s="250" t="s">
        <v>4225</v>
      </c>
      <c r="H2328" s="606"/>
      <c r="I2328" s="624"/>
      <c r="J2328" s="607"/>
      <c r="K2328" s="533"/>
      <c r="L2328" s="533"/>
      <c r="M2328" s="533"/>
      <c r="N2328" s="268"/>
      <c r="O2328" s="533"/>
      <c r="P2328" s="533"/>
      <c r="Q2328" s="533"/>
      <c r="R2328" s="533"/>
      <c r="S2328" s="533"/>
      <c r="T2328" s="533"/>
      <c r="U2328" s="533"/>
      <c r="V2328" s="533"/>
      <c r="W2328" s="533"/>
      <c r="X2328" s="533"/>
      <c r="Y2328" s="533"/>
    </row>
    <row r="2329" spans="1:25" s="88" customFormat="1" ht="15.75" thickBot="1" x14ac:dyDescent="0.3">
      <c r="A2329" s="509"/>
      <c r="B2329" s="256"/>
      <c r="C2329" s="221"/>
      <c r="D2329" s="218"/>
      <c r="E2329" s="218"/>
      <c r="F2329" s="249" t="s">
        <v>234</v>
      </c>
      <c r="G2329" s="252" t="s">
        <v>235</v>
      </c>
      <c r="H2329" s="598">
        <f>SUM(H2326,H1972,H1873)</f>
        <v>90895000</v>
      </c>
      <c r="I2329" s="599"/>
      <c r="J2329" s="599">
        <f t="shared" ref="J2329:J2344" si="80">SUM(H2329:I2329)</f>
        <v>90895000</v>
      </c>
      <c r="K2329" s="533"/>
      <c r="L2329" s="533"/>
      <c r="M2329" s="533"/>
      <c r="N2329" s="268"/>
      <c r="O2329" s="533"/>
      <c r="P2329" s="533"/>
      <c r="Q2329" s="533"/>
      <c r="R2329" s="533"/>
      <c r="S2329" s="533"/>
      <c r="T2329" s="533"/>
      <c r="U2329" s="533"/>
      <c r="V2329" s="533"/>
      <c r="W2329" s="533"/>
      <c r="X2329" s="533"/>
      <c r="Y2329" s="533"/>
    </row>
    <row r="2330" spans="1:25" s="88" customFormat="1" hidden="1" x14ac:dyDescent="0.25">
      <c r="A2330" s="509"/>
      <c r="B2330" s="256"/>
      <c r="C2330" s="221"/>
      <c r="D2330" s="218"/>
      <c r="E2330" s="218"/>
      <c r="F2330" s="249" t="s">
        <v>236</v>
      </c>
      <c r="G2330" s="252" t="s">
        <v>237</v>
      </c>
      <c r="H2330" s="594"/>
      <c r="I2330" s="595"/>
      <c r="J2330" s="599">
        <f t="shared" si="80"/>
        <v>0</v>
      </c>
      <c r="K2330" s="533"/>
      <c r="L2330" s="533"/>
      <c r="M2330" s="533"/>
      <c r="N2330" s="268"/>
      <c r="O2330" s="533"/>
      <c r="P2330" s="533"/>
      <c r="Q2330" s="533"/>
      <c r="R2330" s="533"/>
      <c r="S2330" s="533"/>
      <c r="T2330" s="533"/>
      <c r="U2330" s="533"/>
      <c r="V2330" s="533"/>
      <c r="W2330" s="533"/>
      <c r="X2330" s="533"/>
      <c r="Y2330" s="533"/>
    </row>
    <row r="2331" spans="1:25" s="88" customFormat="1" hidden="1" x14ac:dyDescent="0.25">
      <c r="A2331" s="509"/>
      <c r="B2331" s="256"/>
      <c r="C2331" s="221"/>
      <c r="D2331" s="218"/>
      <c r="E2331" s="218"/>
      <c r="F2331" s="249" t="s">
        <v>238</v>
      </c>
      <c r="G2331" s="252" t="s">
        <v>239</v>
      </c>
      <c r="H2331" s="594"/>
      <c r="I2331" s="595"/>
      <c r="J2331" s="599">
        <f t="shared" si="80"/>
        <v>0</v>
      </c>
      <c r="K2331" s="533"/>
      <c r="L2331" s="533"/>
      <c r="M2331" s="533"/>
      <c r="N2331" s="268"/>
      <c r="O2331" s="533"/>
      <c r="P2331" s="533"/>
      <c r="Q2331" s="533"/>
      <c r="R2331" s="533"/>
      <c r="S2331" s="533"/>
      <c r="T2331" s="533"/>
      <c r="U2331" s="533"/>
      <c r="V2331" s="533"/>
      <c r="W2331" s="533"/>
      <c r="X2331" s="533"/>
      <c r="Y2331" s="533"/>
    </row>
    <row r="2332" spans="1:25" s="88" customFormat="1" hidden="1" x14ac:dyDescent="0.25">
      <c r="A2332" s="509"/>
      <c r="B2332" s="256"/>
      <c r="C2332" s="221"/>
      <c r="D2332" s="218"/>
      <c r="E2332" s="218"/>
      <c r="F2332" s="249" t="s">
        <v>240</v>
      </c>
      <c r="G2332" s="252" t="s">
        <v>241</v>
      </c>
      <c r="H2332" s="594"/>
      <c r="I2332" s="595"/>
      <c r="J2332" s="599">
        <f t="shared" si="80"/>
        <v>0</v>
      </c>
      <c r="K2332" s="533"/>
      <c r="L2332" s="533"/>
      <c r="M2332" s="533"/>
      <c r="N2332" s="268"/>
      <c r="O2332" s="533"/>
      <c r="P2332" s="533"/>
      <c r="Q2332" s="533"/>
      <c r="R2332" s="533"/>
      <c r="S2332" s="533"/>
      <c r="T2332" s="533"/>
      <c r="U2332" s="533"/>
      <c r="V2332" s="533"/>
      <c r="W2332" s="533"/>
      <c r="X2332" s="533"/>
      <c r="Y2332" s="533"/>
    </row>
    <row r="2333" spans="1:25" s="88" customFormat="1" hidden="1" x14ac:dyDescent="0.25">
      <c r="A2333" s="509"/>
      <c r="B2333" s="256"/>
      <c r="C2333" s="221"/>
      <c r="D2333" s="218"/>
      <c r="E2333" s="218"/>
      <c r="F2333" s="249" t="s">
        <v>242</v>
      </c>
      <c r="G2333" s="252" t="s">
        <v>243</v>
      </c>
      <c r="H2333" s="594"/>
      <c r="I2333" s="595"/>
      <c r="J2333" s="599">
        <f t="shared" si="80"/>
        <v>0</v>
      </c>
      <c r="K2333" s="533"/>
      <c r="L2333" s="533"/>
      <c r="M2333" s="533"/>
      <c r="N2333" s="268"/>
      <c r="O2333" s="533"/>
      <c r="P2333" s="533"/>
      <c r="Q2333" s="533"/>
      <c r="R2333" s="533"/>
      <c r="S2333" s="533"/>
      <c r="T2333" s="533"/>
      <c r="U2333" s="533"/>
      <c r="V2333" s="533"/>
      <c r="W2333" s="533"/>
      <c r="X2333" s="533"/>
      <c r="Y2333" s="533"/>
    </row>
    <row r="2334" spans="1:25" s="88" customFormat="1" hidden="1" x14ac:dyDescent="0.25">
      <c r="A2334" s="509"/>
      <c r="B2334" s="256"/>
      <c r="C2334" s="221"/>
      <c r="D2334" s="218"/>
      <c r="E2334" s="218"/>
      <c r="F2334" s="249" t="s">
        <v>244</v>
      </c>
      <c r="G2334" s="252" t="s">
        <v>245</v>
      </c>
      <c r="H2334" s="594"/>
      <c r="I2334" s="595"/>
      <c r="J2334" s="599">
        <f t="shared" si="80"/>
        <v>0</v>
      </c>
      <c r="K2334" s="533"/>
      <c r="L2334" s="533"/>
      <c r="M2334" s="533"/>
      <c r="N2334" s="268"/>
      <c r="O2334" s="533"/>
      <c r="P2334" s="533"/>
      <c r="Q2334" s="533"/>
      <c r="R2334" s="533"/>
      <c r="S2334" s="533"/>
      <c r="T2334" s="533"/>
      <c r="U2334" s="533"/>
      <c r="V2334" s="533"/>
      <c r="W2334" s="533"/>
      <c r="X2334" s="533"/>
      <c r="Y2334" s="533"/>
    </row>
    <row r="2335" spans="1:25" s="88" customFormat="1" hidden="1" x14ac:dyDescent="0.25">
      <c r="A2335" s="509"/>
      <c r="B2335" s="256"/>
      <c r="C2335" s="221"/>
      <c r="D2335" s="218"/>
      <c r="E2335" s="218"/>
      <c r="F2335" s="249" t="s">
        <v>246</v>
      </c>
      <c r="G2335" s="252" t="s">
        <v>247</v>
      </c>
      <c r="H2335" s="594"/>
      <c r="I2335" s="595"/>
      <c r="J2335" s="599">
        <f t="shared" si="80"/>
        <v>0</v>
      </c>
      <c r="K2335" s="533"/>
      <c r="L2335" s="533"/>
      <c r="M2335" s="533"/>
      <c r="N2335" s="268"/>
      <c r="O2335" s="533"/>
      <c r="P2335" s="533"/>
      <c r="Q2335" s="533"/>
      <c r="R2335" s="533"/>
      <c r="S2335" s="533"/>
      <c r="T2335" s="533"/>
      <c r="U2335" s="533"/>
      <c r="V2335" s="533"/>
      <c r="W2335" s="533"/>
      <c r="X2335" s="533"/>
      <c r="Y2335" s="533"/>
    </row>
    <row r="2336" spans="1:25" s="88" customFormat="1" hidden="1" x14ac:dyDescent="0.25">
      <c r="A2336" s="509"/>
      <c r="B2336" s="256"/>
      <c r="C2336" s="221"/>
      <c r="D2336" s="218"/>
      <c r="E2336" s="218"/>
      <c r="F2336" s="249" t="s">
        <v>248</v>
      </c>
      <c r="G2336" s="252" t="s">
        <v>249</v>
      </c>
      <c r="H2336" s="594"/>
      <c r="I2336" s="595"/>
      <c r="J2336" s="599">
        <f t="shared" si="80"/>
        <v>0</v>
      </c>
      <c r="K2336" s="533"/>
      <c r="L2336" s="533"/>
      <c r="M2336" s="533"/>
      <c r="N2336" s="268"/>
      <c r="O2336" s="533"/>
      <c r="P2336" s="533"/>
      <c r="Q2336" s="533"/>
      <c r="R2336" s="533"/>
      <c r="S2336" s="533"/>
      <c r="T2336" s="533"/>
      <c r="U2336" s="533"/>
      <c r="V2336" s="533"/>
      <c r="W2336" s="533"/>
      <c r="X2336" s="533"/>
      <c r="Y2336" s="533"/>
    </row>
    <row r="2337" spans="1:25" s="88" customFormat="1" hidden="1" x14ac:dyDescent="0.25">
      <c r="A2337" s="509"/>
      <c r="B2337" s="256"/>
      <c r="C2337" s="221"/>
      <c r="D2337" s="218"/>
      <c r="E2337" s="218"/>
      <c r="F2337" s="249" t="s">
        <v>250</v>
      </c>
      <c r="G2337" s="252" t="s">
        <v>57</v>
      </c>
      <c r="H2337" s="594"/>
      <c r="I2337" s="595"/>
      <c r="J2337" s="599">
        <f t="shared" si="80"/>
        <v>0</v>
      </c>
      <c r="K2337" s="533"/>
      <c r="L2337" s="533"/>
      <c r="M2337" s="533"/>
      <c r="N2337" s="268"/>
      <c r="O2337" s="533"/>
      <c r="P2337" s="533"/>
      <c r="Q2337" s="533"/>
      <c r="R2337" s="533"/>
      <c r="S2337" s="533"/>
      <c r="T2337" s="533"/>
      <c r="U2337" s="533"/>
      <c r="V2337" s="533"/>
      <c r="W2337" s="533"/>
      <c r="X2337" s="533"/>
      <c r="Y2337" s="533"/>
    </row>
    <row r="2338" spans="1:25" s="88" customFormat="1" hidden="1" x14ac:dyDescent="0.25">
      <c r="A2338" s="509"/>
      <c r="B2338" s="256"/>
      <c r="C2338" s="221"/>
      <c r="D2338" s="218"/>
      <c r="E2338" s="218"/>
      <c r="F2338" s="249" t="s">
        <v>251</v>
      </c>
      <c r="G2338" s="252" t="s">
        <v>252</v>
      </c>
      <c r="H2338" s="594"/>
      <c r="I2338" s="595"/>
      <c r="J2338" s="599">
        <f t="shared" si="80"/>
        <v>0</v>
      </c>
      <c r="K2338" s="533"/>
      <c r="L2338" s="533"/>
      <c r="M2338" s="533"/>
      <c r="N2338" s="268"/>
      <c r="O2338" s="533"/>
      <c r="P2338" s="533"/>
      <c r="Q2338" s="533"/>
      <c r="R2338" s="533"/>
      <c r="S2338" s="533"/>
      <c r="T2338" s="533"/>
      <c r="U2338" s="533"/>
      <c r="V2338" s="533"/>
      <c r="W2338" s="533"/>
      <c r="X2338" s="533"/>
      <c r="Y2338" s="533"/>
    </row>
    <row r="2339" spans="1:25" s="88" customFormat="1" hidden="1" x14ac:dyDescent="0.25">
      <c r="A2339" s="509"/>
      <c r="B2339" s="256"/>
      <c r="C2339" s="221"/>
      <c r="D2339" s="218"/>
      <c r="E2339" s="218"/>
      <c r="F2339" s="249" t="s">
        <v>253</v>
      </c>
      <c r="G2339" s="252" t="s">
        <v>254</v>
      </c>
      <c r="H2339" s="594"/>
      <c r="I2339" s="595"/>
      <c r="J2339" s="599">
        <f t="shared" si="80"/>
        <v>0</v>
      </c>
      <c r="K2339" s="533"/>
      <c r="L2339" s="533"/>
      <c r="M2339" s="533"/>
      <c r="N2339" s="268"/>
      <c r="O2339" s="533"/>
      <c r="P2339" s="533"/>
      <c r="Q2339" s="533"/>
      <c r="R2339" s="533"/>
      <c r="S2339" s="533"/>
      <c r="T2339" s="533"/>
      <c r="U2339" s="533"/>
      <c r="V2339" s="533"/>
      <c r="W2339" s="533"/>
      <c r="X2339" s="533"/>
      <c r="Y2339" s="533"/>
    </row>
    <row r="2340" spans="1:25" s="88" customFormat="1" ht="30" hidden="1" x14ac:dyDescent="0.25">
      <c r="A2340" s="509"/>
      <c r="B2340" s="256"/>
      <c r="C2340" s="221"/>
      <c r="D2340" s="218"/>
      <c r="E2340" s="218"/>
      <c r="F2340" s="249" t="s">
        <v>255</v>
      </c>
      <c r="G2340" s="252" t="s">
        <v>256</v>
      </c>
      <c r="H2340" s="594"/>
      <c r="I2340" s="595"/>
      <c r="J2340" s="599">
        <f t="shared" si="80"/>
        <v>0</v>
      </c>
      <c r="K2340" s="533"/>
      <c r="L2340" s="533"/>
      <c r="M2340" s="533"/>
      <c r="N2340" s="268"/>
      <c r="O2340" s="533"/>
      <c r="P2340" s="533"/>
      <c r="Q2340" s="533"/>
      <c r="R2340" s="533"/>
      <c r="S2340" s="533"/>
      <c r="T2340" s="533"/>
      <c r="U2340" s="533"/>
      <c r="V2340" s="533"/>
      <c r="W2340" s="533"/>
      <c r="X2340" s="533"/>
      <c r="Y2340" s="533"/>
    </row>
    <row r="2341" spans="1:25" s="88" customFormat="1" hidden="1" x14ac:dyDescent="0.25">
      <c r="A2341" s="509"/>
      <c r="B2341" s="256"/>
      <c r="C2341" s="221"/>
      <c r="D2341" s="218"/>
      <c r="E2341" s="218"/>
      <c r="F2341" s="249" t="s">
        <v>257</v>
      </c>
      <c r="G2341" s="252" t="s">
        <v>258</v>
      </c>
      <c r="H2341" s="594"/>
      <c r="I2341" s="595"/>
      <c r="J2341" s="599">
        <f t="shared" si="80"/>
        <v>0</v>
      </c>
      <c r="K2341" s="533"/>
      <c r="L2341" s="533"/>
      <c r="M2341" s="533"/>
      <c r="N2341" s="268"/>
      <c r="O2341" s="533"/>
      <c r="P2341" s="533"/>
      <c r="Q2341" s="533"/>
      <c r="R2341" s="533"/>
      <c r="S2341" s="533"/>
      <c r="T2341" s="533"/>
      <c r="U2341" s="533"/>
      <c r="V2341" s="533"/>
      <c r="W2341" s="533"/>
      <c r="X2341" s="533"/>
      <c r="Y2341" s="533"/>
    </row>
    <row r="2342" spans="1:25" s="88" customFormat="1" ht="30" hidden="1" x14ac:dyDescent="0.25">
      <c r="A2342" s="509"/>
      <c r="B2342" s="256"/>
      <c r="C2342" s="221"/>
      <c r="D2342" s="218"/>
      <c r="E2342" s="218"/>
      <c r="F2342" s="249" t="s">
        <v>259</v>
      </c>
      <c r="G2342" s="252" t="s">
        <v>260</v>
      </c>
      <c r="H2342" s="594"/>
      <c r="I2342" s="595"/>
      <c r="J2342" s="599">
        <f t="shared" si="80"/>
        <v>0</v>
      </c>
      <c r="K2342" s="533"/>
      <c r="L2342" s="533"/>
      <c r="M2342" s="533"/>
      <c r="N2342" s="268"/>
      <c r="O2342" s="533"/>
      <c r="P2342" s="533"/>
      <c r="Q2342" s="533"/>
      <c r="R2342" s="533"/>
      <c r="S2342" s="533"/>
      <c r="T2342" s="533"/>
      <c r="U2342" s="533"/>
      <c r="V2342" s="533"/>
      <c r="W2342" s="533"/>
      <c r="X2342" s="533"/>
      <c r="Y2342" s="533"/>
    </row>
    <row r="2343" spans="1:25" s="88" customFormat="1" hidden="1" x14ac:dyDescent="0.25">
      <c r="A2343" s="509"/>
      <c r="B2343" s="256"/>
      <c r="C2343" s="221"/>
      <c r="D2343" s="218"/>
      <c r="E2343" s="218"/>
      <c r="F2343" s="249" t="s">
        <v>261</v>
      </c>
      <c r="G2343" s="252" t="s">
        <v>262</v>
      </c>
      <c r="H2343" s="594"/>
      <c r="I2343" s="595"/>
      <c r="J2343" s="599">
        <f t="shared" si="80"/>
        <v>0</v>
      </c>
      <c r="K2343" s="533"/>
      <c r="L2343" s="533"/>
      <c r="M2343" s="533"/>
      <c r="N2343" s="268"/>
      <c r="O2343" s="533"/>
      <c r="P2343" s="533"/>
      <c r="Q2343" s="533"/>
      <c r="R2343" s="533"/>
      <c r="S2343" s="533"/>
      <c r="T2343" s="533"/>
      <c r="U2343" s="533"/>
      <c r="V2343" s="533"/>
      <c r="W2343" s="533"/>
      <c r="X2343" s="533"/>
      <c r="Y2343" s="533"/>
    </row>
    <row r="2344" spans="1:25" s="88" customFormat="1" ht="15.75" hidden="1" thickBot="1" x14ac:dyDescent="0.3">
      <c r="A2344" s="509"/>
      <c r="B2344" s="256"/>
      <c r="C2344" s="221"/>
      <c r="D2344" s="218"/>
      <c r="E2344" s="218"/>
      <c r="F2344" s="249" t="s">
        <v>263</v>
      </c>
      <c r="G2344" s="252" t="s">
        <v>264</v>
      </c>
      <c r="H2344" s="598"/>
      <c r="I2344" s="599"/>
      <c r="J2344" s="599">
        <f t="shared" si="80"/>
        <v>0</v>
      </c>
      <c r="K2344" s="533"/>
      <c r="L2344" s="533"/>
      <c r="M2344" s="533"/>
      <c r="N2344" s="268"/>
      <c r="O2344" s="533"/>
      <c r="P2344" s="533"/>
      <c r="Q2344" s="533"/>
      <c r="R2344" s="533"/>
      <c r="S2344" s="533"/>
      <c r="T2344" s="533"/>
      <c r="U2344" s="533"/>
      <c r="V2344" s="533"/>
      <c r="W2344" s="533"/>
      <c r="X2344" s="533"/>
      <c r="Y2344" s="533"/>
    </row>
    <row r="2345" spans="1:25" s="88" customFormat="1" ht="15.75" thickBot="1" x14ac:dyDescent="0.3">
      <c r="A2345" s="509"/>
      <c r="B2345" s="256"/>
      <c r="C2345" s="221"/>
      <c r="D2345" s="218"/>
      <c r="E2345" s="218"/>
      <c r="F2345" s="218"/>
      <c r="G2345" s="229" t="s">
        <v>4226</v>
      </c>
      <c r="H2345" s="600">
        <f>SUM(H2329:H2344)</f>
        <v>90895000</v>
      </c>
      <c r="I2345" s="601">
        <f>SUM(I2330:I2344)</f>
        <v>0</v>
      </c>
      <c r="J2345" s="601">
        <f>SUM(J2329:J2344)</f>
        <v>90895000</v>
      </c>
      <c r="K2345" s="533"/>
      <c r="L2345" s="533"/>
      <c r="M2345" s="533"/>
      <c r="N2345" s="268"/>
      <c r="O2345" s="533"/>
      <c r="P2345" s="533"/>
      <c r="Q2345" s="533"/>
      <c r="R2345" s="533"/>
      <c r="S2345" s="533"/>
      <c r="T2345" s="533"/>
      <c r="U2345" s="533"/>
      <c r="V2345" s="533"/>
      <c r="W2345" s="533"/>
      <c r="X2345" s="533"/>
      <c r="Y2345" s="533"/>
    </row>
    <row r="2346" spans="1:25" s="88" customFormat="1" x14ac:dyDescent="0.25">
      <c r="A2346" s="509"/>
      <c r="B2346" s="256"/>
      <c r="C2346" s="221"/>
      <c r="D2346" s="218"/>
      <c r="E2346" s="218"/>
      <c r="F2346" s="218"/>
      <c r="G2346" s="286"/>
      <c r="H2346" s="604"/>
      <c r="I2346" s="605"/>
      <c r="J2346" s="605"/>
      <c r="K2346" s="533"/>
      <c r="L2346" s="533"/>
      <c r="M2346" s="533"/>
      <c r="N2346" s="268"/>
      <c r="O2346" s="533"/>
      <c r="P2346" s="533"/>
      <c r="Q2346" s="533"/>
      <c r="R2346" s="533"/>
      <c r="S2346" s="533"/>
      <c r="T2346" s="533"/>
      <c r="U2346" s="533"/>
      <c r="V2346" s="533"/>
      <c r="W2346" s="533"/>
      <c r="X2346" s="533"/>
      <c r="Y2346" s="533"/>
    </row>
    <row r="2347" spans="1:25" s="88" customFormat="1" x14ac:dyDescent="0.25">
      <c r="A2347" s="509"/>
      <c r="B2347" s="256"/>
      <c r="C2347" s="228" t="s">
        <v>3584</v>
      </c>
      <c r="D2347" s="218"/>
      <c r="E2347" s="218"/>
      <c r="F2347" s="218"/>
      <c r="G2347" s="518" t="s">
        <v>4329</v>
      </c>
      <c r="H2347" s="594"/>
      <c r="I2347" s="595"/>
      <c r="J2347" s="595"/>
      <c r="K2347" s="533"/>
      <c r="L2347" s="533"/>
      <c r="M2347" s="533"/>
      <c r="N2347" s="268"/>
      <c r="O2347" s="533"/>
      <c r="P2347" s="533"/>
      <c r="Q2347" s="533"/>
      <c r="R2347" s="533"/>
      <c r="S2347" s="533"/>
      <c r="T2347" s="533"/>
      <c r="U2347" s="533"/>
      <c r="V2347" s="533"/>
      <c r="W2347" s="533"/>
      <c r="X2347" s="533"/>
      <c r="Y2347" s="533"/>
    </row>
    <row r="2348" spans="1:25" s="88" customFormat="1" x14ac:dyDescent="0.25">
      <c r="A2348" s="509"/>
      <c r="B2348" s="256"/>
      <c r="C2348" s="276" t="s">
        <v>5079</v>
      </c>
      <c r="D2348" s="219"/>
      <c r="E2348" s="219"/>
      <c r="F2348" s="277"/>
      <c r="G2348" s="400" t="s">
        <v>4124</v>
      </c>
      <c r="H2348" s="627"/>
      <c r="I2348" s="610"/>
      <c r="J2348" s="628"/>
      <c r="K2348" s="533"/>
      <c r="L2348" s="533"/>
      <c r="M2348" s="533"/>
      <c r="N2348" s="268"/>
      <c r="O2348" s="533"/>
      <c r="P2348" s="533"/>
      <c r="Q2348" s="533"/>
      <c r="R2348" s="533"/>
      <c r="S2348" s="533"/>
      <c r="T2348" s="533"/>
      <c r="U2348" s="533"/>
      <c r="V2348" s="533"/>
      <c r="W2348" s="533"/>
      <c r="X2348" s="533"/>
      <c r="Y2348" s="533"/>
    </row>
    <row r="2349" spans="1:25" s="88" customFormat="1" x14ac:dyDescent="0.25">
      <c r="A2349" s="218"/>
      <c r="B2349" s="218"/>
      <c r="C2349" s="228"/>
      <c r="D2349" s="312">
        <v>620</v>
      </c>
      <c r="E2349" s="312"/>
      <c r="F2349" s="312"/>
      <c r="G2349" s="313" t="s">
        <v>182</v>
      </c>
      <c r="H2349" s="594"/>
      <c r="I2349" s="595"/>
      <c r="J2349" s="595"/>
      <c r="K2349" s="533"/>
      <c r="L2349" s="533"/>
      <c r="M2349" s="533"/>
      <c r="N2349" s="268"/>
      <c r="O2349" s="533"/>
      <c r="P2349" s="533"/>
      <c r="Q2349" s="533"/>
      <c r="R2349" s="533"/>
      <c r="S2349" s="533"/>
      <c r="T2349" s="533"/>
      <c r="U2349" s="533"/>
      <c r="V2349" s="533"/>
      <c r="W2349" s="533"/>
      <c r="X2349" s="533"/>
      <c r="Y2349" s="533"/>
    </row>
    <row r="2350" spans="1:25" s="88" customFormat="1" hidden="1" x14ac:dyDescent="0.25">
      <c r="A2350" s="218"/>
      <c r="B2350" s="218"/>
      <c r="C2350" s="221"/>
      <c r="D2350" s="218"/>
      <c r="E2350" s="218"/>
      <c r="F2350" s="527">
        <v>411</v>
      </c>
      <c r="G2350" s="520" t="s">
        <v>4189</v>
      </c>
      <c r="H2350" s="594"/>
      <c r="I2350" s="595"/>
      <c r="J2350" s="595">
        <f>SUM(H2350:I2350)</f>
        <v>0</v>
      </c>
      <c r="K2350" s="533"/>
      <c r="L2350" s="533"/>
      <c r="M2350" s="533"/>
      <c r="N2350" s="268"/>
      <c r="O2350" s="533"/>
      <c r="P2350" s="533"/>
      <c r="Q2350" s="533"/>
      <c r="R2350" s="533"/>
      <c r="S2350" s="533"/>
      <c r="T2350" s="533"/>
      <c r="U2350" s="533"/>
      <c r="V2350" s="533"/>
      <c r="W2350" s="533"/>
      <c r="X2350" s="533"/>
      <c r="Y2350" s="533"/>
    </row>
    <row r="2351" spans="1:25" s="88" customFormat="1" hidden="1" x14ac:dyDescent="0.25">
      <c r="A2351" s="218"/>
      <c r="B2351" s="218"/>
      <c r="C2351" s="221"/>
      <c r="D2351" s="218"/>
      <c r="E2351" s="218"/>
      <c r="F2351" s="527">
        <v>412</v>
      </c>
      <c r="G2351" s="516" t="s">
        <v>3784</v>
      </c>
      <c r="H2351" s="594"/>
      <c r="I2351" s="595"/>
      <c r="J2351" s="595">
        <f t="shared" ref="J2351:J2409" si="81">SUM(H2351:I2351)</f>
        <v>0</v>
      </c>
      <c r="K2351" s="533"/>
      <c r="L2351" s="533"/>
      <c r="M2351" s="533"/>
      <c r="N2351" s="268"/>
      <c r="O2351" s="533"/>
      <c r="P2351" s="533"/>
      <c r="Q2351" s="533"/>
      <c r="R2351" s="533"/>
      <c r="S2351" s="533"/>
      <c r="T2351" s="533"/>
      <c r="U2351" s="533"/>
      <c r="V2351" s="533"/>
      <c r="W2351" s="533"/>
      <c r="X2351" s="533"/>
      <c r="Y2351" s="533"/>
    </row>
    <row r="2352" spans="1:25" s="88" customFormat="1" hidden="1" x14ac:dyDescent="0.25">
      <c r="A2352" s="218"/>
      <c r="B2352" s="218"/>
      <c r="C2352" s="221"/>
      <c r="D2352" s="218"/>
      <c r="E2352" s="218"/>
      <c r="F2352" s="527">
        <v>413</v>
      </c>
      <c r="G2352" s="520" t="s">
        <v>4190</v>
      </c>
      <c r="H2352" s="594"/>
      <c r="I2352" s="595"/>
      <c r="J2352" s="595">
        <f t="shared" si="81"/>
        <v>0</v>
      </c>
      <c r="K2352" s="533"/>
      <c r="L2352" s="533"/>
      <c r="M2352" s="533"/>
      <c r="N2352" s="268"/>
      <c r="O2352" s="533"/>
      <c r="P2352" s="533"/>
      <c r="Q2352" s="533"/>
      <c r="R2352" s="533"/>
      <c r="S2352" s="533"/>
      <c r="T2352" s="533"/>
      <c r="U2352" s="533"/>
      <c r="V2352" s="533"/>
      <c r="W2352" s="533"/>
      <c r="X2352" s="533"/>
      <c r="Y2352" s="533"/>
    </row>
    <row r="2353" spans="1:25" s="88" customFormat="1" hidden="1" x14ac:dyDescent="0.25">
      <c r="A2353" s="218"/>
      <c r="B2353" s="218"/>
      <c r="C2353" s="221"/>
      <c r="D2353" s="218"/>
      <c r="E2353" s="218"/>
      <c r="F2353" s="527">
        <v>414</v>
      </c>
      <c r="G2353" s="520" t="s">
        <v>3787</v>
      </c>
      <c r="H2353" s="594"/>
      <c r="I2353" s="595"/>
      <c r="J2353" s="595">
        <f t="shared" si="81"/>
        <v>0</v>
      </c>
      <c r="K2353" s="533"/>
      <c r="L2353" s="533"/>
      <c r="M2353" s="533"/>
      <c r="N2353" s="268"/>
      <c r="O2353" s="533"/>
      <c r="P2353" s="533"/>
      <c r="Q2353" s="533"/>
      <c r="R2353" s="533"/>
      <c r="S2353" s="533"/>
      <c r="T2353" s="533"/>
      <c r="U2353" s="533"/>
      <c r="V2353" s="533"/>
      <c r="W2353" s="533"/>
      <c r="X2353" s="533"/>
      <c r="Y2353" s="533"/>
    </row>
    <row r="2354" spans="1:25" s="88" customFormat="1" hidden="1" x14ac:dyDescent="0.25">
      <c r="A2354" s="218"/>
      <c r="B2354" s="218"/>
      <c r="C2354" s="221"/>
      <c r="D2354" s="218"/>
      <c r="E2354" s="218"/>
      <c r="F2354" s="527">
        <v>415</v>
      </c>
      <c r="G2354" s="520" t="s">
        <v>4199</v>
      </c>
      <c r="H2354" s="594"/>
      <c r="I2354" s="595"/>
      <c r="J2354" s="595">
        <f t="shared" si="81"/>
        <v>0</v>
      </c>
      <c r="K2354" s="533"/>
      <c r="L2354" s="533"/>
      <c r="M2354" s="533"/>
      <c r="N2354" s="268"/>
      <c r="O2354" s="533"/>
      <c r="P2354" s="533"/>
      <c r="Q2354" s="533"/>
      <c r="R2354" s="533"/>
      <c r="S2354" s="533"/>
      <c r="T2354" s="533"/>
      <c r="U2354" s="533"/>
      <c r="V2354" s="533"/>
      <c r="W2354" s="533"/>
      <c r="X2354" s="533"/>
      <c r="Y2354" s="533"/>
    </row>
    <row r="2355" spans="1:25" s="88" customFormat="1" hidden="1" x14ac:dyDescent="0.25">
      <c r="A2355" s="218"/>
      <c r="B2355" s="218"/>
      <c r="C2355" s="221"/>
      <c r="D2355" s="218"/>
      <c r="E2355" s="218"/>
      <c r="F2355" s="527">
        <v>416</v>
      </c>
      <c r="G2355" s="520" t="s">
        <v>4200</v>
      </c>
      <c r="H2355" s="594"/>
      <c r="I2355" s="595"/>
      <c r="J2355" s="595">
        <f t="shared" si="81"/>
        <v>0</v>
      </c>
      <c r="K2355" s="533"/>
      <c r="L2355" s="533"/>
      <c r="M2355" s="533"/>
      <c r="N2355" s="268"/>
      <c r="O2355" s="533"/>
      <c r="P2355" s="533"/>
      <c r="Q2355" s="533"/>
      <c r="R2355" s="533"/>
      <c r="S2355" s="533"/>
      <c r="T2355" s="533"/>
      <c r="U2355" s="533"/>
      <c r="V2355" s="533"/>
      <c r="W2355" s="533"/>
      <c r="X2355" s="533"/>
      <c r="Y2355" s="533"/>
    </row>
    <row r="2356" spans="1:25" s="88" customFormat="1" hidden="1" x14ac:dyDescent="0.25">
      <c r="A2356" s="218"/>
      <c r="B2356" s="218"/>
      <c r="C2356" s="221"/>
      <c r="D2356" s="218"/>
      <c r="E2356" s="218"/>
      <c r="F2356" s="527">
        <v>417</v>
      </c>
      <c r="G2356" s="520" t="s">
        <v>4201</v>
      </c>
      <c r="H2356" s="594"/>
      <c r="I2356" s="595"/>
      <c r="J2356" s="595">
        <f t="shared" si="81"/>
        <v>0</v>
      </c>
      <c r="K2356" s="533"/>
      <c r="L2356" s="533"/>
      <c r="M2356" s="533"/>
      <c r="N2356" s="268"/>
      <c r="O2356" s="533"/>
      <c r="P2356" s="533"/>
      <c r="Q2356" s="533"/>
      <c r="R2356" s="533"/>
      <c r="S2356" s="533"/>
      <c r="T2356" s="533"/>
      <c r="U2356" s="533"/>
      <c r="V2356" s="533"/>
      <c r="W2356" s="533"/>
      <c r="X2356" s="533"/>
      <c r="Y2356" s="533"/>
    </row>
    <row r="2357" spans="1:25" s="88" customFormat="1" hidden="1" x14ac:dyDescent="0.25">
      <c r="A2357" s="218"/>
      <c r="B2357" s="218"/>
      <c r="C2357" s="221"/>
      <c r="D2357" s="218"/>
      <c r="E2357" s="218"/>
      <c r="F2357" s="527">
        <v>418</v>
      </c>
      <c r="G2357" s="520" t="s">
        <v>3793</v>
      </c>
      <c r="H2357" s="594"/>
      <c r="I2357" s="595"/>
      <c r="J2357" s="595">
        <f t="shared" si="81"/>
        <v>0</v>
      </c>
      <c r="K2357" s="533"/>
      <c r="L2357" s="533"/>
      <c r="M2357" s="533"/>
      <c r="N2357" s="268"/>
      <c r="O2357" s="533"/>
      <c r="P2357" s="533"/>
      <c r="Q2357" s="533"/>
      <c r="R2357" s="533"/>
      <c r="S2357" s="533"/>
      <c r="T2357" s="533"/>
      <c r="U2357" s="533"/>
      <c r="V2357" s="533"/>
      <c r="W2357" s="533"/>
      <c r="X2357" s="533"/>
      <c r="Y2357" s="533"/>
    </row>
    <row r="2358" spans="1:25" s="88" customFormat="1" hidden="1" x14ac:dyDescent="0.25">
      <c r="A2358" s="218"/>
      <c r="B2358" s="218"/>
      <c r="C2358" s="221"/>
      <c r="D2358" s="218"/>
      <c r="E2358" s="218"/>
      <c r="F2358" s="527">
        <v>421</v>
      </c>
      <c r="G2358" s="520" t="s">
        <v>3797</v>
      </c>
      <c r="H2358" s="594"/>
      <c r="I2358" s="595"/>
      <c r="J2358" s="595">
        <f t="shared" si="81"/>
        <v>0</v>
      </c>
      <c r="K2358" s="533"/>
      <c r="L2358" s="533"/>
      <c r="M2358" s="533"/>
      <c r="N2358" s="268"/>
      <c r="O2358" s="533"/>
      <c r="P2358" s="533"/>
      <c r="Q2358" s="533"/>
      <c r="R2358" s="533"/>
      <c r="S2358" s="533"/>
      <c r="T2358" s="533"/>
      <c r="U2358" s="533"/>
      <c r="V2358" s="533"/>
      <c r="W2358" s="533"/>
      <c r="X2358" s="533"/>
      <c r="Y2358" s="533"/>
    </row>
    <row r="2359" spans="1:25" s="88" customFormat="1" hidden="1" x14ac:dyDescent="0.25">
      <c r="A2359" s="218"/>
      <c r="B2359" s="218"/>
      <c r="C2359" s="221"/>
      <c r="D2359" s="218"/>
      <c r="E2359" s="218"/>
      <c r="F2359" s="527">
        <v>422</v>
      </c>
      <c r="G2359" s="520" t="s">
        <v>3798</v>
      </c>
      <c r="H2359" s="594"/>
      <c r="I2359" s="595"/>
      <c r="J2359" s="595">
        <f t="shared" si="81"/>
        <v>0</v>
      </c>
      <c r="K2359" s="533"/>
      <c r="L2359" s="533"/>
      <c r="M2359" s="533"/>
      <c r="N2359" s="268"/>
      <c r="O2359" s="533"/>
      <c r="P2359" s="533"/>
      <c r="Q2359" s="533"/>
      <c r="R2359" s="533"/>
      <c r="S2359" s="533"/>
      <c r="T2359" s="533"/>
      <c r="U2359" s="533"/>
      <c r="V2359" s="533"/>
      <c r="W2359" s="533"/>
      <c r="X2359" s="533"/>
      <c r="Y2359" s="533"/>
    </row>
    <row r="2360" spans="1:25" s="88" customFormat="1" hidden="1" x14ac:dyDescent="0.25">
      <c r="A2360" s="218"/>
      <c r="B2360" s="218"/>
      <c r="C2360" s="221"/>
      <c r="D2360" s="218"/>
      <c r="E2360" s="218"/>
      <c r="F2360" s="527">
        <v>423</v>
      </c>
      <c r="G2360" s="520" t="s">
        <v>3799</v>
      </c>
      <c r="H2360" s="594"/>
      <c r="I2360" s="595"/>
      <c r="J2360" s="595">
        <f t="shared" si="81"/>
        <v>0</v>
      </c>
      <c r="K2360" s="533"/>
      <c r="L2360" s="533"/>
      <c r="M2360" s="533"/>
      <c r="N2360" s="268"/>
      <c r="O2360" s="533"/>
      <c r="P2360" s="533"/>
      <c r="Q2360" s="533"/>
      <c r="R2360" s="533"/>
      <c r="S2360" s="533"/>
      <c r="T2360" s="533"/>
      <c r="U2360" s="533"/>
      <c r="V2360" s="533"/>
      <c r="W2360" s="533"/>
      <c r="X2360" s="533"/>
      <c r="Y2360" s="533"/>
    </row>
    <row r="2361" spans="1:25" s="88" customFormat="1" x14ac:dyDescent="0.25">
      <c r="A2361" s="218"/>
      <c r="B2361" s="218"/>
      <c r="C2361" s="221"/>
      <c r="D2361" s="218"/>
      <c r="E2361" s="218">
        <v>38</v>
      </c>
      <c r="F2361" s="527">
        <v>424</v>
      </c>
      <c r="G2361" s="520" t="s">
        <v>3801</v>
      </c>
      <c r="H2361" s="594">
        <v>25000000</v>
      </c>
      <c r="I2361" s="595"/>
      <c r="J2361" s="595">
        <f t="shared" si="81"/>
        <v>25000000</v>
      </c>
      <c r="K2361" s="533"/>
      <c r="L2361" s="533"/>
      <c r="M2361" s="533"/>
      <c r="N2361" s="268"/>
      <c r="O2361" s="533"/>
      <c r="P2361" s="533"/>
      <c r="Q2361" s="533"/>
      <c r="R2361" s="533"/>
      <c r="S2361" s="533"/>
      <c r="T2361" s="533"/>
      <c r="U2361" s="533"/>
      <c r="V2361" s="533"/>
      <c r="W2361" s="533"/>
      <c r="X2361" s="533"/>
      <c r="Y2361" s="533"/>
    </row>
    <row r="2362" spans="1:25" s="88" customFormat="1" hidden="1" x14ac:dyDescent="0.25">
      <c r="A2362" s="218"/>
      <c r="B2362" s="218"/>
      <c r="C2362" s="221"/>
      <c r="D2362" s="218"/>
      <c r="E2362" s="218"/>
      <c r="F2362" s="527">
        <v>425</v>
      </c>
      <c r="G2362" s="520" t="s">
        <v>4202</v>
      </c>
      <c r="H2362" s="594"/>
      <c r="I2362" s="595"/>
      <c r="J2362" s="595">
        <f t="shared" si="81"/>
        <v>0</v>
      </c>
      <c r="K2362" s="533"/>
      <c r="L2362" s="533"/>
      <c r="M2362" s="533"/>
      <c r="N2362" s="268"/>
      <c r="O2362" s="533"/>
      <c r="P2362" s="533"/>
      <c r="Q2362" s="533"/>
      <c r="R2362" s="533"/>
      <c r="S2362" s="533"/>
      <c r="T2362" s="533"/>
      <c r="U2362" s="533"/>
      <c r="V2362" s="533"/>
      <c r="W2362" s="533"/>
      <c r="X2362" s="533"/>
      <c r="Y2362" s="533"/>
    </row>
    <row r="2363" spans="1:25" s="88" customFormat="1" hidden="1" x14ac:dyDescent="0.25">
      <c r="A2363" s="218"/>
      <c r="B2363" s="218"/>
      <c r="C2363" s="221"/>
      <c r="D2363" s="218"/>
      <c r="E2363" s="218"/>
      <c r="F2363" s="527">
        <v>426</v>
      </c>
      <c r="G2363" s="520" t="s">
        <v>3805</v>
      </c>
      <c r="H2363" s="594"/>
      <c r="I2363" s="595"/>
      <c r="J2363" s="595">
        <f t="shared" si="81"/>
        <v>0</v>
      </c>
      <c r="K2363" s="533"/>
      <c r="L2363" s="533"/>
      <c r="M2363" s="533"/>
      <c r="N2363" s="268"/>
      <c r="O2363" s="533"/>
      <c r="P2363" s="533"/>
      <c r="Q2363" s="533"/>
      <c r="R2363" s="533"/>
      <c r="S2363" s="533"/>
      <c r="T2363" s="533"/>
      <c r="U2363" s="533"/>
      <c r="V2363" s="533"/>
      <c r="W2363" s="533"/>
      <c r="X2363" s="533"/>
      <c r="Y2363" s="533"/>
    </row>
    <row r="2364" spans="1:25" s="88" customFormat="1" hidden="1" x14ac:dyDescent="0.25">
      <c r="A2364" s="218"/>
      <c r="B2364" s="218"/>
      <c r="C2364" s="221"/>
      <c r="D2364" s="218"/>
      <c r="E2364" s="218"/>
      <c r="F2364" s="527">
        <v>431</v>
      </c>
      <c r="G2364" s="520" t="s">
        <v>4203</v>
      </c>
      <c r="H2364" s="594"/>
      <c r="I2364" s="595"/>
      <c r="J2364" s="595">
        <f t="shared" si="81"/>
        <v>0</v>
      </c>
      <c r="K2364" s="533"/>
      <c r="L2364" s="533"/>
      <c r="M2364" s="533"/>
      <c r="N2364" s="268"/>
      <c r="O2364" s="533"/>
      <c r="P2364" s="533"/>
      <c r="Q2364" s="533"/>
      <c r="R2364" s="533"/>
      <c r="S2364" s="533"/>
      <c r="T2364" s="533"/>
      <c r="U2364" s="533"/>
      <c r="V2364" s="533"/>
      <c r="W2364" s="533"/>
      <c r="X2364" s="533"/>
      <c r="Y2364" s="533"/>
    </row>
    <row r="2365" spans="1:25" s="88" customFormat="1" hidden="1" x14ac:dyDescent="0.25">
      <c r="A2365" s="218"/>
      <c r="B2365" s="218"/>
      <c r="C2365" s="221"/>
      <c r="D2365" s="218"/>
      <c r="E2365" s="218"/>
      <c r="F2365" s="527">
        <v>432</v>
      </c>
      <c r="G2365" s="520" t="s">
        <v>4204</v>
      </c>
      <c r="H2365" s="594"/>
      <c r="I2365" s="595"/>
      <c r="J2365" s="595">
        <f t="shared" si="81"/>
        <v>0</v>
      </c>
      <c r="K2365" s="533"/>
      <c r="L2365" s="533"/>
      <c r="M2365" s="533"/>
      <c r="N2365" s="268"/>
      <c r="O2365" s="533"/>
      <c r="P2365" s="533"/>
      <c r="Q2365" s="533"/>
      <c r="R2365" s="533"/>
      <c r="S2365" s="533"/>
      <c r="T2365" s="533"/>
      <c r="U2365" s="533"/>
      <c r="V2365" s="533"/>
      <c r="W2365" s="533"/>
      <c r="X2365" s="533"/>
      <c r="Y2365" s="533"/>
    </row>
    <row r="2366" spans="1:25" s="88" customFormat="1" hidden="1" x14ac:dyDescent="0.25">
      <c r="A2366" s="218"/>
      <c r="B2366" s="218"/>
      <c r="C2366" s="221"/>
      <c r="D2366" s="218"/>
      <c r="E2366" s="218"/>
      <c r="F2366" s="527">
        <v>433</v>
      </c>
      <c r="G2366" s="520" t="s">
        <v>4205</v>
      </c>
      <c r="H2366" s="594"/>
      <c r="I2366" s="595"/>
      <c r="J2366" s="595">
        <f t="shared" si="81"/>
        <v>0</v>
      </c>
      <c r="K2366" s="533"/>
      <c r="L2366" s="533"/>
      <c r="M2366" s="533"/>
      <c r="N2366" s="268"/>
      <c r="O2366" s="533"/>
      <c r="P2366" s="533"/>
      <c r="Q2366" s="533"/>
      <c r="R2366" s="533"/>
      <c r="S2366" s="533"/>
      <c r="T2366" s="533"/>
      <c r="U2366" s="533"/>
      <c r="V2366" s="533"/>
      <c r="W2366" s="533"/>
      <c r="X2366" s="533"/>
      <c r="Y2366" s="533"/>
    </row>
    <row r="2367" spans="1:25" s="88" customFormat="1" hidden="1" x14ac:dyDescent="0.25">
      <c r="A2367" s="218"/>
      <c r="B2367" s="218"/>
      <c r="C2367" s="221"/>
      <c r="D2367" s="218"/>
      <c r="E2367" s="218"/>
      <c r="F2367" s="527">
        <v>434</v>
      </c>
      <c r="G2367" s="520" t="s">
        <v>4206</v>
      </c>
      <c r="H2367" s="594"/>
      <c r="I2367" s="595"/>
      <c r="J2367" s="595">
        <f t="shared" si="81"/>
        <v>0</v>
      </c>
      <c r="K2367" s="533"/>
      <c r="L2367" s="533"/>
      <c r="M2367" s="533"/>
      <c r="N2367" s="268"/>
      <c r="O2367" s="533"/>
      <c r="P2367" s="533"/>
      <c r="Q2367" s="533"/>
      <c r="R2367" s="533"/>
      <c r="S2367" s="533"/>
      <c r="T2367" s="533"/>
      <c r="U2367" s="533"/>
      <c r="V2367" s="533"/>
      <c r="W2367" s="533"/>
      <c r="X2367" s="533"/>
      <c r="Y2367" s="533"/>
    </row>
    <row r="2368" spans="1:25" s="88" customFormat="1" hidden="1" x14ac:dyDescent="0.25">
      <c r="A2368" s="218"/>
      <c r="B2368" s="218"/>
      <c r="C2368" s="221"/>
      <c r="D2368" s="218"/>
      <c r="E2368" s="218"/>
      <c r="F2368" s="527">
        <v>435</v>
      </c>
      <c r="G2368" s="520" t="s">
        <v>3812</v>
      </c>
      <c r="H2368" s="594"/>
      <c r="I2368" s="595"/>
      <c r="J2368" s="595">
        <f t="shared" si="81"/>
        <v>0</v>
      </c>
      <c r="K2368" s="533"/>
      <c r="L2368" s="533"/>
      <c r="M2368" s="533"/>
      <c r="N2368" s="268"/>
      <c r="O2368" s="533"/>
      <c r="P2368" s="533"/>
      <c r="Q2368" s="533"/>
      <c r="R2368" s="533"/>
      <c r="S2368" s="533"/>
      <c r="T2368" s="533"/>
      <c r="U2368" s="533"/>
      <c r="V2368" s="533"/>
      <c r="W2368" s="533"/>
      <c r="X2368" s="533"/>
      <c r="Y2368" s="533"/>
    </row>
    <row r="2369" spans="1:25" s="88" customFormat="1" hidden="1" x14ac:dyDescent="0.25">
      <c r="A2369" s="218"/>
      <c r="B2369" s="218"/>
      <c r="C2369" s="221"/>
      <c r="D2369" s="218"/>
      <c r="E2369" s="218"/>
      <c r="F2369" s="527">
        <v>441</v>
      </c>
      <c r="G2369" s="520" t="s">
        <v>4207</v>
      </c>
      <c r="H2369" s="594"/>
      <c r="I2369" s="595"/>
      <c r="J2369" s="595">
        <f t="shared" si="81"/>
        <v>0</v>
      </c>
      <c r="K2369" s="533"/>
      <c r="L2369" s="533"/>
      <c r="M2369" s="533"/>
      <c r="N2369" s="268"/>
      <c r="O2369" s="533"/>
      <c r="P2369" s="533"/>
      <c r="Q2369" s="533"/>
      <c r="R2369" s="533"/>
      <c r="S2369" s="533"/>
      <c r="T2369" s="533"/>
      <c r="U2369" s="533"/>
      <c r="V2369" s="533"/>
      <c r="W2369" s="533"/>
      <c r="X2369" s="533"/>
      <c r="Y2369" s="533"/>
    </row>
    <row r="2370" spans="1:25" s="88" customFormat="1" hidden="1" x14ac:dyDescent="0.25">
      <c r="A2370" s="218"/>
      <c r="B2370" s="218"/>
      <c r="C2370" s="221"/>
      <c r="D2370" s="218"/>
      <c r="E2370" s="218"/>
      <c r="F2370" s="527">
        <v>442</v>
      </c>
      <c r="G2370" s="520" t="s">
        <v>4208</v>
      </c>
      <c r="H2370" s="594"/>
      <c r="I2370" s="595"/>
      <c r="J2370" s="595">
        <f t="shared" si="81"/>
        <v>0</v>
      </c>
      <c r="K2370" s="533"/>
      <c r="L2370" s="533"/>
      <c r="M2370" s="533"/>
      <c r="N2370" s="268"/>
      <c r="O2370" s="533"/>
      <c r="P2370" s="533"/>
      <c r="Q2370" s="533"/>
      <c r="R2370" s="533"/>
      <c r="S2370" s="533"/>
      <c r="T2370" s="533"/>
      <c r="U2370" s="533"/>
      <c r="V2370" s="533"/>
      <c r="W2370" s="533"/>
      <c r="X2370" s="533"/>
      <c r="Y2370" s="533"/>
    </row>
    <row r="2371" spans="1:25" s="88" customFormat="1" hidden="1" x14ac:dyDescent="0.25">
      <c r="A2371" s="218"/>
      <c r="B2371" s="218"/>
      <c r="C2371" s="221"/>
      <c r="D2371" s="218"/>
      <c r="E2371" s="218"/>
      <c r="F2371" s="527">
        <v>443</v>
      </c>
      <c r="G2371" s="520" t="s">
        <v>3817</v>
      </c>
      <c r="H2371" s="594"/>
      <c r="I2371" s="595"/>
      <c r="J2371" s="595">
        <f t="shared" si="81"/>
        <v>0</v>
      </c>
      <c r="K2371" s="533"/>
      <c r="L2371" s="533"/>
      <c r="M2371" s="533"/>
      <c r="N2371" s="268"/>
      <c r="O2371" s="533"/>
      <c r="P2371" s="533"/>
      <c r="Q2371" s="533"/>
      <c r="R2371" s="533"/>
      <c r="S2371" s="533"/>
      <c r="T2371" s="533"/>
      <c r="U2371" s="533"/>
      <c r="V2371" s="533"/>
      <c r="W2371" s="533"/>
      <c r="X2371" s="533"/>
      <c r="Y2371" s="533"/>
    </row>
    <row r="2372" spans="1:25" s="88" customFormat="1" hidden="1" x14ac:dyDescent="0.25">
      <c r="A2372" s="218"/>
      <c r="B2372" s="218"/>
      <c r="C2372" s="221"/>
      <c r="D2372" s="218"/>
      <c r="E2372" s="218"/>
      <c r="F2372" s="527">
        <v>444</v>
      </c>
      <c r="G2372" s="520" t="s">
        <v>3818</v>
      </c>
      <c r="H2372" s="594"/>
      <c r="I2372" s="595"/>
      <c r="J2372" s="595">
        <f t="shared" si="81"/>
        <v>0</v>
      </c>
      <c r="K2372" s="533"/>
      <c r="L2372" s="533"/>
      <c r="M2372" s="533"/>
      <c r="N2372" s="268"/>
      <c r="O2372" s="533"/>
      <c r="P2372" s="533"/>
      <c r="Q2372" s="533"/>
      <c r="R2372" s="533"/>
      <c r="S2372" s="533"/>
      <c r="T2372" s="533"/>
      <c r="U2372" s="533"/>
      <c r="V2372" s="533"/>
      <c r="W2372" s="533"/>
      <c r="X2372" s="533"/>
      <c r="Y2372" s="533"/>
    </row>
    <row r="2373" spans="1:25" s="88" customFormat="1" ht="30" hidden="1" x14ac:dyDescent="0.25">
      <c r="A2373" s="218"/>
      <c r="B2373" s="218"/>
      <c r="C2373" s="221"/>
      <c r="D2373" s="218"/>
      <c r="E2373" s="218"/>
      <c r="F2373" s="527">
        <v>4511</v>
      </c>
      <c r="G2373" s="223" t="s">
        <v>1692</v>
      </c>
      <c r="H2373" s="594"/>
      <c r="I2373" s="595"/>
      <c r="J2373" s="595">
        <f t="shared" si="81"/>
        <v>0</v>
      </c>
      <c r="K2373" s="533"/>
      <c r="L2373" s="533"/>
      <c r="M2373" s="533"/>
      <c r="N2373" s="268"/>
      <c r="O2373" s="533"/>
      <c r="P2373" s="533"/>
      <c r="Q2373" s="533"/>
      <c r="R2373" s="533"/>
      <c r="S2373" s="533"/>
      <c r="T2373" s="533"/>
      <c r="U2373" s="533"/>
      <c r="V2373" s="533"/>
      <c r="W2373" s="533"/>
      <c r="X2373" s="533"/>
      <c r="Y2373" s="533"/>
    </row>
    <row r="2374" spans="1:25" s="88" customFormat="1" ht="30" hidden="1" x14ac:dyDescent="0.25">
      <c r="A2374" s="218"/>
      <c r="B2374" s="218"/>
      <c r="C2374" s="221"/>
      <c r="D2374" s="218"/>
      <c r="E2374" s="218"/>
      <c r="F2374" s="527">
        <v>4512</v>
      </c>
      <c r="G2374" s="223" t="s">
        <v>1701</v>
      </c>
      <c r="H2374" s="594"/>
      <c r="I2374" s="595"/>
      <c r="J2374" s="595">
        <f t="shared" si="81"/>
        <v>0</v>
      </c>
      <c r="K2374" s="533"/>
      <c r="L2374" s="533"/>
      <c r="M2374" s="533"/>
      <c r="N2374" s="268"/>
      <c r="O2374" s="533"/>
      <c r="P2374" s="533"/>
      <c r="Q2374" s="533"/>
      <c r="R2374" s="533"/>
      <c r="S2374" s="533"/>
      <c r="T2374" s="533"/>
      <c r="U2374" s="533"/>
      <c r="V2374" s="533"/>
      <c r="W2374" s="533"/>
      <c r="X2374" s="533"/>
      <c r="Y2374" s="533"/>
    </row>
    <row r="2375" spans="1:25" s="88" customFormat="1" hidden="1" x14ac:dyDescent="0.25">
      <c r="A2375" s="218"/>
      <c r="B2375" s="218"/>
      <c r="C2375" s="221"/>
      <c r="D2375" s="218"/>
      <c r="E2375" s="218"/>
      <c r="F2375" s="527">
        <v>452</v>
      </c>
      <c r="G2375" s="520" t="s">
        <v>4209</v>
      </c>
      <c r="H2375" s="594"/>
      <c r="I2375" s="595"/>
      <c r="J2375" s="595">
        <f t="shared" si="81"/>
        <v>0</v>
      </c>
      <c r="K2375" s="533"/>
      <c r="L2375" s="533"/>
      <c r="M2375" s="533"/>
      <c r="N2375" s="268"/>
      <c r="O2375" s="533"/>
      <c r="P2375" s="533"/>
      <c r="Q2375" s="533"/>
      <c r="R2375" s="533"/>
      <c r="S2375" s="533"/>
      <c r="T2375" s="533"/>
      <c r="U2375" s="533"/>
      <c r="V2375" s="533"/>
      <c r="W2375" s="533"/>
      <c r="X2375" s="533"/>
      <c r="Y2375" s="533"/>
    </row>
    <row r="2376" spans="1:25" s="88" customFormat="1" hidden="1" x14ac:dyDescent="0.25">
      <c r="A2376" s="218"/>
      <c r="B2376" s="218"/>
      <c r="C2376" s="221"/>
      <c r="D2376" s="218"/>
      <c r="E2376" s="218"/>
      <c r="F2376" s="527">
        <v>453</v>
      </c>
      <c r="G2376" s="520" t="s">
        <v>4210</v>
      </c>
      <c r="H2376" s="594"/>
      <c r="I2376" s="595"/>
      <c r="J2376" s="595">
        <f t="shared" si="81"/>
        <v>0</v>
      </c>
      <c r="K2376" s="533"/>
      <c r="L2376" s="533"/>
      <c r="M2376" s="533"/>
      <c r="N2376" s="268"/>
      <c r="O2376" s="533"/>
      <c r="P2376" s="533"/>
      <c r="Q2376" s="533"/>
      <c r="R2376" s="533"/>
      <c r="S2376" s="533"/>
      <c r="T2376" s="533"/>
      <c r="U2376" s="533"/>
      <c r="V2376" s="533"/>
      <c r="W2376" s="533"/>
      <c r="X2376" s="533"/>
      <c r="Y2376" s="533"/>
    </row>
    <row r="2377" spans="1:25" s="88" customFormat="1" hidden="1" x14ac:dyDescent="0.25">
      <c r="A2377" s="218"/>
      <c r="B2377" s="218"/>
      <c r="C2377" s="221"/>
      <c r="D2377" s="218"/>
      <c r="E2377" s="218"/>
      <c r="F2377" s="527">
        <v>454</v>
      </c>
      <c r="G2377" s="520" t="s">
        <v>3823</v>
      </c>
      <c r="H2377" s="594"/>
      <c r="I2377" s="595"/>
      <c r="J2377" s="595">
        <f t="shared" si="81"/>
        <v>0</v>
      </c>
      <c r="K2377" s="533"/>
      <c r="L2377" s="533"/>
      <c r="M2377" s="533"/>
      <c r="N2377" s="268"/>
      <c r="O2377" s="533"/>
      <c r="P2377" s="533"/>
      <c r="Q2377" s="533"/>
      <c r="R2377" s="533"/>
      <c r="S2377" s="533"/>
      <c r="T2377" s="533"/>
      <c r="U2377" s="533"/>
      <c r="V2377" s="533"/>
      <c r="W2377" s="533"/>
      <c r="X2377" s="533"/>
      <c r="Y2377" s="533"/>
    </row>
    <row r="2378" spans="1:25" s="88" customFormat="1" hidden="1" x14ac:dyDescent="0.25">
      <c r="A2378" s="218"/>
      <c r="B2378" s="218"/>
      <c r="C2378" s="221"/>
      <c r="D2378" s="218"/>
      <c r="E2378" s="218"/>
      <c r="F2378" s="527">
        <v>461</v>
      </c>
      <c r="G2378" s="520" t="s">
        <v>4191</v>
      </c>
      <c r="H2378" s="594"/>
      <c r="I2378" s="595"/>
      <c r="J2378" s="595">
        <f t="shared" si="81"/>
        <v>0</v>
      </c>
      <c r="K2378" s="533"/>
      <c r="L2378" s="533"/>
      <c r="M2378" s="533"/>
      <c r="N2378" s="268"/>
      <c r="O2378" s="533"/>
      <c r="P2378" s="533"/>
      <c r="Q2378" s="533"/>
      <c r="R2378" s="533"/>
      <c r="S2378" s="533"/>
      <c r="T2378" s="533"/>
      <c r="U2378" s="533"/>
      <c r="V2378" s="533"/>
      <c r="W2378" s="533"/>
      <c r="X2378" s="533"/>
      <c r="Y2378" s="533"/>
    </row>
    <row r="2379" spans="1:25" s="88" customFormat="1" hidden="1" x14ac:dyDescent="0.25">
      <c r="A2379" s="218"/>
      <c r="B2379" s="218"/>
      <c r="C2379" s="221"/>
      <c r="D2379" s="218"/>
      <c r="E2379" s="218"/>
      <c r="F2379" s="527">
        <v>462</v>
      </c>
      <c r="G2379" s="520" t="s">
        <v>3826</v>
      </c>
      <c r="H2379" s="594"/>
      <c r="I2379" s="595"/>
      <c r="J2379" s="595">
        <f t="shared" si="81"/>
        <v>0</v>
      </c>
      <c r="K2379" s="533"/>
      <c r="L2379" s="533"/>
      <c r="M2379" s="533"/>
      <c r="N2379" s="268"/>
      <c r="O2379" s="533"/>
      <c r="P2379" s="533"/>
      <c r="Q2379" s="533"/>
      <c r="R2379" s="533"/>
      <c r="S2379" s="533"/>
      <c r="T2379" s="533"/>
      <c r="U2379" s="533"/>
      <c r="V2379" s="533"/>
      <c r="W2379" s="533"/>
      <c r="X2379" s="533"/>
      <c r="Y2379" s="533"/>
    </row>
    <row r="2380" spans="1:25" s="88" customFormat="1" hidden="1" x14ac:dyDescent="0.25">
      <c r="A2380" s="218"/>
      <c r="B2380" s="218"/>
      <c r="C2380" s="221"/>
      <c r="D2380" s="218"/>
      <c r="E2380" s="218"/>
      <c r="F2380" s="527">
        <v>4631</v>
      </c>
      <c r="G2380" s="520" t="s">
        <v>3827</v>
      </c>
      <c r="H2380" s="594"/>
      <c r="I2380" s="595"/>
      <c r="J2380" s="595">
        <f t="shared" si="81"/>
        <v>0</v>
      </c>
      <c r="K2380" s="533"/>
      <c r="L2380" s="533"/>
      <c r="M2380" s="533"/>
      <c r="N2380" s="268"/>
      <c r="O2380" s="533"/>
      <c r="P2380" s="533"/>
      <c r="Q2380" s="533"/>
      <c r="R2380" s="533"/>
      <c r="S2380" s="533"/>
      <c r="T2380" s="533"/>
      <c r="U2380" s="533"/>
      <c r="V2380" s="533"/>
      <c r="W2380" s="533"/>
      <c r="X2380" s="533"/>
      <c r="Y2380" s="533"/>
    </row>
    <row r="2381" spans="1:25" s="88" customFormat="1" hidden="1" x14ac:dyDescent="0.25">
      <c r="A2381" s="218"/>
      <c r="B2381" s="218"/>
      <c r="C2381" s="221"/>
      <c r="D2381" s="218"/>
      <c r="E2381" s="218"/>
      <c r="F2381" s="527">
        <v>4632</v>
      </c>
      <c r="G2381" s="520" t="s">
        <v>3828</v>
      </c>
      <c r="H2381" s="594"/>
      <c r="I2381" s="595"/>
      <c r="J2381" s="595">
        <f t="shared" si="81"/>
        <v>0</v>
      </c>
      <c r="K2381" s="533"/>
      <c r="L2381" s="533"/>
      <c r="M2381" s="533"/>
      <c r="N2381" s="268"/>
      <c r="O2381" s="533"/>
      <c r="P2381" s="533"/>
      <c r="Q2381" s="533"/>
      <c r="R2381" s="533"/>
      <c r="S2381" s="533"/>
      <c r="T2381" s="533"/>
      <c r="U2381" s="533"/>
      <c r="V2381" s="533"/>
      <c r="W2381" s="533"/>
      <c r="X2381" s="533"/>
      <c r="Y2381" s="533"/>
    </row>
    <row r="2382" spans="1:25" s="88" customFormat="1" hidden="1" x14ac:dyDescent="0.25">
      <c r="A2382" s="218"/>
      <c r="B2382" s="218"/>
      <c r="C2382" s="221"/>
      <c r="D2382" s="218"/>
      <c r="E2382" s="218"/>
      <c r="F2382" s="527">
        <v>464</v>
      </c>
      <c r="G2382" s="520" t="s">
        <v>3829</v>
      </c>
      <c r="H2382" s="594"/>
      <c r="I2382" s="595"/>
      <c r="J2382" s="595">
        <f t="shared" si="81"/>
        <v>0</v>
      </c>
      <c r="K2382" s="533"/>
      <c r="L2382" s="533"/>
      <c r="M2382" s="533"/>
      <c r="N2382" s="268"/>
      <c r="O2382" s="533"/>
      <c r="P2382" s="533"/>
      <c r="Q2382" s="533"/>
      <c r="R2382" s="533"/>
      <c r="S2382" s="533"/>
      <c r="T2382" s="533"/>
      <c r="U2382" s="533"/>
      <c r="V2382" s="533"/>
      <c r="W2382" s="533"/>
      <c r="X2382" s="533"/>
      <c r="Y2382" s="533"/>
    </row>
    <row r="2383" spans="1:25" s="88" customFormat="1" hidden="1" x14ac:dyDescent="0.25">
      <c r="A2383" s="218"/>
      <c r="B2383" s="218"/>
      <c r="C2383" s="221"/>
      <c r="D2383" s="218"/>
      <c r="E2383" s="218"/>
      <c r="F2383" s="527">
        <v>465</v>
      </c>
      <c r="G2383" s="520" t="s">
        <v>4192</v>
      </c>
      <c r="H2383" s="594"/>
      <c r="I2383" s="595"/>
      <c r="J2383" s="595">
        <f t="shared" si="81"/>
        <v>0</v>
      </c>
      <c r="K2383" s="533"/>
      <c r="L2383" s="533"/>
      <c r="M2383" s="533"/>
      <c r="N2383" s="268"/>
      <c r="O2383" s="533"/>
      <c r="P2383" s="533"/>
      <c r="Q2383" s="533"/>
      <c r="R2383" s="533"/>
      <c r="S2383" s="533"/>
      <c r="T2383" s="533"/>
      <c r="U2383" s="533"/>
      <c r="V2383" s="533"/>
      <c r="W2383" s="533"/>
      <c r="X2383" s="533"/>
      <c r="Y2383" s="533"/>
    </row>
    <row r="2384" spans="1:25" s="88" customFormat="1" hidden="1" x14ac:dyDescent="0.25">
      <c r="A2384" s="218"/>
      <c r="B2384" s="218"/>
      <c r="C2384" s="221"/>
      <c r="D2384" s="218"/>
      <c r="E2384" s="218"/>
      <c r="F2384" s="527">
        <v>472</v>
      </c>
      <c r="G2384" s="520" t="s">
        <v>3833</v>
      </c>
      <c r="H2384" s="594"/>
      <c r="I2384" s="595"/>
      <c r="J2384" s="595">
        <f t="shared" si="81"/>
        <v>0</v>
      </c>
      <c r="K2384" s="533"/>
      <c r="L2384" s="533"/>
      <c r="M2384" s="533"/>
      <c r="N2384" s="268"/>
      <c r="O2384" s="533"/>
      <c r="P2384" s="533"/>
      <c r="Q2384" s="533"/>
      <c r="R2384" s="533"/>
      <c r="S2384" s="533"/>
      <c r="T2384" s="533"/>
      <c r="U2384" s="533"/>
      <c r="V2384" s="533"/>
      <c r="W2384" s="533"/>
      <c r="X2384" s="533"/>
      <c r="Y2384" s="533"/>
    </row>
    <row r="2385" spans="1:25" s="88" customFormat="1" hidden="1" x14ac:dyDescent="0.25">
      <c r="A2385" s="218"/>
      <c r="B2385" s="218"/>
      <c r="C2385" s="221"/>
      <c r="D2385" s="218"/>
      <c r="E2385" s="218"/>
      <c r="F2385" s="527">
        <v>481</v>
      </c>
      <c r="G2385" s="520" t="s">
        <v>4211</v>
      </c>
      <c r="H2385" s="594"/>
      <c r="I2385" s="595"/>
      <c r="J2385" s="595">
        <f t="shared" si="81"/>
        <v>0</v>
      </c>
      <c r="K2385" s="533"/>
      <c r="L2385" s="533"/>
      <c r="M2385" s="533"/>
      <c r="N2385" s="268"/>
      <c r="O2385" s="533"/>
      <c r="P2385" s="533"/>
      <c r="Q2385" s="533"/>
      <c r="R2385" s="533"/>
      <c r="S2385" s="533"/>
      <c r="T2385" s="533"/>
      <c r="U2385" s="533"/>
      <c r="V2385" s="533"/>
      <c r="W2385" s="533"/>
      <c r="X2385" s="533"/>
      <c r="Y2385" s="533"/>
    </row>
    <row r="2386" spans="1:25" s="88" customFormat="1" hidden="1" x14ac:dyDescent="0.25">
      <c r="A2386" s="218"/>
      <c r="B2386" s="218"/>
      <c r="C2386" s="221"/>
      <c r="D2386" s="218"/>
      <c r="E2386" s="218"/>
      <c r="F2386" s="527">
        <v>482</v>
      </c>
      <c r="G2386" s="520" t="s">
        <v>4212</v>
      </c>
      <c r="H2386" s="594"/>
      <c r="I2386" s="595"/>
      <c r="J2386" s="595">
        <f t="shared" si="81"/>
        <v>0</v>
      </c>
      <c r="K2386" s="533"/>
      <c r="L2386" s="533"/>
      <c r="M2386" s="533"/>
      <c r="N2386" s="268"/>
      <c r="O2386" s="533"/>
      <c r="P2386" s="533"/>
      <c r="Q2386" s="533"/>
      <c r="R2386" s="533"/>
      <c r="S2386" s="533"/>
      <c r="T2386" s="533"/>
      <c r="U2386" s="533"/>
      <c r="V2386" s="533"/>
      <c r="W2386" s="533"/>
      <c r="X2386" s="533"/>
      <c r="Y2386" s="533"/>
    </row>
    <row r="2387" spans="1:25" s="88" customFormat="1" hidden="1" x14ac:dyDescent="0.25">
      <c r="A2387" s="218"/>
      <c r="B2387" s="218"/>
      <c r="C2387" s="221"/>
      <c r="D2387" s="218"/>
      <c r="E2387" s="218"/>
      <c r="F2387" s="527">
        <v>483</v>
      </c>
      <c r="G2387" s="524" t="s">
        <v>4213</v>
      </c>
      <c r="H2387" s="594"/>
      <c r="I2387" s="595"/>
      <c r="J2387" s="595">
        <f t="shared" si="81"/>
        <v>0</v>
      </c>
      <c r="K2387" s="533"/>
      <c r="L2387" s="533"/>
      <c r="M2387" s="533"/>
      <c r="N2387" s="268"/>
      <c r="O2387" s="533"/>
      <c r="P2387" s="533"/>
      <c r="Q2387" s="533"/>
      <c r="R2387" s="533"/>
      <c r="S2387" s="533"/>
      <c r="T2387" s="533"/>
      <c r="U2387" s="533"/>
      <c r="V2387" s="533"/>
      <c r="W2387" s="533"/>
      <c r="X2387" s="533"/>
      <c r="Y2387" s="533"/>
    </row>
    <row r="2388" spans="1:25" s="88" customFormat="1" ht="30" hidden="1" x14ac:dyDescent="0.25">
      <c r="A2388" s="218"/>
      <c r="B2388" s="218"/>
      <c r="C2388" s="221"/>
      <c r="D2388" s="218"/>
      <c r="E2388" s="218"/>
      <c r="F2388" s="527">
        <v>484</v>
      </c>
      <c r="G2388" s="520" t="s">
        <v>4214</v>
      </c>
      <c r="H2388" s="594"/>
      <c r="I2388" s="595"/>
      <c r="J2388" s="595">
        <f t="shared" si="81"/>
        <v>0</v>
      </c>
      <c r="K2388" s="533"/>
      <c r="L2388" s="533"/>
      <c r="M2388" s="533"/>
      <c r="N2388" s="268"/>
      <c r="O2388" s="533"/>
      <c r="P2388" s="533"/>
      <c r="Q2388" s="533"/>
      <c r="R2388" s="533"/>
      <c r="S2388" s="533"/>
      <c r="T2388" s="533"/>
      <c r="U2388" s="533"/>
      <c r="V2388" s="533"/>
      <c r="W2388" s="533"/>
      <c r="X2388" s="533"/>
      <c r="Y2388" s="533"/>
    </row>
    <row r="2389" spans="1:25" s="88" customFormat="1" ht="30" hidden="1" x14ac:dyDescent="0.25">
      <c r="A2389" s="218"/>
      <c r="B2389" s="218"/>
      <c r="C2389" s="221"/>
      <c r="D2389" s="218"/>
      <c r="E2389" s="218"/>
      <c r="F2389" s="527">
        <v>485</v>
      </c>
      <c r="G2389" s="520" t="s">
        <v>4215</v>
      </c>
      <c r="H2389" s="594"/>
      <c r="I2389" s="595"/>
      <c r="J2389" s="595">
        <f t="shared" si="81"/>
        <v>0</v>
      </c>
      <c r="K2389" s="533"/>
      <c r="L2389" s="533"/>
      <c r="M2389" s="533"/>
      <c r="N2389" s="268"/>
      <c r="O2389" s="533"/>
      <c r="P2389" s="533"/>
      <c r="Q2389" s="533"/>
      <c r="R2389" s="533"/>
      <c r="S2389" s="533"/>
      <c r="T2389" s="533"/>
      <c r="U2389" s="533"/>
      <c r="V2389" s="533"/>
      <c r="W2389" s="533"/>
      <c r="X2389" s="533"/>
      <c r="Y2389" s="533"/>
    </row>
    <row r="2390" spans="1:25" s="88" customFormat="1" ht="30" hidden="1" x14ac:dyDescent="0.25">
      <c r="A2390" s="218"/>
      <c r="B2390" s="218"/>
      <c r="C2390" s="221"/>
      <c r="D2390" s="218"/>
      <c r="E2390" s="218"/>
      <c r="F2390" s="527">
        <v>489</v>
      </c>
      <c r="G2390" s="520" t="s">
        <v>3841</v>
      </c>
      <c r="H2390" s="594"/>
      <c r="I2390" s="595"/>
      <c r="J2390" s="595">
        <f t="shared" si="81"/>
        <v>0</v>
      </c>
      <c r="K2390" s="533"/>
      <c r="L2390" s="533"/>
      <c r="M2390" s="533"/>
      <c r="N2390" s="268"/>
      <c r="O2390" s="533"/>
      <c r="P2390" s="533"/>
      <c r="Q2390" s="533"/>
      <c r="R2390" s="533"/>
      <c r="S2390" s="533"/>
      <c r="T2390" s="533"/>
      <c r="U2390" s="533"/>
      <c r="V2390" s="533"/>
      <c r="W2390" s="533"/>
      <c r="X2390" s="533"/>
      <c r="Y2390" s="533"/>
    </row>
    <row r="2391" spans="1:25" s="88" customFormat="1" hidden="1" x14ac:dyDescent="0.25">
      <c r="A2391" s="218"/>
      <c r="B2391" s="218"/>
      <c r="C2391" s="221"/>
      <c r="D2391" s="218"/>
      <c r="E2391" s="218"/>
      <c r="F2391" s="527">
        <v>494</v>
      </c>
      <c r="G2391" s="520" t="s">
        <v>4193</v>
      </c>
      <c r="H2391" s="594"/>
      <c r="I2391" s="595"/>
      <c r="J2391" s="595">
        <f t="shared" si="81"/>
        <v>0</v>
      </c>
      <c r="K2391" s="533"/>
      <c r="L2391" s="533"/>
      <c r="M2391" s="533"/>
      <c r="N2391" s="268"/>
      <c r="O2391" s="533"/>
      <c r="P2391" s="533"/>
      <c r="Q2391" s="533"/>
      <c r="R2391" s="533"/>
      <c r="S2391" s="533"/>
      <c r="T2391" s="533"/>
      <c r="U2391" s="533"/>
      <c r="V2391" s="533"/>
      <c r="W2391" s="533"/>
      <c r="X2391" s="533"/>
      <c r="Y2391" s="533"/>
    </row>
    <row r="2392" spans="1:25" s="88" customFormat="1" ht="30" hidden="1" x14ac:dyDescent="0.25">
      <c r="A2392" s="218"/>
      <c r="B2392" s="218"/>
      <c r="C2392" s="221"/>
      <c r="D2392" s="218"/>
      <c r="E2392" s="218"/>
      <c r="F2392" s="527">
        <v>495</v>
      </c>
      <c r="G2392" s="520" t="s">
        <v>4194</v>
      </c>
      <c r="H2392" s="594"/>
      <c r="I2392" s="595"/>
      <c r="J2392" s="595">
        <f t="shared" si="81"/>
        <v>0</v>
      </c>
      <c r="K2392" s="533"/>
      <c r="L2392" s="533"/>
      <c r="M2392" s="533"/>
      <c r="N2392" s="268"/>
      <c r="O2392" s="533"/>
      <c r="P2392" s="533"/>
      <c r="Q2392" s="533"/>
      <c r="R2392" s="533"/>
      <c r="S2392" s="533"/>
      <c r="T2392" s="533"/>
      <c r="U2392" s="533"/>
      <c r="V2392" s="533"/>
      <c r="W2392" s="533"/>
      <c r="X2392" s="533"/>
      <c r="Y2392" s="533"/>
    </row>
    <row r="2393" spans="1:25" s="88" customFormat="1" ht="30" hidden="1" x14ac:dyDescent="0.25">
      <c r="A2393" s="218"/>
      <c r="B2393" s="218"/>
      <c r="C2393" s="221"/>
      <c r="D2393" s="218"/>
      <c r="E2393" s="218"/>
      <c r="F2393" s="527">
        <v>496</v>
      </c>
      <c r="G2393" s="520" t="s">
        <v>4195</v>
      </c>
      <c r="H2393" s="594"/>
      <c r="I2393" s="595"/>
      <c r="J2393" s="595">
        <f t="shared" si="81"/>
        <v>0</v>
      </c>
      <c r="K2393" s="533"/>
      <c r="L2393" s="533"/>
      <c r="M2393" s="533"/>
      <c r="N2393" s="268"/>
      <c r="O2393" s="533"/>
      <c r="P2393" s="533"/>
      <c r="Q2393" s="533"/>
      <c r="R2393" s="533"/>
      <c r="S2393" s="533"/>
      <c r="T2393" s="533"/>
      <c r="U2393" s="533"/>
      <c r="V2393" s="533"/>
      <c r="W2393" s="533"/>
      <c r="X2393" s="533"/>
      <c r="Y2393" s="533"/>
    </row>
    <row r="2394" spans="1:25" s="88" customFormat="1" hidden="1" x14ac:dyDescent="0.25">
      <c r="A2394" s="218"/>
      <c r="B2394" s="218"/>
      <c r="C2394" s="221"/>
      <c r="D2394" s="218"/>
      <c r="E2394" s="218"/>
      <c r="F2394" s="527">
        <v>499</v>
      </c>
      <c r="G2394" s="520" t="s">
        <v>4196</v>
      </c>
      <c r="H2394" s="594"/>
      <c r="I2394" s="595"/>
      <c r="J2394" s="595">
        <f t="shared" si="81"/>
        <v>0</v>
      </c>
      <c r="K2394" s="533"/>
      <c r="L2394" s="533"/>
      <c r="M2394" s="533"/>
      <c r="N2394" s="268"/>
      <c r="O2394" s="533"/>
      <c r="P2394" s="533"/>
      <c r="Q2394" s="533"/>
      <c r="R2394" s="533"/>
      <c r="S2394" s="533"/>
      <c r="T2394" s="533"/>
      <c r="U2394" s="533"/>
      <c r="V2394" s="533"/>
      <c r="W2394" s="533"/>
      <c r="X2394" s="533"/>
      <c r="Y2394" s="533"/>
    </row>
    <row r="2395" spans="1:25" s="88" customFormat="1" x14ac:dyDescent="0.25">
      <c r="A2395" s="218"/>
      <c r="B2395" s="218"/>
      <c r="C2395" s="221"/>
      <c r="D2395" s="218"/>
      <c r="E2395" s="218">
        <v>39</v>
      </c>
      <c r="F2395" s="527">
        <v>511</v>
      </c>
      <c r="G2395" s="524" t="s">
        <v>4216</v>
      </c>
      <c r="H2395" s="594">
        <v>19200000</v>
      </c>
      <c r="I2395" s="595"/>
      <c r="J2395" s="595">
        <f t="shared" si="81"/>
        <v>19200000</v>
      </c>
      <c r="K2395" s="533"/>
      <c r="L2395" s="533"/>
      <c r="M2395" s="533"/>
      <c r="N2395" s="268"/>
      <c r="O2395" s="533"/>
      <c r="P2395" s="533"/>
      <c r="Q2395" s="533"/>
      <c r="R2395" s="533"/>
      <c r="S2395" s="533"/>
      <c r="T2395" s="533"/>
      <c r="U2395" s="533"/>
      <c r="V2395" s="533"/>
      <c r="W2395" s="533"/>
      <c r="X2395" s="533"/>
      <c r="Y2395" s="533"/>
    </row>
    <row r="2396" spans="1:25" s="88" customFormat="1" hidden="1" x14ac:dyDescent="0.25">
      <c r="A2396" s="218"/>
      <c r="B2396" s="218"/>
      <c r="C2396" s="221"/>
      <c r="D2396" s="218"/>
      <c r="E2396" s="218"/>
      <c r="F2396" s="527">
        <v>512</v>
      </c>
      <c r="G2396" s="524" t="s">
        <v>4217</v>
      </c>
      <c r="H2396" s="594"/>
      <c r="I2396" s="595"/>
      <c r="J2396" s="595">
        <f t="shared" si="81"/>
        <v>0</v>
      </c>
      <c r="K2396" s="533"/>
      <c r="L2396" s="533"/>
      <c r="M2396" s="533"/>
      <c r="N2396" s="268"/>
      <c r="O2396" s="533"/>
      <c r="P2396" s="533"/>
      <c r="Q2396" s="533"/>
      <c r="R2396" s="533"/>
      <c r="S2396" s="533"/>
      <c r="T2396" s="533"/>
      <c r="U2396" s="533"/>
      <c r="V2396" s="533"/>
      <c r="W2396" s="533"/>
      <c r="X2396" s="533"/>
      <c r="Y2396" s="533"/>
    </row>
    <row r="2397" spans="1:25" s="88" customFormat="1" hidden="1" x14ac:dyDescent="0.25">
      <c r="A2397" s="218"/>
      <c r="B2397" s="218"/>
      <c r="C2397" s="221"/>
      <c r="D2397" s="218"/>
      <c r="E2397" s="218"/>
      <c r="F2397" s="527">
        <v>513</v>
      </c>
      <c r="G2397" s="524" t="s">
        <v>4218</v>
      </c>
      <c r="H2397" s="594"/>
      <c r="I2397" s="595"/>
      <c r="J2397" s="595">
        <f t="shared" si="81"/>
        <v>0</v>
      </c>
      <c r="K2397" s="533"/>
      <c r="L2397" s="533"/>
      <c r="M2397" s="533"/>
      <c r="N2397" s="268"/>
      <c r="O2397" s="533"/>
      <c r="P2397" s="533"/>
      <c r="Q2397" s="533"/>
      <c r="R2397" s="533"/>
      <c r="S2397" s="533"/>
      <c r="T2397" s="533"/>
      <c r="U2397" s="533"/>
      <c r="V2397" s="533"/>
      <c r="W2397" s="533"/>
      <c r="X2397" s="533"/>
      <c r="Y2397" s="533"/>
    </row>
    <row r="2398" spans="1:25" s="88" customFormat="1" hidden="1" x14ac:dyDescent="0.25">
      <c r="A2398" s="218"/>
      <c r="B2398" s="218"/>
      <c r="C2398" s="221"/>
      <c r="D2398" s="218"/>
      <c r="E2398" s="218"/>
      <c r="F2398" s="527">
        <v>514</v>
      </c>
      <c r="G2398" s="520" t="s">
        <v>4219</v>
      </c>
      <c r="H2398" s="594"/>
      <c r="I2398" s="595"/>
      <c r="J2398" s="595">
        <f t="shared" si="81"/>
        <v>0</v>
      </c>
      <c r="K2398" s="533"/>
      <c r="L2398" s="533"/>
      <c r="M2398" s="533"/>
      <c r="N2398" s="268"/>
      <c r="O2398" s="533"/>
      <c r="P2398" s="533"/>
      <c r="Q2398" s="533"/>
      <c r="R2398" s="533"/>
      <c r="S2398" s="533"/>
      <c r="T2398" s="533"/>
      <c r="U2398" s="533"/>
      <c r="V2398" s="533"/>
      <c r="W2398" s="533"/>
      <c r="X2398" s="533"/>
      <c r="Y2398" s="533"/>
    </row>
    <row r="2399" spans="1:25" s="88" customFormat="1" hidden="1" x14ac:dyDescent="0.25">
      <c r="A2399" s="218"/>
      <c r="B2399" s="218"/>
      <c r="C2399" s="221"/>
      <c r="D2399" s="218"/>
      <c r="E2399" s="218"/>
      <c r="F2399" s="527">
        <v>515</v>
      </c>
      <c r="G2399" s="520" t="s">
        <v>3852</v>
      </c>
      <c r="H2399" s="594"/>
      <c r="I2399" s="595"/>
      <c r="J2399" s="595">
        <f t="shared" si="81"/>
        <v>0</v>
      </c>
      <c r="K2399" s="533"/>
      <c r="L2399" s="533"/>
      <c r="M2399" s="533"/>
      <c r="N2399" s="268"/>
      <c r="O2399" s="533"/>
      <c r="P2399" s="533"/>
      <c r="Q2399" s="533"/>
      <c r="R2399" s="533"/>
      <c r="S2399" s="533"/>
      <c r="T2399" s="533"/>
      <c r="U2399" s="533"/>
      <c r="V2399" s="533"/>
      <c r="W2399" s="533"/>
      <c r="X2399" s="533"/>
      <c r="Y2399" s="533"/>
    </row>
    <row r="2400" spans="1:25" s="88" customFormat="1" hidden="1" x14ac:dyDescent="0.25">
      <c r="A2400" s="218"/>
      <c r="B2400" s="218"/>
      <c r="C2400" s="221"/>
      <c r="D2400" s="218"/>
      <c r="E2400" s="218"/>
      <c r="F2400" s="527">
        <v>521</v>
      </c>
      <c r="G2400" s="520" t="s">
        <v>4220</v>
      </c>
      <c r="H2400" s="594"/>
      <c r="I2400" s="595"/>
      <c r="J2400" s="595">
        <f t="shared" si="81"/>
        <v>0</v>
      </c>
      <c r="K2400" s="533"/>
      <c r="L2400" s="533"/>
      <c r="M2400" s="533"/>
      <c r="N2400" s="268"/>
      <c r="O2400" s="533"/>
      <c r="P2400" s="533"/>
      <c r="Q2400" s="533"/>
      <c r="R2400" s="533"/>
      <c r="S2400" s="533"/>
      <c r="T2400" s="533"/>
      <c r="U2400" s="533"/>
      <c r="V2400" s="533"/>
      <c r="W2400" s="533"/>
      <c r="X2400" s="533"/>
      <c r="Y2400" s="533"/>
    </row>
    <row r="2401" spans="1:25" s="88" customFormat="1" hidden="1" x14ac:dyDescent="0.25">
      <c r="A2401" s="218"/>
      <c r="B2401" s="218"/>
      <c r="C2401" s="221"/>
      <c r="D2401" s="218"/>
      <c r="E2401" s="218"/>
      <c r="F2401" s="527">
        <v>522</v>
      </c>
      <c r="G2401" s="520" t="s">
        <v>4221</v>
      </c>
      <c r="H2401" s="594"/>
      <c r="I2401" s="595"/>
      <c r="J2401" s="595">
        <f t="shared" si="81"/>
        <v>0</v>
      </c>
      <c r="K2401" s="533"/>
      <c r="L2401" s="533"/>
      <c r="M2401" s="533"/>
      <c r="N2401" s="268"/>
      <c r="O2401" s="533"/>
      <c r="P2401" s="533"/>
      <c r="Q2401" s="533"/>
      <c r="R2401" s="533"/>
      <c r="S2401" s="533"/>
      <c r="T2401" s="533"/>
      <c r="U2401" s="533"/>
      <c r="V2401" s="533"/>
      <c r="W2401" s="533"/>
      <c r="X2401" s="533"/>
      <c r="Y2401" s="533"/>
    </row>
    <row r="2402" spans="1:25" s="88" customFormat="1" hidden="1" x14ac:dyDescent="0.25">
      <c r="A2402" s="218"/>
      <c r="B2402" s="218"/>
      <c r="C2402" s="221"/>
      <c r="D2402" s="218"/>
      <c r="E2402" s="218"/>
      <c r="F2402" s="527">
        <v>523</v>
      </c>
      <c r="G2402" s="520" t="s">
        <v>3857</v>
      </c>
      <c r="H2402" s="594"/>
      <c r="I2402" s="595"/>
      <c r="J2402" s="595">
        <f t="shared" si="81"/>
        <v>0</v>
      </c>
      <c r="K2402" s="533"/>
      <c r="L2402" s="533"/>
      <c r="M2402" s="533"/>
      <c r="N2402" s="268"/>
      <c r="O2402" s="533"/>
      <c r="P2402" s="533"/>
      <c r="Q2402" s="533"/>
      <c r="R2402" s="533"/>
      <c r="S2402" s="533"/>
      <c r="T2402" s="533"/>
      <c r="U2402" s="533"/>
      <c r="V2402" s="533"/>
      <c r="W2402" s="533"/>
      <c r="X2402" s="533"/>
      <c r="Y2402" s="533"/>
    </row>
    <row r="2403" spans="1:25" s="88" customFormat="1" hidden="1" x14ac:dyDescent="0.25">
      <c r="A2403" s="218"/>
      <c r="B2403" s="218"/>
      <c r="C2403" s="221"/>
      <c r="D2403" s="218"/>
      <c r="E2403" s="218"/>
      <c r="F2403" s="527">
        <v>531</v>
      </c>
      <c r="G2403" s="516" t="s">
        <v>4197</v>
      </c>
      <c r="H2403" s="594"/>
      <c r="I2403" s="595"/>
      <c r="J2403" s="595">
        <f t="shared" si="81"/>
        <v>0</v>
      </c>
      <c r="K2403" s="533"/>
      <c r="L2403" s="533"/>
      <c r="M2403" s="533"/>
      <c r="N2403" s="268"/>
      <c r="O2403" s="533"/>
      <c r="P2403" s="533"/>
      <c r="Q2403" s="533"/>
      <c r="R2403" s="533"/>
      <c r="S2403" s="533"/>
      <c r="T2403" s="533"/>
      <c r="U2403" s="533"/>
      <c r="V2403" s="533"/>
      <c r="W2403" s="533"/>
      <c r="X2403" s="533"/>
      <c r="Y2403" s="533"/>
    </row>
    <row r="2404" spans="1:25" s="88" customFormat="1" hidden="1" x14ac:dyDescent="0.25">
      <c r="A2404" s="218"/>
      <c r="B2404" s="218"/>
      <c r="C2404" s="221"/>
      <c r="D2404" s="218"/>
      <c r="E2404" s="218"/>
      <c r="F2404" s="527">
        <v>541</v>
      </c>
      <c r="G2404" s="520" t="s">
        <v>4222</v>
      </c>
      <c r="H2404" s="594"/>
      <c r="I2404" s="595"/>
      <c r="J2404" s="595">
        <f t="shared" si="81"/>
        <v>0</v>
      </c>
      <c r="K2404" s="533"/>
      <c r="L2404" s="533"/>
      <c r="M2404" s="533"/>
      <c r="N2404" s="268"/>
      <c r="O2404" s="533"/>
      <c r="P2404" s="533"/>
      <c r="Q2404" s="533"/>
      <c r="R2404" s="533"/>
      <c r="S2404" s="533"/>
      <c r="T2404" s="533"/>
      <c r="U2404" s="533"/>
      <c r="V2404" s="533"/>
      <c r="W2404" s="533"/>
      <c r="X2404" s="533"/>
      <c r="Y2404" s="533"/>
    </row>
    <row r="2405" spans="1:25" s="88" customFormat="1" hidden="1" x14ac:dyDescent="0.25">
      <c r="A2405" s="218"/>
      <c r="B2405" s="218"/>
      <c r="C2405" s="221"/>
      <c r="D2405" s="218"/>
      <c r="E2405" s="218"/>
      <c r="F2405" s="527">
        <v>542</v>
      </c>
      <c r="G2405" s="520" t="s">
        <v>4223</v>
      </c>
      <c r="H2405" s="594"/>
      <c r="I2405" s="595"/>
      <c r="J2405" s="595">
        <f t="shared" si="81"/>
        <v>0</v>
      </c>
      <c r="K2405" s="533"/>
      <c r="L2405" s="533"/>
      <c r="M2405" s="533"/>
      <c r="N2405" s="268"/>
      <c r="O2405" s="533"/>
      <c r="P2405" s="533"/>
      <c r="Q2405" s="533"/>
      <c r="R2405" s="533"/>
      <c r="S2405" s="533"/>
      <c r="T2405" s="533"/>
      <c r="U2405" s="533"/>
      <c r="V2405" s="533"/>
      <c r="W2405" s="533"/>
      <c r="X2405" s="533"/>
      <c r="Y2405" s="533"/>
    </row>
    <row r="2406" spans="1:25" s="88" customFormat="1" hidden="1" x14ac:dyDescent="0.25">
      <c r="A2406" s="218"/>
      <c r="B2406" s="218"/>
      <c r="C2406" s="221"/>
      <c r="D2406" s="218"/>
      <c r="E2406" s="218"/>
      <c r="F2406" s="527">
        <v>543</v>
      </c>
      <c r="G2406" s="520" t="s">
        <v>3862</v>
      </c>
      <c r="H2406" s="594"/>
      <c r="I2406" s="595"/>
      <c r="J2406" s="595">
        <f t="shared" si="81"/>
        <v>0</v>
      </c>
      <c r="K2406" s="533"/>
      <c r="L2406" s="533"/>
      <c r="M2406" s="533"/>
      <c r="N2406" s="268"/>
      <c r="O2406" s="533"/>
      <c r="P2406" s="533"/>
      <c r="Q2406" s="533"/>
      <c r="R2406" s="533"/>
      <c r="S2406" s="533"/>
      <c r="T2406" s="533"/>
      <c r="U2406" s="533"/>
      <c r="V2406" s="533"/>
      <c r="W2406" s="533"/>
      <c r="X2406" s="533"/>
      <c r="Y2406" s="533"/>
    </row>
    <row r="2407" spans="1:25" s="88" customFormat="1" ht="30" hidden="1" x14ac:dyDescent="0.25">
      <c r="A2407" s="218"/>
      <c r="B2407" s="218"/>
      <c r="C2407" s="221"/>
      <c r="D2407" s="218"/>
      <c r="E2407" s="218"/>
      <c r="F2407" s="527">
        <v>551</v>
      </c>
      <c r="G2407" s="520" t="s">
        <v>4198</v>
      </c>
      <c r="H2407" s="594"/>
      <c r="I2407" s="595"/>
      <c r="J2407" s="595">
        <f t="shared" si="81"/>
        <v>0</v>
      </c>
      <c r="K2407" s="533"/>
      <c r="L2407" s="533"/>
      <c r="M2407" s="533"/>
      <c r="N2407" s="268"/>
      <c r="O2407" s="533"/>
      <c r="P2407" s="533"/>
      <c r="Q2407" s="533"/>
      <c r="R2407" s="533"/>
      <c r="S2407" s="533"/>
      <c r="T2407" s="533"/>
      <c r="U2407" s="533"/>
      <c r="V2407" s="533"/>
      <c r="W2407" s="533"/>
      <c r="X2407" s="533"/>
      <c r="Y2407" s="533"/>
    </row>
    <row r="2408" spans="1:25" s="88" customFormat="1" hidden="1" x14ac:dyDescent="0.25">
      <c r="A2408" s="218"/>
      <c r="B2408" s="218"/>
      <c r="C2408" s="221"/>
      <c r="D2408" s="218"/>
      <c r="E2408" s="218"/>
      <c r="F2408" s="528">
        <v>611</v>
      </c>
      <c r="G2408" s="526" t="s">
        <v>3868</v>
      </c>
      <c r="H2408" s="594"/>
      <c r="I2408" s="595"/>
      <c r="J2408" s="595">
        <f t="shared" si="81"/>
        <v>0</v>
      </c>
      <c r="K2408" s="533"/>
      <c r="L2408" s="533"/>
      <c r="M2408" s="533"/>
      <c r="N2408" s="268"/>
      <c r="O2408" s="533"/>
      <c r="P2408" s="533"/>
      <c r="Q2408" s="533"/>
      <c r="R2408" s="533"/>
      <c r="S2408" s="533"/>
      <c r="T2408" s="533"/>
      <c r="U2408" s="533"/>
      <c r="V2408" s="533"/>
      <c r="W2408" s="533"/>
      <c r="X2408" s="533"/>
      <c r="Y2408" s="533"/>
    </row>
    <row r="2409" spans="1:25" s="88" customFormat="1" ht="15.75" hidden="1" thickBot="1" x14ac:dyDescent="0.3">
      <c r="A2409" s="218"/>
      <c r="B2409" s="218"/>
      <c r="C2409" s="221"/>
      <c r="D2409" s="218"/>
      <c r="E2409" s="218"/>
      <c r="F2409" s="528">
        <v>620</v>
      </c>
      <c r="G2409" s="526" t="s">
        <v>88</v>
      </c>
      <c r="H2409" s="594"/>
      <c r="I2409" s="595"/>
      <c r="J2409" s="595">
        <f t="shared" si="81"/>
        <v>0</v>
      </c>
      <c r="K2409" s="533"/>
      <c r="L2409" s="533"/>
      <c r="M2409" s="533"/>
      <c r="N2409" s="268"/>
      <c r="O2409" s="533"/>
      <c r="P2409" s="533"/>
      <c r="Q2409" s="533"/>
      <c r="R2409" s="533"/>
      <c r="S2409" s="533"/>
      <c r="T2409" s="533"/>
      <c r="U2409" s="533"/>
      <c r="V2409" s="533"/>
      <c r="W2409" s="533"/>
      <c r="X2409" s="533"/>
      <c r="Y2409" s="533"/>
    </row>
    <row r="2410" spans="1:25" s="88" customFormat="1" x14ac:dyDescent="0.25">
      <c r="A2410" s="218"/>
      <c r="B2410" s="218"/>
      <c r="C2410" s="221"/>
      <c r="D2410" s="218"/>
      <c r="E2410" s="218"/>
      <c r="F2410" s="528"/>
      <c r="G2410" s="795" t="s">
        <v>5264</v>
      </c>
      <c r="H2410" s="594"/>
      <c r="I2410" s="595"/>
      <c r="J2410" s="595"/>
      <c r="K2410" s="533"/>
      <c r="L2410" s="533"/>
      <c r="M2410" s="533"/>
      <c r="N2410" s="268"/>
      <c r="O2410" s="533"/>
      <c r="P2410" s="533"/>
      <c r="Q2410" s="533"/>
      <c r="R2410" s="533"/>
      <c r="S2410" s="533"/>
      <c r="T2410" s="533"/>
      <c r="U2410" s="533"/>
      <c r="V2410" s="533"/>
      <c r="W2410" s="533"/>
      <c r="X2410" s="533"/>
      <c r="Y2410" s="533"/>
    </row>
    <row r="2411" spans="1:25" s="88" customFormat="1" x14ac:dyDescent="0.25">
      <c r="A2411" s="218"/>
      <c r="B2411" s="218"/>
      <c r="C2411" s="221"/>
      <c r="D2411" s="218"/>
      <c r="E2411" s="218"/>
      <c r="F2411" s="528"/>
      <c r="G2411" s="794" t="s">
        <v>5288</v>
      </c>
      <c r="H2411" s="594"/>
      <c r="I2411" s="595"/>
      <c r="J2411" s="595"/>
      <c r="K2411" s="533"/>
      <c r="L2411" s="533"/>
      <c r="M2411" s="533"/>
      <c r="N2411" s="268"/>
      <c r="O2411" s="533"/>
      <c r="P2411" s="533"/>
      <c r="Q2411" s="533"/>
      <c r="R2411" s="533"/>
      <c r="S2411" s="533"/>
      <c r="T2411" s="533"/>
      <c r="U2411" s="533"/>
      <c r="V2411" s="533"/>
      <c r="W2411" s="533"/>
      <c r="X2411" s="533"/>
      <c r="Y2411" s="533"/>
    </row>
    <row r="2412" spans="1:25" s="88" customFormat="1" hidden="1" x14ac:dyDescent="0.25">
      <c r="A2412" s="218"/>
      <c r="B2412" s="218"/>
      <c r="C2412" s="221"/>
      <c r="D2412" s="218"/>
      <c r="E2412" s="218"/>
      <c r="F2412" s="528"/>
      <c r="G2412" s="794"/>
      <c r="H2412" s="594"/>
      <c r="I2412" s="595"/>
      <c r="J2412" s="595"/>
      <c r="K2412" s="533"/>
      <c r="L2412" s="533"/>
      <c r="M2412" s="533"/>
      <c r="N2412" s="268"/>
      <c r="O2412" s="533"/>
      <c r="P2412" s="533"/>
      <c r="Q2412" s="533"/>
      <c r="R2412" s="533"/>
      <c r="S2412" s="533"/>
      <c r="T2412" s="533"/>
      <c r="U2412" s="533"/>
      <c r="V2412" s="533"/>
      <c r="W2412" s="533"/>
      <c r="X2412" s="533"/>
      <c r="Y2412" s="533"/>
    </row>
    <row r="2413" spans="1:25" s="88" customFormat="1" hidden="1" x14ac:dyDescent="0.25">
      <c r="A2413" s="218"/>
      <c r="B2413" s="218"/>
      <c r="C2413" s="221"/>
      <c r="D2413" s="218"/>
      <c r="E2413" s="218"/>
      <c r="F2413" s="528"/>
      <c r="G2413" s="794"/>
      <c r="H2413" s="594"/>
      <c r="I2413" s="595"/>
      <c r="J2413" s="595"/>
      <c r="K2413" s="533"/>
      <c r="L2413" s="533"/>
      <c r="M2413" s="533"/>
      <c r="N2413" s="268"/>
      <c r="O2413" s="533"/>
      <c r="P2413" s="533"/>
      <c r="Q2413" s="533"/>
      <c r="R2413" s="533"/>
      <c r="S2413" s="533"/>
      <c r="T2413" s="533"/>
      <c r="U2413" s="533"/>
      <c r="V2413" s="533"/>
      <c r="W2413" s="533"/>
      <c r="X2413" s="533"/>
      <c r="Y2413" s="533"/>
    </row>
    <row r="2414" spans="1:25" s="88" customFormat="1" hidden="1" x14ac:dyDescent="0.25">
      <c r="A2414" s="218"/>
      <c r="B2414" s="218"/>
      <c r="C2414" s="221"/>
      <c r="D2414" s="218"/>
      <c r="E2414" s="218"/>
      <c r="F2414" s="528"/>
      <c r="G2414" s="794"/>
      <c r="H2414" s="594"/>
      <c r="I2414" s="595"/>
      <c r="J2414" s="595"/>
      <c r="K2414" s="533"/>
      <c r="L2414" s="533"/>
      <c r="M2414" s="533"/>
      <c r="N2414" s="268"/>
      <c r="O2414" s="533"/>
      <c r="P2414" s="533"/>
      <c r="Q2414" s="533"/>
      <c r="R2414" s="533"/>
      <c r="S2414" s="533"/>
      <c r="T2414" s="533"/>
      <c r="U2414" s="533"/>
      <c r="V2414" s="533"/>
      <c r="W2414" s="533"/>
      <c r="X2414" s="533"/>
      <c r="Y2414" s="533"/>
    </row>
    <row r="2415" spans="1:25" s="88" customFormat="1" x14ac:dyDescent="0.25">
      <c r="A2415" s="218"/>
      <c r="B2415" s="218"/>
      <c r="C2415" s="221"/>
      <c r="D2415" s="218"/>
      <c r="E2415" s="218"/>
      <c r="F2415" s="528"/>
      <c r="G2415" s="794" t="s">
        <v>5289</v>
      </c>
      <c r="H2415" s="594"/>
      <c r="I2415" s="595"/>
      <c r="J2415" s="595"/>
      <c r="K2415" s="533"/>
      <c r="L2415" s="533"/>
      <c r="M2415" s="533"/>
      <c r="N2415" s="268"/>
      <c r="O2415" s="533"/>
      <c r="P2415" s="533"/>
      <c r="Q2415" s="533"/>
      <c r="R2415" s="533"/>
      <c r="S2415" s="533"/>
      <c r="T2415" s="533"/>
      <c r="U2415" s="533"/>
      <c r="V2415" s="533"/>
      <c r="W2415" s="533"/>
      <c r="X2415" s="533"/>
      <c r="Y2415" s="533"/>
    </row>
    <row r="2416" spans="1:25" s="88" customFormat="1" x14ac:dyDescent="0.25">
      <c r="A2416" s="218"/>
      <c r="B2416" s="218"/>
      <c r="C2416" s="221"/>
      <c r="D2416" s="218"/>
      <c r="E2416" s="218"/>
      <c r="F2416" s="528"/>
      <c r="G2416" s="794" t="s">
        <v>5290</v>
      </c>
      <c r="H2416" s="594"/>
      <c r="I2416" s="595"/>
      <c r="J2416" s="595"/>
      <c r="K2416" s="533"/>
      <c r="L2416" s="533"/>
      <c r="M2416" s="533"/>
      <c r="N2416" s="268"/>
      <c r="O2416" s="533"/>
      <c r="P2416" s="533"/>
      <c r="Q2416" s="533"/>
      <c r="R2416" s="533"/>
      <c r="S2416" s="533"/>
      <c r="T2416" s="533"/>
      <c r="U2416" s="533"/>
      <c r="V2416" s="533"/>
      <c r="W2416" s="533"/>
      <c r="X2416" s="533"/>
      <c r="Y2416" s="533"/>
    </row>
    <row r="2417" spans="1:25" s="88" customFormat="1" x14ac:dyDescent="0.25">
      <c r="A2417" s="218"/>
      <c r="B2417" s="218"/>
      <c r="C2417" s="221"/>
      <c r="D2417" s="218"/>
      <c r="E2417" s="218"/>
      <c r="F2417" s="528"/>
      <c r="G2417" s="794" t="s">
        <v>5291</v>
      </c>
      <c r="H2417" s="594"/>
      <c r="I2417" s="595"/>
      <c r="J2417" s="595"/>
      <c r="K2417" s="533"/>
      <c r="L2417" s="533"/>
      <c r="M2417" s="533"/>
      <c r="N2417" s="268"/>
      <c r="O2417" s="533"/>
      <c r="P2417" s="533"/>
      <c r="Q2417" s="533"/>
      <c r="R2417" s="533"/>
      <c r="S2417" s="533"/>
      <c r="T2417" s="533"/>
      <c r="U2417" s="533"/>
      <c r="V2417" s="533"/>
      <c r="W2417" s="533"/>
      <c r="X2417" s="533"/>
      <c r="Y2417" s="533"/>
    </row>
    <row r="2418" spans="1:25" s="88" customFormat="1" x14ac:dyDescent="0.25">
      <c r="A2418" s="218"/>
      <c r="B2418" s="218"/>
      <c r="C2418" s="221"/>
      <c r="D2418" s="218"/>
      <c r="E2418" s="218"/>
      <c r="F2418" s="528"/>
      <c r="G2418" s="794" t="s">
        <v>5292</v>
      </c>
      <c r="H2418" s="594"/>
      <c r="I2418" s="595"/>
      <c r="J2418" s="595"/>
      <c r="K2418" s="533"/>
      <c r="L2418" s="533"/>
      <c r="M2418" s="533"/>
      <c r="N2418" s="268"/>
      <c r="O2418" s="533"/>
      <c r="P2418" s="533"/>
      <c r="Q2418" s="533"/>
      <c r="R2418" s="533"/>
      <c r="S2418" s="533"/>
      <c r="T2418" s="533"/>
      <c r="U2418" s="533"/>
      <c r="V2418" s="533"/>
      <c r="W2418" s="533"/>
      <c r="X2418" s="533"/>
      <c r="Y2418" s="533"/>
    </row>
    <row r="2419" spans="1:25" s="88" customFormat="1" ht="15.75" thickBot="1" x14ac:dyDescent="0.3">
      <c r="A2419" s="218"/>
      <c r="B2419" s="218"/>
      <c r="C2419" s="221"/>
      <c r="D2419" s="218"/>
      <c r="E2419" s="218"/>
      <c r="F2419" s="528"/>
      <c r="G2419" s="526"/>
      <c r="H2419" s="594"/>
      <c r="I2419" s="595"/>
      <c r="J2419" s="595"/>
      <c r="K2419" s="533"/>
      <c r="L2419" s="533"/>
      <c r="M2419" s="533"/>
      <c r="N2419" s="268"/>
      <c r="O2419" s="533"/>
      <c r="P2419" s="533"/>
      <c r="Q2419" s="533"/>
      <c r="R2419" s="533"/>
      <c r="S2419" s="533"/>
      <c r="T2419" s="533"/>
      <c r="U2419" s="533"/>
      <c r="V2419" s="533"/>
      <c r="W2419" s="533"/>
      <c r="X2419" s="533"/>
      <c r="Y2419" s="533"/>
    </row>
    <row r="2420" spans="1:25" s="88" customFormat="1" x14ac:dyDescent="0.25">
      <c r="A2420" s="218"/>
      <c r="B2420" s="218"/>
      <c r="C2420" s="221"/>
      <c r="D2420" s="218"/>
      <c r="E2420" s="517"/>
      <c r="F2420" s="528"/>
      <c r="G2420" s="327" t="s">
        <v>4368</v>
      </c>
      <c r="H2420" s="596"/>
      <c r="I2420" s="622"/>
      <c r="J2420" s="597"/>
      <c r="K2420" s="533"/>
      <c r="L2420" s="533"/>
      <c r="M2420" s="533"/>
      <c r="N2420" s="268"/>
      <c r="O2420" s="533"/>
      <c r="P2420" s="533"/>
      <c r="Q2420" s="533"/>
      <c r="R2420" s="533"/>
      <c r="S2420" s="533"/>
      <c r="T2420" s="533"/>
      <c r="U2420" s="533"/>
      <c r="V2420" s="533"/>
      <c r="W2420" s="533"/>
      <c r="X2420" s="533"/>
      <c r="Y2420" s="533"/>
    </row>
    <row r="2421" spans="1:25" s="88" customFormat="1" ht="15.75" thickBot="1" x14ac:dyDescent="0.3">
      <c r="A2421" s="218"/>
      <c r="B2421" s="218"/>
      <c r="C2421" s="221"/>
      <c r="D2421" s="218"/>
      <c r="E2421" s="222"/>
      <c r="F2421" s="642" t="s">
        <v>234</v>
      </c>
      <c r="G2421" s="643" t="s">
        <v>235</v>
      </c>
      <c r="H2421" s="598">
        <f>SUM(H2350:H2409)</f>
        <v>44200000</v>
      </c>
      <c r="I2421" s="599"/>
      <c r="J2421" s="599">
        <f t="shared" ref="J2421:J2436" si="82">SUM(H2421:I2421)</f>
        <v>44200000</v>
      </c>
      <c r="K2421" s="533"/>
      <c r="L2421" s="533"/>
      <c r="M2421" s="533"/>
      <c r="N2421" s="268"/>
      <c r="O2421" s="533"/>
      <c r="P2421" s="533"/>
      <c r="Q2421" s="533"/>
      <c r="R2421" s="533"/>
      <c r="S2421" s="533"/>
      <c r="T2421" s="533"/>
      <c r="U2421" s="533"/>
      <c r="V2421" s="533"/>
      <c r="W2421" s="533"/>
      <c r="X2421" s="533"/>
      <c r="Y2421" s="533"/>
    </row>
    <row r="2422" spans="1:25" s="88" customFormat="1" hidden="1" x14ac:dyDescent="0.25">
      <c r="A2422" s="218"/>
      <c r="B2422" s="218"/>
      <c r="C2422" s="221"/>
      <c r="D2422" s="218"/>
      <c r="E2422" s="218"/>
      <c r="F2422" s="642" t="s">
        <v>236</v>
      </c>
      <c r="G2422" s="643" t="s">
        <v>237</v>
      </c>
      <c r="H2422" s="594"/>
      <c r="I2422" s="595"/>
      <c r="J2422" s="599">
        <f t="shared" si="82"/>
        <v>0</v>
      </c>
      <c r="K2422" s="533"/>
      <c r="L2422" s="533"/>
      <c r="M2422" s="533"/>
      <c r="N2422" s="268"/>
      <c r="O2422" s="533"/>
      <c r="P2422" s="533"/>
      <c r="Q2422" s="533"/>
      <c r="R2422" s="533"/>
      <c r="S2422" s="533"/>
      <c r="T2422" s="533"/>
      <c r="U2422" s="533"/>
      <c r="V2422" s="533"/>
      <c r="W2422" s="533"/>
      <c r="X2422" s="533"/>
      <c r="Y2422" s="533"/>
    </row>
    <row r="2423" spans="1:25" s="88" customFormat="1" hidden="1" x14ac:dyDescent="0.25">
      <c r="A2423" s="218"/>
      <c r="B2423" s="218"/>
      <c r="C2423" s="221"/>
      <c r="D2423" s="218"/>
      <c r="E2423" s="218"/>
      <c r="F2423" s="642" t="s">
        <v>238</v>
      </c>
      <c r="G2423" s="643" t="s">
        <v>239</v>
      </c>
      <c r="H2423" s="594"/>
      <c r="I2423" s="595"/>
      <c r="J2423" s="599">
        <f t="shared" si="82"/>
        <v>0</v>
      </c>
      <c r="K2423" s="533"/>
      <c r="L2423" s="533"/>
      <c r="M2423" s="533"/>
      <c r="N2423" s="268"/>
      <c r="O2423" s="533"/>
      <c r="P2423" s="533"/>
      <c r="Q2423" s="533"/>
      <c r="R2423" s="533"/>
      <c r="S2423" s="533"/>
      <c r="T2423" s="533"/>
      <c r="U2423" s="533"/>
      <c r="V2423" s="533"/>
      <c r="W2423" s="533"/>
      <c r="X2423" s="533"/>
      <c r="Y2423" s="533"/>
    </row>
    <row r="2424" spans="1:25" s="88" customFormat="1" hidden="1" x14ac:dyDescent="0.25">
      <c r="A2424" s="218"/>
      <c r="B2424" s="218"/>
      <c r="C2424" s="221"/>
      <c r="D2424" s="218"/>
      <c r="E2424" s="218"/>
      <c r="F2424" s="642" t="s">
        <v>240</v>
      </c>
      <c r="G2424" s="643" t="s">
        <v>241</v>
      </c>
      <c r="H2424" s="594"/>
      <c r="I2424" s="595"/>
      <c r="J2424" s="599">
        <f t="shared" si="82"/>
        <v>0</v>
      </c>
      <c r="K2424" s="533"/>
      <c r="L2424" s="533"/>
      <c r="M2424" s="533"/>
      <c r="N2424" s="268"/>
      <c r="O2424" s="533"/>
      <c r="P2424" s="533"/>
      <c r="Q2424" s="533"/>
      <c r="R2424" s="533"/>
      <c r="S2424" s="533"/>
      <c r="T2424" s="533"/>
      <c r="U2424" s="533"/>
      <c r="V2424" s="533"/>
      <c r="W2424" s="533"/>
      <c r="X2424" s="533"/>
      <c r="Y2424" s="533"/>
    </row>
    <row r="2425" spans="1:25" s="88" customFormat="1" hidden="1" x14ac:dyDescent="0.25">
      <c r="A2425" s="218"/>
      <c r="B2425" s="218"/>
      <c r="C2425" s="221"/>
      <c r="D2425" s="218"/>
      <c r="E2425" s="218"/>
      <c r="F2425" s="642" t="s">
        <v>242</v>
      </c>
      <c r="G2425" s="643" t="s">
        <v>243</v>
      </c>
      <c r="H2425" s="594"/>
      <c r="I2425" s="595"/>
      <c r="J2425" s="599">
        <f t="shared" si="82"/>
        <v>0</v>
      </c>
      <c r="K2425" s="533"/>
      <c r="L2425" s="533"/>
      <c r="M2425" s="533"/>
      <c r="N2425" s="268"/>
      <c r="O2425" s="533"/>
      <c r="P2425" s="533"/>
      <c r="Q2425" s="533"/>
      <c r="R2425" s="533"/>
      <c r="S2425" s="533"/>
      <c r="T2425" s="533"/>
      <c r="U2425" s="533"/>
      <c r="V2425" s="533"/>
      <c r="W2425" s="533"/>
      <c r="X2425" s="533"/>
      <c r="Y2425" s="533"/>
    </row>
    <row r="2426" spans="1:25" s="88" customFormat="1" hidden="1" x14ac:dyDescent="0.25">
      <c r="A2426" s="218"/>
      <c r="B2426" s="218"/>
      <c r="C2426" s="221"/>
      <c r="D2426" s="218"/>
      <c r="E2426" s="218"/>
      <c r="F2426" s="642" t="s">
        <v>244</v>
      </c>
      <c r="G2426" s="643" t="s">
        <v>245</v>
      </c>
      <c r="H2426" s="594"/>
      <c r="I2426" s="595"/>
      <c r="J2426" s="599">
        <f t="shared" si="82"/>
        <v>0</v>
      </c>
      <c r="K2426" s="533"/>
      <c r="L2426" s="533"/>
      <c r="M2426" s="533"/>
      <c r="N2426" s="268"/>
      <c r="O2426" s="533"/>
      <c r="P2426" s="533"/>
      <c r="Q2426" s="533"/>
      <c r="R2426" s="533"/>
      <c r="S2426" s="533"/>
      <c r="T2426" s="533"/>
      <c r="U2426" s="533"/>
      <c r="V2426" s="533"/>
      <c r="W2426" s="533"/>
      <c r="X2426" s="533"/>
      <c r="Y2426" s="533"/>
    </row>
    <row r="2427" spans="1:25" s="88" customFormat="1" hidden="1" x14ac:dyDescent="0.25">
      <c r="A2427" s="218"/>
      <c r="B2427" s="218"/>
      <c r="C2427" s="221"/>
      <c r="D2427" s="218"/>
      <c r="E2427" s="218"/>
      <c r="F2427" s="642" t="s">
        <v>246</v>
      </c>
      <c r="G2427" s="643" t="s">
        <v>247</v>
      </c>
      <c r="H2427" s="594"/>
      <c r="I2427" s="595"/>
      <c r="J2427" s="599">
        <f t="shared" si="82"/>
        <v>0</v>
      </c>
      <c r="K2427" s="533"/>
      <c r="L2427" s="533"/>
      <c r="M2427" s="533"/>
      <c r="N2427" s="268"/>
      <c r="O2427" s="533"/>
      <c r="P2427" s="533"/>
      <c r="Q2427" s="533"/>
      <c r="R2427" s="533"/>
      <c r="S2427" s="533"/>
      <c r="T2427" s="533"/>
      <c r="U2427" s="533"/>
      <c r="V2427" s="533"/>
      <c r="W2427" s="533"/>
      <c r="X2427" s="533"/>
      <c r="Y2427" s="533"/>
    </row>
    <row r="2428" spans="1:25" s="88" customFormat="1" hidden="1" x14ac:dyDescent="0.25">
      <c r="A2428" s="218"/>
      <c r="B2428" s="218"/>
      <c r="C2428" s="221"/>
      <c r="D2428" s="218"/>
      <c r="E2428" s="218"/>
      <c r="F2428" s="642" t="s">
        <v>248</v>
      </c>
      <c r="G2428" s="643" t="s">
        <v>249</v>
      </c>
      <c r="H2428" s="594"/>
      <c r="I2428" s="595"/>
      <c r="J2428" s="599">
        <f t="shared" si="82"/>
        <v>0</v>
      </c>
      <c r="K2428" s="533"/>
      <c r="L2428" s="533"/>
      <c r="M2428" s="533"/>
      <c r="N2428" s="268"/>
      <c r="O2428" s="533"/>
      <c r="P2428" s="533"/>
      <c r="Q2428" s="533"/>
      <c r="R2428" s="533"/>
      <c r="S2428" s="533"/>
      <c r="T2428" s="533"/>
      <c r="U2428" s="533"/>
      <c r="V2428" s="533"/>
      <c r="W2428" s="533"/>
      <c r="X2428" s="533"/>
      <c r="Y2428" s="533"/>
    </row>
    <row r="2429" spans="1:25" s="88" customFormat="1" hidden="1" x14ac:dyDescent="0.25">
      <c r="A2429" s="218"/>
      <c r="B2429" s="218"/>
      <c r="C2429" s="221"/>
      <c r="D2429" s="218"/>
      <c r="E2429" s="218"/>
      <c r="F2429" s="642" t="s">
        <v>250</v>
      </c>
      <c r="G2429" s="643" t="s">
        <v>57</v>
      </c>
      <c r="H2429" s="594"/>
      <c r="I2429" s="595"/>
      <c r="J2429" s="599">
        <f t="shared" si="82"/>
        <v>0</v>
      </c>
      <c r="K2429" s="533"/>
      <c r="L2429" s="533"/>
      <c r="M2429" s="533"/>
      <c r="N2429" s="268"/>
      <c r="O2429" s="533"/>
      <c r="P2429" s="533"/>
      <c r="Q2429" s="533"/>
      <c r="R2429" s="533"/>
      <c r="S2429" s="533"/>
      <c r="T2429" s="533"/>
      <c r="U2429" s="533"/>
      <c r="V2429" s="533"/>
      <c r="W2429" s="533"/>
      <c r="X2429" s="533"/>
      <c r="Y2429" s="533"/>
    </row>
    <row r="2430" spans="1:25" s="88" customFormat="1" hidden="1" x14ac:dyDescent="0.25">
      <c r="A2430" s="218"/>
      <c r="B2430" s="218"/>
      <c r="C2430" s="221"/>
      <c r="D2430" s="218"/>
      <c r="E2430" s="218"/>
      <c r="F2430" s="642" t="s">
        <v>251</v>
      </c>
      <c r="G2430" s="643" t="s">
        <v>252</v>
      </c>
      <c r="H2430" s="594"/>
      <c r="I2430" s="595"/>
      <c r="J2430" s="599">
        <f t="shared" si="82"/>
        <v>0</v>
      </c>
      <c r="K2430" s="533"/>
      <c r="L2430" s="533"/>
      <c r="M2430" s="533"/>
      <c r="N2430" s="268"/>
      <c r="O2430" s="533"/>
      <c r="P2430" s="533"/>
      <c r="Q2430" s="533"/>
      <c r="R2430" s="533"/>
      <c r="S2430" s="533"/>
      <c r="T2430" s="533"/>
      <c r="U2430" s="533"/>
      <c r="V2430" s="533"/>
      <c r="W2430" s="533"/>
      <c r="X2430" s="533"/>
      <c r="Y2430" s="533"/>
    </row>
    <row r="2431" spans="1:25" s="88" customFormat="1" hidden="1" x14ac:dyDescent="0.25">
      <c r="A2431" s="218"/>
      <c r="B2431" s="218"/>
      <c r="C2431" s="221"/>
      <c r="D2431" s="218"/>
      <c r="E2431" s="218"/>
      <c r="F2431" s="642" t="s">
        <v>253</v>
      </c>
      <c r="G2431" s="643" t="s">
        <v>254</v>
      </c>
      <c r="H2431" s="594"/>
      <c r="I2431" s="595"/>
      <c r="J2431" s="599">
        <f t="shared" si="82"/>
        <v>0</v>
      </c>
      <c r="K2431" s="533"/>
      <c r="L2431" s="533"/>
      <c r="M2431" s="533"/>
      <c r="N2431" s="268"/>
      <c r="O2431" s="533"/>
      <c r="P2431" s="533"/>
      <c r="Q2431" s="533"/>
      <c r="R2431" s="533"/>
      <c r="S2431" s="533"/>
      <c r="T2431" s="533"/>
      <c r="U2431" s="533"/>
      <c r="V2431" s="533"/>
      <c r="W2431" s="533"/>
      <c r="X2431" s="533"/>
      <c r="Y2431" s="533"/>
    </row>
    <row r="2432" spans="1:25" s="88" customFormat="1" ht="30" hidden="1" x14ac:dyDescent="0.25">
      <c r="A2432" s="218"/>
      <c r="B2432" s="218"/>
      <c r="C2432" s="221"/>
      <c r="D2432" s="218"/>
      <c r="E2432" s="218"/>
      <c r="F2432" s="642" t="s">
        <v>255</v>
      </c>
      <c r="G2432" s="643" t="s">
        <v>256</v>
      </c>
      <c r="H2432" s="594"/>
      <c r="I2432" s="595"/>
      <c r="J2432" s="599">
        <f t="shared" si="82"/>
        <v>0</v>
      </c>
      <c r="K2432" s="533"/>
      <c r="L2432" s="533"/>
      <c r="M2432" s="533"/>
      <c r="N2432" s="268"/>
      <c r="O2432" s="533"/>
      <c r="P2432" s="533"/>
      <c r="Q2432" s="533"/>
      <c r="R2432" s="533"/>
      <c r="S2432" s="533"/>
      <c r="T2432" s="533"/>
      <c r="U2432" s="533"/>
      <c r="V2432" s="533"/>
      <c r="W2432" s="533"/>
      <c r="X2432" s="533"/>
      <c r="Y2432" s="533"/>
    </row>
    <row r="2433" spans="1:25" s="88" customFormat="1" hidden="1" x14ac:dyDescent="0.25">
      <c r="A2433" s="218"/>
      <c r="B2433" s="218"/>
      <c r="C2433" s="221"/>
      <c r="D2433" s="218"/>
      <c r="E2433" s="218"/>
      <c r="F2433" s="642" t="s">
        <v>257</v>
      </c>
      <c r="G2433" s="643" t="s">
        <v>258</v>
      </c>
      <c r="H2433" s="594"/>
      <c r="I2433" s="595"/>
      <c r="J2433" s="599">
        <f t="shared" si="82"/>
        <v>0</v>
      </c>
      <c r="K2433" s="533"/>
      <c r="L2433" s="533"/>
      <c r="M2433" s="533"/>
      <c r="N2433" s="268"/>
      <c r="O2433" s="533"/>
      <c r="P2433" s="533"/>
      <c r="Q2433" s="533"/>
      <c r="R2433" s="533"/>
      <c r="S2433" s="533"/>
      <c r="T2433" s="533"/>
      <c r="U2433" s="533"/>
      <c r="V2433" s="533"/>
      <c r="W2433" s="533"/>
      <c r="X2433" s="533"/>
      <c r="Y2433" s="533"/>
    </row>
    <row r="2434" spans="1:25" s="88" customFormat="1" ht="30" hidden="1" x14ac:dyDescent="0.25">
      <c r="A2434" s="218"/>
      <c r="B2434" s="218"/>
      <c r="C2434" s="221"/>
      <c r="D2434" s="218"/>
      <c r="E2434" s="218"/>
      <c r="F2434" s="642" t="s">
        <v>259</v>
      </c>
      <c r="G2434" s="643" t="s">
        <v>260</v>
      </c>
      <c r="H2434" s="594"/>
      <c r="I2434" s="595"/>
      <c r="J2434" s="599">
        <f t="shared" si="82"/>
        <v>0</v>
      </c>
      <c r="K2434" s="533"/>
      <c r="L2434" s="533"/>
      <c r="M2434" s="533"/>
      <c r="N2434" s="268"/>
      <c r="O2434" s="533"/>
      <c r="P2434" s="533"/>
      <c r="Q2434" s="533"/>
      <c r="R2434" s="533"/>
      <c r="S2434" s="533"/>
      <c r="T2434" s="533"/>
      <c r="U2434" s="533"/>
      <c r="V2434" s="533"/>
      <c r="W2434" s="533"/>
      <c r="X2434" s="533"/>
      <c r="Y2434" s="533"/>
    </row>
    <row r="2435" spans="1:25" s="88" customFormat="1" hidden="1" x14ac:dyDescent="0.25">
      <c r="A2435" s="218"/>
      <c r="B2435" s="218"/>
      <c r="C2435" s="221"/>
      <c r="D2435" s="218"/>
      <c r="E2435" s="218"/>
      <c r="F2435" s="642" t="s">
        <v>261</v>
      </c>
      <c r="G2435" s="643" t="s">
        <v>262</v>
      </c>
      <c r="H2435" s="594"/>
      <c r="I2435" s="595"/>
      <c r="J2435" s="599">
        <f t="shared" si="82"/>
        <v>0</v>
      </c>
      <c r="K2435" s="533"/>
      <c r="L2435" s="533"/>
      <c r="M2435" s="533"/>
      <c r="N2435" s="268"/>
      <c r="O2435" s="533"/>
      <c r="P2435" s="533"/>
      <c r="Q2435" s="533"/>
      <c r="R2435" s="533"/>
      <c r="S2435" s="533"/>
      <c r="T2435" s="533"/>
      <c r="U2435" s="533"/>
      <c r="V2435" s="533"/>
      <c r="W2435" s="533"/>
      <c r="X2435" s="533"/>
      <c r="Y2435" s="533"/>
    </row>
    <row r="2436" spans="1:25" s="88" customFormat="1" ht="15.75" hidden="1" thickBot="1" x14ac:dyDescent="0.3">
      <c r="A2436" s="218"/>
      <c r="B2436" s="218"/>
      <c r="C2436" s="221"/>
      <c r="D2436" s="218"/>
      <c r="E2436" s="218"/>
      <c r="F2436" s="642" t="s">
        <v>263</v>
      </c>
      <c r="G2436" s="643" t="s">
        <v>264</v>
      </c>
      <c r="H2436" s="598"/>
      <c r="I2436" s="599"/>
      <c r="J2436" s="599">
        <f t="shared" si="82"/>
        <v>0</v>
      </c>
      <c r="K2436" s="533"/>
      <c r="L2436" s="533"/>
      <c r="M2436" s="533"/>
      <c r="N2436" s="268"/>
      <c r="O2436" s="533"/>
      <c r="P2436" s="533"/>
      <c r="Q2436" s="533"/>
      <c r="R2436" s="533"/>
      <c r="S2436" s="533"/>
      <c r="T2436" s="533"/>
      <c r="U2436" s="533"/>
      <c r="V2436" s="533"/>
      <c r="W2436" s="533"/>
      <c r="X2436" s="533"/>
      <c r="Y2436" s="533"/>
    </row>
    <row r="2437" spans="1:25" s="88" customFormat="1" ht="15.75" thickBot="1" x14ac:dyDescent="0.3">
      <c r="A2437" s="218"/>
      <c r="B2437" s="218"/>
      <c r="C2437" s="221"/>
      <c r="D2437" s="218"/>
      <c r="E2437" s="218"/>
      <c r="F2437" s="218"/>
      <c r="G2437" s="229" t="s">
        <v>4369</v>
      </c>
      <c r="H2437" s="600">
        <f>SUM(H2421:H2436)</f>
        <v>44200000</v>
      </c>
      <c r="I2437" s="601">
        <f>SUM(I2422:I2436)</f>
        <v>0</v>
      </c>
      <c r="J2437" s="601">
        <f>SUM(J2421:J2436)</f>
        <v>44200000</v>
      </c>
      <c r="K2437" s="533"/>
      <c r="L2437" s="533"/>
      <c r="M2437" s="533"/>
      <c r="N2437" s="268"/>
      <c r="O2437" s="533"/>
      <c r="P2437" s="533"/>
      <c r="Q2437" s="533"/>
      <c r="R2437" s="533"/>
      <c r="S2437" s="533"/>
      <c r="T2437" s="533"/>
      <c r="U2437" s="533"/>
      <c r="V2437" s="533"/>
      <c r="W2437" s="533"/>
      <c r="X2437" s="533"/>
      <c r="Y2437" s="533"/>
    </row>
    <row r="2438" spans="1:25" s="88" customFormat="1" ht="20.25" customHeight="1" x14ac:dyDescent="0.25">
      <c r="A2438" s="218"/>
      <c r="B2438" s="218"/>
      <c r="C2438" s="221"/>
      <c r="D2438" s="218"/>
      <c r="E2438" s="517"/>
      <c r="F2438" s="528"/>
      <c r="G2438" s="231" t="s">
        <v>5080</v>
      </c>
      <c r="H2438" s="602"/>
      <c r="I2438" s="623"/>
      <c r="J2438" s="603"/>
      <c r="K2438" s="533"/>
      <c r="L2438" s="533"/>
      <c r="M2438" s="533"/>
      <c r="N2438" s="268"/>
      <c r="O2438" s="533"/>
      <c r="P2438" s="533"/>
      <c r="Q2438" s="533"/>
      <c r="R2438" s="533"/>
      <c r="S2438" s="533"/>
      <c r="T2438" s="533"/>
      <c r="U2438" s="533"/>
      <c r="V2438" s="533"/>
      <c r="W2438" s="533"/>
      <c r="X2438" s="533"/>
      <c r="Y2438" s="533"/>
    </row>
    <row r="2439" spans="1:25" s="88" customFormat="1" ht="15.75" thickBot="1" x14ac:dyDescent="0.3">
      <c r="A2439" s="218"/>
      <c r="B2439" s="218"/>
      <c r="C2439" s="221"/>
      <c r="D2439" s="218"/>
      <c r="E2439" s="222"/>
      <c r="F2439" s="642" t="s">
        <v>234</v>
      </c>
      <c r="G2439" s="643" t="s">
        <v>235</v>
      </c>
      <c r="H2439" s="598">
        <f>SUM(H2350:H2409)</f>
        <v>44200000</v>
      </c>
      <c r="I2439" s="599"/>
      <c r="J2439" s="599">
        <f>SUM(H2439:I2439)</f>
        <v>44200000</v>
      </c>
      <c r="K2439" s="533"/>
      <c r="L2439" s="533"/>
      <c r="M2439" s="533"/>
      <c r="N2439" s="268"/>
      <c r="O2439" s="533"/>
      <c r="P2439" s="533"/>
      <c r="Q2439" s="533"/>
      <c r="R2439" s="533"/>
      <c r="S2439" s="533"/>
      <c r="T2439" s="533"/>
      <c r="U2439" s="533"/>
      <c r="V2439" s="533"/>
      <c r="W2439" s="533"/>
      <c r="X2439" s="533"/>
      <c r="Y2439" s="533"/>
    </row>
    <row r="2440" spans="1:25" s="88" customFormat="1" hidden="1" x14ac:dyDescent="0.25">
      <c r="A2440" s="218"/>
      <c r="B2440" s="218"/>
      <c r="C2440" s="221"/>
      <c r="D2440" s="218"/>
      <c r="E2440" s="218"/>
      <c r="F2440" s="642" t="s">
        <v>236</v>
      </c>
      <c r="G2440" s="643" t="s">
        <v>237</v>
      </c>
      <c r="H2440" s="594"/>
      <c r="I2440" s="595"/>
      <c r="J2440" s="599">
        <f t="shared" ref="J2440:J2454" si="83">SUM(H2440:I2440)</f>
        <v>0</v>
      </c>
      <c r="K2440" s="533"/>
      <c r="L2440" s="533"/>
      <c r="M2440" s="533"/>
      <c r="N2440" s="268"/>
      <c r="O2440" s="533"/>
      <c r="P2440" s="533"/>
      <c r="Q2440" s="533"/>
      <c r="R2440" s="533"/>
      <c r="S2440" s="533"/>
      <c r="T2440" s="533"/>
      <c r="U2440" s="533"/>
      <c r="V2440" s="533"/>
      <c r="W2440" s="533"/>
      <c r="X2440" s="533"/>
      <c r="Y2440" s="533"/>
    </row>
    <row r="2441" spans="1:25" s="88" customFormat="1" hidden="1" x14ac:dyDescent="0.25">
      <c r="A2441" s="218"/>
      <c r="B2441" s="218"/>
      <c r="C2441" s="221"/>
      <c r="D2441" s="218"/>
      <c r="E2441" s="218"/>
      <c r="F2441" s="642" t="s">
        <v>238</v>
      </c>
      <c r="G2441" s="643" t="s">
        <v>239</v>
      </c>
      <c r="H2441" s="594"/>
      <c r="I2441" s="595"/>
      <c r="J2441" s="599">
        <f t="shared" si="83"/>
        <v>0</v>
      </c>
      <c r="K2441" s="533"/>
      <c r="L2441" s="533"/>
      <c r="M2441" s="533"/>
      <c r="N2441" s="268"/>
      <c r="O2441" s="533"/>
      <c r="P2441" s="533"/>
      <c r="Q2441" s="533"/>
      <c r="R2441" s="533"/>
      <c r="S2441" s="533"/>
      <c r="T2441" s="533"/>
      <c r="U2441" s="533"/>
      <c r="V2441" s="533"/>
      <c r="W2441" s="533"/>
      <c r="X2441" s="533"/>
      <c r="Y2441" s="533"/>
    </row>
    <row r="2442" spans="1:25" s="88" customFormat="1" hidden="1" x14ac:dyDescent="0.25">
      <c r="A2442" s="218"/>
      <c r="B2442" s="218"/>
      <c r="C2442" s="221"/>
      <c r="D2442" s="218"/>
      <c r="E2442" s="218"/>
      <c r="F2442" s="642" t="s">
        <v>240</v>
      </c>
      <c r="G2442" s="643" t="s">
        <v>241</v>
      </c>
      <c r="H2442" s="594"/>
      <c r="I2442" s="595"/>
      <c r="J2442" s="599">
        <f t="shared" si="83"/>
        <v>0</v>
      </c>
      <c r="K2442" s="533"/>
      <c r="L2442" s="533"/>
      <c r="M2442" s="533"/>
      <c r="N2442" s="268"/>
      <c r="O2442" s="533"/>
      <c r="P2442" s="533"/>
      <c r="Q2442" s="533"/>
      <c r="R2442" s="533"/>
      <c r="S2442" s="533"/>
      <c r="T2442" s="533"/>
      <c r="U2442" s="533"/>
      <c r="V2442" s="533"/>
      <c r="W2442" s="533"/>
      <c r="X2442" s="533"/>
      <c r="Y2442" s="533"/>
    </row>
    <row r="2443" spans="1:25" s="88" customFormat="1" hidden="1" x14ac:dyDescent="0.25">
      <c r="A2443" s="218"/>
      <c r="B2443" s="218"/>
      <c r="C2443" s="221"/>
      <c r="D2443" s="218"/>
      <c r="E2443" s="218"/>
      <c r="F2443" s="642" t="s">
        <v>242</v>
      </c>
      <c r="G2443" s="643" t="s">
        <v>243</v>
      </c>
      <c r="H2443" s="594"/>
      <c r="I2443" s="595"/>
      <c r="J2443" s="599">
        <f t="shared" si="83"/>
        <v>0</v>
      </c>
      <c r="K2443" s="533"/>
      <c r="L2443" s="533"/>
      <c r="M2443" s="533"/>
      <c r="N2443" s="268"/>
      <c r="O2443" s="533"/>
      <c r="P2443" s="533"/>
      <c r="Q2443" s="533"/>
      <c r="R2443" s="533"/>
      <c r="S2443" s="533"/>
      <c r="T2443" s="533"/>
      <c r="U2443" s="533"/>
      <c r="V2443" s="533"/>
      <c r="W2443" s="533"/>
      <c r="X2443" s="533"/>
      <c r="Y2443" s="533"/>
    </row>
    <row r="2444" spans="1:25" s="88" customFormat="1" hidden="1" x14ac:dyDescent="0.25">
      <c r="A2444" s="218"/>
      <c r="B2444" s="218"/>
      <c r="C2444" s="221"/>
      <c r="D2444" s="218"/>
      <c r="E2444" s="218"/>
      <c r="F2444" s="642" t="s">
        <v>244</v>
      </c>
      <c r="G2444" s="643" t="s">
        <v>245</v>
      </c>
      <c r="H2444" s="594"/>
      <c r="I2444" s="595"/>
      <c r="J2444" s="599">
        <f t="shared" si="83"/>
        <v>0</v>
      </c>
      <c r="K2444" s="533"/>
      <c r="L2444" s="533"/>
      <c r="M2444" s="533"/>
      <c r="N2444" s="268"/>
      <c r="O2444" s="533"/>
      <c r="P2444" s="533"/>
      <c r="Q2444" s="533"/>
      <c r="R2444" s="533"/>
      <c r="S2444" s="533"/>
      <c r="T2444" s="533"/>
      <c r="U2444" s="533"/>
      <c r="V2444" s="533"/>
      <c r="W2444" s="533"/>
      <c r="X2444" s="533"/>
      <c r="Y2444" s="533"/>
    </row>
    <row r="2445" spans="1:25" s="88" customFormat="1" hidden="1" x14ac:dyDescent="0.25">
      <c r="A2445" s="218"/>
      <c r="B2445" s="218"/>
      <c r="C2445" s="221"/>
      <c r="D2445" s="218"/>
      <c r="E2445" s="218"/>
      <c r="F2445" s="642" t="s">
        <v>246</v>
      </c>
      <c r="G2445" s="643" t="s">
        <v>247</v>
      </c>
      <c r="H2445" s="594"/>
      <c r="I2445" s="595"/>
      <c r="J2445" s="599">
        <f t="shared" si="83"/>
        <v>0</v>
      </c>
      <c r="K2445" s="533"/>
      <c r="L2445" s="533"/>
      <c r="M2445" s="533"/>
      <c r="N2445" s="268"/>
      <c r="O2445" s="533"/>
      <c r="P2445" s="533"/>
      <c r="Q2445" s="533"/>
      <c r="R2445" s="533"/>
      <c r="S2445" s="533"/>
      <c r="T2445" s="533"/>
      <c r="U2445" s="533"/>
      <c r="V2445" s="533"/>
      <c r="W2445" s="533"/>
      <c r="X2445" s="533"/>
      <c r="Y2445" s="533"/>
    </row>
    <row r="2446" spans="1:25" s="88" customFormat="1" hidden="1" x14ac:dyDescent="0.25">
      <c r="A2446" s="218"/>
      <c r="B2446" s="218"/>
      <c r="C2446" s="221"/>
      <c r="D2446" s="218"/>
      <c r="E2446" s="218"/>
      <c r="F2446" s="642" t="s">
        <v>248</v>
      </c>
      <c r="G2446" s="643" t="s">
        <v>249</v>
      </c>
      <c r="H2446" s="594"/>
      <c r="I2446" s="595"/>
      <c r="J2446" s="599">
        <f t="shared" si="83"/>
        <v>0</v>
      </c>
      <c r="K2446" s="533"/>
      <c r="L2446" s="533"/>
      <c r="M2446" s="533"/>
      <c r="N2446" s="268"/>
      <c r="O2446" s="533"/>
      <c r="P2446" s="533"/>
      <c r="Q2446" s="533"/>
      <c r="R2446" s="533"/>
      <c r="S2446" s="533"/>
      <c r="T2446" s="533"/>
      <c r="U2446" s="533"/>
      <c r="V2446" s="533"/>
      <c r="W2446" s="533"/>
      <c r="X2446" s="533"/>
      <c r="Y2446" s="533"/>
    </row>
    <row r="2447" spans="1:25" s="88" customFormat="1" hidden="1" x14ac:dyDescent="0.25">
      <c r="A2447" s="218"/>
      <c r="B2447" s="218"/>
      <c r="C2447" s="221"/>
      <c r="D2447" s="218"/>
      <c r="E2447" s="218"/>
      <c r="F2447" s="642" t="s">
        <v>250</v>
      </c>
      <c r="G2447" s="643" t="s">
        <v>57</v>
      </c>
      <c r="H2447" s="594"/>
      <c r="I2447" s="595"/>
      <c r="J2447" s="599">
        <f t="shared" si="83"/>
        <v>0</v>
      </c>
      <c r="K2447" s="533"/>
      <c r="L2447" s="533"/>
      <c r="M2447" s="533"/>
      <c r="N2447" s="268"/>
      <c r="O2447" s="533"/>
      <c r="P2447" s="533"/>
      <c r="Q2447" s="533"/>
      <c r="R2447" s="533"/>
      <c r="S2447" s="533"/>
      <c r="T2447" s="533"/>
      <c r="U2447" s="533"/>
      <c r="V2447" s="533"/>
      <c r="W2447" s="533"/>
      <c r="X2447" s="533"/>
      <c r="Y2447" s="533"/>
    </row>
    <row r="2448" spans="1:25" s="88" customFormat="1" hidden="1" x14ac:dyDescent="0.25">
      <c r="A2448" s="218"/>
      <c r="B2448" s="218"/>
      <c r="C2448" s="221"/>
      <c r="D2448" s="218"/>
      <c r="E2448" s="218"/>
      <c r="F2448" s="642" t="s">
        <v>251</v>
      </c>
      <c r="G2448" s="643" t="s">
        <v>252</v>
      </c>
      <c r="H2448" s="594"/>
      <c r="I2448" s="595"/>
      <c r="J2448" s="599">
        <f t="shared" si="83"/>
        <v>0</v>
      </c>
      <c r="K2448" s="533"/>
      <c r="L2448" s="533"/>
      <c r="M2448" s="533"/>
      <c r="N2448" s="268"/>
      <c r="O2448" s="533"/>
      <c r="P2448" s="533"/>
      <c r="Q2448" s="533"/>
      <c r="R2448" s="533"/>
      <c r="S2448" s="533"/>
      <c r="T2448" s="533"/>
      <c r="U2448" s="533"/>
      <c r="V2448" s="533"/>
      <c r="W2448" s="533"/>
      <c r="X2448" s="533"/>
      <c r="Y2448" s="533"/>
    </row>
    <row r="2449" spans="1:25" s="88" customFormat="1" hidden="1" x14ac:dyDescent="0.25">
      <c r="A2449" s="218"/>
      <c r="B2449" s="218"/>
      <c r="C2449" s="221"/>
      <c r="D2449" s="218"/>
      <c r="E2449" s="218"/>
      <c r="F2449" s="642" t="s">
        <v>253</v>
      </c>
      <c r="G2449" s="643" t="s">
        <v>254</v>
      </c>
      <c r="H2449" s="594"/>
      <c r="I2449" s="595"/>
      <c r="J2449" s="599">
        <f t="shared" si="83"/>
        <v>0</v>
      </c>
      <c r="K2449" s="533"/>
      <c r="L2449" s="533"/>
      <c r="M2449" s="533"/>
      <c r="N2449" s="268"/>
      <c r="O2449" s="533"/>
      <c r="P2449" s="533"/>
      <c r="Q2449" s="533"/>
      <c r="R2449" s="533"/>
      <c r="S2449" s="533"/>
      <c r="T2449" s="533"/>
      <c r="U2449" s="533"/>
      <c r="V2449" s="533"/>
      <c r="W2449" s="533"/>
      <c r="X2449" s="533"/>
      <c r="Y2449" s="533"/>
    </row>
    <row r="2450" spans="1:25" s="88" customFormat="1" ht="30" hidden="1" x14ac:dyDescent="0.25">
      <c r="A2450" s="218"/>
      <c r="B2450" s="218"/>
      <c r="C2450" s="221"/>
      <c r="D2450" s="218"/>
      <c r="E2450" s="218"/>
      <c r="F2450" s="642" t="s">
        <v>255</v>
      </c>
      <c r="G2450" s="643" t="s">
        <v>256</v>
      </c>
      <c r="H2450" s="594"/>
      <c r="I2450" s="595"/>
      <c r="J2450" s="599">
        <f t="shared" si="83"/>
        <v>0</v>
      </c>
      <c r="K2450" s="533"/>
      <c r="L2450" s="533"/>
      <c r="M2450" s="533"/>
      <c r="N2450" s="268"/>
      <c r="O2450" s="533"/>
      <c r="P2450" s="533"/>
      <c r="Q2450" s="533"/>
      <c r="R2450" s="533"/>
      <c r="S2450" s="533"/>
      <c r="T2450" s="533"/>
      <c r="U2450" s="533"/>
      <c r="V2450" s="533"/>
      <c r="W2450" s="533"/>
      <c r="X2450" s="533"/>
      <c r="Y2450" s="533"/>
    </row>
    <row r="2451" spans="1:25" s="88" customFormat="1" hidden="1" x14ac:dyDescent="0.25">
      <c r="A2451" s="218"/>
      <c r="B2451" s="218"/>
      <c r="C2451" s="221"/>
      <c r="D2451" s="218"/>
      <c r="E2451" s="218"/>
      <c r="F2451" s="642" t="s">
        <v>257</v>
      </c>
      <c r="G2451" s="643" t="s">
        <v>258</v>
      </c>
      <c r="H2451" s="594"/>
      <c r="I2451" s="595"/>
      <c r="J2451" s="599">
        <f t="shared" si="83"/>
        <v>0</v>
      </c>
      <c r="K2451" s="533"/>
      <c r="L2451" s="533"/>
      <c r="M2451" s="533"/>
      <c r="N2451" s="268"/>
      <c r="O2451" s="533"/>
      <c r="P2451" s="533"/>
      <c r="Q2451" s="533"/>
      <c r="R2451" s="533"/>
      <c r="S2451" s="533"/>
      <c r="T2451" s="533"/>
      <c r="U2451" s="533"/>
      <c r="V2451" s="533"/>
      <c r="W2451" s="533"/>
      <c r="X2451" s="533"/>
      <c r="Y2451" s="533"/>
    </row>
    <row r="2452" spans="1:25" s="88" customFormat="1" ht="30" hidden="1" x14ac:dyDescent="0.25">
      <c r="A2452" s="218"/>
      <c r="B2452" s="218"/>
      <c r="C2452" s="221"/>
      <c r="D2452" s="218"/>
      <c r="E2452" s="218"/>
      <c r="F2452" s="642" t="s">
        <v>259</v>
      </c>
      <c r="G2452" s="643" t="s">
        <v>260</v>
      </c>
      <c r="H2452" s="594"/>
      <c r="I2452" s="595"/>
      <c r="J2452" s="599">
        <f t="shared" si="83"/>
        <v>0</v>
      </c>
      <c r="K2452" s="533"/>
      <c r="L2452" s="533"/>
      <c r="M2452" s="533"/>
      <c r="N2452" s="268"/>
      <c r="O2452" s="533"/>
      <c r="P2452" s="533"/>
      <c r="Q2452" s="533"/>
      <c r="R2452" s="533"/>
      <c r="S2452" s="533"/>
      <c r="T2452" s="533"/>
      <c r="U2452" s="533"/>
      <c r="V2452" s="533"/>
      <c r="W2452" s="533"/>
      <c r="X2452" s="533"/>
      <c r="Y2452" s="533"/>
    </row>
    <row r="2453" spans="1:25" s="88" customFormat="1" hidden="1" x14ac:dyDescent="0.25">
      <c r="A2453" s="218"/>
      <c r="B2453" s="218"/>
      <c r="C2453" s="221"/>
      <c r="D2453" s="218"/>
      <c r="E2453" s="218"/>
      <c r="F2453" s="642" t="s">
        <v>261</v>
      </c>
      <c r="G2453" s="643" t="s">
        <v>262</v>
      </c>
      <c r="H2453" s="594"/>
      <c r="I2453" s="595"/>
      <c r="J2453" s="599">
        <f t="shared" si="83"/>
        <v>0</v>
      </c>
      <c r="K2453" s="533"/>
      <c r="L2453" s="533"/>
      <c r="M2453" s="533"/>
      <c r="N2453" s="268"/>
      <c r="O2453" s="533"/>
      <c r="P2453" s="533"/>
      <c r="Q2453" s="533"/>
      <c r="R2453" s="533"/>
      <c r="S2453" s="533"/>
      <c r="T2453" s="533"/>
      <c r="U2453" s="533"/>
      <c r="V2453" s="533"/>
      <c r="W2453" s="533"/>
      <c r="X2453" s="533"/>
      <c r="Y2453" s="533"/>
    </row>
    <row r="2454" spans="1:25" s="88" customFormat="1" ht="15.75" hidden="1" thickBot="1" x14ac:dyDescent="0.3">
      <c r="A2454" s="218"/>
      <c r="B2454" s="218"/>
      <c r="C2454" s="221"/>
      <c r="D2454" s="218"/>
      <c r="E2454" s="218"/>
      <c r="F2454" s="642" t="s">
        <v>263</v>
      </c>
      <c r="G2454" s="643" t="s">
        <v>264</v>
      </c>
      <c r="H2454" s="598"/>
      <c r="I2454" s="599"/>
      <c r="J2454" s="599">
        <f t="shared" si="83"/>
        <v>0</v>
      </c>
      <c r="K2454" s="533"/>
      <c r="L2454" s="533"/>
      <c r="M2454" s="533"/>
      <c r="N2454" s="268"/>
      <c r="O2454" s="533"/>
      <c r="P2454" s="533"/>
      <c r="Q2454" s="533"/>
      <c r="R2454" s="533"/>
      <c r="S2454" s="533"/>
      <c r="T2454" s="533"/>
      <c r="U2454" s="533"/>
      <c r="V2454" s="533"/>
      <c r="W2454" s="533"/>
      <c r="X2454" s="533"/>
      <c r="Y2454" s="533"/>
    </row>
    <row r="2455" spans="1:25" s="88" customFormat="1" ht="15.75" thickBot="1" x14ac:dyDescent="0.3">
      <c r="A2455" s="218"/>
      <c r="B2455" s="218"/>
      <c r="C2455" s="221"/>
      <c r="D2455" s="218"/>
      <c r="E2455" s="218"/>
      <c r="F2455" s="218"/>
      <c r="G2455" s="229" t="s">
        <v>5081</v>
      </c>
      <c r="H2455" s="600">
        <f>SUM(H2439:H2454)</f>
        <v>44200000</v>
      </c>
      <c r="I2455" s="601">
        <f>SUM(I2440:I2454)</f>
        <v>0</v>
      </c>
      <c r="J2455" s="601">
        <f>SUM(J2439:J2454)</f>
        <v>44200000</v>
      </c>
      <c r="K2455" s="533"/>
      <c r="L2455" s="533"/>
      <c r="M2455" s="533"/>
      <c r="N2455" s="268"/>
      <c r="O2455" s="533"/>
      <c r="P2455" s="533"/>
      <c r="Q2455" s="533"/>
      <c r="R2455" s="533"/>
      <c r="S2455" s="533"/>
      <c r="T2455" s="533"/>
      <c r="U2455" s="533"/>
      <c r="V2455" s="533"/>
      <c r="W2455" s="533"/>
      <c r="X2455" s="533"/>
      <c r="Y2455" s="533"/>
    </row>
    <row r="2456" spans="1:25" s="88" customFormat="1" hidden="1" x14ac:dyDescent="0.25">
      <c r="A2456" s="509"/>
      <c r="B2456" s="256"/>
      <c r="C2456" s="228"/>
      <c r="D2456" s="218"/>
      <c r="E2456" s="218"/>
      <c r="F2456" s="218"/>
      <c r="G2456" s="518"/>
      <c r="H2456" s="594"/>
      <c r="I2456" s="595"/>
      <c r="J2456" s="595"/>
      <c r="K2456" s="533"/>
      <c r="L2456" s="533"/>
      <c r="M2456" s="533"/>
      <c r="N2456" s="268"/>
      <c r="O2456" s="533"/>
      <c r="P2456" s="533"/>
      <c r="Q2456" s="533"/>
      <c r="R2456" s="533"/>
      <c r="S2456" s="533"/>
      <c r="T2456" s="533"/>
      <c r="U2456" s="533"/>
      <c r="V2456" s="533"/>
      <c r="W2456" s="533"/>
      <c r="X2456" s="533"/>
      <c r="Y2456" s="533"/>
    </row>
    <row r="2457" spans="1:25" s="88" customFormat="1" hidden="1" x14ac:dyDescent="0.25">
      <c r="A2457" s="509"/>
      <c r="B2457" s="256"/>
      <c r="C2457" s="228"/>
      <c r="D2457" s="218"/>
      <c r="E2457" s="218"/>
      <c r="F2457" s="218"/>
      <c r="G2457" s="518"/>
      <c r="H2457" s="594"/>
      <c r="I2457" s="595"/>
      <c r="J2457" s="595"/>
      <c r="K2457" s="533"/>
      <c r="L2457" s="533"/>
      <c r="M2457" s="533"/>
      <c r="N2457" s="268"/>
      <c r="O2457" s="533"/>
      <c r="P2457" s="533"/>
      <c r="Q2457" s="533"/>
      <c r="R2457" s="533"/>
      <c r="S2457" s="533"/>
      <c r="T2457" s="533"/>
      <c r="U2457" s="533"/>
      <c r="V2457" s="533"/>
      <c r="W2457" s="533"/>
      <c r="X2457" s="533"/>
      <c r="Y2457" s="533"/>
    </row>
    <row r="2458" spans="1:25" s="88" customFormat="1" hidden="1" x14ac:dyDescent="0.25">
      <c r="A2458" s="509"/>
      <c r="B2458" s="256"/>
      <c r="C2458" s="228"/>
      <c r="D2458" s="218"/>
      <c r="E2458" s="218"/>
      <c r="F2458" s="218"/>
      <c r="G2458" s="518"/>
      <c r="H2458" s="594"/>
      <c r="I2458" s="595"/>
      <c r="J2458" s="595"/>
      <c r="K2458" s="533"/>
      <c r="L2458" s="533"/>
      <c r="M2458" s="533"/>
      <c r="N2458" s="268"/>
      <c r="O2458" s="533"/>
      <c r="P2458" s="533"/>
      <c r="Q2458" s="533"/>
      <c r="R2458" s="533"/>
      <c r="S2458" s="533"/>
      <c r="T2458" s="533"/>
      <c r="U2458" s="533"/>
      <c r="V2458" s="533"/>
      <c r="W2458" s="533"/>
      <c r="X2458" s="533"/>
      <c r="Y2458" s="533"/>
    </row>
    <row r="2459" spans="1:25" s="88" customFormat="1" hidden="1" x14ac:dyDescent="0.25">
      <c r="A2459" s="509"/>
      <c r="B2459" s="256"/>
      <c r="C2459" s="228"/>
      <c r="D2459" s="218"/>
      <c r="E2459" s="218"/>
      <c r="F2459" s="218"/>
      <c r="G2459" s="518"/>
      <c r="H2459" s="594"/>
      <c r="I2459" s="595"/>
      <c r="J2459" s="595"/>
      <c r="K2459" s="533"/>
      <c r="L2459" s="533"/>
      <c r="M2459" s="533"/>
      <c r="N2459" s="268"/>
      <c r="O2459" s="533"/>
      <c r="P2459" s="533"/>
      <c r="Q2459" s="533"/>
      <c r="R2459" s="533"/>
      <c r="S2459" s="533"/>
      <c r="T2459" s="533"/>
      <c r="U2459" s="533"/>
      <c r="V2459" s="533"/>
      <c r="W2459" s="533"/>
      <c r="X2459" s="533"/>
      <c r="Y2459" s="533"/>
    </row>
    <row r="2460" spans="1:25" s="88" customFormat="1" hidden="1" x14ac:dyDescent="0.25">
      <c r="A2460" s="509"/>
      <c r="B2460" s="256"/>
      <c r="C2460" s="228"/>
      <c r="D2460" s="218"/>
      <c r="E2460" s="218"/>
      <c r="F2460" s="218"/>
      <c r="G2460" s="518"/>
      <c r="H2460" s="594"/>
      <c r="I2460" s="595"/>
      <c r="J2460" s="595"/>
      <c r="K2460" s="533"/>
      <c r="L2460" s="533"/>
      <c r="M2460" s="533"/>
      <c r="N2460" s="268"/>
      <c r="O2460" s="533"/>
      <c r="P2460" s="533"/>
      <c r="Q2460" s="533"/>
      <c r="R2460" s="533"/>
      <c r="S2460" s="533"/>
      <c r="T2460" s="533"/>
      <c r="U2460" s="533"/>
      <c r="V2460" s="533"/>
      <c r="W2460" s="533"/>
      <c r="X2460" s="533"/>
      <c r="Y2460" s="533"/>
    </row>
    <row r="2461" spans="1:25" s="88" customFormat="1" hidden="1" x14ac:dyDescent="0.25">
      <c r="A2461" s="509"/>
      <c r="B2461" s="256"/>
      <c r="C2461" s="228"/>
      <c r="D2461" s="218"/>
      <c r="E2461" s="218"/>
      <c r="F2461" s="218"/>
      <c r="G2461" s="518"/>
      <c r="H2461" s="594"/>
      <c r="I2461" s="595"/>
      <c r="J2461" s="595"/>
      <c r="K2461" s="533"/>
      <c r="L2461" s="533"/>
      <c r="M2461" s="533"/>
      <c r="N2461" s="268"/>
      <c r="O2461" s="533"/>
      <c r="P2461" s="533"/>
      <c r="Q2461" s="533"/>
      <c r="R2461" s="533"/>
      <c r="S2461" s="533"/>
      <c r="T2461" s="533"/>
      <c r="U2461" s="533"/>
      <c r="V2461" s="533"/>
      <c r="W2461" s="533"/>
      <c r="X2461" s="533"/>
      <c r="Y2461" s="533"/>
    </row>
    <row r="2462" spans="1:25" s="88" customFormat="1" hidden="1" x14ac:dyDescent="0.25">
      <c r="A2462" s="509"/>
      <c r="B2462" s="256"/>
      <c r="C2462" s="228"/>
      <c r="D2462" s="218"/>
      <c r="E2462" s="218"/>
      <c r="F2462" s="218"/>
      <c r="G2462" s="518"/>
      <c r="H2462" s="594"/>
      <c r="I2462" s="595"/>
      <c r="J2462" s="595"/>
      <c r="K2462" s="533"/>
      <c r="L2462" s="533"/>
      <c r="M2462" s="533"/>
      <c r="N2462" s="268"/>
      <c r="O2462" s="533"/>
      <c r="P2462" s="533"/>
      <c r="Q2462" s="533"/>
      <c r="R2462" s="533"/>
      <c r="S2462" s="533"/>
      <c r="T2462" s="533"/>
      <c r="U2462" s="533"/>
      <c r="V2462" s="533"/>
      <c r="W2462" s="533"/>
      <c r="X2462" s="533"/>
      <c r="Y2462" s="533"/>
    </row>
    <row r="2463" spans="1:25" s="88" customFormat="1" hidden="1" x14ac:dyDescent="0.25">
      <c r="A2463" s="509"/>
      <c r="B2463" s="256"/>
      <c r="C2463" s="228"/>
      <c r="D2463" s="218"/>
      <c r="E2463" s="218"/>
      <c r="F2463" s="218"/>
      <c r="G2463" s="518"/>
      <c r="H2463" s="594"/>
      <c r="I2463" s="595"/>
      <c r="J2463" s="595"/>
      <c r="K2463" s="533"/>
      <c r="L2463" s="533"/>
      <c r="M2463" s="533"/>
      <c r="N2463" s="268"/>
      <c r="O2463" s="533"/>
      <c r="P2463" s="533"/>
      <c r="Q2463" s="533"/>
      <c r="R2463" s="533"/>
      <c r="S2463" s="533"/>
      <c r="T2463" s="533"/>
      <c r="U2463" s="533"/>
      <c r="V2463" s="533"/>
      <c r="W2463" s="533"/>
      <c r="X2463" s="533"/>
      <c r="Y2463" s="533"/>
    </row>
    <row r="2464" spans="1:25" s="88" customFormat="1" hidden="1" x14ac:dyDescent="0.25">
      <c r="A2464" s="509"/>
      <c r="B2464" s="256"/>
      <c r="C2464" s="228"/>
      <c r="D2464" s="218"/>
      <c r="E2464" s="218"/>
      <c r="F2464" s="218"/>
      <c r="G2464" s="518"/>
      <c r="H2464" s="594"/>
      <c r="I2464" s="595"/>
      <c r="J2464" s="595"/>
      <c r="K2464" s="533"/>
      <c r="L2464" s="533"/>
      <c r="M2464" s="533"/>
      <c r="N2464" s="268"/>
      <c r="O2464" s="533"/>
      <c r="P2464" s="533"/>
      <c r="Q2464" s="533"/>
      <c r="R2464" s="533"/>
      <c r="S2464" s="533"/>
      <c r="T2464" s="533"/>
      <c r="U2464" s="533"/>
      <c r="V2464" s="533"/>
      <c r="W2464" s="533"/>
      <c r="X2464" s="533"/>
      <c r="Y2464" s="533"/>
    </row>
    <row r="2465" spans="1:25" s="88" customFormat="1" hidden="1" x14ac:dyDescent="0.25">
      <c r="A2465" s="509"/>
      <c r="B2465" s="256"/>
      <c r="C2465" s="228"/>
      <c r="D2465" s="218"/>
      <c r="E2465" s="218"/>
      <c r="F2465" s="218"/>
      <c r="G2465" s="518"/>
      <c r="H2465" s="594"/>
      <c r="I2465" s="595"/>
      <c r="J2465" s="595"/>
      <c r="K2465" s="533"/>
      <c r="L2465" s="533"/>
      <c r="M2465" s="533"/>
      <c r="N2465" s="268"/>
      <c r="O2465" s="533"/>
      <c r="P2465" s="533"/>
      <c r="Q2465" s="533"/>
      <c r="R2465" s="533"/>
      <c r="S2465" s="533"/>
      <c r="T2465" s="533"/>
      <c r="U2465" s="533"/>
      <c r="V2465" s="533"/>
      <c r="W2465" s="533"/>
      <c r="X2465" s="533"/>
      <c r="Y2465" s="533"/>
    </row>
    <row r="2466" spans="1:25" s="88" customFormat="1" hidden="1" x14ac:dyDescent="0.25">
      <c r="A2466" s="509"/>
      <c r="B2466" s="256"/>
      <c r="C2466" s="228"/>
      <c r="D2466" s="218"/>
      <c r="E2466" s="218"/>
      <c r="F2466" s="218"/>
      <c r="G2466" s="518"/>
      <c r="H2466" s="594"/>
      <c r="I2466" s="595"/>
      <c r="J2466" s="595"/>
      <c r="K2466" s="533"/>
      <c r="L2466" s="533"/>
      <c r="M2466" s="533"/>
      <c r="N2466" s="268"/>
      <c r="O2466" s="533"/>
      <c r="P2466" s="533"/>
      <c r="Q2466" s="533"/>
      <c r="R2466" s="533"/>
      <c r="S2466" s="533"/>
      <c r="T2466" s="533"/>
      <c r="U2466" s="533"/>
      <c r="V2466" s="533"/>
      <c r="W2466" s="533"/>
      <c r="X2466" s="533"/>
      <c r="Y2466" s="533"/>
    </row>
    <row r="2467" spans="1:25" s="88" customFormat="1" hidden="1" x14ac:dyDescent="0.25">
      <c r="A2467" s="509"/>
      <c r="B2467" s="256"/>
      <c r="C2467" s="228"/>
      <c r="D2467" s="218"/>
      <c r="E2467" s="218"/>
      <c r="F2467" s="218"/>
      <c r="G2467" s="518"/>
      <c r="H2467" s="594"/>
      <c r="I2467" s="595"/>
      <c r="J2467" s="595"/>
      <c r="K2467" s="533"/>
      <c r="L2467" s="533"/>
      <c r="M2467" s="533"/>
      <c r="N2467" s="268"/>
      <c r="O2467" s="533"/>
      <c r="P2467" s="533"/>
      <c r="Q2467" s="533"/>
      <c r="R2467" s="533"/>
      <c r="S2467" s="533"/>
      <c r="T2467" s="533"/>
      <c r="U2467" s="533"/>
      <c r="V2467" s="533"/>
      <c r="W2467" s="533"/>
      <c r="X2467" s="533"/>
      <c r="Y2467" s="533"/>
    </row>
    <row r="2468" spans="1:25" s="88" customFormat="1" hidden="1" x14ac:dyDescent="0.25">
      <c r="A2468" s="509"/>
      <c r="B2468" s="256"/>
      <c r="C2468" s="228"/>
      <c r="D2468" s="218"/>
      <c r="E2468" s="218"/>
      <c r="F2468" s="218"/>
      <c r="G2468" s="518"/>
      <c r="H2468" s="594"/>
      <c r="I2468" s="595"/>
      <c r="J2468" s="595"/>
      <c r="K2468" s="533"/>
      <c r="L2468" s="533"/>
      <c r="M2468" s="533"/>
      <c r="N2468" s="268"/>
      <c r="O2468" s="533"/>
      <c r="P2468" s="533"/>
      <c r="Q2468" s="533"/>
      <c r="R2468" s="533"/>
      <c r="S2468" s="533"/>
      <c r="T2468" s="533"/>
      <c r="U2468" s="533"/>
      <c r="V2468" s="533"/>
      <c r="W2468" s="533"/>
      <c r="X2468" s="533"/>
      <c r="Y2468" s="533"/>
    </row>
    <row r="2469" spans="1:25" s="88" customFormat="1" hidden="1" x14ac:dyDescent="0.25">
      <c r="A2469" s="509"/>
      <c r="B2469" s="256"/>
      <c r="C2469" s="228"/>
      <c r="D2469" s="218"/>
      <c r="E2469" s="218"/>
      <c r="F2469" s="218"/>
      <c r="G2469" s="518"/>
      <c r="H2469" s="594"/>
      <c r="I2469" s="595"/>
      <c r="J2469" s="595"/>
      <c r="K2469" s="533"/>
      <c r="L2469" s="533"/>
      <c r="M2469" s="533"/>
      <c r="N2469" s="268"/>
      <c r="O2469" s="533"/>
      <c r="P2469" s="533"/>
      <c r="Q2469" s="533"/>
      <c r="R2469" s="533"/>
      <c r="S2469" s="533"/>
      <c r="T2469" s="533"/>
      <c r="U2469" s="533"/>
      <c r="V2469" s="533"/>
      <c r="W2469" s="533"/>
      <c r="X2469" s="533"/>
      <c r="Y2469" s="533"/>
    </row>
    <row r="2470" spans="1:25" s="88" customFormat="1" hidden="1" x14ac:dyDescent="0.25">
      <c r="A2470" s="509"/>
      <c r="B2470" s="256"/>
      <c r="C2470" s="228"/>
      <c r="D2470" s="218"/>
      <c r="E2470" s="218"/>
      <c r="F2470" s="218"/>
      <c r="G2470" s="518"/>
      <c r="H2470" s="594"/>
      <c r="I2470" s="595"/>
      <c r="J2470" s="595"/>
      <c r="K2470" s="533"/>
      <c r="L2470" s="533"/>
      <c r="M2470" s="533"/>
      <c r="N2470" s="268"/>
      <c r="O2470" s="533"/>
      <c r="P2470" s="533"/>
      <c r="Q2470" s="533"/>
      <c r="R2470" s="533"/>
      <c r="S2470" s="533"/>
      <c r="T2470" s="533"/>
      <c r="U2470" s="533"/>
      <c r="V2470" s="533"/>
      <c r="W2470" s="533"/>
      <c r="X2470" s="533"/>
      <c r="Y2470" s="533"/>
    </row>
    <row r="2471" spans="1:25" s="88" customFormat="1" hidden="1" x14ac:dyDescent="0.25">
      <c r="A2471" s="509"/>
      <c r="B2471" s="256"/>
      <c r="C2471" s="228"/>
      <c r="D2471" s="218"/>
      <c r="E2471" s="218"/>
      <c r="F2471" s="218"/>
      <c r="G2471" s="518"/>
      <c r="H2471" s="594"/>
      <c r="I2471" s="595"/>
      <c r="J2471" s="595"/>
      <c r="K2471" s="533"/>
      <c r="L2471" s="533"/>
      <c r="M2471" s="533"/>
      <c r="N2471" s="268"/>
      <c r="O2471" s="533"/>
      <c r="P2471" s="533"/>
      <c r="Q2471" s="533"/>
      <c r="R2471" s="533"/>
      <c r="S2471" s="533"/>
      <c r="T2471" s="533"/>
      <c r="U2471" s="533"/>
      <c r="V2471" s="533"/>
      <c r="W2471" s="533"/>
      <c r="X2471" s="533"/>
      <c r="Y2471" s="533"/>
    </row>
    <row r="2472" spans="1:25" s="88" customFormat="1" hidden="1" x14ac:dyDescent="0.25">
      <c r="A2472" s="509"/>
      <c r="B2472" s="256"/>
      <c r="C2472" s="228"/>
      <c r="D2472" s="218"/>
      <c r="E2472" s="218"/>
      <c r="F2472" s="218"/>
      <c r="G2472" s="518"/>
      <c r="H2472" s="594"/>
      <c r="I2472" s="595"/>
      <c r="J2472" s="595"/>
      <c r="K2472" s="533"/>
      <c r="L2472" s="533"/>
      <c r="M2472" s="533"/>
      <c r="N2472" s="268"/>
      <c r="O2472" s="533"/>
      <c r="P2472" s="533"/>
      <c r="Q2472" s="533"/>
      <c r="R2472" s="533"/>
      <c r="S2472" s="533"/>
      <c r="T2472" s="533"/>
      <c r="U2472" s="533"/>
      <c r="V2472" s="533"/>
      <c r="W2472" s="533"/>
      <c r="X2472" s="533"/>
      <c r="Y2472" s="533"/>
    </row>
    <row r="2473" spans="1:25" s="88" customFormat="1" hidden="1" x14ac:dyDescent="0.25">
      <c r="A2473" s="509"/>
      <c r="B2473" s="256"/>
      <c r="C2473" s="228"/>
      <c r="D2473" s="218"/>
      <c r="E2473" s="218"/>
      <c r="F2473" s="218"/>
      <c r="G2473" s="518"/>
      <c r="H2473" s="594"/>
      <c r="I2473" s="595"/>
      <c r="J2473" s="595"/>
      <c r="K2473" s="533"/>
      <c r="L2473" s="533"/>
      <c r="M2473" s="533"/>
      <c r="N2473" s="268"/>
      <c r="O2473" s="533"/>
      <c r="P2473" s="533"/>
      <c r="Q2473" s="533"/>
      <c r="R2473" s="533"/>
      <c r="S2473" s="533"/>
      <c r="T2473" s="533"/>
      <c r="U2473" s="533"/>
      <c r="V2473" s="533"/>
      <c r="W2473" s="533"/>
      <c r="X2473" s="533"/>
      <c r="Y2473" s="533"/>
    </row>
    <row r="2474" spans="1:25" s="88" customFormat="1" hidden="1" x14ac:dyDescent="0.25">
      <c r="A2474" s="509"/>
      <c r="B2474" s="256"/>
      <c r="C2474" s="228"/>
      <c r="D2474" s="218"/>
      <c r="E2474" s="218"/>
      <c r="F2474" s="218"/>
      <c r="G2474" s="518"/>
      <c r="H2474" s="594"/>
      <c r="I2474" s="595"/>
      <c r="J2474" s="595"/>
      <c r="K2474" s="533"/>
      <c r="L2474" s="533"/>
      <c r="M2474" s="533"/>
      <c r="N2474" s="268"/>
      <c r="O2474" s="533"/>
      <c r="P2474" s="533"/>
      <c r="Q2474" s="533"/>
      <c r="R2474" s="533"/>
      <c r="S2474" s="533"/>
      <c r="T2474" s="533"/>
      <c r="U2474" s="533"/>
      <c r="V2474" s="533"/>
      <c r="W2474" s="533"/>
      <c r="X2474" s="533"/>
      <c r="Y2474" s="533"/>
    </row>
    <row r="2475" spans="1:25" s="88" customFormat="1" hidden="1" x14ac:dyDescent="0.25">
      <c r="A2475" s="509"/>
      <c r="B2475" s="256"/>
      <c r="C2475" s="228"/>
      <c r="D2475" s="218"/>
      <c r="E2475" s="218"/>
      <c r="F2475" s="218"/>
      <c r="G2475" s="518"/>
      <c r="H2475" s="594"/>
      <c r="I2475" s="595"/>
      <c r="J2475" s="595"/>
      <c r="K2475" s="533"/>
      <c r="L2475" s="533"/>
      <c r="M2475" s="533"/>
      <c r="N2475" s="268"/>
      <c r="O2475" s="533"/>
      <c r="P2475" s="533"/>
      <c r="Q2475" s="533"/>
      <c r="R2475" s="533"/>
      <c r="S2475" s="533"/>
      <c r="T2475" s="533"/>
      <c r="U2475" s="533"/>
      <c r="V2475" s="533"/>
      <c r="W2475" s="533"/>
      <c r="X2475" s="533"/>
      <c r="Y2475" s="533"/>
    </row>
    <row r="2476" spans="1:25" s="88" customFormat="1" hidden="1" x14ac:dyDescent="0.25">
      <c r="A2476" s="509"/>
      <c r="B2476" s="256"/>
      <c r="C2476" s="228"/>
      <c r="D2476" s="218"/>
      <c r="E2476" s="218"/>
      <c r="F2476" s="218"/>
      <c r="G2476" s="518"/>
      <c r="H2476" s="594"/>
      <c r="I2476" s="595"/>
      <c r="J2476" s="595"/>
      <c r="K2476" s="533"/>
      <c r="L2476" s="533"/>
      <c r="M2476" s="533"/>
      <c r="N2476" s="268"/>
      <c r="O2476" s="533"/>
      <c r="P2476" s="533"/>
      <c r="Q2476" s="533"/>
      <c r="R2476" s="533"/>
      <c r="S2476" s="533"/>
      <c r="T2476" s="533"/>
      <c r="U2476" s="533"/>
      <c r="V2476" s="533"/>
      <c r="W2476" s="533"/>
      <c r="X2476" s="533"/>
      <c r="Y2476" s="533"/>
    </row>
    <row r="2477" spans="1:25" s="88" customFormat="1" hidden="1" x14ac:dyDescent="0.25">
      <c r="A2477" s="509"/>
      <c r="B2477" s="256"/>
      <c r="C2477" s="228"/>
      <c r="D2477" s="218"/>
      <c r="E2477" s="218"/>
      <c r="F2477" s="218"/>
      <c r="G2477" s="518"/>
      <c r="H2477" s="594"/>
      <c r="I2477" s="595"/>
      <c r="J2477" s="595"/>
      <c r="K2477" s="533"/>
      <c r="L2477" s="533"/>
      <c r="M2477" s="533"/>
      <c r="N2477" s="268"/>
      <c r="O2477" s="533"/>
      <c r="P2477" s="533"/>
      <c r="Q2477" s="533"/>
      <c r="R2477" s="533"/>
      <c r="S2477" s="533"/>
      <c r="T2477" s="533"/>
      <c r="U2477" s="533"/>
      <c r="V2477" s="533"/>
      <c r="W2477" s="533"/>
      <c r="X2477" s="533"/>
      <c r="Y2477" s="533"/>
    </row>
    <row r="2478" spans="1:25" s="88" customFormat="1" hidden="1" x14ac:dyDescent="0.25">
      <c r="A2478" s="509"/>
      <c r="B2478" s="256"/>
      <c r="C2478" s="228"/>
      <c r="D2478" s="218"/>
      <c r="E2478" s="218"/>
      <c r="F2478" s="218"/>
      <c r="G2478" s="518"/>
      <c r="H2478" s="594"/>
      <c r="I2478" s="595"/>
      <c r="J2478" s="595"/>
      <c r="K2478" s="533"/>
      <c r="L2478" s="533"/>
      <c r="M2478" s="533"/>
      <c r="N2478" s="268"/>
      <c r="O2478" s="533"/>
      <c r="P2478" s="533"/>
      <c r="Q2478" s="533"/>
      <c r="R2478" s="533"/>
      <c r="S2478" s="533"/>
      <c r="T2478" s="533"/>
      <c r="U2478" s="533"/>
      <c r="V2478" s="533"/>
      <c r="W2478" s="533"/>
      <c r="X2478" s="533"/>
      <c r="Y2478" s="533"/>
    </row>
    <row r="2479" spans="1:25" s="88" customFormat="1" hidden="1" x14ac:dyDescent="0.25">
      <c r="A2479" s="509"/>
      <c r="B2479" s="256"/>
      <c r="C2479" s="228"/>
      <c r="D2479" s="218"/>
      <c r="E2479" s="218"/>
      <c r="F2479" s="218"/>
      <c r="G2479" s="518"/>
      <c r="H2479" s="594"/>
      <c r="I2479" s="595"/>
      <c r="J2479" s="595"/>
      <c r="K2479" s="533"/>
      <c r="L2479" s="533"/>
      <c r="M2479" s="533"/>
      <c r="N2479" s="268"/>
      <c r="O2479" s="533"/>
      <c r="P2479" s="533"/>
      <c r="Q2479" s="533"/>
      <c r="R2479" s="533"/>
      <c r="S2479" s="533"/>
      <c r="T2479" s="533"/>
      <c r="U2479" s="533"/>
      <c r="V2479" s="533"/>
      <c r="W2479" s="533"/>
      <c r="X2479" s="533"/>
      <c r="Y2479" s="533"/>
    </row>
    <row r="2480" spans="1:25" s="88" customFormat="1" hidden="1" x14ac:dyDescent="0.25">
      <c r="A2480" s="509"/>
      <c r="B2480" s="256"/>
      <c r="C2480" s="228"/>
      <c r="D2480" s="218"/>
      <c r="E2480" s="218"/>
      <c r="F2480" s="218"/>
      <c r="G2480" s="518"/>
      <c r="H2480" s="594"/>
      <c r="I2480" s="595"/>
      <c r="J2480" s="595"/>
      <c r="K2480" s="533"/>
      <c r="L2480" s="533"/>
      <c r="M2480" s="533"/>
      <c r="N2480" s="268"/>
      <c r="O2480" s="533"/>
      <c r="P2480" s="533"/>
      <c r="Q2480" s="533"/>
      <c r="R2480" s="533"/>
      <c r="S2480" s="533"/>
      <c r="T2480" s="533"/>
      <c r="U2480" s="533"/>
      <c r="V2480" s="533"/>
      <c r="W2480" s="533"/>
      <c r="X2480" s="533"/>
      <c r="Y2480" s="533"/>
    </row>
    <row r="2481" spans="1:25" s="88" customFormat="1" hidden="1" x14ac:dyDescent="0.25">
      <c r="A2481" s="509"/>
      <c r="B2481" s="256"/>
      <c r="C2481" s="228"/>
      <c r="D2481" s="218"/>
      <c r="E2481" s="218"/>
      <c r="F2481" s="218"/>
      <c r="G2481" s="518"/>
      <c r="H2481" s="594"/>
      <c r="I2481" s="595"/>
      <c r="J2481" s="595"/>
      <c r="K2481" s="533"/>
      <c r="L2481" s="533"/>
      <c r="M2481" s="533"/>
      <c r="N2481" s="268"/>
      <c r="O2481" s="533"/>
      <c r="P2481" s="533"/>
      <c r="Q2481" s="533"/>
      <c r="R2481" s="533"/>
      <c r="S2481" s="533"/>
      <c r="T2481" s="533"/>
      <c r="U2481" s="533"/>
      <c r="V2481" s="533"/>
      <c r="W2481" s="533"/>
      <c r="X2481" s="533"/>
      <c r="Y2481" s="533"/>
    </row>
    <row r="2482" spans="1:25" s="88" customFormat="1" hidden="1" x14ac:dyDescent="0.25">
      <c r="A2482" s="509"/>
      <c r="B2482" s="256"/>
      <c r="C2482" s="228"/>
      <c r="D2482" s="218"/>
      <c r="E2482" s="218"/>
      <c r="F2482" s="218"/>
      <c r="G2482" s="518"/>
      <c r="H2482" s="594"/>
      <c r="I2482" s="595"/>
      <c r="J2482" s="595"/>
      <c r="K2482" s="533"/>
      <c r="L2482" s="533"/>
      <c r="M2482" s="533"/>
      <c r="N2482" s="268"/>
      <c r="O2482" s="533"/>
      <c r="P2482" s="533"/>
      <c r="Q2482" s="533"/>
      <c r="R2482" s="533"/>
      <c r="S2482" s="533"/>
      <c r="T2482" s="533"/>
      <c r="U2482" s="533"/>
      <c r="V2482" s="533"/>
      <c r="W2482" s="533"/>
      <c r="X2482" s="533"/>
      <c r="Y2482" s="533"/>
    </row>
    <row r="2483" spans="1:25" s="88" customFormat="1" hidden="1" x14ac:dyDescent="0.25">
      <c r="A2483" s="509"/>
      <c r="B2483" s="256"/>
      <c r="C2483" s="228"/>
      <c r="D2483" s="218"/>
      <c r="E2483" s="218"/>
      <c r="F2483" s="218"/>
      <c r="G2483" s="518"/>
      <c r="H2483" s="594"/>
      <c r="I2483" s="595"/>
      <c r="J2483" s="595"/>
      <c r="K2483" s="533"/>
      <c r="L2483" s="533"/>
      <c r="M2483" s="533"/>
      <c r="N2483" s="268"/>
      <c r="O2483" s="533"/>
      <c r="P2483" s="533"/>
      <c r="Q2483" s="533"/>
      <c r="R2483" s="533"/>
      <c r="S2483" s="533"/>
      <c r="T2483" s="533"/>
      <c r="U2483" s="533"/>
      <c r="V2483" s="533"/>
      <c r="W2483" s="533"/>
      <c r="X2483" s="533"/>
      <c r="Y2483" s="533"/>
    </row>
    <row r="2484" spans="1:25" s="88" customFormat="1" hidden="1" x14ac:dyDescent="0.25">
      <c r="A2484" s="509"/>
      <c r="B2484" s="256"/>
      <c r="C2484" s="228"/>
      <c r="D2484" s="218"/>
      <c r="E2484" s="218"/>
      <c r="F2484" s="218"/>
      <c r="G2484" s="518"/>
      <c r="H2484" s="594"/>
      <c r="I2484" s="595"/>
      <c r="J2484" s="595"/>
      <c r="K2484" s="533"/>
      <c r="L2484" s="533"/>
      <c r="M2484" s="533"/>
      <c r="N2484" s="268"/>
      <c r="O2484" s="533"/>
      <c r="P2484" s="533"/>
      <c r="Q2484" s="533"/>
      <c r="R2484" s="533"/>
      <c r="S2484" s="533"/>
      <c r="T2484" s="533"/>
      <c r="U2484" s="533"/>
      <c r="V2484" s="533"/>
      <c r="W2484" s="533"/>
      <c r="X2484" s="533"/>
      <c r="Y2484" s="533"/>
    </row>
    <row r="2485" spans="1:25" s="88" customFormat="1" hidden="1" x14ac:dyDescent="0.25">
      <c r="A2485" s="509"/>
      <c r="B2485" s="256"/>
      <c r="C2485" s="228"/>
      <c r="D2485" s="218"/>
      <c r="E2485" s="218"/>
      <c r="F2485" s="218"/>
      <c r="G2485" s="518"/>
      <c r="H2485" s="594"/>
      <c r="I2485" s="595"/>
      <c r="J2485" s="595"/>
      <c r="K2485" s="533"/>
      <c r="L2485" s="533"/>
      <c r="M2485" s="533"/>
      <c r="N2485" s="268"/>
      <c r="O2485" s="533"/>
      <c r="P2485" s="533"/>
      <c r="Q2485" s="533"/>
      <c r="R2485" s="533"/>
      <c r="S2485" s="533"/>
      <c r="T2485" s="533"/>
      <c r="U2485" s="533"/>
      <c r="V2485" s="533"/>
      <c r="W2485" s="533"/>
      <c r="X2485" s="533"/>
      <c r="Y2485" s="533"/>
    </row>
    <row r="2486" spans="1:25" s="88" customFormat="1" hidden="1" x14ac:dyDescent="0.25">
      <c r="A2486" s="509"/>
      <c r="B2486" s="256"/>
      <c r="C2486" s="228"/>
      <c r="D2486" s="218"/>
      <c r="E2486" s="218"/>
      <c r="F2486" s="218"/>
      <c r="G2486" s="518"/>
      <c r="H2486" s="594"/>
      <c r="I2486" s="595"/>
      <c r="J2486" s="595"/>
      <c r="K2486" s="533"/>
      <c r="L2486" s="533"/>
      <c r="M2486" s="533"/>
      <c r="N2486" s="268"/>
      <c r="O2486" s="533"/>
      <c r="P2486" s="533"/>
      <c r="Q2486" s="533"/>
      <c r="R2486" s="533"/>
      <c r="S2486" s="533"/>
      <c r="T2486" s="533"/>
      <c r="U2486" s="533"/>
      <c r="V2486" s="533"/>
      <c r="W2486" s="533"/>
      <c r="X2486" s="533"/>
      <c r="Y2486" s="533"/>
    </row>
    <row r="2487" spans="1:25" s="88" customFormat="1" hidden="1" x14ac:dyDescent="0.25">
      <c r="A2487" s="509"/>
      <c r="B2487" s="256"/>
      <c r="C2487" s="228"/>
      <c r="D2487" s="218"/>
      <c r="E2487" s="218"/>
      <c r="F2487" s="218"/>
      <c r="G2487" s="518"/>
      <c r="H2487" s="594"/>
      <c r="I2487" s="595"/>
      <c r="J2487" s="595"/>
      <c r="K2487" s="533"/>
      <c r="L2487" s="533"/>
      <c r="M2487" s="533"/>
      <c r="N2487" s="268"/>
      <c r="O2487" s="533"/>
      <c r="P2487" s="533"/>
      <c r="Q2487" s="533"/>
      <c r="R2487" s="533"/>
      <c r="S2487" s="533"/>
      <c r="T2487" s="533"/>
      <c r="U2487" s="533"/>
      <c r="V2487" s="533"/>
      <c r="W2487" s="533"/>
      <c r="X2487" s="533"/>
      <c r="Y2487" s="533"/>
    </row>
    <row r="2488" spans="1:25" s="88" customFormat="1" hidden="1" x14ac:dyDescent="0.25">
      <c r="A2488" s="509"/>
      <c r="B2488" s="256"/>
      <c r="C2488" s="228"/>
      <c r="D2488" s="218"/>
      <c r="E2488" s="218"/>
      <c r="F2488" s="218"/>
      <c r="G2488" s="518"/>
      <c r="H2488" s="594"/>
      <c r="I2488" s="595"/>
      <c r="J2488" s="595"/>
      <c r="K2488" s="533"/>
      <c r="L2488" s="533"/>
      <c r="M2488" s="533"/>
      <c r="N2488" s="268"/>
      <c r="O2488" s="533"/>
      <c r="P2488" s="533"/>
      <c r="Q2488" s="533"/>
      <c r="R2488" s="533"/>
      <c r="S2488" s="533"/>
      <c r="T2488" s="533"/>
      <c r="U2488" s="533"/>
      <c r="V2488" s="533"/>
      <c r="W2488" s="533"/>
      <c r="X2488" s="533"/>
      <c r="Y2488" s="533"/>
    </row>
    <row r="2489" spans="1:25" s="88" customFormat="1" hidden="1" x14ac:dyDescent="0.25">
      <c r="A2489" s="509"/>
      <c r="B2489" s="256"/>
      <c r="C2489" s="228"/>
      <c r="D2489" s="218"/>
      <c r="E2489" s="218"/>
      <c r="F2489" s="218"/>
      <c r="G2489" s="518"/>
      <c r="H2489" s="594"/>
      <c r="I2489" s="595"/>
      <c r="J2489" s="595"/>
      <c r="K2489" s="533"/>
      <c r="L2489" s="533"/>
      <c r="M2489" s="533"/>
      <c r="N2489" s="268"/>
      <c r="O2489" s="533"/>
      <c r="P2489" s="533"/>
      <c r="Q2489" s="533"/>
      <c r="R2489" s="533"/>
      <c r="S2489" s="533"/>
      <c r="T2489" s="533"/>
      <c r="U2489" s="533"/>
      <c r="V2489" s="533"/>
      <c r="W2489" s="533"/>
      <c r="X2489" s="533"/>
      <c r="Y2489" s="533"/>
    </row>
    <row r="2490" spans="1:25" s="88" customFormat="1" hidden="1" x14ac:dyDescent="0.25">
      <c r="A2490" s="509"/>
      <c r="B2490" s="256"/>
      <c r="C2490" s="228"/>
      <c r="D2490" s="218"/>
      <c r="E2490" s="218"/>
      <c r="F2490" s="218"/>
      <c r="G2490" s="518"/>
      <c r="H2490" s="594"/>
      <c r="I2490" s="595"/>
      <c r="J2490" s="595"/>
      <c r="K2490" s="533"/>
      <c r="L2490" s="533"/>
      <c r="M2490" s="533"/>
      <c r="N2490" s="268"/>
      <c r="O2490" s="533"/>
      <c r="P2490" s="533"/>
      <c r="Q2490" s="533"/>
      <c r="R2490" s="533"/>
      <c r="S2490" s="533"/>
      <c r="T2490" s="533"/>
      <c r="U2490" s="533"/>
      <c r="V2490" s="533"/>
      <c r="W2490" s="533"/>
      <c r="X2490" s="533"/>
      <c r="Y2490" s="533"/>
    </row>
    <row r="2491" spans="1:25" s="88" customFormat="1" hidden="1" x14ac:dyDescent="0.25">
      <c r="A2491" s="509"/>
      <c r="B2491" s="256"/>
      <c r="C2491" s="228"/>
      <c r="D2491" s="218"/>
      <c r="E2491" s="218"/>
      <c r="F2491" s="218"/>
      <c r="G2491" s="518"/>
      <c r="H2491" s="594"/>
      <c r="I2491" s="595"/>
      <c r="J2491" s="595"/>
      <c r="K2491" s="533"/>
      <c r="L2491" s="533"/>
      <c r="M2491" s="533"/>
      <c r="N2491" s="268"/>
      <c r="O2491" s="533"/>
      <c r="P2491" s="533"/>
      <c r="Q2491" s="533"/>
      <c r="R2491" s="533"/>
      <c r="S2491" s="533"/>
      <c r="T2491" s="533"/>
      <c r="U2491" s="533"/>
      <c r="V2491" s="533"/>
      <c r="W2491" s="533"/>
      <c r="X2491" s="533"/>
      <c r="Y2491" s="533"/>
    </row>
    <row r="2492" spans="1:25" s="88" customFormat="1" hidden="1" x14ac:dyDescent="0.25">
      <c r="A2492" s="509"/>
      <c r="B2492" s="256"/>
      <c r="C2492" s="228"/>
      <c r="D2492" s="218"/>
      <c r="E2492" s="218"/>
      <c r="F2492" s="218"/>
      <c r="G2492" s="518"/>
      <c r="H2492" s="594"/>
      <c r="I2492" s="595"/>
      <c r="J2492" s="595"/>
      <c r="K2492" s="533"/>
      <c r="L2492" s="533"/>
      <c r="M2492" s="533"/>
      <c r="N2492" s="268"/>
      <c r="O2492" s="533"/>
      <c r="P2492" s="533"/>
      <c r="Q2492" s="533"/>
      <c r="R2492" s="533"/>
      <c r="S2492" s="533"/>
      <c r="T2492" s="533"/>
      <c r="U2492" s="533"/>
      <c r="V2492" s="533"/>
      <c r="W2492" s="533"/>
      <c r="X2492" s="533"/>
      <c r="Y2492" s="533"/>
    </row>
    <row r="2493" spans="1:25" s="88" customFormat="1" hidden="1" x14ac:dyDescent="0.25">
      <c r="A2493" s="509"/>
      <c r="B2493" s="256"/>
      <c r="C2493" s="228"/>
      <c r="D2493" s="218"/>
      <c r="E2493" s="218"/>
      <c r="F2493" s="218"/>
      <c r="G2493" s="518"/>
      <c r="H2493" s="594"/>
      <c r="I2493" s="595"/>
      <c r="J2493" s="595"/>
      <c r="K2493" s="533"/>
      <c r="L2493" s="533"/>
      <c r="M2493" s="533"/>
      <c r="N2493" s="268"/>
      <c r="O2493" s="533"/>
      <c r="P2493" s="533"/>
      <c r="Q2493" s="533"/>
      <c r="R2493" s="533"/>
      <c r="S2493" s="533"/>
      <c r="T2493" s="533"/>
      <c r="U2493" s="533"/>
      <c r="V2493" s="533"/>
      <c r="W2493" s="533"/>
      <c r="X2493" s="533"/>
      <c r="Y2493" s="533"/>
    </row>
    <row r="2494" spans="1:25" s="88" customFormat="1" hidden="1" x14ac:dyDescent="0.25">
      <c r="A2494" s="509"/>
      <c r="B2494" s="256"/>
      <c r="C2494" s="228"/>
      <c r="D2494" s="218"/>
      <c r="E2494" s="218"/>
      <c r="F2494" s="218"/>
      <c r="G2494" s="518"/>
      <c r="H2494" s="594"/>
      <c r="I2494" s="595"/>
      <c r="J2494" s="595"/>
      <c r="K2494" s="533"/>
      <c r="L2494" s="533"/>
      <c r="M2494" s="533"/>
      <c r="N2494" s="268"/>
      <c r="O2494" s="533"/>
      <c r="P2494" s="533"/>
      <c r="Q2494" s="533"/>
      <c r="R2494" s="533"/>
      <c r="S2494" s="533"/>
      <c r="T2494" s="533"/>
      <c r="U2494" s="533"/>
      <c r="V2494" s="533"/>
      <c r="W2494" s="533"/>
      <c r="X2494" s="533"/>
      <c r="Y2494" s="533"/>
    </row>
    <row r="2495" spans="1:25" s="88" customFormat="1" hidden="1" x14ac:dyDescent="0.25">
      <c r="A2495" s="509"/>
      <c r="B2495" s="256"/>
      <c r="C2495" s="228"/>
      <c r="D2495" s="218"/>
      <c r="E2495" s="218"/>
      <c r="F2495" s="218"/>
      <c r="G2495" s="518"/>
      <c r="H2495" s="594"/>
      <c r="I2495" s="595"/>
      <c r="J2495" s="595"/>
      <c r="K2495" s="533"/>
      <c r="L2495" s="533"/>
      <c r="M2495" s="533"/>
      <c r="N2495" s="268"/>
      <c r="O2495" s="533"/>
      <c r="P2495" s="533"/>
      <c r="Q2495" s="533"/>
      <c r="R2495" s="533"/>
      <c r="S2495" s="533"/>
      <c r="T2495" s="533"/>
      <c r="U2495" s="533"/>
      <c r="V2495" s="533"/>
      <c r="W2495" s="533"/>
      <c r="X2495" s="533"/>
      <c r="Y2495" s="533"/>
    </row>
    <row r="2496" spans="1:25" s="88" customFormat="1" hidden="1" x14ac:dyDescent="0.25">
      <c r="A2496" s="509"/>
      <c r="B2496" s="256"/>
      <c r="C2496" s="228"/>
      <c r="D2496" s="218"/>
      <c r="E2496" s="218"/>
      <c r="F2496" s="218"/>
      <c r="G2496" s="518"/>
      <c r="H2496" s="594"/>
      <c r="I2496" s="595"/>
      <c r="J2496" s="595"/>
      <c r="K2496" s="533"/>
      <c r="L2496" s="533"/>
      <c r="M2496" s="533"/>
      <c r="N2496" s="268"/>
      <c r="O2496" s="533"/>
      <c r="P2496" s="533"/>
      <c r="Q2496" s="533"/>
      <c r="R2496" s="533"/>
      <c r="S2496" s="533"/>
      <c r="T2496" s="533"/>
      <c r="U2496" s="533"/>
      <c r="V2496" s="533"/>
      <c r="W2496" s="533"/>
      <c r="X2496" s="533"/>
      <c r="Y2496" s="533"/>
    </row>
    <row r="2497" spans="1:25" s="88" customFormat="1" hidden="1" x14ac:dyDescent="0.25">
      <c r="A2497" s="509"/>
      <c r="B2497" s="256"/>
      <c r="C2497" s="228"/>
      <c r="D2497" s="218"/>
      <c r="E2497" s="218"/>
      <c r="F2497" s="218"/>
      <c r="G2497" s="518"/>
      <c r="H2497" s="594"/>
      <c r="I2497" s="595"/>
      <c r="J2497" s="595"/>
      <c r="K2497" s="533"/>
      <c r="L2497" s="533"/>
      <c r="M2497" s="533"/>
      <c r="N2497" s="268"/>
      <c r="O2497" s="533"/>
      <c r="P2497" s="533"/>
      <c r="Q2497" s="533"/>
      <c r="R2497" s="533"/>
      <c r="S2497" s="533"/>
      <c r="T2497" s="533"/>
      <c r="U2497" s="533"/>
      <c r="V2497" s="533"/>
      <c r="W2497" s="533"/>
      <c r="X2497" s="533"/>
      <c r="Y2497" s="533"/>
    </row>
    <row r="2498" spans="1:25" s="88" customFormat="1" hidden="1" x14ac:dyDescent="0.25">
      <c r="A2498" s="509"/>
      <c r="B2498" s="256"/>
      <c r="C2498" s="228"/>
      <c r="D2498" s="218"/>
      <c r="E2498" s="218"/>
      <c r="F2498" s="218"/>
      <c r="G2498" s="518"/>
      <c r="H2498" s="594"/>
      <c r="I2498" s="595"/>
      <c r="J2498" s="595"/>
      <c r="K2498" s="533"/>
      <c r="L2498" s="533"/>
      <c r="M2498" s="533"/>
      <c r="N2498" s="268"/>
      <c r="O2498" s="533"/>
      <c r="P2498" s="533"/>
      <c r="Q2498" s="533"/>
      <c r="R2498" s="533"/>
      <c r="S2498" s="533"/>
      <c r="T2498" s="533"/>
      <c r="U2498" s="533"/>
      <c r="V2498" s="533"/>
      <c r="W2498" s="533"/>
      <c r="X2498" s="533"/>
      <c r="Y2498" s="533"/>
    </row>
    <row r="2499" spans="1:25" s="88" customFormat="1" hidden="1" x14ac:dyDescent="0.25">
      <c r="A2499" s="509"/>
      <c r="B2499" s="256"/>
      <c r="C2499" s="228"/>
      <c r="D2499" s="218"/>
      <c r="E2499" s="218"/>
      <c r="F2499" s="218"/>
      <c r="G2499" s="518"/>
      <c r="H2499" s="594"/>
      <c r="I2499" s="595"/>
      <c r="J2499" s="595"/>
      <c r="K2499" s="533"/>
      <c r="L2499" s="533"/>
      <c r="M2499" s="533"/>
      <c r="N2499" s="268"/>
      <c r="O2499" s="533"/>
      <c r="P2499" s="533"/>
      <c r="Q2499" s="533"/>
      <c r="R2499" s="533"/>
      <c r="S2499" s="533"/>
      <c r="T2499" s="533"/>
      <c r="U2499" s="533"/>
      <c r="V2499" s="533"/>
      <c r="W2499" s="533"/>
      <c r="X2499" s="533"/>
      <c r="Y2499" s="533"/>
    </row>
    <row r="2500" spans="1:25" s="88" customFormat="1" hidden="1" x14ac:dyDescent="0.25">
      <c r="A2500" s="509"/>
      <c r="B2500" s="256"/>
      <c r="C2500" s="228"/>
      <c r="D2500" s="218"/>
      <c r="E2500" s="218"/>
      <c r="F2500" s="218"/>
      <c r="G2500" s="518"/>
      <c r="H2500" s="594"/>
      <c r="I2500" s="595"/>
      <c r="J2500" s="595"/>
      <c r="K2500" s="533"/>
      <c r="L2500" s="533"/>
      <c r="M2500" s="533"/>
      <c r="N2500" s="268"/>
      <c r="O2500" s="533"/>
      <c r="P2500" s="533"/>
      <c r="Q2500" s="533"/>
      <c r="R2500" s="533"/>
      <c r="S2500" s="533"/>
      <c r="T2500" s="533"/>
      <c r="U2500" s="533"/>
      <c r="V2500" s="533"/>
      <c r="W2500" s="533"/>
      <c r="X2500" s="533"/>
      <c r="Y2500" s="533"/>
    </row>
    <row r="2501" spans="1:25" s="88" customFormat="1" hidden="1" x14ac:dyDescent="0.25">
      <c r="A2501" s="509"/>
      <c r="B2501" s="256"/>
      <c r="C2501" s="228"/>
      <c r="D2501" s="218"/>
      <c r="E2501" s="218"/>
      <c r="F2501" s="218"/>
      <c r="G2501" s="518"/>
      <c r="H2501" s="594"/>
      <c r="I2501" s="595"/>
      <c r="J2501" s="595"/>
      <c r="K2501" s="533"/>
      <c r="L2501" s="533"/>
      <c r="M2501" s="533"/>
      <c r="N2501" s="268"/>
      <c r="O2501" s="533"/>
      <c r="P2501" s="533"/>
      <c r="Q2501" s="533"/>
      <c r="R2501" s="533"/>
      <c r="S2501" s="533"/>
      <c r="T2501" s="533"/>
      <c r="U2501" s="533"/>
      <c r="V2501" s="533"/>
      <c r="W2501" s="533"/>
      <c r="X2501" s="533"/>
      <c r="Y2501" s="533"/>
    </row>
    <row r="2502" spans="1:25" s="88" customFormat="1" hidden="1" x14ac:dyDescent="0.25">
      <c r="A2502" s="509"/>
      <c r="B2502" s="256"/>
      <c r="C2502" s="228"/>
      <c r="D2502" s="218"/>
      <c r="E2502" s="218"/>
      <c r="F2502" s="218"/>
      <c r="G2502" s="518"/>
      <c r="H2502" s="594"/>
      <c r="I2502" s="595"/>
      <c r="J2502" s="595"/>
      <c r="K2502" s="533"/>
      <c r="L2502" s="533"/>
      <c r="M2502" s="533"/>
      <c r="N2502" s="268"/>
      <c r="O2502" s="533"/>
      <c r="P2502" s="533"/>
      <c r="Q2502" s="533"/>
      <c r="R2502" s="533"/>
      <c r="S2502" s="533"/>
      <c r="T2502" s="533"/>
      <c r="U2502" s="533"/>
      <c r="V2502" s="533"/>
      <c r="W2502" s="533"/>
      <c r="X2502" s="533"/>
      <c r="Y2502" s="533"/>
    </row>
    <row r="2503" spans="1:25" s="88" customFormat="1" hidden="1" x14ac:dyDescent="0.25">
      <c r="A2503" s="509"/>
      <c r="B2503" s="256"/>
      <c r="C2503" s="228"/>
      <c r="D2503" s="218"/>
      <c r="E2503" s="218"/>
      <c r="F2503" s="218"/>
      <c r="G2503" s="518"/>
      <c r="H2503" s="594"/>
      <c r="I2503" s="595"/>
      <c r="J2503" s="595"/>
      <c r="K2503" s="533"/>
      <c r="L2503" s="533"/>
      <c r="M2503" s="533"/>
      <c r="N2503" s="268"/>
      <c r="O2503" s="533"/>
      <c r="P2503" s="533"/>
      <c r="Q2503" s="533"/>
      <c r="R2503" s="533"/>
      <c r="S2503" s="533"/>
      <c r="T2503" s="533"/>
      <c r="U2503" s="533"/>
      <c r="V2503" s="533"/>
      <c r="W2503" s="533"/>
      <c r="X2503" s="533"/>
      <c r="Y2503" s="533"/>
    </row>
    <row r="2504" spans="1:25" s="88" customFormat="1" hidden="1" x14ac:dyDescent="0.25">
      <c r="A2504" s="509"/>
      <c r="B2504" s="256"/>
      <c r="C2504" s="228"/>
      <c r="D2504" s="218"/>
      <c r="E2504" s="218"/>
      <c r="F2504" s="218"/>
      <c r="G2504" s="518"/>
      <c r="H2504" s="594"/>
      <c r="I2504" s="595"/>
      <c r="J2504" s="595"/>
      <c r="K2504" s="533"/>
      <c r="L2504" s="533"/>
      <c r="M2504" s="533"/>
      <c r="N2504" s="268"/>
      <c r="O2504" s="533"/>
      <c r="P2504" s="533"/>
      <c r="Q2504" s="533"/>
      <c r="R2504" s="533"/>
      <c r="S2504" s="533"/>
      <c r="T2504" s="533"/>
      <c r="U2504" s="533"/>
      <c r="V2504" s="533"/>
      <c r="W2504" s="533"/>
      <c r="X2504" s="533"/>
      <c r="Y2504" s="533"/>
    </row>
    <row r="2505" spans="1:25" s="88" customFormat="1" hidden="1" x14ac:dyDescent="0.25">
      <c r="A2505" s="509"/>
      <c r="B2505" s="256"/>
      <c r="C2505" s="228"/>
      <c r="D2505" s="218"/>
      <c r="E2505" s="218"/>
      <c r="F2505" s="218"/>
      <c r="G2505" s="518"/>
      <c r="H2505" s="594"/>
      <c r="I2505" s="595"/>
      <c r="J2505" s="595"/>
      <c r="K2505" s="533"/>
      <c r="L2505" s="533"/>
      <c r="M2505" s="533"/>
      <c r="N2505" s="268"/>
      <c r="O2505" s="533"/>
      <c r="P2505" s="533"/>
      <c r="Q2505" s="533"/>
      <c r="R2505" s="533"/>
      <c r="S2505" s="533"/>
      <c r="T2505" s="533"/>
      <c r="U2505" s="533"/>
      <c r="V2505" s="533"/>
      <c r="W2505" s="533"/>
      <c r="X2505" s="533"/>
      <c r="Y2505" s="533"/>
    </row>
    <row r="2506" spans="1:25" s="88" customFormat="1" hidden="1" x14ac:dyDescent="0.25">
      <c r="A2506" s="509"/>
      <c r="B2506" s="256"/>
      <c r="C2506" s="228"/>
      <c r="D2506" s="218"/>
      <c r="E2506" s="218"/>
      <c r="F2506" s="218"/>
      <c r="G2506" s="518"/>
      <c r="H2506" s="594"/>
      <c r="I2506" s="595"/>
      <c r="J2506" s="595"/>
      <c r="K2506" s="533"/>
      <c r="L2506" s="533"/>
      <c r="M2506" s="533"/>
      <c r="N2506" s="268"/>
      <c r="O2506" s="533"/>
      <c r="P2506" s="533"/>
      <c r="Q2506" s="533"/>
      <c r="R2506" s="533"/>
      <c r="S2506" s="533"/>
      <c r="T2506" s="533"/>
      <c r="U2506" s="533"/>
      <c r="V2506" s="533"/>
      <c r="W2506" s="533"/>
      <c r="X2506" s="533"/>
      <c r="Y2506" s="533"/>
    </row>
    <row r="2507" spans="1:25" s="88" customFormat="1" hidden="1" x14ac:dyDescent="0.25">
      <c r="A2507" s="509"/>
      <c r="B2507" s="256"/>
      <c r="C2507" s="228"/>
      <c r="D2507" s="218"/>
      <c r="E2507" s="218"/>
      <c r="F2507" s="218"/>
      <c r="G2507" s="518"/>
      <c r="H2507" s="594"/>
      <c r="I2507" s="595"/>
      <c r="J2507" s="595"/>
      <c r="K2507" s="533"/>
      <c r="L2507" s="533"/>
      <c r="M2507" s="533"/>
      <c r="N2507" s="268"/>
      <c r="O2507" s="533"/>
      <c r="P2507" s="533"/>
      <c r="Q2507" s="533"/>
      <c r="R2507" s="533"/>
      <c r="S2507" s="533"/>
      <c r="T2507" s="533"/>
      <c r="U2507" s="533"/>
      <c r="V2507" s="533"/>
      <c r="W2507" s="533"/>
      <c r="X2507" s="533"/>
      <c r="Y2507" s="533"/>
    </row>
    <row r="2508" spans="1:25" s="88" customFormat="1" hidden="1" x14ac:dyDescent="0.25">
      <c r="A2508" s="509"/>
      <c r="B2508" s="256"/>
      <c r="C2508" s="228"/>
      <c r="D2508" s="218"/>
      <c r="E2508" s="218"/>
      <c r="F2508" s="218"/>
      <c r="G2508" s="518"/>
      <c r="H2508" s="594"/>
      <c r="I2508" s="595"/>
      <c r="J2508" s="595"/>
      <c r="K2508" s="533"/>
      <c r="L2508" s="533"/>
      <c r="M2508" s="533"/>
      <c r="N2508" s="268"/>
      <c r="O2508" s="533"/>
      <c r="P2508" s="533"/>
      <c r="Q2508" s="533"/>
      <c r="R2508" s="533"/>
      <c r="S2508" s="533"/>
      <c r="T2508" s="533"/>
      <c r="U2508" s="533"/>
      <c r="V2508" s="533"/>
      <c r="W2508" s="533"/>
      <c r="X2508" s="533"/>
      <c r="Y2508" s="533"/>
    </row>
    <row r="2509" spans="1:25" s="88" customFormat="1" hidden="1" x14ac:dyDescent="0.25">
      <c r="A2509" s="509"/>
      <c r="B2509" s="256"/>
      <c r="C2509" s="228"/>
      <c r="D2509" s="218"/>
      <c r="E2509" s="218"/>
      <c r="F2509" s="218"/>
      <c r="G2509" s="518"/>
      <c r="H2509" s="594"/>
      <c r="I2509" s="595"/>
      <c r="J2509" s="595"/>
      <c r="K2509" s="533"/>
      <c r="L2509" s="533"/>
      <c r="M2509" s="533"/>
      <c r="N2509" s="268"/>
      <c r="O2509" s="533"/>
      <c r="P2509" s="533"/>
      <c r="Q2509" s="533"/>
      <c r="R2509" s="533"/>
      <c r="S2509" s="533"/>
      <c r="T2509" s="533"/>
      <c r="U2509" s="533"/>
      <c r="V2509" s="533"/>
      <c r="W2509" s="533"/>
      <c r="X2509" s="533"/>
      <c r="Y2509" s="533"/>
    </row>
    <row r="2510" spans="1:25" s="88" customFormat="1" hidden="1" x14ac:dyDescent="0.25">
      <c r="A2510" s="509"/>
      <c r="B2510" s="256"/>
      <c r="C2510" s="228"/>
      <c r="D2510" s="218"/>
      <c r="E2510" s="218"/>
      <c r="F2510" s="218"/>
      <c r="G2510" s="518"/>
      <c r="H2510" s="594"/>
      <c r="I2510" s="595"/>
      <c r="J2510" s="595"/>
      <c r="K2510" s="533"/>
      <c r="L2510" s="533"/>
      <c r="M2510" s="533"/>
      <c r="N2510" s="268"/>
      <c r="O2510" s="533"/>
      <c r="P2510" s="533"/>
      <c r="Q2510" s="533"/>
      <c r="R2510" s="533"/>
      <c r="S2510" s="533"/>
      <c r="T2510" s="533"/>
      <c r="U2510" s="533"/>
      <c r="V2510" s="533"/>
      <c r="W2510" s="533"/>
      <c r="X2510" s="533"/>
      <c r="Y2510" s="533"/>
    </row>
    <row r="2511" spans="1:25" s="88" customFormat="1" hidden="1" x14ac:dyDescent="0.25">
      <c r="A2511" s="509"/>
      <c r="B2511" s="256"/>
      <c r="C2511" s="228"/>
      <c r="D2511" s="218"/>
      <c r="E2511" s="218"/>
      <c r="F2511" s="218"/>
      <c r="G2511" s="518"/>
      <c r="H2511" s="594"/>
      <c r="I2511" s="595"/>
      <c r="J2511" s="595"/>
      <c r="K2511" s="533"/>
      <c r="L2511" s="533"/>
      <c r="M2511" s="533"/>
      <c r="N2511" s="268"/>
      <c r="O2511" s="533"/>
      <c r="P2511" s="533"/>
      <c r="Q2511" s="533"/>
      <c r="R2511" s="533"/>
      <c r="S2511" s="533"/>
      <c r="T2511" s="533"/>
      <c r="U2511" s="533"/>
      <c r="V2511" s="533"/>
      <c r="W2511" s="533"/>
      <c r="X2511" s="533"/>
      <c r="Y2511" s="533"/>
    </row>
    <row r="2512" spans="1:25" s="88" customFormat="1" hidden="1" x14ac:dyDescent="0.25">
      <c r="A2512" s="509"/>
      <c r="B2512" s="256"/>
      <c r="C2512" s="228"/>
      <c r="D2512" s="218"/>
      <c r="E2512" s="218"/>
      <c r="F2512" s="218"/>
      <c r="G2512" s="518"/>
      <c r="H2512" s="594"/>
      <c r="I2512" s="595"/>
      <c r="J2512" s="595"/>
      <c r="K2512" s="533"/>
      <c r="L2512" s="533"/>
      <c r="M2512" s="533"/>
      <c r="N2512" s="268"/>
      <c r="O2512" s="533"/>
      <c r="P2512" s="533"/>
      <c r="Q2512" s="533"/>
      <c r="R2512" s="533"/>
      <c r="S2512" s="533"/>
      <c r="T2512" s="533"/>
      <c r="U2512" s="533"/>
      <c r="V2512" s="533"/>
      <c r="W2512" s="533"/>
      <c r="X2512" s="533"/>
      <c r="Y2512" s="533"/>
    </row>
    <row r="2513" spans="1:25" s="88" customFormat="1" hidden="1" x14ac:dyDescent="0.25">
      <c r="A2513" s="509"/>
      <c r="B2513" s="256"/>
      <c r="C2513" s="228"/>
      <c r="D2513" s="218"/>
      <c r="E2513" s="218"/>
      <c r="F2513" s="218"/>
      <c r="G2513" s="518"/>
      <c r="H2513" s="594"/>
      <c r="I2513" s="595"/>
      <c r="J2513" s="595"/>
      <c r="K2513" s="533"/>
      <c r="L2513" s="533"/>
      <c r="M2513" s="533"/>
      <c r="N2513" s="268"/>
      <c r="O2513" s="533"/>
      <c r="P2513" s="533"/>
      <c r="Q2513" s="533"/>
      <c r="R2513" s="533"/>
      <c r="S2513" s="533"/>
      <c r="T2513" s="533"/>
      <c r="U2513" s="533"/>
      <c r="V2513" s="533"/>
      <c r="W2513" s="533"/>
      <c r="X2513" s="533"/>
      <c r="Y2513" s="533"/>
    </row>
    <row r="2514" spans="1:25" s="88" customFormat="1" hidden="1" x14ac:dyDescent="0.25">
      <c r="A2514" s="509"/>
      <c r="B2514" s="256"/>
      <c r="C2514" s="228"/>
      <c r="D2514" s="218"/>
      <c r="E2514" s="218"/>
      <c r="F2514" s="218"/>
      <c r="G2514" s="518"/>
      <c r="H2514" s="594"/>
      <c r="I2514" s="595"/>
      <c r="J2514" s="595"/>
      <c r="K2514" s="533"/>
      <c r="L2514" s="533"/>
      <c r="M2514" s="533"/>
      <c r="N2514" s="268"/>
      <c r="O2514" s="533"/>
      <c r="P2514" s="533"/>
      <c r="Q2514" s="533"/>
      <c r="R2514" s="533"/>
      <c r="S2514" s="533"/>
      <c r="T2514" s="533"/>
      <c r="U2514" s="533"/>
      <c r="V2514" s="533"/>
      <c r="W2514" s="533"/>
      <c r="X2514" s="533"/>
      <c r="Y2514" s="533"/>
    </row>
    <row r="2515" spans="1:25" s="88" customFormat="1" hidden="1" x14ac:dyDescent="0.25">
      <c r="A2515" s="509"/>
      <c r="B2515" s="256"/>
      <c r="C2515" s="228"/>
      <c r="D2515" s="218"/>
      <c r="E2515" s="218"/>
      <c r="F2515" s="218"/>
      <c r="G2515" s="518"/>
      <c r="H2515" s="594"/>
      <c r="I2515" s="595"/>
      <c r="J2515" s="595"/>
      <c r="K2515" s="533"/>
      <c r="L2515" s="533"/>
      <c r="M2515" s="533"/>
      <c r="N2515" s="268"/>
      <c r="O2515" s="533"/>
      <c r="P2515" s="533"/>
      <c r="Q2515" s="533"/>
      <c r="R2515" s="533"/>
      <c r="S2515" s="533"/>
      <c r="T2515" s="533"/>
      <c r="U2515" s="533"/>
      <c r="V2515" s="533"/>
      <c r="W2515" s="533"/>
      <c r="X2515" s="533"/>
      <c r="Y2515" s="533"/>
    </row>
    <row r="2516" spans="1:25" s="88" customFormat="1" hidden="1" x14ac:dyDescent="0.25">
      <c r="A2516" s="509"/>
      <c r="B2516" s="256"/>
      <c r="C2516" s="228"/>
      <c r="D2516" s="218"/>
      <c r="E2516" s="218"/>
      <c r="F2516" s="218"/>
      <c r="G2516" s="518"/>
      <c r="H2516" s="594"/>
      <c r="I2516" s="595"/>
      <c r="J2516" s="595"/>
      <c r="K2516" s="533"/>
      <c r="L2516" s="533"/>
      <c r="M2516" s="533"/>
      <c r="N2516" s="268"/>
      <c r="O2516" s="533"/>
      <c r="P2516" s="533"/>
      <c r="Q2516" s="533"/>
      <c r="R2516" s="533"/>
      <c r="S2516" s="533"/>
      <c r="T2516" s="533"/>
      <c r="U2516" s="533"/>
      <c r="V2516" s="533"/>
      <c r="W2516" s="533"/>
      <c r="X2516" s="533"/>
      <c r="Y2516" s="533"/>
    </row>
    <row r="2517" spans="1:25" s="88" customFormat="1" hidden="1" x14ac:dyDescent="0.25">
      <c r="A2517" s="509"/>
      <c r="B2517" s="256"/>
      <c r="C2517" s="228"/>
      <c r="D2517" s="218"/>
      <c r="E2517" s="218"/>
      <c r="F2517" s="218"/>
      <c r="G2517" s="518"/>
      <c r="H2517" s="594"/>
      <c r="I2517" s="595"/>
      <c r="J2517" s="595"/>
      <c r="K2517" s="533"/>
      <c r="L2517" s="533"/>
      <c r="M2517" s="533"/>
      <c r="N2517" s="268"/>
      <c r="O2517" s="533"/>
      <c r="P2517" s="533"/>
      <c r="Q2517" s="533"/>
      <c r="R2517" s="533"/>
      <c r="S2517" s="533"/>
      <c r="T2517" s="533"/>
      <c r="U2517" s="533"/>
      <c r="V2517" s="533"/>
      <c r="W2517" s="533"/>
      <c r="X2517" s="533"/>
      <c r="Y2517" s="533"/>
    </row>
    <row r="2518" spans="1:25" s="88" customFormat="1" hidden="1" x14ac:dyDescent="0.25">
      <c r="A2518" s="509"/>
      <c r="B2518" s="256"/>
      <c r="C2518" s="228"/>
      <c r="D2518" s="218"/>
      <c r="E2518" s="218"/>
      <c r="F2518" s="218"/>
      <c r="G2518" s="518"/>
      <c r="H2518" s="594"/>
      <c r="I2518" s="595"/>
      <c r="J2518" s="595"/>
      <c r="K2518" s="533"/>
      <c r="L2518" s="533"/>
      <c r="M2518" s="533"/>
      <c r="N2518" s="268"/>
      <c r="O2518" s="533"/>
      <c r="P2518" s="533"/>
      <c r="Q2518" s="533"/>
      <c r="R2518" s="533"/>
      <c r="S2518" s="533"/>
      <c r="T2518" s="533"/>
      <c r="U2518" s="533"/>
      <c r="V2518" s="533"/>
      <c r="W2518" s="533"/>
      <c r="X2518" s="533"/>
      <c r="Y2518" s="533"/>
    </row>
    <row r="2519" spans="1:25" s="88" customFormat="1" hidden="1" x14ac:dyDescent="0.25">
      <c r="A2519" s="509"/>
      <c r="B2519" s="256"/>
      <c r="C2519" s="228"/>
      <c r="D2519" s="218"/>
      <c r="E2519" s="218"/>
      <c r="F2519" s="218"/>
      <c r="G2519" s="518"/>
      <c r="H2519" s="594"/>
      <c r="I2519" s="595"/>
      <c r="J2519" s="595"/>
      <c r="K2519" s="533"/>
      <c r="L2519" s="533"/>
      <c r="M2519" s="533"/>
      <c r="N2519" s="268"/>
      <c r="O2519" s="533"/>
      <c r="P2519" s="533"/>
      <c r="Q2519" s="533"/>
      <c r="R2519" s="533"/>
      <c r="S2519" s="533"/>
      <c r="T2519" s="533"/>
      <c r="U2519" s="533"/>
      <c r="V2519" s="533"/>
      <c r="W2519" s="533"/>
      <c r="X2519" s="533"/>
      <c r="Y2519" s="533"/>
    </row>
    <row r="2520" spans="1:25" s="88" customFormat="1" hidden="1" x14ac:dyDescent="0.25">
      <c r="A2520" s="509"/>
      <c r="B2520" s="256"/>
      <c r="C2520" s="228"/>
      <c r="D2520" s="218"/>
      <c r="E2520" s="218"/>
      <c r="F2520" s="218"/>
      <c r="G2520" s="518"/>
      <c r="H2520" s="594"/>
      <c r="I2520" s="595"/>
      <c r="J2520" s="595"/>
      <c r="K2520" s="533"/>
      <c r="L2520" s="533"/>
      <c r="M2520" s="533"/>
      <c r="N2520" s="268"/>
      <c r="O2520" s="533"/>
      <c r="P2520" s="533"/>
      <c r="Q2520" s="533"/>
      <c r="R2520" s="533"/>
      <c r="S2520" s="533"/>
      <c r="T2520" s="533"/>
      <c r="U2520" s="533"/>
      <c r="V2520" s="533"/>
      <c r="W2520" s="533"/>
      <c r="X2520" s="533"/>
      <c r="Y2520" s="533"/>
    </row>
    <row r="2521" spans="1:25" s="88" customFormat="1" hidden="1" x14ac:dyDescent="0.25">
      <c r="A2521" s="509"/>
      <c r="B2521" s="256"/>
      <c r="C2521" s="228"/>
      <c r="D2521" s="218"/>
      <c r="E2521" s="218"/>
      <c r="F2521" s="218"/>
      <c r="G2521" s="518"/>
      <c r="H2521" s="594"/>
      <c r="I2521" s="595"/>
      <c r="J2521" s="595"/>
      <c r="K2521" s="533"/>
      <c r="L2521" s="533"/>
      <c r="M2521" s="533"/>
      <c r="N2521" s="268"/>
      <c r="O2521" s="533"/>
      <c r="P2521" s="533"/>
      <c r="Q2521" s="533"/>
      <c r="R2521" s="533"/>
      <c r="S2521" s="533"/>
      <c r="T2521" s="533"/>
      <c r="U2521" s="533"/>
      <c r="V2521" s="533"/>
      <c r="W2521" s="533"/>
      <c r="X2521" s="533"/>
      <c r="Y2521" s="533"/>
    </row>
    <row r="2522" spans="1:25" s="88" customFormat="1" hidden="1" x14ac:dyDescent="0.25">
      <c r="A2522" s="509"/>
      <c r="B2522" s="256"/>
      <c r="C2522" s="228"/>
      <c r="D2522" s="218"/>
      <c r="E2522" s="218"/>
      <c r="F2522" s="218"/>
      <c r="G2522" s="518"/>
      <c r="H2522" s="594"/>
      <c r="I2522" s="595"/>
      <c r="J2522" s="595"/>
      <c r="K2522" s="533"/>
      <c r="L2522" s="533"/>
      <c r="M2522" s="533"/>
      <c r="N2522" s="268"/>
      <c r="O2522" s="533"/>
      <c r="P2522" s="533"/>
      <c r="Q2522" s="533"/>
      <c r="R2522" s="533"/>
      <c r="S2522" s="533"/>
      <c r="T2522" s="533"/>
      <c r="U2522" s="533"/>
      <c r="V2522" s="533"/>
      <c r="W2522" s="533"/>
      <c r="X2522" s="533"/>
      <c r="Y2522" s="533"/>
    </row>
    <row r="2523" spans="1:25" s="88" customFormat="1" hidden="1" x14ac:dyDescent="0.25">
      <c r="A2523" s="509"/>
      <c r="B2523" s="256"/>
      <c r="C2523" s="228"/>
      <c r="D2523" s="218"/>
      <c r="E2523" s="218"/>
      <c r="F2523" s="218"/>
      <c r="G2523" s="518"/>
      <c r="H2523" s="594"/>
      <c r="I2523" s="595"/>
      <c r="J2523" s="595"/>
      <c r="K2523" s="533"/>
      <c r="L2523" s="533"/>
      <c r="M2523" s="533"/>
      <c r="N2523" s="268"/>
      <c r="O2523" s="533"/>
      <c r="P2523" s="533"/>
      <c r="Q2523" s="533"/>
      <c r="R2523" s="533"/>
      <c r="S2523" s="533"/>
      <c r="T2523" s="533"/>
      <c r="U2523" s="533"/>
      <c r="V2523" s="533"/>
      <c r="W2523" s="533"/>
      <c r="X2523" s="533"/>
      <c r="Y2523" s="533"/>
    </row>
    <row r="2524" spans="1:25" s="88" customFormat="1" hidden="1" x14ac:dyDescent="0.25">
      <c r="A2524" s="509"/>
      <c r="B2524" s="256"/>
      <c r="C2524" s="228"/>
      <c r="D2524" s="218"/>
      <c r="E2524" s="218"/>
      <c r="F2524" s="218"/>
      <c r="G2524" s="518"/>
      <c r="H2524" s="594"/>
      <c r="I2524" s="595"/>
      <c r="J2524" s="595"/>
      <c r="K2524" s="533"/>
      <c r="L2524" s="533"/>
      <c r="M2524" s="533"/>
      <c r="N2524" s="268"/>
      <c r="O2524" s="533"/>
      <c r="P2524" s="533"/>
      <c r="Q2524" s="533"/>
      <c r="R2524" s="533"/>
      <c r="S2524" s="533"/>
      <c r="T2524" s="533"/>
      <c r="U2524" s="533"/>
      <c r="V2524" s="533"/>
      <c r="W2524" s="533"/>
      <c r="X2524" s="533"/>
      <c r="Y2524" s="533"/>
    </row>
    <row r="2525" spans="1:25" s="88" customFormat="1" hidden="1" x14ac:dyDescent="0.25">
      <c r="A2525" s="509"/>
      <c r="B2525" s="256"/>
      <c r="C2525" s="228"/>
      <c r="D2525" s="218"/>
      <c r="E2525" s="218"/>
      <c r="F2525" s="218"/>
      <c r="G2525" s="518"/>
      <c r="H2525" s="594"/>
      <c r="I2525" s="595"/>
      <c r="J2525" s="595"/>
      <c r="K2525" s="533"/>
      <c r="L2525" s="533"/>
      <c r="M2525" s="533"/>
      <c r="N2525" s="268"/>
      <c r="O2525" s="533"/>
      <c r="P2525" s="533"/>
      <c r="Q2525" s="533"/>
      <c r="R2525" s="533"/>
      <c r="S2525" s="533"/>
      <c r="T2525" s="533"/>
      <c r="U2525" s="533"/>
      <c r="V2525" s="533"/>
      <c r="W2525" s="533"/>
      <c r="X2525" s="533"/>
      <c r="Y2525" s="533"/>
    </row>
    <row r="2526" spans="1:25" s="88" customFormat="1" hidden="1" x14ac:dyDescent="0.25">
      <c r="A2526" s="509"/>
      <c r="B2526" s="256"/>
      <c r="C2526" s="228"/>
      <c r="D2526" s="218"/>
      <c r="E2526" s="218"/>
      <c r="F2526" s="218"/>
      <c r="G2526" s="518"/>
      <c r="H2526" s="594"/>
      <c r="I2526" s="595"/>
      <c r="J2526" s="595"/>
      <c r="K2526" s="533"/>
      <c r="L2526" s="533"/>
      <c r="M2526" s="533"/>
      <c r="N2526" s="268"/>
      <c r="O2526" s="533"/>
      <c r="P2526" s="533"/>
      <c r="Q2526" s="533"/>
      <c r="R2526" s="533"/>
      <c r="S2526" s="533"/>
      <c r="T2526" s="533"/>
      <c r="U2526" s="533"/>
      <c r="V2526" s="533"/>
      <c r="W2526" s="533"/>
      <c r="X2526" s="533"/>
      <c r="Y2526" s="533"/>
    </row>
    <row r="2527" spans="1:25" s="88" customFormat="1" hidden="1" x14ac:dyDescent="0.25">
      <c r="A2527" s="509"/>
      <c r="B2527" s="256"/>
      <c r="C2527" s="228"/>
      <c r="D2527" s="218"/>
      <c r="E2527" s="218"/>
      <c r="F2527" s="218"/>
      <c r="G2527" s="518"/>
      <c r="H2527" s="594"/>
      <c r="I2527" s="595"/>
      <c r="J2527" s="595"/>
      <c r="K2527" s="533"/>
      <c r="L2527" s="533"/>
      <c r="M2527" s="533"/>
      <c r="N2527" s="268"/>
      <c r="O2527" s="533"/>
      <c r="P2527" s="533"/>
      <c r="Q2527" s="533"/>
      <c r="R2527" s="533"/>
      <c r="S2527" s="533"/>
      <c r="T2527" s="533"/>
      <c r="U2527" s="533"/>
      <c r="V2527" s="533"/>
      <c r="W2527" s="533"/>
      <c r="X2527" s="533"/>
      <c r="Y2527" s="533"/>
    </row>
    <row r="2528" spans="1:25" s="88" customFormat="1" hidden="1" x14ac:dyDescent="0.25">
      <c r="A2528" s="509"/>
      <c r="B2528" s="256"/>
      <c r="C2528" s="228"/>
      <c r="D2528" s="218"/>
      <c r="E2528" s="218"/>
      <c r="F2528" s="218"/>
      <c r="G2528" s="518"/>
      <c r="H2528" s="594"/>
      <c r="I2528" s="595"/>
      <c r="J2528" s="595"/>
      <c r="K2528" s="533"/>
      <c r="L2528" s="533"/>
      <c r="M2528" s="533"/>
      <c r="N2528" s="268"/>
      <c r="O2528" s="533"/>
      <c r="P2528" s="533"/>
      <c r="Q2528" s="533"/>
      <c r="R2528" s="533"/>
      <c r="S2528" s="533"/>
      <c r="T2528" s="533"/>
      <c r="U2528" s="533"/>
      <c r="V2528" s="533"/>
      <c r="W2528" s="533"/>
      <c r="X2528" s="533"/>
      <c r="Y2528" s="533"/>
    </row>
    <row r="2529" spans="1:25" s="88" customFormat="1" hidden="1" x14ac:dyDescent="0.25">
      <c r="A2529" s="509"/>
      <c r="B2529" s="256"/>
      <c r="C2529" s="228"/>
      <c r="D2529" s="218"/>
      <c r="E2529" s="218"/>
      <c r="F2529" s="218"/>
      <c r="G2529" s="518"/>
      <c r="H2529" s="594"/>
      <c r="I2529" s="595"/>
      <c r="J2529" s="595"/>
      <c r="K2529" s="533"/>
      <c r="L2529" s="533"/>
      <c r="M2529" s="533"/>
      <c r="N2529" s="268"/>
      <c r="O2529" s="533"/>
      <c r="P2529" s="533"/>
      <c r="Q2529" s="533"/>
      <c r="R2529" s="533"/>
      <c r="S2529" s="533"/>
      <c r="T2529" s="533"/>
      <c r="U2529" s="533"/>
      <c r="V2529" s="533"/>
      <c r="W2529" s="533"/>
      <c r="X2529" s="533"/>
      <c r="Y2529" s="533"/>
    </row>
    <row r="2530" spans="1:25" s="88" customFormat="1" hidden="1" x14ac:dyDescent="0.25">
      <c r="A2530" s="509"/>
      <c r="B2530" s="256"/>
      <c r="C2530" s="228"/>
      <c r="D2530" s="218"/>
      <c r="E2530" s="218"/>
      <c r="F2530" s="218"/>
      <c r="G2530" s="518"/>
      <c r="H2530" s="594"/>
      <c r="I2530" s="595"/>
      <c r="J2530" s="595"/>
      <c r="K2530" s="533"/>
      <c r="L2530" s="533"/>
      <c r="M2530" s="533"/>
      <c r="N2530" s="268"/>
      <c r="O2530" s="533"/>
      <c r="P2530" s="533"/>
      <c r="Q2530" s="533"/>
      <c r="R2530" s="533"/>
      <c r="S2530" s="533"/>
      <c r="T2530" s="533"/>
      <c r="U2530" s="533"/>
      <c r="V2530" s="533"/>
      <c r="W2530" s="533"/>
      <c r="X2530" s="533"/>
      <c r="Y2530" s="533"/>
    </row>
    <row r="2531" spans="1:25" s="88" customFormat="1" hidden="1" x14ac:dyDescent="0.25">
      <c r="A2531" s="509"/>
      <c r="B2531" s="256"/>
      <c r="C2531" s="228"/>
      <c r="D2531" s="218"/>
      <c r="E2531" s="218"/>
      <c r="F2531" s="218"/>
      <c r="G2531" s="518"/>
      <c r="H2531" s="594"/>
      <c r="I2531" s="595"/>
      <c r="J2531" s="595"/>
      <c r="K2531" s="533"/>
      <c r="L2531" s="533"/>
      <c r="M2531" s="533"/>
      <c r="N2531" s="268"/>
      <c r="O2531" s="533"/>
      <c r="P2531" s="533"/>
      <c r="Q2531" s="533"/>
      <c r="R2531" s="533"/>
      <c r="S2531" s="533"/>
      <c r="T2531" s="533"/>
      <c r="U2531" s="533"/>
      <c r="V2531" s="533"/>
      <c r="W2531" s="533"/>
      <c r="X2531" s="533"/>
      <c r="Y2531" s="533"/>
    </row>
    <row r="2532" spans="1:25" s="88" customFormat="1" hidden="1" x14ac:dyDescent="0.25">
      <c r="A2532" s="509"/>
      <c r="B2532" s="256"/>
      <c r="C2532" s="228"/>
      <c r="D2532" s="218"/>
      <c r="E2532" s="218"/>
      <c r="F2532" s="218"/>
      <c r="G2532" s="518"/>
      <c r="H2532" s="594"/>
      <c r="I2532" s="595"/>
      <c r="J2532" s="595"/>
      <c r="K2532" s="533"/>
      <c r="L2532" s="533"/>
      <c r="M2532" s="533"/>
      <c r="N2532" s="268"/>
      <c r="O2532" s="533"/>
      <c r="P2532" s="533"/>
      <c r="Q2532" s="533"/>
      <c r="R2532" s="533"/>
      <c r="S2532" s="533"/>
      <c r="T2532" s="533"/>
      <c r="U2532" s="533"/>
      <c r="V2532" s="533"/>
      <c r="W2532" s="533"/>
      <c r="X2532" s="533"/>
      <c r="Y2532" s="533"/>
    </row>
    <row r="2533" spans="1:25" s="88" customFormat="1" hidden="1" x14ac:dyDescent="0.25">
      <c r="A2533" s="509"/>
      <c r="B2533" s="256"/>
      <c r="C2533" s="228"/>
      <c r="D2533" s="218"/>
      <c r="E2533" s="218"/>
      <c r="F2533" s="218"/>
      <c r="G2533" s="518"/>
      <c r="H2533" s="594"/>
      <c r="I2533" s="595"/>
      <c r="J2533" s="595"/>
      <c r="K2533" s="533"/>
      <c r="L2533" s="533"/>
      <c r="M2533" s="533"/>
      <c r="N2533" s="268"/>
      <c r="O2533" s="533"/>
      <c r="P2533" s="533"/>
      <c r="Q2533" s="533"/>
      <c r="R2533" s="533"/>
      <c r="S2533" s="533"/>
      <c r="T2533" s="533"/>
      <c r="U2533" s="533"/>
      <c r="V2533" s="533"/>
      <c r="W2533" s="533"/>
      <c r="X2533" s="533"/>
      <c r="Y2533" s="533"/>
    </row>
    <row r="2534" spans="1:25" s="88" customFormat="1" hidden="1" x14ac:dyDescent="0.25">
      <c r="A2534" s="509"/>
      <c r="B2534" s="256"/>
      <c r="C2534" s="228"/>
      <c r="D2534" s="218"/>
      <c r="E2534" s="218"/>
      <c r="F2534" s="218"/>
      <c r="G2534" s="518"/>
      <c r="H2534" s="594"/>
      <c r="I2534" s="595"/>
      <c r="J2534" s="595"/>
      <c r="K2534" s="533"/>
      <c r="L2534" s="533"/>
      <c r="M2534" s="533"/>
      <c r="N2534" s="268"/>
      <c r="O2534" s="533"/>
      <c r="P2534" s="533"/>
      <c r="Q2534" s="533"/>
      <c r="R2534" s="533"/>
      <c r="S2534" s="533"/>
      <c r="T2534" s="533"/>
      <c r="U2534" s="533"/>
      <c r="V2534" s="533"/>
      <c r="W2534" s="533"/>
      <c r="X2534" s="533"/>
      <c r="Y2534" s="533"/>
    </row>
    <row r="2535" spans="1:25" s="88" customFormat="1" hidden="1" x14ac:dyDescent="0.25">
      <c r="A2535" s="509"/>
      <c r="B2535" s="256"/>
      <c r="C2535" s="228"/>
      <c r="D2535" s="218"/>
      <c r="E2535" s="218"/>
      <c r="F2535" s="218"/>
      <c r="G2535" s="518"/>
      <c r="H2535" s="594"/>
      <c r="I2535" s="595"/>
      <c r="J2535" s="595"/>
      <c r="K2535" s="533"/>
      <c r="L2535" s="533"/>
      <c r="M2535" s="533"/>
      <c r="N2535" s="268"/>
      <c r="O2535" s="533"/>
      <c r="P2535" s="533"/>
      <c r="Q2535" s="533"/>
      <c r="R2535" s="533"/>
      <c r="S2535" s="533"/>
      <c r="T2535" s="533"/>
      <c r="U2535" s="533"/>
      <c r="V2535" s="533"/>
      <c r="W2535" s="533"/>
      <c r="X2535" s="533"/>
      <c r="Y2535" s="533"/>
    </row>
    <row r="2536" spans="1:25" s="88" customFormat="1" hidden="1" x14ac:dyDescent="0.25">
      <c r="A2536" s="509"/>
      <c r="B2536" s="256"/>
      <c r="C2536" s="228"/>
      <c r="D2536" s="218"/>
      <c r="E2536" s="218"/>
      <c r="F2536" s="218"/>
      <c r="G2536" s="518"/>
      <c r="H2536" s="594"/>
      <c r="I2536" s="595"/>
      <c r="J2536" s="595"/>
      <c r="K2536" s="533"/>
      <c r="L2536" s="533"/>
      <c r="M2536" s="533"/>
      <c r="N2536" s="268"/>
      <c r="O2536" s="533"/>
      <c r="P2536" s="533"/>
      <c r="Q2536" s="533"/>
      <c r="R2536" s="533"/>
      <c r="S2536" s="533"/>
      <c r="T2536" s="533"/>
      <c r="U2536" s="533"/>
      <c r="V2536" s="533"/>
      <c r="W2536" s="533"/>
      <c r="X2536" s="533"/>
      <c r="Y2536" s="533"/>
    </row>
    <row r="2537" spans="1:25" s="88" customFormat="1" hidden="1" x14ac:dyDescent="0.25">
      <c r="A2537" s="509"/>
      <c r="B2537" s="256"/>
      <c r="C2537" s="228"/>
      <c r="D2537" s="218"/>
      <c r="E2537" s="218"/>
      <c r="F2537" s="218"/>
      <c r="G2537" s="518"/>
      <c r="H2537" s="594"/>
      <c r="I2537" s="595"/>
      <c r="J2537" s="595"/>
      <c r="K2537" s="533"/>
      <c r="L2537" s="533"/>
      <c r="M2537" s="533"/>
      <c r="N2537" s="268"/>
      <c r="O2537" s="533"/>
      <c r="P2537" s="533"/>
      <c r="Q2537" s="533"/>
      <c r="R2537" s="533"/>
      <c r="S2537" s="533"/>
      <c r="T2537" s="533"/>
      <c r="U2537" s="533"/>
      <c r="V2537" s="533"/>
      <c r="W2537" s="533"/>
      <c r="X2537" s="533"/>
      <c r="Y2537" s="533"/>
    </row>
    <row r="2538" spans="1:25" s="88" customFormat="1" hidden="1" x14ac:dyDescent="0.25">
      <c r="A2538" s="509"/>
      <c r="B2538" s="256"/>
      <c r="C2538" s="228"/>
      <c r="D2538" s="218"/>
      <c r="E2538" s="218"/>
      <c r="F2538" s="218"/>
      <c r="G2538" s="518"/>
      <c r="H2538" s="594"/>
      <c r="I2538" s="595"/>
      <c r="J2538" s="595"/>
      <c r="K2538" s="533"/>
      <c r="L2538" s="533"/>
      <c r="M2538" s="533"/>
      <c r="N2538" s="268"/>
      <c r="O2538" s="533"/>
      <c r="P2538" s="533"/>
      <c r="Q2538" s="533"/>
      <c r="R2538" s="533"/>
      <c r="S2538" s="533"/>
      <c r="T2538" s="533"/>
      <c r="U2538" s="533"/>
      <c r="V2538" s="533"/>
      <c r="W2538" s="533"/>
      <c r="X2538" s="533"/>
      <c r="Y2538" s="533"/>
    </row>
    <row r="2539" spans="1:25" s="88" customFormat="1" hidden="1" x14ac:dyDescent="0.25">
      <c r="A2539" s="509"/>
      <c r="B2539" s="256"/>
      <c r="C2539" s="228"/>
      <c r="D2539" s="218"/>
      <c r="E2539" s="218"/>
      <c r="F2539" s="218"/>
      <c r="G2539" s="518"/>
      <c r="H2539" s="594"/>
      <c r="I2539" s="595"/>
      <c r="J2539" s="595"/>
      <c r="K2539" s="533"/>
      <c r="L2539" s="533"/>
      <c r="M2539" s="533"/>
      <c r="N2539" s="268"/>
      <c r="O2539" s="533"/>
      <c r="P2539" s="533"/>
      <c r="Q2539" s="533"/>
      <c r="R2539" s="533"/>
      <c r="S2539" s="533"/>
      <c r="T2539" s="533"/>
      <c r="U2539" s="533"/>
      <c r="V2539" s="533"/>
      <c r="W2539" s="533"/>
      <c r="X2539" s="533"/>
      <c r="Y2539" s="533"/>
    </row>
    <row r="2540" spans="1:25" s="88" customFormat="1" hidden="1" x14ac:dyDescent="0.25">
      <c r="A2540" s="509"/>
      <c r="B2540" s="256"/>
      <c r="C2540" s="228"/>
      <c r="D2540" s="218"/>
      <c r="E2540" s="218"/>
      <c r="F2540" s="218"/>
      <c r="G2540" s="518"/>
      <c r="H2540" s="594"/>
      <c r="I2540" s="595"/>
      <c r="J2540" s="595"/>
      <c r="K2540" s="533"/>
      <c r="L2540" s="533"/>
      <c r="M2540" s="533"/>
      <c r="N2540" s="268"/>
      <c r="O2540" s="533"/>
      <c r="P2540" s="533"/>
      <c r="Q2540" s="533"/>
      <c r="R2540" s="533"/>
      <c r="S2540" s="533"/>
      <c r="T2540" s="533"/>
      <c r="U2540" s="533"/>
      <c r="V2540" s="533"/>
      <c r="W2540" s="533"/>
      <c r="X2540" s="533"/>
      <c r="Y2540" s="533"/>
    </row>
    <row r="2541" spans="1:25" s="88" customFormat="1" hidden="1" x14ac:dyDescent="0.25">
      <c r="A2541" s="509"/>
      <c r="B2541" s="256"/>
      <c r="C2541" s="228"/>
      <c r="D2541" s="218"/>
      <c r="E2541" s="218"/>
      <c r="F2541" s="218"/>
      <c r="G2541" s="518"/>
      <c r="H2541" s="594"/>
      <c r="I2541" s="595"/>
      <c r="J2541" s="595"/>
      <c r="K2541" s="533"/>
      <c r="L2541" s="533"/>
      <c r="M2541" s="533"/>
      <c r="N2541" s="268"/>
      <c r="O2541" s="533"/>
      <c r="P2541" s="533"/>
      <c r="Q2541" s="533"/>
      <c r="R2541" s="533"/>
      <c r="S2541" s="533"/>
      <c r="T2541" s="533"/>
      <c r="U2541" s="533"/>
      <c r="V2541" s="533"/>
      <c r="W2541" s="533"/>
      <c r="X2541" s="533"/>
      <c r="Y2541" s="533"/>
    </row>
    <row r="2542" spans="1:25" s="88" customFormat="1" hidden="1" x14ac:dyDescent="0.25">
      <c r="A2542" s="509"/>
      <c r="B2542" s="256"/>
      <c r="C2542" s="228"/>
      <c r="D2542" s="218"/>
      <c r="E2542" s="218"/>
      <c r="F2542" s="218"/>
      <c r="G2542" s="518"/>
      <c r="H2542" s="594"/>
      <c r="I2542" s="595"/>
      <c r="J2542" s="595"/>
      <c r="K2542" s="533"/>
      <c r="L2542" s="533"/>
      <c r="M2542" s="533"/>
      <c r="N2542" s="268"/>
      <c r="O2542" s="533"/>
      <c r="P2542" s="533"/>
      <c r="Q2542" s="533"/>
      <c r="R2542" s="533"/>
      <c r="S2542" s="533"/>
      <c r="T2542" s="533"/>
      <c r="U2542" s="533"/>
      <c r="V2542" s="533"/>
      <c r="W2542" s="533"/>
      <c r="X2542" s="533"/>
      <c r="Y2542" s="533"/>
    </row>
    <row r="2543" spans="1:25" s="88" customFormat="1" hidden="1" x14ac:dyDescent="0.25">
      <c r="A2543" s="509"/>
      <c r="B2543" s="256"/>
      <c r="C2543" s="228"/>
      <c r="D2543" s="218"/>
      <c r="E2543" s="218"/>
      <c r="F2543" s="218"/>
      <c r="G2543" s="518"/>
      <c r="H2543" s="594"/>
      <c r="I2543" s="595"/>
      <c r="J2543" s="595"/>
      <c r="K2543" s="533"/>
      <c r="L2543" s="533"/>
      <c r="M2543" s="533"/>
      <c r="N2543" s="268"/>
      <c r="O2543" s="533"/>
      <c r="P2543" s="533"/>
      <c r="Q2543" s="533"/>
      <c r="R2543" s="533"/>
      <c r="S2543" s="533"/>
      <c r="T2543" s="533"/>
      <c r="U2543" s="533"/>
      <c r="V2543" s="533"/>
      <c r="W2543" s="533"/>
      <c r="X2543" s="533"/>
      <c r="Y2543" s="533"/>
    </row>
    <row r="2544" spans="1:25" s="88" customFormat="1" hidden="1" x14ac:dyDescent="0.25">
      <c r="A2544" s="509"/>
      <c r="B2544" s="256"/>
      <c r="C2544" s="228"/>
      <c r="D2544" s="218"/>
      <c r="E2544" s="218"/>
      <c r="F2544" s="218"/>
      <c r="G2544" s="518"/>
      <c r="H2544" s="594"/>
      <c r="I2544" s="595"/>
      <c r="J2544" s="595"/>
      <c r="K2544" s="533"/>
      <c r="L2544" s="533"/>
      <c r="M2544" s="533"/>
      <c r="N2544" s="268"/>
      <c r="O2544" s="533"/>
      <c r="P2544" s="533"/>
      <c r="Q2544" s="533"/>
      <c r="R2544" s="533"/>
      <c r="S2544" s="533"/>
      <c r="T2544" s="533"/>
      <c r="U2544" s="533"/>
      <c r="V2544" s="533"/>
      <c r="W2544" s="533"/>
      <c r="X2544" s="533"/>
      <c r="Y2544" s="533"/>
    </row>
    <row r="2545" spans="1:25" s="88" customFormat="1" hidden="1" x14ac:dyDescent="0.25">
      <c r="A2545" s="509"/>
      <c r="B2545" s="256"/>
      <c r="C2545" s="228"/>
      <c r="D2545" s="218"/>
      <c r="E2545" s="218"/>
      <c r="F2545" s="218"/>
      <c r="G2545" s="518"/>
      <c r="H2545" s="594"/>
      <c r="I2545" s="595"/>
      <c r="J2545" s="595"/>
      <c r="K2545" s="533"/>
      <c r="L2545" s="533"/>
      <c r="M2545" s="533"/>
      <c r="N2545" s="268"/>
      <c r="O2545" s="533"/>
      <c r="P2545" s="533"/>
      <c r="Q2545" s="533"/>
      <c r="R2545" s="533"/>
      <c r="S2545" s="533"/>
      <c r="T2545" s="533"/>
      <c r="U2545" s="533"/>
      <c r="V2545" s="533"/>
      <c r="W2545" s="533"/>
      <c r="X2545" s="533"/>
      <c r="Y2545" s="533"/>
    </row>
    <row r="2546" spans="1:25" s="88" customFormat="1" hidden="1" x14ac:dyDescent="0.25">
      <c r="A2546" s="509"/>
      <c r="B2546" s="256"/>
      <c r="C2546" s="228"/>
      <c r="D2546" s="218"/>
      <c r="E2546" s="218"/>
      <c r="F2546" s="218"/>
      <c r="G2546" s="518"/>
      <c r="H2546" s="594"/>
      <c r="I2546" s="595"/>
      <c r="J2546" s="595"/>
      <c r="K2546" s="533"/>
      <c r="L2546" s="533"/>
      <c r="M2546" s="533"/>
      <c r="N2546" s="268"/>
      <c r="O2546" s="533"/>
      <c r="P2546" s="533"/>
      <c r="Q2546" s="533"/>
      <c r="R2546" s="533"/>
      <c r="S2546" s="533"/>
      <c r="T2546" s="533"/>
      <c r="U2546" s="533"/>
      <c r="V2546" s="533"/>
      <c r="W2546" s="533"/>
      <c r="X2546" s="533"/>
      <c r="Y2546" s="533"/>
    </row>
    <row r="2547" spans="1:25" s="88" customFormat="1" hidden="1" x14ac:dyDescent="0.25">
      <c r="A2547" s="509"/>
      <c r="B2547" s="256"/>
      <c r="C2547" s="228"/>
      <c r="D2547" s="218"/>
      <c r="E2547" s="218"/>
      <c r="F2547" s="218"/>
      <c r="G2547" s="518"/>
      <c r="H2547" s="594"/>
      <c r="I2547" s="595"/>
      <c r="J2547" s="595"/>
      <c r="K2547" s="533"/>
      <c r="L2547" s="533"/>
      <c r="M2547" s="533"/>
      <c r="N2547" s="268"/>
      <c r="O2547" s="533"/>
      <c r="P2547" s="533"/>
      <c r="Q2547" s="533"/>
      <c r="R2547" s="533"/>
      <c r="S2547" s="533"/>
      <c r="T2547" s="533"/>
      <c r="U2547" s="533"/>
      <c r="V2547" s="533"/>
      <c r="W2547" s="533"/>
      <c r="X2547" s="533"/>
      <c r="Y2547" s="533"/>
    </row>
    <row r="2548" spans="1:25" s="88" customFormat="1" hidden="1" x14ac:dyDescent="0.25">
      <c r="A2548" s="509"/>
      <c r="B2548" s="256"/>
      <c r="C2548" s="228"/>
      <c r="D2548" s="218"/>
      <c r="E2548" s="218"/>
      <c r="F2548" s="218"/>
      <c r="G2548" s="518"/>
      <c r="H2548" s="594"/>
      <c r="I2548" s="595"/>
      <c r="J2548" s="595"/>
      <c r="K2548" s="533"/>
      <c r="L2548" s="533"/>
      <c r="M2548" s="533"/>
      <c r="N2548" s="268"/>
      <c r="O2548" s="533"/>
      <c r="P2548" s="533"/>
      <c r="Q2548" s="533"/>
      <c r="R2548" s="533"/>
      <c r="S2548" s="533"/>
      <c r="T2548" s="533"/>
      <c r="U2548" s="533"/>
      <c r="V2548" s="533"/>
      <c r="W2548" s="533"/>
      <c r="X2548" s="533"/>
      <c r="Y2548" s="533"/>
    </row>
    <row r="2549" spans="1:25" s="88" customFormat="1" hidden="1" x14ac:dyDescent="0.25">
      <c r="A2549" s="509"/>
      <c r="B2549" s="256"/>
      <c r="C2549" s="228"/>
      <c r="D2549" s="218"/>
      <c r="E2549" s="218"/>
      <c r="F2549" s="218"/>
      <c r="G2549" s="518"/>
      <c r="H2549" s="594"/>
      <c r="I2549" s="595"/>
      <c r="J2549" s="595"/>
      <c r="K2549" s="533"/>
      <c r="L2549" s="533"/>
      <c r="M2549" s="533"/>
      <c r="N2549" s="268"/>
      <c r="O2549" s="533"/>
      <c r="P2549" s="533"/>
      <c r="Q2549" s="533"/>
      <c r="R2549" s="533"/>
      <c r="S2549" s="533"/>
      <c r="T2549" s="533"/>
      <c r="U2549" s="533"/>
      <c r="V2549" s="533"/>
      <c r="W2549" s="533"/>
      <c r="X2549" s="533"/>
      <c r="Y2549" s="533"/>
    </row>
    <row r="2550" spans="1:25" s="88" customFormat="1" hidden="1" x14ac:dyDescent="0.25">
      <c r="A2550" s="509"/>
      <c r="B2550" s="256"/>
      <c r="C2550" s="228"/>
      <c r="D2550" s="218"/>
      <c r="E2550" s="218"/>
      <c r="F2550" s="218"/>
      <c r="G2550" s="518"/>
      <c r="H2550" s="594"/>
      <c r="I2550" s="595"/>
      <c r="J2550" s="595"/>
      <c r="K2550" s="533"/>
      <c r="L2550" s="533"/>
      <c r="M2550" s="533"/>
      <c r="N2550" s="268"/>
      <c r="O2550" s="533"/>
      <c r="P2550" s="533"/>
      <c r="Q2550" s="533"/>
      <c r="R2550" s="533"/>
      <c r="S2550" s="533"/>
      <c r="T2550" s="533"/>
      <c r="U2550" s="533"/>
      <c r="V2550" s="533"/>
      <c r="W2550" s="533"/>
      <c r="X2550" s="533"/>
      <c r="Y2550" s="533"/>
    </row>
    <row r="2551" spans="1:25" s="88" customFormat="1" hidden="1" x14ac:dyDescent="0.25">
      <c r="A2551" s="509"/>
      <c r="B2551" s="256"/>
      <c r="C2551" s="228"/>
      <c r="D2551" s="218"/>
      <c r="E2551" s="218"/>
      <c r="F2551" s="218"/>
      <c r="G2551" s="518"/>
      <c r="H2551" s="594"/>
      <c r="I2551" s="595"/>
      <c r="J2551" s="595"/>
      <c r="K2551" s="533"/>
      <c r="L2551" s="533"/>
      <c r="M2551" s="533"/>
      <c r="N2551" s="268"/>
      <c r="O2551" s="533"/>
      <c r="P2551" s="533"/>
      <c r="Q2551" s="533"/>
      <c r="R2551" s="533"/>
      <c r="S2551" s="533"/>
      <c r="T2551" s="533"/>
      <c r="U2551" s="533"/>
      <c r="V2551" s="533"/>
      <c r="W2551" s="533"/>
      <c r="X2551" s="533"/>
      <c r="Y2551" s="533"/>
    </row>
    <row r="2552" spans="1:25" s="88" customFormat="1" hidden="1" x14ac:dyDescent="0.25">
      <c r="A2552" s="509"/>
      <c r="B2552" s="256"/>
      <c r="C2552" s="228"/>
      <c r="D2552" s="218"/>
      <c r="E2552" s="218"/>
      <c r="F2552" s="218"/>
      <c r="G2552" s="518"/>
      <c r="H2552" s="594"/>
      <c r="I2552" s="595"/>
      <c r="J2552" s="595"/>
      <c r="K2552" s="533"/>
      <c r="L2552" s="533"/>
      <c r="M2552" s="533"/>
      <c r="N2552" s="268"/>
      <c r="O2552" s="533"/>
      <c r="P2552" s="533"/>
      <c r="Q2552" s="533"/>
      <c r="R2552" s="533"/>
      <c r="S2552" s="533"/>
      <c r="T2552" s="533"/>
      <c r="U2552" s="533"/>
      <c r="V2552" s="533"/>
      <c r="W2552" s="533"/>
      <c r="X2552" s="533"/>
      <c r="Y2552" s="533"/>
    </row>
    <row r="2553" spans="1:25" s="88" customFormat="1" hidden="1" x14ac:dyDescent="0.25">
      <c r="A2553" s="509"/>
      <c r="B2553" s="256"/>
      <c r="C2553" s="228"/>
      <c r="D2553" s="218"/>
      <c r="E2553" s="218"/>
      <c r="F2553" s="218"/>
      <c r="G2553" s="518"/>
      <c r="H2553" s="594"/>
      <c r="I2553" s="595"/>
      <c r="J2553" s="595"/>
      <c r="K2553" s="533"/>
      <c r="L2553" s="533"/>
      <c r="M2553" s="533"/>
      <c r="N2553" s="268"/>
      <c r="O2553" s="533"/>
      <c r="P2553" s="533"/>
      <c r="Q2553" s="533"/>
      <c r="R2553" s="533"/>
      <c r="S2553" s="533"/>
      <c r="T2553" s="533"/>
      <c r="U2553" s="533"/>
      <c r="V2553" s="533"/>
      <c r="W2553" s="533"/>
      <c r="X2553" s="533"/>
      <c r="Y2553" s="533"/>
    </row>
    <row r="2554" spans="1:25" s="88" customFormat="1" hidden="1" x14ac:dyDescent="0.25">
      <c r="A2554" s="509"/>
      <c r="B2554" s="256"/>
      <c r="C2554" s="228"/>
      <c r="D2554" s="218"/>
      <c r="E2554" s="218"/>
      <c r="F2554" s="218"/>
      <c r="G2554" s="518"/>
      <c r="H2554" s="594"/>
      <c r="I2554" s="595"/>
      <c r="J2554" s="595"/>
      <c r="K2554" s="533"/>
      <c r="L2554" s="533"/>
      <c r="M2554" s="533"/>
      <c r="N2554" s="268"/>
      <c r="O2554" s="533"/>
      <c r="P2554" s="533"/>
      <c r="Q2554" s="533"/>
      <c r="R2554" s="533"/>
      <c r="S2554" s="533"/>
      <c r="T2554" s="533"/>
      <c r="U2554" s="533"/>
      <c r="V2554" s="533"/>
      <c r="W2554" s="533"/>
      <c r="X2554" s="533"/>
      <c r="Y2554" s="533"/>
    </row>
    <row r="2555" spans="1:25" s="88" customFormat="1" hidden="1" x14ac:dyDescent="0.25">
      <c r="A2555" s="509"/>
      <c r="B2555" s="256"/>
      <c r="C2555" s="228"/>
      <c r="D2555" s="218"/>
      <c r="E2555" s="218"/>
      <c r="F2555" s="218"/>
      <c r="G2555" s="518"/>
      <c r="H2555" s="594"/>
      <c r="I2555" s="595"/>
      <c r="J2555" s="595"/>
      <c r="K2555" s="533"/>
      <c r="L2555" s="533"/>
      <c r="M2555" s="533"/>
      <c r="N2555" s="268"/>
      <c r="O2555" s="533"/>
      <c r="P2555" s="533"/>
      <c r="Q2555" s="533"/>
      <c r="R2555" s="533"/>
      <c r="S2555" s="533"/>
      <c r="T2555" s="533"/>
      <c r="U2555" s="533"/>
      <c r="V2555" s="533"/>
      <c r="W2555" s="533"/>
      <c r="X2555" s="533"/>
      <c r="Y2555" s="533"/>
    </row>
    <row r="2556" spans="1:25" s="88" customFormat="1" hidden="1" x14ac:dyDescent="0.25">
      <c r="A2556" s="509"/>
      <c r="B2556" s="256"/>
      <c r="C2556" s="228"/>
      <c r="D2556" s="218"/>
      <c r="E2556" s="218"/>
      <c r="F2556" s="218"/>
      <c r="G2556" s="518"/>
      <c r="H2556" s="594"/>
      <c r="I2556" s="595"/>
      <c r="J2556" s="595"/>
      <c r="K2556" s="533"/>
      <c r="L2556" s="533"/>
      <c r="M2556" s="533"/>
      <c r="N2556" s="268"/>
      <c r="O2556" s="533"/>
      <c r="P2556" s="533"/>
      <c r="Q2556" s="533"/>
      <c r="R2556" s="533"/>
      <c r="S2556" s="533"/>
      <c r="T2556" s="533"/>
      <c r="U2556" s="533"/>
      <c r="V2556" s="533"/>
      <c r="W2556" s="533"/>
      <c r="X2556" s="533"/>
      <c r="Y2556" s="533"/>
    </row>
    <row r="2557" spans="1:25" s="88" customFormat="1" hidden="1" x14ac:dyDescent="0.25">
      <c r="A2557" s="509"/>
      <c r="B2557" s="256"/>
      <c r="C2557" s="228"/>
      <c r="D2557" s="218"/>
      <c r="E2557" s="218"/>
      <c r="F2557" s="218"/>
      <c r="G2557" s="518"/>
      <c r="H2557" s="594"/>
      <c r="I2557" s="595"/>
      <c r="J2557" s="595"/>
      <c r="K2557" s="533"/>
      <c r="L2557" s="533"/>
      <c r="M2557" s="533"/>
      <c r="N2557" s="268"/>
      <c r="O2557" s="533"/>
      <c r="P2557" s="533"/>
      <c r="Q2557" s="533"/>
      <c r="R2557" s="533"/>
      <c r="S2557" s="533"/>
      <c r="T2557" s="533"/>
      <c r="U2557" s="533"/>
      <c r="V2557" s="533"/>
      <c r="W2557" s="533"/>
      <c r="X2557" s="533"/>
      <c r="Y2557" s="533"/>
    </row>
    <row r="2558" spans="1:25" s="88" customFormat="1" hidden="1" x14ac:dyDescent="0.25">
      <c r="A2558" s="509"/>
      <c r="B2558" s="256"/>
      <c r="C2558" s="228"/>
      <c r="D2558" s="218"/>
      <c r="E2558" s="218"/>
      <c r="F2558" s="218"/>
      <c r="G2558" s="518"/>
      <c r="H2558" s="594"/>
      <c r="I2558" s="595"/>
      <c r="J2558" s="595"/>
      <c r="K2558" s="533"/>
      <c r="L2558" s="533"/>
      <c r="M2558" s="533"/>
      <c r="N2558" s="268"/>
      <c r="O2558" s="533"/>
      <c r="P2558" s="533"/>
      <c r="Q2558" s="533"/>
      <c r="R2558" s="533"/>
      <c r="S2558" s="533"/>
      <c r="T2558" s="533"/>
      <c r="U2558" s="533"/>
      <c r="V2558" s="533"/>
      <c r="W2558" s="533"/>
      <c r="X2558" s="533"/>
      <c r="Y2558" s="533"/>
    </row>
    <row r="2559" spans="1:25" s="88" customFormat="1" hidden="1" x14ac:dyDescent="0.25">
      <c r="A2559" s="509"/>
      <c r="B2559" s="256"/>
      <c r="C2559" s="228"/>
      <c r="D2559" s="218"/>
      <c r="E2559" s="218"/>
      <c r="F2559" s="218"/>
      <c r="G2559" s="518"/>
      <c r="H2559" s="594"/>
      <c r="I2559" s="595"/>
      <c r="J2559" s="595"/>
      <c r="K2559" s="533"/>
      <c r="L2559" s="533"/>
      <c r="M2559" s="533"/>
      <c r="N2559" s="268"/>
      <c r="O2559" s="533"/>
      <c r="P2559" s="533"/>
      <c r="Q2559" s="533"/>
      <c r="R2559" s="533"/>
      <c r="S2559" s="533"/>
      <c r="T2559" s="533"/>
      <c r="U2559" s="533"/>
      <c r="V2559" s="533"/>
      <c r="W2559" s="533"/>
      <c r="X2559" s="533"/>
      <c r="Y2559" s="533"/>
    </row>
    <row r="2560" spans="1:25" s="88" customFormat="1" hidden="1" x14ac:dyDescent="0.25">
      <c r="A2560" s="509"/>
      <c r="B2560" s="256"/>
      <c r="C2560" s="228"/>
      <c r="D2560" s="218"/>
      <c r="E2560" s="218"/>
      <c r="F2560" s="218"/>
      <c r="G2560" s="518"/>
      <c r="H2560" s="594"/>
      <c r="I2560" s="595"/>
      <c r="J2560" s="595"/>
      <c r="K2560" s="533"/>
      <c r="L2560" s="533"/>
      <c r="M2560" s="533"/>
      <c r="N2560" s="268"/>
      <c r="O2560" s="533"/>
      <c r="P2560" s="533"/>
      <c r="Q2560" s="533"/>
      <c r="R2560" s="533"/>
      <c r="S2560" s="533"/>
      <c r="T2560" s="533"/>
      <c r="U2560" s="533"/>
      <c r="V2560" s="533"/>
      <c r="W2560" s="533"/>
      <c r="X2560" s="533"/>
      <c r="Y2560" s="533"/>
    </row>
    <row r="2561" spans="1:25" s="88" customFormat="1" hidden="1" x14ac:dyDescent="0.25">
      <c r="A2561" s="509"/>
      <c r="B2561" s="256"/>
      <c r="C2561" s="228"/>
      <c r="D2561" s="218"/>
      <c r="E2561" s="218"/>
      <c r="F2561" s="218"/>
      <c r="G2561" s="518"/>
      <c r="H2561" s="594"/>
      <c r="I2561" s="595"/>
      <c r="J2561" s="595"/>
      <c r="K2561" s="533"/>
      <c r="L2561" s="533"/>
      <c r="M2561" s="533"/>
      <c r="N2561" s="268"/>
      <c r="O2561" s="533"/>
      <c r="P2561" s="533"/>
      <c r="Q2561" s="533"/>
      <c r="R2561" s="533"/>
      <c r="S2561" s="533"/>
      <c r="T2561" s="533"/>
      <c r="U2561" s="533"/>
      <c r="V2561" s="533"/>
      <c r="W2561" s="533"/>
      <c r="X2561" s="533"/>
      <c r="Y2561" s="533"/>
    </row>
    <row r="2562" spans="1:25" s="88" customFormat="1" hidden="1" x14ac:dyDescent="0.25">
      <c r="A2562" s="509"/>
      <c r="B2562" s="256"/>
      <c r="C2562" s="228"/>
      <c r="D2562" s="218"/>
      <c r="E2562" s="218"/>
      <c r="F2562" s="218"/>
      <c r="G2562" s="518"/>
      <c r="H2562" s="594"/>
      <c r="I2562" s="595"/>
      <c r="J2562" s="595"/>
      <c r="K2562" s="533"/>
      <c r="L2562" s="533"/>
      <c r="M2562" s="533"/>
      <c r="N2562" s="268"/>
      <c r="O2562" s="533"/>
      <c r="P2562" s="533"/>
      <c r="Q2562" s="533"/>
      <c r="R2562" s="533"/>
      <c r="S2562" s="533"/>
      <c r="T2562" s="533"/>
      <c r="U2562" s="533"/>
      <c r="V2562" s="533"/>
      <c r="W2562" s="533"/>
      <c r="X2562" s="533"/>
      <c r="Y2562" s="533"/>
    </row>
    <row r="2563" spans="1:25" s="88" customFormat="1" hidden="1" x14ac:dyDescent="0.25">
      <c r="A2563" s="509"/>
      <c r="B2563" s="256"/>
      <c r="C2563" s="228"/>
      <c r="D2563" s="218"/>
      <c r="E2563" s="218"/>
      <c r="F2563" s="218"/>
      <c r="G2563" s="518"/>
      <c r="H2563" s="594"/>
      <c r="I2563" s="595"/>
      <c r="J2563" s="595"/>
      <c r="K2563" s="533"/>
      <c r="L2563" s="533"/>
      <c r="M2563" s="533"/>
      <c r="N2563" s="268"/>
      <c r="O2563" s="533"/>
      <c r="P2563" s="533"/>
      <c r="Q2563" s="533"/>
      <c r="R2563" s="533"/>
      <c r="S2563" s="533"/>
      <c r="T2563" s="533"/>
      <c r="U2563" s="533"/>
      <c r="V2563" s="533"/>
      <c r="W2563" s="533"/>
      <c r="X2563" s="533"/>
      <c r="Y2563" s="533"/>
    </row>
    <row r="2564" spans="1:25" s="88" customFormat="1" hidden="1" x14ac:dyDescent="0.25">
      <c r="A2564" s="509"/>
      <c r="B2564" s="256"/>
      <c r="C2564" s="228"/>
      <c r="D2564" s="218"/>
      <c r="E2564" s="218"/>
      <c r="F2564" s="218"/>
      <c r="G2564" s="518"/>
      <c r="H2564" s="594"/>
      <c r="I2564" s="595"/>
      <c r="J2564" s="595"/>
      <c r="K2564" s="533"/>
      <c r="L2564" s="533"/>
      <c r="M2564" s="533"/>
      <c r="N2564" s="268"/>
      <c r="O2564" s="533"/>
      <c r="P2564" s="533"/>
      <c r="Q2564" s="533"/>
      <c r="R2564" s="533"/>
      <c r="S2564" s="533"/>
      <c r="T2564" s="533"/>
      <c r="U2564" s="533"/>
      <c r="V2564" s="533"/>
      <c r="W2564" s="533"/>
      <c r="X2564" s="533"/>
      <c r="Y2564" s="533"/>
    </row>
    <row r="2565" spans="1:25" s="88" customFormat="1" hidden="1" x14ac:dyDescent="0.25">
      <c r="A2565" s="509"/>
      <c r="B2565" s="256"/>
      <c r="C2565" s="228"/>
      <c r="D2565" s="218"/>
      <c r="E2565" s="218"/>
      <c r="F2565" s="218"/>
      <c r="G2565" s="518"/>
      <c r="H2565" s="594"/>
      <c r="I2565" s="595"/>
      <c r="J2565" s="595"/>
      <c r="K2565" s="533"/>
      <c r="L2565" s="533"/>
      <c r="M2565" s="533"/>
      <c r="N2565" s="268"/>
      <c r="O2565" s="533"/>
      <c r="P2565" s="533"/>
      <c r="Q2565" s="533"/>
      <c r="R2565" s="533"/>
      <c r="S2565" s="533"/>
      <c r="T2565" s="533"/>
      <c r="U2565" s="533"/>
      <c r="V2565" s="533"/>
      <c r="W2565" s="533"/>
      <c r="X2565" s="533"/>
      <c r="Y2565" s="533"/>
    </row>
    <row r="2566" spans="1:25" s="88" customFormat="1" hidden="1" x14ac:dyDescent="0.25">
      <c r="A2566" s="509"/>
      <c r="B2566" s="256"/>
      <c r="C2566" s="228"/>
      <c r="D2566" s="218"/>
      <c r="E2566" s="218"/>
      <c r="F2566" s="218"/>
      <c r="G2566" s="518"/>
      <c r="H2566" s="594"/>
      <c r="I2566" s="595"/>
      <c r="J2566" s="595"/>
      <c r="K2566" s="533"/>
      <c r="L2566" s="533"/>
      <c r="M2566" s="533"/>
      <c r="N2566" s="268"/>
      <c r="O2566" s="533"/>
      <c r="P2566" s="533"/>
      <c r="Q2566" s="533"/>
      <c r="R2566" s="533"/>
      <c r="S2566" s="533"/>
      <c r="T2566" s="533"/>
      <c r="U2566" s="533"/>
      <c r="V2566" s="533"/>
      <c r="W2566" s="533"/>
      <c r="X2566" s="533"/>
      <c r="Y2566" s="533"/>
    </row>
    <row r="2567" spans="1:25" s="88" customFormat="1" hidden="1" x14ac:dyDescent="0.25">
      <c r="A2567" s="509"/>
      <c r="B2567" s="256"/>
      <c r="C2567" s="228"/>
      <c r="D2567" s="218"/>
      <c r="E2567" s="218"/>
      <c r="F2567" s="218"/>
      <c r="G2567" s="518"/>
      <c r="H2567" s="594"/>
      <c r="I2567" s="595"/>
      <c r="J2567" s="595"/>
      <c r="K2567" s="533"/>
      <c r="L2567" s="533"/>
      <c r="M2567" s="533"/>
      <c r="N2567" s="268"/>
      <c r="O2567" s="533"/>
      <c r="P2567" s="533"/>
      <c r="Q2567" s="533"/>
      <c r="R2567" s="533"/>
      <c r="S2567" s="533"/>
      <c r="T2567" s="533"/>
      <c r="U2567" s="533"/>
      <c r="V2567" s="533"/>
      <c r="W2567" s="533"/>
      <c r="X2567" s="533"/>
      <c r="Y2567" s="533"/>
    </row>
    <row r="2568" spans="1:25" s="88" customFormat="1" hidden="1" x14ac:dyDescent="0.25">
      <c r="A2568" s="509"/>
      <c r="B2568" s="256"/>
      <c r="C2568" s="228"/>
      <c r="D2568" s="218"/>
      <c r="E2568" s="218"/>
      <c r="F2568" s="218"/>
      <c r="G2568" s="518"/>
      <c r="H2568" s="594"/>
      <c r="I2568" s="595"/>
      <c r="J2568" s="595"/>
      <c r="K2568" s="533"/>
      <c r="L2568" s="533"/>
      <c r="M2568" s="533"/>
      <c r="N2568" s="268"/>
      <c r="O2568" s="533"/>
      <c r="P2568" s="533"/>
      <c r="Q2568" s="533"/>
      <c r="R2568" s="533"/>
      <c r="S2568" s="533"/>
      <c r="T2568" s="533"/>
      <c r="U2568" s="533"/>
      <c r="V2568" s="533"/>
      <c r="W2568" s="533"/>
      <c r="X2568" s="533"/>
      <c r="Y2568" s="533"/>
    </row>
    <row r="2569" spans="1:25" s="88" customFormat="1" hidden="1" x14ac:dyDescent="0.25">
      <c r="A2569" s="509"/>
      <c r="B2569" s="256"/>
      <c r="C2569" s="228"/>
      <c r="D2569" s="218"/>
      <c r="E2569" s="218"/>
      <c r="F2569" s="218"/>
      <c r="G2569" s="518"/>
      <c r="H2569" s="594"/>
      <c r="I2569" s="595"/>
      <c r="J2569" s="595"/>
      <c r="K2569" s="533"/>
      <c r="L2569" s="533"/>
      <c r="M2569" s="533"/>
      <c r="N2569" s="268"/>
      <c r="O2569" s="533"/>
      <c r="P2569" s="533"/>
      <c r="Q2569" s="533"/>
      <c r="R2569" s="533"/>
      <c r="S2569" s="533"/>
      <c r="T2569" s="533"/>
      <c r="U2569" s="533"/>
      <c r="V2569" s="533"/>
      <c r="W2569" s="533"/>
      <c r="X2569" s="533"/>
      <c r="Y2569" s="533"/>
    </row>
    <row r="2570" spans="1:25" s="88" customFormat="1" hidden="1" x14ac:dyDescent="0.25">
      <c r="A2570" s="509"/>
      <c r="B2570" s="256"/>
      <c r="C2570" s="228"/>
      <c r="D2570" s="218"/>
      <c r="E2570" s="218"/>
      <c r="F2570" s="218"/>
      <c r="G2570" s="518"/>
      <c r="H2570" s="594"/>
      <c r="I2570" s="595"/>
      <c r="J2570" s="595"/>
      <c r="K2570" s="533"/>
      <c r="L2570" s="533"/>
      <c r="M2570" s="533"/>
      <c r="N2570" s="268"/>
      <c r="O2570" s="533"/>
      <c r="P2570" s="533"/>
      <c r="Q2570" s="533"/>
      <c r="R2570" s="533"/>
      <c r="S2570" s="533"/>
      <c r="T2570" s="533"/>
      <c r="U2570" s="533"/>
      <c r="V2570" s="533"/>
      <c r="W2570" s="533"/>
      <c r="X2570" s="533"/>
      <c r="Y2570" s="533"/>
    </row>
    <row r="2571" spans="1:25" s="88" customFormat="1" hidden="1" x14ac:dyDescent="0.25">
      <c r="A2571" s="509"/>
      <c r="B2571" s="256"/>
      <c r="C2571" s="228"/>
      <c r="D2571" s="218"/>
      <c r="E2571" s="218"/>
      <c r="F2571" s="218"/>
      <c r="G2571" s="518"/>
      <c r="H2571" s="594"/>
      <c r="I2571" s="595"/>
      <c r="J2571" s="595"/>
      <c r="K2571" s="533"/>
      <c r="L2571" s="533"/>
      <c r="M2571" s="533"/>
      <c r="N2571" s="268"/>
      <c r="O2571" s="533"/>
      <c r="P2571" s="533"/>
      <c r="Q2571" s="533"/>
      <c r="R2571" s="533"/>
      <c r="S2571" s="533"/>
      <c r="T2571" s="533"/>
      <c r="U2571" s="533"/>
      <c r="V2571" s="533"/>
      <c r="W2571" s="533"/>
      <c r="X2571" s="533"/>
      <c r="Y2571" s="533"/>
    </row>
    <row r="2572" spans="1:25" s="88" customFormat="1" hidden="1" x14ac:dyDescent="0.25">
      <c r="A2572" s="509"/>
      <c r="B2572" s="256"/>
      <c r="C2572" s="228"/>
      <c r="D2572" s="218"/>
      <c r="E2572" s="218"/>
      <c r="F2572" s="218"/>
      <c r="G2572" s="518"/>
      <c r="H2572" s="594"/>
      <c r="I2572" s="595"/>
      <c r="J2572" s="595"/>
      <c r="K2572" s="533"/>
      <c r="L2572" s="533"/>
      <c r="M2572" s="533"/>
      <c r="N2572" s="268"/>
      <c r="O2572" s="533"/>
      <c r="P2572" s="533"/>
      <c r="Q2572" s="533"/>
      <c r="R2572" s="533"/>
      <c r="S2572" s="533"/>
      <c r="T2572" s="533"/>
      <c r="U2572" s="533"/>
      <c r="V2572" s="533"/>
      <c r="W2572" s="533"/>
      <c r="X2572" s="533"/>
      <c r="Y2572" s="533"/>
    </row>
    <row r="2573" spans="1:25" s="88" customFormat="1" hidden="1" x14ac:dyDescent="0.25">
      <c r="A2573" s="509"/>
      <c r="B2573" s="256"/>
      <c r="C2573" s="228"/>
      <c r="D2573" s="218"/>
      <c r="E2573" s="218"/>
      <c r="F2573" s="218"/>
      <c r="G2573" s="518"/>
      <c r="H2573" s="594"/>
      <c r="I2573" s="595"/>
      <c r="J2573" s="595"/>
      <c r="K2573" s="533"/>
      <c r="L2573" s="533"/>
      <c r="M2573" s="533"/>
      <c r="N2573" s="268"/>
      <c r="O2573" s="533"/>
      <c r="P2573" s="533"/>
      <c r="Q2573" s="533"/>
      <c r="R2573" s="533"/>
      <c r="S2573" s="533"/>
      <c r="T2573" s="533"/>
      <c r="U2573" s="533"/>
      <c r="V2573" s="533"/>
      <c r="W2573" s="533"/>
      <c r="X2573" s="533"/>
      <c r="Y2573" s="533"/>
    </row>
    <row r="2574" spans="1:25" s="88" customFormat="1" hidden="1" x14ac:dyDescent="0.25">
      <c r="A2574" s="509"/>
      <c r="B2574" s="256"/>
      <c r="C2574" s="228"/>
      <c r="D2574" s="218"/>
      <c r="E2574" s="218"/>
      <c r="F2574" s="218"/>
      <c r="G2574" s="518"/>
      <c r="H2574" s="594"/>
      <c r="I2574" s="595"/>
      <c r="J2574" s="595"/>
      <c r="K2574" s="533"/>
      <c r="L2574" s="533"/>
      <c r="M2574" s="533"/>
      <c r="N2574" s="268"/>
      <c r="O2574" s="533"/>
      <c r="P2574" s="533"/>
      <c r="Q2574" s="533"/>
      <c r="R2574" s="533"/>
      <c r="S2574" s="533"/>
      <c r="T2574" s="533"/>
      <c r="U2574" s="533"/>
      <c r="V2574" s="533"/>
      <c r="W2574" s="533"/>
      <c r="X2574" s="533"/>
      <c r="Y2574" s="533"/>
    </row>
    <row r="2575" spans="1:25" s="88" customFormat="1" hidden="1" x14ac:dyDescent="0.25">
      <c r="A2575" s="509"/>
      <c r="B2575" s="256"/>
      <c r="C2575" s="228"/>
      <c r="D2575" s="218"/>
      <c r="E2575" s="218"/>
      <c r="F2575" s="218"/>
      <c r="G2575" s="518"/>
      <c r="H2575" s="594"/>
      <c r="I2575" s="595"/>
      <c r="J2575" s="595"/>
      <c r="K2575" s="533"/>
      <c r="L2575" s="533"/>
      <c r="M2575" s="533"/>
      <c r="N2575" s="268"/>
      <c r="O2575" s="533"/>
      <c r="P2575" s="533"/>
      <c r="Q2575" s="533"/>
      <c r="R2575" s="533"/>
      <c r="S2575" s="533"/>
      <c r="T2575" s="533"/>
      <c r="U2575" s="533"/>
      <c r="V2575" s="533"/>
      <c r="W2575" s="533"/>
      <c r="X2575" s="533"/>
      <c r="Y2575" s="533"/>
    </row>
    <row r="2576" spans="1:25" s="88" customFormat="1" hidden="1" x14ac:dyDescent="0.25">
      <c r="A2576" s="509"/>
      <c r="B2576" s="256"/>
      <c r="C2576" s="228"/>
      <c r="D2576" s="218"/>
      <c r="E2576" s="218"/>
      <c r="F2576" s="218"/>
      <c r="G2576" s="518"/>
      <c r="H2576" s="594"/>
      <c r="I2576" s="595"/>
      <c r="J2576" s="595"/>
      <c r="K2576" s="533"/>
      <c r="L2576" s="533"/>
      <c r="M2576" s="533"/>
      <c r="N2576" s="268"/>
      <c r="O2576" s="533"/>
      <c r="P2576" s="533"/>
      <c r="Q2576" s="533"/>
      <c r="R2576" s="533"/>
      <c r="S2576" s="533"/>
      <c r="T2576" s="533"/>
      <c r="U2576" s="533"/>
      <c r="V2576" s="533"/>
      <c r="W2576" s="533"/>
      <c r="X2576" s="533"/>
      <c r="Y2576" s="533"/>
    </row>
    <row r="2577" spans="1:25" s="88" customFormat="1" hidden="1" x14ac:dyDescent="0.25">
      <c r="A2577" s="509"/>
      <c r="B2577" s="256"/>
      <c r="C2577" s="228"/>
      <c r="D2577" s="218"/>
      <c r="E2577" s="218"/>
      <c r="F2577" s="218"/>
      <c r="G2577" s="518"/>
      <c r="H2577" s="594"/>
      <c r="I2577" s="595"/>
      <c r="J2577" s="595"/>
      <c r="K2577" s="533"/>
      <c r="L2577" s="533"/>
      <c r="M2577" s="533"/>
      <c r="N2577" s="268"/>
      <c r="O2577" s="533"/>
      <c r="P2577" s="533"/>
      <c r="Q2577" s="533"/>
      <c r="R2577" s="533"/>
      <c r="S2577" s="533"/>
      <c r="T2577" s="533"/>
      <c r="U2577" s="533"/>
      <c r="V2577" s="533"/>
      <c r="W2577" s="533"/>
      <c r="X2577" s="533"/>
      <c r="Y2577" s="533"/>
    </row>
    <row r="2578" spans="1:25" s="88" customFormat="1" hidden="1" x14ac:dyDescent="0.25">
      <c r="A2578" s="509"/>
      <c r="B2578" s="256"/>
      <c r="C2578" s="228"/>
      <c r="D2578" s="218"/>
      <c r="E2578" s="218"/>
      <c r="F2578" s="218"/>
      <c r="G2578" s="518"/>
      <c r="H2578" s="594"/>
      <c r="I2578" s="595"/>
      <c r="J2578" s="595"/>
      <c r="K2578" s="533"/>
      <c r="L2578" s="533"/>
      <c r="M2578" s="533"/>
      <c r="N2578" s="268"/>
      <c r="O2578" s="533"/>
      <c r="P2578" s="533"/>
      <c r="Q2578" s="533"/>
      <c r="R2578" s="533"/>
      <c r="S2578" s="533"/>
      <c r="T2578" s="533"/>
      <c r="U2578" s="533"/>
      <c r="V2578" s="533"/>
      <c r="W2578" s="533"/>
      <c r="X2578" s="533"/>
      <c r="Y2578" s="533"/>
    </row>
    <row r="2579" spans="1:25" s="88" customFormat="1" hidden="1" x14ac:dyDescent="0.25">
      <c r="A2579" s="509"/>
      <c r="B2579" s="256"/>
      <c r="C2579" s="228"/>
      <c r="D2579" s="218"/>
      <c r="E2579" s="218"/>
      <c r="F2579" s="218"/>
      <c r="G2579" s="518"/>
      <c r="H2579" s="594"/>
      <c r="I2579" s="595"/>
      <c r="J2579" s="595"/>
      <c r="K2579" s="533"/>
      <c r="L2579" s="533"/>
      <c r="M2579" s="533"/>
      <c r="N2579" s="268"/>
      <c r="O2579" s="533"/>
      <c r="P2579" s="533"/>
      <c r="Q2579" s="533"/>
      <c r="R2579" s="533"/>
      <c r="S2579" s="533"/>
      <c r="T2579" s="533"/>
      <c r="U2579" s="533"/>
      <c r="V2579" s="533"/>
      <c r="W2579" s="533"/>
      <c r="X2579" s="533"/>
      <c r="Y2579" s="533"/>
    </row>
    <row r="2580" spans="1:25" s="88" customFormat="1" hidden="1" x14ac:dyDescent="0.25">
      <c r="A2580" s="509"/>
      <c r="B2580" s="256"/>
      <c r="C2580" s="228"/>
      <c r="D2580" s="218"/>
      <c r="E2580" s="218"/>
      <c r="F2580" s="218"/>
      <c r="G2580" s="518"/>
      <c r="H2580" s="594"/>
      <c r="I2580" s="595"/>
      <c r="J2580" s="595"/>
      <c r="K2580" s="533"/>
      <c r="L2580" s="533"/>
      <c r="M2580" s="533"/>
      <c r="N2580" s="268"/>
      <c r="O2580" s="533"/>
      <c r="P2580" s="533"/>
      <c r="Q2580" s="533"/>
      <c r="R2580" s="533"/>
      <c r="S2580" s="533"/>
      <c r="T2580" s="533"/>
      <c r="U2580" s="533"/>
      <c r="V2580" s="533"/>
      <c r="W2580" s="533"/>
      <c r="X2580" s="533"/>
      <c r="Y2580" s="533"/>
    </row>
    <row r="2581" spans="1:25" s="88" customFormat="1" hidden="1" x14ac:dyDescent="0.25">
      <c r="A2581" s="509"/>
      <c r="B2581" s="256"/>
      <c r="C2581" s="228"/>
      <c r="D2581" s="218"/>
      <c r="E2581" s="218"/>
      <c r="F2581" s="218"/>
      <c r="G2581" s="518"/>
      <c r="H2581" s="594"/>
      <c r="I2581" s="595"/>
      <c r="J2581" s="595"/>
      <c r="K2581" s="533"/>
      <c r="L2581" s="533"/>
      <c r="M2581" s="533"/>
      <c r="N2581" s="268"/>
      <c r="O2581" s="533"/>
      <c r="P2581" s="533"/>
      <c r="Q2581" s="533"/>
      <c r="R2581" s="533"/>
      <c r="S2581" s="533"/>
      <c r="T2581" s="533"/>
      <c r="U2581" s="533"/>
      <c r="V2581" s="533"/>
      <c r="W2581" s="533"/>
      <c r="X2581" s="533"/>
      <c r="Y2581" s="533"/>
    </row>
    <row r="2582" spans="1:25" s="88" customFormat="1" hidden="1" x14ac:dyDescent="0.25">
      <c r="A2582" s="509"/>
      <c r="B2582" s="256"/>
      <c r="C2582" s="228"/>
      <c r="D2582" s="218"/>
      <c r="E2582" s="218"/>
      <c r="F2582" s="218"/>
      <c r="G2582" s="518"/>
      <c r="H2582" s="594"/>
      <c r="I2582" s="595"/>
      <c r="J2582" s="595"/>
      <c r="K2582" s="533"/>
      <c r="L2582" s="533"/>
      <c r="M2582" s="533"/>
      <c r="N2582" s="268"/>
      <c r="O2582" s="533"/>
      <c r="P2582" s="533"/>
      <c r="Q2582" s="533"/>
      <c r="R2582" s="533"/>
      <c r="S2582" s="533"/>
      <c r="T2582" s="533"/>
      <c r="U2582" s="533"/>
      <c r="V2582" s="533"/>
      <c r="W2582" s="533"/>
      <c r="X2582" s="533"/>
      <c r="Y2582" s="533"/>
    </row>
    <row r="2583" spans="1:25" s="88" customFormat="1" hidden="1" x14ac:dyDescent="0.25">
      <c r="A2583" s="509"/>
      <c r="B2583" s="256"/>
      <c r="C2583" s="228"/>
      <c r="D2583" s="218"/>
      <c r="E2583" s="218"/>
      <c r="F2583" s="218"/>
      <c r="G2583" s="518"/>
      <c r="H2583" s="594"/>
      <c r="I2583" s="595"/>
      <c r="J2583" s="595"/>
      <c r="K2583" s="533"/>
      <c r="L2583" s="533"/>
      <c r="M2583" s="533"/>
      <c r="N2583" s="268"/>
      <c r="O2583" s="533"/>
      <c r="P2583" s="533"/>
      <c r="Q2583" s="533"/>
      <c r="R2583" s="533"/>
      <c r="S2583" s="533"/>
      <c r="T2583" s="533"/>
      <c r="U2583" s="533"/>
      <c r="V2583" s="533"/>
      <c r="W2583" s="533"/>
      <c r="X2583" s="533"/>
      <c r="Y2583" s="533"/>
    </row>
    <row r="2584" spans="1:25" s="88" customFormat="1" hidden="1" x14ac:dyDescent="0.25">
      <c r="A2584" s="509"/>
      <c r="B2584" s="256"/>
      <c r="C2584" s="228"/>
      <c r="D2584" s="218"/>
      <c r="E2584" s="218"/>
      <c r="F2584" s="218"/>
      <c r="G2584" s="518"/>
      <c r="H2584" s="594"/>
      <c r="I2584" s="595"/>
      <c r="J2584" s="595"/>
      <c r="K2584" s="533"/>
      <c r="L2584" s="533"/>
      <c r="M2584" s="533"/>
      <c r="N2584" s="268"/>
      <c r="O2584" s="533"/>
      <c r="P2584" s="533"/>
      <c r="Q2584" s="533"/>
      <c r="R2584" s="533"/>
      <c r="S2584" s="533"/>
      <c r="T2584" s="533"/>
      <c r="U2584" s="533"/>
      <c r="V2584" s="533"/>
      <c r="W2584" s="533"/>
      <c r="X2584" s="533"/>
      <c r="Y2584" s="533"/>
    </row>
    <row r="2585" spans="1:25" s="88" customFormat="1" hidden="1" x14ac:dyDescent="0.25">
      <c r="A2585" s="509"/>
      <c r="B2585" s="256"/>
      <c r="C2585" s="228"/>
      <c r="D2585" s="218"/>
      <c r="E2585" s="218"/>
      <c r="F2585" s="218"/>
      <c r="G2585" s="518"/>
      <c r="H2585" s="594"/>
      <c r="I2585" s="595"/>
      <c r="J2585" s="595"/>
      <c r="K2585" s="533"/>
      <c r="L2585" s="533"/>
      <c r="M2585" s="533"/>
      <c r="N2585" s="268"/>
      <c r="O2585" s="533"/>
      <c r="P2585" s="533"/>
      <c r="Q2585" s="533"/>
      <c r="R2585" s="533"/>
      <c r="S2585" s="533"/>
      <c r="T2585" s="533"/>
      <c r="U2585" s="533"/>
      <c r="V2585" s="533"/>
      <c r="W2585" s="533"/>
      <c r="X2585" s="533"/>
      <c r="Y2585" s="533"/>
    </row>
    <row r="2586" spans="1:25" s="88" customFormat="1" hidden="1" x14ac:dyDescent="0.25">
      <c r="A2586" s="509"/>
      <c r="B2586" s="256"/>
      <c r="C2586" s="228"/>
      <c r="D2586" s="218"/>
      <c r="E2586" s="218"/>
      <c r="F2586" s="218"/>
      <c r="G2586" s="518"/>
      <c r="H2586" s="594"/>
      <c r="I2586" s="595"/>
      <c r="J2586" s="595"/>
      <c r="K2586" s="533"/>
      <c r="L2586" s="533"/>
      <c r="M2586" s="533"/>
      <c r="N2586" s="268"/>
      <c r="O2586" s="533"/>
      <c r="P2586" s="533"/>
      <c r="Q2586" s="533"/>
      <c r="R2586" s="533"/>
      <c r="S2586" s="533"/>
      <c r="T2586" s="533"/>
      <c r="U2586" s="533"/>
      <c r="V2586" s="533"/>
      <c r="W2586" s="533"/>
      <c r="X2586" s="533"/>
      <c r="Y2586" s="533"/>
    </row>
    <row r="2587" spans="1:25" s="88" customFormat="1" hidden="1" x14ac:dyDescent="0.25">
      <c r="A2587" s="509"/>
      <c r="B2587" s="256"/>
      <c r="C2587" s="228"/>
      <c r="D2587" s="218"/>
      <c r="E2587" s="218"/>
      <c r="F2587" s="218"/>
      <c r="G2587" s="518"/>
      <c r="H2587" s="594"/>
      <c r="I2587" s="595"/>
      <c r="J2587" s="595"/>
      <c r="K2587" s="533"/>
      <c r="L2587" s="533"/>
      <c r="M2587" s="533"/>
      <c r="N2587" s="268"/>
      <c r="O2587" s="533"/>
      <c r="P2587" s="533"/>
      <c r="Q2587" s="533"/>
      <c r="R2587" s="533"/>
      <c r="S2587" s="533"/>
      <c r="T2587" s="533"/>
      <c r="U2587" s="533"/>
      <c r="V2587" s="533"/>
      <c r="W2587" s="533"/>
      <c r="X2587" s="533"/>
      <c r="Y2587" s="533"/>
    </row>
    <row r="2588" spans="1:25" s="88" customFormat="1" hidden="1" x14ac:dyDescent="0.25">
      <c r="A2588" s="509"/>
      <c r="B2588" s="256"/>
      <c r="C2588" s="228"/>
      <c r="D2588" s="218"/>
      <c r="E2588" s="218"/>
      <c r="F2588" s="218"/>
      <c r="G2588" s="518"/>
      <c r="H2588" s="594"/>
      <c r="I2588" s="595"/>
      <c r="J2588" s="595"/>
      <c r="K2588" s="533"/>
      <c r="L2588" s="533"/>
      <c r="M2588" s="533"/>
      <c r="N2588" s="268"/>
      <c r="O2588" s="533"/>
      <c r="P2588" s="533"/>
      <c r="Q2588" s="533"/>
      <c r="R2588" s="533"/>
      <c r="S2588" s="533"/>
      <c r="T2588" s="533"/>
      <c r="U2588" s="533"/>
      <c r="V2588" s="533"/>
      <c r="W2588" s="533"/>
      <c r="X2588" s="533"/>
      <c r="Y2588" s="533"/>
    </row>
    <row r="2589" spans="1:25" s="88" customFormat="1" hidden="1" x14ac:dyDescent="0.25">
      <c r="A2589" s="509"/>
      <c r="B2589" s="256"/>
      <c r="C2589" s="228"/>
      <c r="D2589" s="218"/>
      <c r="E2589" s="218"/>
      <c r="F2589" s="218"/>
      <c r="G2589" s="518"/>
      <c r="H2589" s="594"/>
      <c r="I2589" s="595"/>
      <c r="J2589" s="595"/>
      <c r="K2589" s="533"/>
      <c r="L2589" s="533"/>
      <c r="M2589" s="533"/>
      <c r="N2589" s="268"/>
      <c r="O2589" s="533"/>
      <c r="P2589" s="533"/>
      <c r="Q2589" s="533"/>
      <c r="R2589" s="533"/>
      <c r="S2589" s="533"/>
      <c r="T2589" s="533"/>
      <c r="U2589" s="533"/>
      <c r="V2589" s="533"/>
      <c r="W2589" s="533"/>
      <c r="X2589" s="533"/>
      <c r="Y2589" s="533"/>
    </row>
    <row r="2590" spans="1:25" s="88" customFormat="1" hidden="1" x14ac:dyDescent="0.25">
      <c r="A2590" s="509"/>
      <c r="B2590" s="256"/>
      <c r="C2590" s="228"/>
      <c r="D2590" s="218"/>
      <c r="E2590" s="218"/>
      <c r="F2590" s="218"/>
      <c r="G2590" s="518"/>
      <c r="H2590" s="594"/>
      <c r="I2590" s="595"/>
      <c r="J2590" s="595"/>
      <c r="K2590" s="533"/>
      <c r="L2590" s="533"/>
      <c r="M2590" s="533"/>
      <c r="N2590" s="268"/>
      <c r="O2590" s="533"/>
      <c r="P2590" s="533"/>
      <c r="Q2590" s="533"/>
      <c r="R2590" s="533"/>
      <c r="S2590" s="533"/>
      <c r="T2590" s="533"/>
      <c r="U2590" s="533"/>
      <c r="V2590" s="533"/>
      <c r="W2590" s="533"/>
      <c r="X2590" s="533"/>
      <c r="Y2590" s="533"/>
    </row>
    <row r="2591" spans="1:25" s="88" customFormat="1" hidden="1" x14ac:dyDescent="0.25">
      <c r="A2591" s="509"/>
      <c r="B2591" s="256"/>
      <c r="C2591" s="228"/>
      <c r="D2591" s="218"/>
      <c r="E2591" s="218"/>
      <c r="F2591" s="218"/>
      <c r="G2591" s="518"/>
      <c r="H2591" s="594"/>
      <c r="I2591" s="595"/>
      <c r="J2591" s="595"/>
      <c r="K2591" s="533"/>
      <c r="L2591" s="533"/>
      <c r="M2591" s="533"/>
      <c r="N2591" s="268"/>
      <c r="O2591" s="533"/>
      <c r="P2591" s="533"/>
      <c r="Q2591" s="533"/>
      <c r="R2591" s="533"/>
      <c r="S2591" s="533"/>
      <c r="T2591" s="533"/>
      <c r="U2591" s="533"/>
      <c r="V2591" s="533"/>
      <c r="W2591" s="533"/>
      <c r="X2591" s="533"/>
      <c r="Y2591" s="533"/>
    </row>
    <row r="2592" spans="1:25" s="88" customFormat="1" hidden="1" x14ac:dyDescent="0.25">
      <c r="A2592" s="509"/>
      <c r="B2592" s="256"/>
      <c r="C2592" s="228"/>
      <c r="D2592" s="218"/>
      <c r="E2592" s="218"/>
      <c r="F2592" s="218"/>
      <c r="G2592" s="518"/>
      <c r="H2592" s="594"/>
      <c r="I2592" s="595"/>
      <c r="J2592" s="595"/>
      <c r="K2592" s="533"/>
      <c r="L2592" s="533"/>
      <c r="M2592" s="533"/>
      <c r="N2592" s="268"/>
      <c r="O2592" s="533"/>
      <c r="P2592" s="533"/>
      <c r="Q2592" s="533"/>
      <c r="R2592" s="533"/>
      <c r="S2592" s="533"/>
      <c r="T2592" s="533"/>
      <c r="U2592" s="533"/>
      <c r="V2592" s="533"/>
      <c r="W2592" s="533"/>
      <c r="X2592" s="533"/>
      <c r="Y2592" s="533"/>
    </row>
    <row r="2593" spans="1:25" s="88" customFormat="1" hidden="1" x14ac:dyDescent="0.25">
      <c r="A2593" s="509"/>
      <c r="B2593" s="256"/>
      <c r="C2593" s="228"/>
      <c r="D2593" s="218"/>
      <c r="E2593" s="218"/>
      <c r="F2593" s="218"/>
      <c r="G2593" s="518"/>
      <c r="H2593" s="594"/>
      <c r="I2593" s="595"/>
      <c r="J2593" s="595"/>
      <c r="K2593" s="533"/>
      <c r="L2593" s="533"/>
      <c r="M2593" s="533"/>
      <c r="N2593" s="268"/>
      <c r="O2593" s="533"/>
      <c r="P2593" s="533"/>
      <c r="Q2593" s="533"/>
      <c r="R2593" s="533"/>
      <c r="S2593" s="533"/>
      <c r="T2593" s="533"/>
      <c r="U2593" s="533"/>
      <c r="V2593" s="533"/>
      <c r="W2593" s="533"/>
      <c r="X2593" s="533"/>
      <c r="Y2593" s="533"/>
    </row>
    <row r="2594" spans="1:25" s="88" customFormat="1" hidden="1" x14ac:dyDescent="0.25">
      <c r="A2594" s="509"/>
      <c r="B2594" s="256"/>
      <c r="C2594" s="228"/>
      <c r="D2594" s="218"/>
      <c r="E2594" s="218"/>
      <c r="F2594" s="218"/>
      <c r="G2594" s="518"/>
      <c r="H2594" s="594"/>
      <c r="I2594" s="595"/>
      <c r="J2594" s="595"/>
      <c r="K2594" s="533"/>
      <c r="L2594" s="533"/>
      <c r="M2594" s="533"/>
      <c r="N2594" s="268"/>
      <c r="O2594" s="533"/>
      <c r="P2594" s="533"/>
      <c r="Q2594" s="533"/>
      <c r="R2594" s="533"/>
      <c r="S2594" s="533"/>
      <c r="T2594" s="533"/>
      <c r="U2594" s="533"/>
      <c r="V2594" s="533"/>
      <c r="W2594" s="533"/>
      <c r="X2594" s="533"/>
      <c r="Y2594" s="533"/>
    </row>
    <row r="2595" spans="1:25" s="88" customFormat="1" hidden="1" x14ac:dyDescent="0.25">
      <c r="A2595" s="509"/>
      <c r="B2595" s="256"/>
      <c r="C2595" s="228"/>
      <c r="D2595" s="218"/>
      <c r="E2595" s="218"/>
      <c r="F2595" s="218"/>
      <c r="G2595" s="518"/>
      <c r="H2595" s="594"/>
      <c r="I2595" s="595"/>
      <c r="J2595" s="595"/>
      <c r="K2595" s="533"/>
      <c r="L2595" s="533"/>
      <c r="M2595" s="533"/>
      <c r="N2595" s="268"/>
      <c r="O2595" s="533"/>
      <c r="P2595" s="533"/>
      <c r="Q2595" s="533"/>
      <c r="R2595" s="533"/>
      <c r="S2595" s="533"/>
      <c r="T2595" s="533"/>
      <c r="U2595" s="533"/>
      <c r="V2595" s="533"/>
      <c r="W2595" s="533"/>
      <c r="X2595" s="533"/>
      <c r="Y2595" s="533"/>
    </row>
    <row r="2596" spans="1:25" s="88" customFormat="1" hidden="1" x14ac:dyDescent="0.25">
      <c r="A2596" s="509"/>
      <c r="B2596" s="256"/>
      <c r="C2596" s="228"/>
      <c r="D2596" s="218"/>
      <c r="E2596" s="218"/>
      <c r="F2596" s="218"/>
      <c r="G2596" s="518"/>
      <c r="H2596" s="594"/>
      <c r="I2596" s="595"/>
      <c r="J2596" s="595"/>
      <c r="K2596" s="533"/>
      <c r="L2596" s="533"/>
      <c r="M2596" s="533"/>
      <c r="N2596" s="268"/>
      <c r="O2596" s="533"/>
      <c r="P2596" s="533"/>
      <c r="Q2596" s="533"/>
      <c r="R2596" s="533"/>
      <c r="S2596" s="533"/>
      <c r="T2596" s="533"/>
      <c r="U2596" s="533"/>
      <c r="V2596" s="533"/>
      <c r="W2596" s="533"/>
      <c r="X2596" s="533"/>
      <c r="Y2596" s="533"/>
    </row>
    <row r="2597" spans="1:25" s="88" customFormat="1" hidden="1" x14ac:dyDescent="0.25">
      <c r="A2597" s="509"/>
      <c r="B2597" s="256"/>
      <c r="C2597" s="228"/>
      <c r="D2597" s="218"/>
      <c r="E2597" s="218"/>
      <c r="F2597" s="218"/>
      <c r="G2597" s="518"/>
      <c r="H2597" s="594"/>
      <c r="I2597" s="595"/>
      <c r="J2597" s="595"/>
      <c r="K2597" s="533"/>
      <c r="L2597" s="533"/>
      <c r="M2597" s="533"/>
      <c r="N2597" s="268"/>
      <c r="O2597" s="533"/>
      <c r="P2597" s="533"/>
      <c r="Q2597" s="533"/>
      <c r="R2597" s="533"/>
      <c r="S2597" s="533"/>
      <c r="T2597" s="533"/>
      <c r="U2597" s="533"/>
      <c r="V2597" s="533"/>
      <c r="W2597" s="533"/>
      <c r="X2597" s="533"/>
      <c r="Y2597" s="533"/>
    </row>
    <row r="2598" spans="1:25" s="88" customFormat="1" hidden="1" x14ac:dyDescent="0.25">
      <c r="A2598" s="509"/>
      <c r="B2598" s="256"/>
      <c r="C2598" s="228"/>
      <c r="D2598" s="218"/>
      <c r="E2598" s="218"/>
      <c r="F2598" s="218"/>
      <c r="G2598" s="518"/>
      <c r="H2598" s="594"/>
      <c r="I2598" s="595"/>
      <c r="J2598" s="595"/>
      <c r="K2598" s="533"/>
      <c r="L2598" s="533"/>
      <c r="M2598" s="533"/>
      <c r="N2598" s="268"/>
      <c r="O2598" s="533"/>
      <c r="P2598" s="533"/>
      <c r="Q2598" s="533"/>
      <c r="R2598" s="533"/>
      <c r="S2598" s="533"/>
      <c r="T2598" s="533"/>
      <c r="U2598" s="533"/>
      <c r="V2598" s="533"/>
      <c r="W2598" s="533"/>
      <c r="X2598" s="533"/>
      <c r="Y2598" s="533"/>
    </row>
    <row r="2599" spans="1:25" s="88" customFormat="1" hidden="1" x14ac:dyDescent="0.25">
      <c r="A2599" s="509"/>
      <c r="B2599" s="256"/>
      <c r="C2599" s="228"/>
      <c r="D2599" s="218"/>
      <c r="E2599" s="218"/>
      <c r="F2599" s="218"/>
      <c r="G2599" s="518"/>
      <c r="H2599" s="594"/>
      <c r="I2599" s="595"/>
      <c r="J2599" s="595"/>
      <c r="K2599" s="533"/>
      <c r="L2599" s="533"/>
      <c r="M2599" s="533"/>
      <c r="N2599" s="268"/>
      <c r="O2599" s="533"/>
      <c r="P2599" s="533"/>
      <c r="Q2599" s="533"/>
      <c r="R2599" s="533"/>
      <c r="S2599" s="533"/>
      <c r="T2599" s="533"/>
      <c r="U2599" s="533"/>
      <c r="V2599" s="533"/>
      <c r="W2599" s="533"/>
      <c r="X2599" s="533"/>
      <c r="Y2599" s="533"/>
    </row>
    <row r="2600" spans="1:25" s="88" customFormat="1" hidden="1" x14ac:dyDescent="0.25">
      <c r="A2600" s="509"/>
      <c r="B2600" s="256"/>
      <c r="C2600" s="228"/>
      <c r="D2600" s="218"/>
      <c r="E2600" s="218"/>
      <c r="F2600" s="218"/>
      <c r="G2600" s="518"/>
      <c r="H2600" s="594"/>
      <c r="I2600" s="595"/>
      <c r="J2600" s="595"/>
      <c r="K2600" s="533"/>
      <c r="L2600" s="533"/>
      <c r="M2600" s="533"/>
      <c r="N2600" s="268"/>
      <c r="O2600" s="533"/>
      <c r="P2600" s="533"/>
      <c r="Q2600" s="533"/>
      <c r="R2600" s="533"/>
      <c r="S2600" s="533"/>
      <c r="T2600" s="533"/>
      <c r="U2600" s="533"/>
      <c r="V2600" s="533"/>
      <c r="W2600" s="533"/>
      <c r="X2600" s="533"/>
      <c r="Y2600" s="533"/>
    </row>
    <row r="2601" spans="1:25" s="88" customFormat="1" ht="19.5" hidden="1" customHeight="1" x14ac:dyDescent="0.25">
      <c r="A2601" s="509"/>
      <c r="B2601" s="256"/>
      <c r="C2601" s="228"/>
      <c r="D2601" s="218"/>
      <c r="E2601" s="218"/>
      <c r="F2601" s="218"/>
      <c r="G2601" s="518"/>
      <c r="H2601" s="594"/>
      <c r="I2601" s="595"/>
      <c r="J2601" s="595"/>
      <c r="K2601" s="533"/>
      <c r="L2601" s="533"/>
      <c r="M2601" s="533"/>
      <c r="N2601" s="268"/>
      <c r="O2601" s="533"/>
      <c r="P2601" s="533"/>
      <c r="Q2601" s="533"/>
      <c r="R2601" s="533"/>
      <c r="S2601" s="533"/>
      <c r="T2601" s="533"/>
      <c r="U2601" s="533"/>
      <c r="V2601" s="533"/>
      <c r="W2601" s="533"/>
      <c r="X2601" s="533"/>
      <c r="Y2601" s="533"/>
    </row>
    <row r="2602" spans="1:25" s="88" customFormat="1" hidden="1" x14ac:dyDescent="0.25">
      <c r="A2602" s="509"/>
      <c r="B2602" s="256"/>
      <c r="C2602" s="228"/>
      <c r="D2602" s="218"/>
      <c r="E2602" s="218"/>
      <c r="F2602" s="218"/>
      <c r="G2602" s="518"/>
      <c r="H2602" s="594"/>
      <c r="I2602" s="595"/>
      <c r="J2602" s="595"/>
      <c r="K2602" s="533"/>
      <c r="L2602" s="533"/>
      <c r="M2602" s="533"/>
      <c r="N2602" s="268"/>
      <c r="O2602" s="533"/>
      <c r="P2602" s="533"/>
      <c r="Q2602" s="533"/>
      <c r="R2602" s="533"/>
      <c r="S2602" s="533"/>
      <c r="T2602" s="533"/>
      <c r="U2602" s="533"/>
      <c r="V2602" s="533"/>
      <c r="W2602" s="533"/>
      <c r="X2602" s="533"/>
      <c r="Y2602" s="533"/>
    </row>
    <row r="2603" spans="1:25" s="88" customFormat="1" hidden="1" x14ac:dyDescent="0.25">
      <c r="A2603" s="509"/>
      <c r="B2603" s="256"/>
      <c r="C2603" s="228"/>
      <c r="D2603" s="218"/>
      <c r="E2603" s="218"/>
      <c r="F2603" s="218"/>
      <c r="G2603" s="518"/>
      <c r="H2603" s="594"/>
      <c r="I2603" s="595"/>
      <c r="J2603" s="595"/>
      <c r="K2603" s="533"/>
      <c r="L2603" s="533"/>
      <c r="M2603" s="533"/>
      <c r="N2603" s="268"/>
      <c r="O2603" s="533"/>
      <c r="P2603" s="533"/>
      <c r="Q2603" s="533"/>
      <c r="R2603" s="533"/>
      <c r="S2603" s="533"/>
      <c r="T2603" s="533"/>
      <c r="U2603" s="533"/>
      <c r="V2603" s="533"/>
      <c r="W2603" s="533"/>
      <c r="X2603" s="533"/>
      <c r="Y2603" s="533"/>
    </row>
    <row r="2604" spans="1:25" s="88" customFormat="1" x14ac:dyDescent="0.25">
      <c r="A2604" s="509"/>
      <c r="B2604" s="256"/>
      <c r="C2604" s="228"/>
      <c r="D2604" s="218"/>
      <c r="E2604" s="218"/>
      <c r="F2604" s="218"/>
      <c r="G2604" s="518"/>
      <c r="H2604" s="594"/>
      <c r="I2604" s="595"/>
      <c r="J2604" s="595"/>
      <c r="K2604" s="533"/>
      <c r="L2604" s="533"/>
      <c r="M2604" s="533"/>
      <c r="N2604" s="268"/>
      <c r="O2604" s="533"/>
      <c r="P2604" s="533"/>
      <c r="Q2604" s="533"/>
      <c r="R2604" s="533"/>
      <c r="S2604" s="533"/>
      <c r="T2604" s="533"/>
      <c r="U2604" s="533"/>
      <c r="V2604" s="533"/>
      <c r="W2604" s="533"/>
      <c r="X2604" s="533"/>
      <c r="Y2604" s="533"/>
    </row>
    <row r="2605" spans="1:25" s="88" customFormat="1" ht="28.5" x14ac:dyDescent="0.25">
      <c r="A2605" s="509"/>
      <c r="B2605" s="256"/>
      <c r="C2605" s="323" t="s">
        <v>4663</v>
      </c>
      <c r="D2605" s="285"/>
      <c r="E2605" s="285"/>
      <c r="F2605" s="222"/>
      <c r="G2605" s="286" t="s">
        <v>5243</v>
      </c>
      <c r="H2605" s="594"/>
      <c r="I2605" s="595"/>
      <c r="J2605" s="595"/>
      <c r="K2605" s="533"/>
      <c r="L2605" s="533"/>
      <c r="M2605" s="533"/>
      <c r="N2605" s="268"/>
      <c r="O2605" s="533"/>
      <c r="P2605" s="533"/>
      <c r="Q2605" s="533"/>
      <c r="R2605" s="533"/>
      <c r="S2605" s="533"/>
      <c r="T2605" s="533"/>
      <c r="U2605" s="533"/>
      <c r="V2605" s="533"/>
      <c r="W2605" s="533"/>
      <c r="X2605" s="533"/>
      <c r="Y2605" s="533"/>
    </row>
    <row r="2606" spans="1:25" s="88" customFormat="1" x14ac:dyDescent="0.25">
      <c r="A2606" s="509"/>
      <c r="B2606" s="256"/>
      <c r="C2606" s="228"/>
      <c r="D2606" s="312">
        <v>620</v>
      </c>
      <c r="E2606" s="312"/>
      <c r="F2606" s="312"/>
      <c r="G2606" s="314" t="s">
        <v>182</v>
      </c>
      <c r="H2606" s="594"/>
      <c r="I2606" s="595"/>
      <c r="J2606" s="595"/>
      <c r="K2606" s="533"/>
      <c r="L2606" s="533"/>
      <c r="M2606" s="533"/>
      <c r="N2606" s="268"/>
      <c r="O2606" s="533"/>
      <c r="P2606" s="533"/>
      <c r="Q2606" s="533"/>
      <c r="R2606" s="533"/>
      <c r="S2606" s="533"/>
      <c r="T2606" s="533"/>
      <c r="U2606" s="533"/>
      <c r="V2606" s="533"/>
      <c r="W2606" s="533"/>
      <c r="X2606" s="533"/>
      <c r="Y2606" s="533"/>
    </row>
    <row r="2607" spans="1:25" s="88" customFormat="1" hidden="1" x14ac:dyDescent="0.25">
      <c r="A2607" s="509"/>
      <c r="B2607" s="256"/>
      <c r="C2607" s="221"/>
      <c r="D2607" s="218"/>
      <c r="E2607" s="218"/>
      <c r="F2607" s="527">
        <v>411</v>
      </c>
      <c r="G2607" s="520" t="s">
        <v>4189</v>
      </c>
      <c r="H2607" s="594"/>
      <c r="I2607" s="595"/>
      <c r="J2607" s="595">
        <f>SUM(H2607:I2607)</f>
        <v>0</v>
      </c>
      <c r="K2607" s="533"/>
      <c r="L2607" s="533"/>
      <c r="M2607" s="533"/>
      <c r="N2607" s="268"/>
      <c r="O2607" s="533"/>
      <c r="P2607" s="533"/>
      <c r="Q2607" s="533"/>
      <c r="R2607" s="533"/>
      <c r="S2607" s="533"/>
      <c r="T2607" s="533"/>
      <c r="U2607" s="533"/>
      <c r="V2607" s="533"/>
      <c r="W2607" s="533"/>
      <c r="X2607" s="533"/>
      <c r="Y2607" s="533"/>
    </row>
    <row r="2608" spans="1:25" s="88" customFormat="1" hidden="1" x14ac:dyDescent="0.25">
      <c r="A2608" s="509"/>
      <c r="B2608" s="256"/>
      <c r="C2608" s="221"/>
      <c r="D2608" s="218"/>
      <c r="E2608" s="218"/>
      <c r="F2608" s="527">
        <v>412</v>
      </c>
      <c r="G2608" s="516" t="s">
        <v>3784</v>
      </c>
      <c r="H2608" s="594"/>
      <c r="I2608" s="595"/>
      <c r="J2608" s="595">
        <f t="shared" ref="J2608:J2666" si="84">SUM(H2608:I2608)</f>
        <v>0</v>
      </c>
      <c r="K2608" s="533"/>
      <c r="L2608" s="533"/>
      <c r="M2608" s="533"/>
      <c r="N2608" s="268"/>
      <c r="O2608" s="533"/>
      <c r="P2608" s="533"/>
      <c r="Q2608" s="533"/>
      <c r="R2608" s="533"/>
      <c r="S2608" s="533"/>
      <c r="T2608" s="533"/>
      <c r="U2608" s="533"/>
      <c r="V2608" s="533"/>
      <c r="W2608" s="533"/>
      <c r="X2608" s="533"/>
      <c r="Y2608" s="533"/>
    </row>
    <row r="2609" spans="1:25" s="88" customFormat="1" hidden="1" x14ac:dyDescent="0.25">
      <c r="A2609" s="509"/>
      <c r="B2609" s="256"/>
      <c r="C2609" s="221"/>
      <c r="D2609" s="218"/>
      <c r="E2609" s="218"/>
      <c r="F2609" s="527">
        <v>413</v>
      </c>
      <c r="G2609" s="520" t="s">
        <v>4190</v>
      </c>
      <c r="H2609" s="594"/>
      <c r="I2609" s="595"/>
      <c r="J2609" s="595">
        <f t="shared" si="84"/>
        <v>0</v>
      </c>
      <c r="K2609" s="533"/>
      <c r="L2609" s="533"/>
      <c r="M2609" s="533"/>
      <c r="N2609" s="268"/>
      <c r="O2609" s="533"/>
      <c r="P2609" s="533"/>
      <c r="Q2609" s="533"/>
      <c r="R2609" s="533"/>
      <c r="S2609" s="533"/>
      <c r="T2609" s="533"/>
      <c r="U2609" s="533"/>
      <c r="V2609" s="533"/>
      <c r="W2609" s="533"/>
      <c r="X2609" s="533"/>
      <c r="Y2609" s="533"/>
    </row>
    <row r="2610" spans="1:25" s="88" customFormat="1" hidden="1" x14ac:dyDescent="0.25">
      <c r="A2610" s="509"/>
      <c r="B2610" s="256"/>
      <c r="C2610" s="221"/>
      <c r="D2610" s="218"/>
      <c r="E2610" s="218"/>
      <c r="F2610" s="527">
        <v>414</v>
      </c>
      <c r="G2610" s="520" t="s">
        <v>3787</v>
      </c>
      <c r="H2610" s="594"/>
      <c r="I2610" s="595"/>
      <c r="J2610" s="595">
        <f t="shared" si="84"/>
        <v>0</v>
      </c>
      <c r="K2610" s="533"/>
      <c r="L2610" s="533"/>
      <c r="M2610" s="533"/>
      <c r="N2610" s="268"/>
      <c r="O2610" s="533"/>
      <c r="P2610" s="533"/>
      <c r="Q2610" s="533"/>
      <c r="R2610" s="533"/>
      <c r="S2610" s="533"/>
      <c r="T2610" s="533"/>
      <c r="U2610" s="533"/>
      <c r="V2610" s="533"/>
      <c r="W2610" s="533"/>
      <c r="X2610" s="533"/>
      <c r="Y2610" s="533"/>
    </row>
    <row r="2611" spans="1:25" s="88" customFormat="1" hidden="1" x14ac:dyDescent="0.25">
      <c r="A2611" s="509"/>
      <c r="B2611" s="256"/>
      <c r="C2611" s="221"/>
      <c r="D2611" s="218"/>
      <c r="E2611" s="218"/>
      <c r="F2611" s="527">
        <v>415</v>
      </c>
      <c r="G2611" s="520" t="s">
        <v>4199</v>
      </c>
      <c r="H2611" s="594"/>
      <c r="I2611" s="595"/>
      <c r="J2611" s="595">
        <f t="shared" si="84"/>
        <v>0</v>
      </c>
      <c r="K2611" s="533"/>
      <c r="L2611" s="533"/>
      <c r="M2611" s="533"/>
      <c r="N2611" s="268"/>
      <c r="O2611" s="533"/>
      <c r="P2611" s="533"/>
      <c r="Q2611" s="533"/>
      <c r="R2611" s="533"/>
      <c r="S2611" s="533"/>
      <c r="T2611" s="533"/>
      <c r="U2611" s="533"/>
      <c r="V2611" s="533"/>
      <c r="W2611" s="533"/>
      <c r="X2611" s="533"/>
      <c r="Y2611" s="533"/>
    </row>
    <row r="2612" spans="1:25" s="88" customFormat="1" hidden="1" x14ac:dyDescent="0.25">
      <c r="A2612" s="509"/>
      <c r="B2612" s="256"/>
      <c r="C2612" s="221"/>
      <c r="D2612" s="218"/>
      <c r="E2612" s="218"/>
      <c r="F2612" s="527">
        <v>416</v>
      </c>
      <c r="G2612" s="520" t="s">
        <v>4200</v>
      </c>
      <c r="H2612" s="594"/>
      <c r="I2612" s="595"/>
      <c r="J2612" s="595">
        <f t="shared" si="84"/>
        <v>0</v>
      </c>
      <c r="K2612" s="533"/>
      <c r="L2612" s="533"/>
      <c r="M2612" s="533"/>
      <c r="N2612" s="268"/>
      <c r="O2612" s="533"/>
      <c r="P2612" s="533"/>
      <c r="Q2612" s="533"/>
      <c r="R2612" s="533"/>
      <c r="S2612" s="533"/>
      <c r="T2612" s="533"/>
      <c r="U2612" s="533"/>
      <c r="V2612" s="533"/>
      <c r="W2612" s="533"/>
      <c r="X2612" s="533"/>
      <c r="Y2612" s="533"/>
    </row>
    <row r="2613" spans="1:25" s="88" customFormat="1" hidden="1" x14ac:dyDescent="0.25">
      <c r="A2613" s="509"/>
      <c r="B2613" s="256"/>
      <c r="C2613" s="221"/>
      <c r="D2613" s="218"/>
      <c r="E2613" s="218"/>
      <c r="F2613" s="527">
        <v>417</v>
      </c>
      <c r="G2613" s="520" t="s">
        <v>4201</v>
      </c>
      <c r="H2613" s="594"/>
      <c r="I2613" s="595"/>
      <c r="J2613" s="595">
        <f t="shared" si="84"/>
        <v>0</v>
      </c>
      <c r="K2613" s="533"/>
      <c r="L2613" s="533"/>
      <c r="M2613" s="533"/>
      <c r="N2613" s="268"/>
      <c r="O2613" s="533"/>
      <c r="P2613" s="533"/>
      <c r="Q2613" s="533"/>
      <c r="R2613" s="533"/>
      <c r="S2613" s="533"/>
      <c r="T2613" s="533"/>
      <c r="U2613" s="533"/>
      <c r="V2613" s="533"/>
      <c r="W2613" s="533"/>
      <c r="X2613" s="533"/>
      <c r="Y2613" s="533"/>
    </row>
    <row r="2614" spans="1:25" s="88" customFormat="1" hidden="1" x14ac:dyDescent="0.25">
      <c r="A2614" s="509"/>
      <c r="B2614" s="256"/>
      <c r="C2614" s="221"/>
      <c r="D2614" s="218"/>
      <c r="E2614" s="218"/>
      <c r="F2614" s="527">
        <v>418</v>
      </c>
      <c r="G2614" s="520" t="s">
        <v>3793</v>
      </c>
      <c r="H2614" s="594"/>
      <c r="I2614" s="595"/>
      <c r="J2614" s="595">
        <f t="shared" si="84"/>
        <v>0</v>
      </c>
      <c r="K2614" s="533"/>
      <c r="L2614" s="533"/>
      <c r="M2614" s="533"/>
      <c r="N2614" s="268"/>
      <c r="O2614" s="533"/>
      <c r="P2614" s="533"/>
      <c r="Q2614" s="533"/>
      <c r="R2614" s="533"/>
      <c r="S2614" s="533"/>
      <c r="T2614" s="533"/>
      <c r="U2614" s="533"/>
      <c r="V2614" s="533"/>
      <c r="W2614" s="533"/>
      <c r="X2614" s="533"/>
      <c r="Y2614" s="533"/>
    </row>
    <row r="2615" spans="1:25" s="88" customFormat="1" hidden="1" x14ac:dyDescent="0.25">
      <c r="A2615" s="509"/>
      <c r="B2615" s="256"/>
      <c r="C2615" s="221"/>
      <c r="D2615" s="218"/>
      <c r="E2615" s="218"/>
      <c r="F2615" s="527">
        <v>421</v>
      </c>
      <c r="G2615" s="520" t="s">
        <v>3797</v>
      </c>
      <c r="H2615" s="594"/>
      <c r="I2615" s="595"/>
      <c r="J2615" s="595">
        <f t="shared" si="84"/>
        <v>0</v>
      </c>
      <c r="K2615" s="533"/>
      <c r="L2615" s="533"/>
      <c r="M2615" s="533"/>
      <c r="N2615" s="268"/>
      <c r="O2615" s="533"/>
      <c r="P2615" s="533"/>
      <c r="Q2615" s="533"/>
      <c r="R2615" s="533"/>
      <c r="S2615" s="533"/>
      <c r="T2615" s="533"/>
      <c r="U2615" s="533"/>
      <c r="V2615" s="533"/>
      <c r="W2615" s="533"/>
      <c r="X2615" s="533"/>
      <c r="Y2615" s="533"/>
    </row>
    <row r="2616" spans="1:25" s="88" customFormat="1" hidden="1" x14ac:dyDescent="0.25">
      <c r="A2616" s="509"/>
      <c r="B2616" s="256"/>
      <c r="C2616" s="221"/>
      <c r="D2616" s="218"/>
      <c r="E2616" s="218"/>
      <c r="F2616" s="527">
        <v>422</v>
      </c>
      <c r="G2616" s="520" t="s">
        <v>3798</v>
      </c>
      <c r="H2616" s="594"/>
      <c r="I2616" s="595"/>
      <c r="J2616" s="595">
        <f t="shared" si="84"/>
        <v>0</v>
      </c>
      <c r="K2616" s="533"/>
      <c r="L2616" s="533"/>
      <c r="M2616" s="533"/>
      <c r="N2616" s="268"/>
      <c r="O2616" s="533"/>
      <c r="P2616" s="533"/>
      <c r="Q2616" s="533"/>
      <c r="R2616" s="533"/>
      <c r="S2616" s="533"/>
      <c r="T2616" s="533"/>
      <c r="U2616" s="533"/>
      <c r="V2616" s="533"/>
      <c r="W2616" s="533"/>
      <c r="X2616" s="533"/>
      <c r="Y2616" s="533"/>
    </row>
    <row r="2617" spans="1:25" s="88" customFormat="1" hidden="1" x14ac:dyDescent="0.25">
      <c r="A2617" s="509"/>
      <c r="B2617" s="256"/>
      <c r="C2617" s="221"/>
      <c r="D2617" s="218"/>
      <c r="E2617" s="218"/>
      <c r="F2617" s="527">
        <v>423</v>
      </c>
      <c r="G2617" s="520" t="s">
        <v>3799</v>
      </c>
      <c r="H2617" s="594"/>
      <c r="I2617" s="595"/>
      <c r="J2617" s="595">
        <f t="shared" si="84"/>
        <v>0</v>
      </c>
      <c r="K2617" s="533"/>
      <c r="L2617" s="533"/>
      <c r="M2617" s="533"/>
      <c r="N2617" s="268"/>
      <c r="O2617" s="533"/>
      <c r="P2617" s="533"/>
      <c r="Q2617" s="533"/>
      <c r="R2617" s="533"/>
      <c r="S2617" s="533"/>
      <c r="T2617" s="533"/>
      <c r="U2617" s="533"/>
      <c r="V2617" s="533"/>
      <c r="W2617" s="533"/>
      <c r="X2617" s="533"/>
      <c r="Y2617" s="533"/>
    </row>
    <row r="2618" spans="1:25" s="88" customFormat="1" hidden="1" x14ac:dyDescent="0.25">
      <c r="A2618" s="509"/>
      <c r="B2618" s="256"/>
      <c r="C2618" s="221"/>
      <c r="D2618" s="218"/>
      <c r="E2618" s="218"/>
      <c r="F2618" s="527">
        <v>424</v>
      </c>
      <c r="G2618" s="520" t="s">
        <v>3801</v>
      </c>
      <c r="H2618" s="594"/>
      <c r="I2618" s="595"/>
      <c r="J2618" s="595">
        <f t="shared" si="84"/>
        <v>0</v>
      </c>
      <c r="K2618" s="533"/>
      <c r="L2618" s="533"/>
      <c r="M2618" s="533"/>
      <c r="N2618" s="268"/>
      <c r="O2618" s="533"/>
      <c r="P2618" s="533"/>
      <c r="Q2618" s="533"/>
      <c r="R2618" s="533"/>
      <c r="S2618" s="533"/>
      <c r="T2618" s="533"/>
      <c r="U2618" s="533"/>
      <c r="V2618" s="533"/>
      <c r="W2618" s="533"/>
      <c r="X2618" s="533"/>
      <c r="Y2618" s="533"/>
    </row>
    <row r="2619" spans="1:25" s="88" customFormat="1" hidden="1" x14ac:dyDescent="0.25">
      <c r="A2619" s="509"/>
      <c r="B2619" s="256"/>
      <c r="C2619" s="221"/>
      <c r="D2619" s="218"/>
      <c r="E2619" s="218"/>
      <c r="F2619" s="527">
        <v>425</v>
      </c>
      <c r="G2619" s="520" t="s">
        <v>4202</v>
      </c>
      <c r="H2619" s="594"/>
      <c r="I2619" s="595"/>
      <c r="J2619" s="595">
        <f t="shared" si="84"/>
        <v>0</v>
      </c>
      <c r="K2619" s="533"/>
      <c r="L2619" s="533"/>
      <c r="M2619" s="533"/>
      <c r="N2619" s="268"/>
      <c r="O2619" s="533"/>
      <c r="P2619" s="533"/>
      <c r="Q2619" s="533"/>
      <c r="R2619" s="533"/>
      <c r="S2619" s="533"/>
      <c r="T2619" s="533"/>
      <c r="U2619" s="533"/>
      <c r="V2619" s="533"/>
      <c r="W2619" s="533"/>
      <c r="X2619" s="533"/>
      <c r="Y2619" s="533"/>
    </row>
    <row r="2620" spans="1:25" s="88" customFormat="1" hidden="1" x14ac:dyDescent="0.25">
      <c r="A2620" s="509"/>
      <c r="B2620" s="256"/>
      <c r="C2620" s="221"/>
      <c r="D2620" s="218"/>
      <c r="E2620" s="218"/>
      <c r="F2620" s="527">
        <v>426</v>
      </c>
      <c r="G2620" s="520" t="s">
        <v>3805</v>
      </c>
      <c r="H2620" s="594"/>
      <c r="I2620" s="595"/>
      <c r="J2620" s="595">
        <f t="shared" si="84"/>
        <v>0</v>
      </c>
      <c r="K2620" s="533"/>
      <c r="L2620" s="533"/>
      <c r="M2620" s="533"/>
      <c r="N2620" s="268"/>
      <c r="O2620" s="533"/>
      <c r="P2620" s="533"/>
      <c r="Q2620" s="533"/>
      <c r="R2620" s="533"/>
      <c r="S2620" s="533"/>
      <c r="T2620" s="533"/>
      <c r="U2620" s="533"/>
      <c r="V2620" s="533"/>
      <c r="W2620" s="533"/>
      <c r="X2620" s="533"/>
      <c r="Y2620" s="533"/>
    </row>
    <row r="2621" spans="1:25" s="88" customFormat="1" hidden="1" x14ac:dyDescent="0.25">
      <c r="A2621" s="509"/>
      <c r="B2621" s="256"/>
      <c r="C2621" s="221"/>
      <c r="D2621" s="218"/>
      <c r="E2621" s="218"/>
      <c r="F2621" s="527">
        <v>431</v>
      </c>
      <c r="G2621" s="520" t="s">
        <v>4203</v>
      </c>
      <c r="H2621" s="594"/>
      <c r="I2621" s="595"/>
      <c r="J2621" s="595">
        <f t="shared" si="84"/>
        <v>0</v>
      </c>
      <c r="K2621" s="533"/>
      <c r="L2621" s="533"/>
      <c r="M2621" s="533"/>
      <c r="N2621" s="268"/>
      <c r="O2621" s="533"/>
      <c r="P2621" s="533"/>
      <c r="Q2621" s="533"/>
      <c r="R2621" s="533"/>
      <c r="S2621" s="533"/>
      <c r="T2621" s="533"/>
      <c r="U2621" s="533"/>
      <c r="V2621" s="533"/>
      <c r="W2621" s="533"/>
      <c r="X2621" s="533"/>
      <c r="Y2621" s="533"/>
    </row>
    <row r="2622" spans="1:25" s="88" customFormat="1" hidden="1" x14ac:dyDescent="0.25">
      <c r="A2622" s="509"/>
      <c r="B2622" s="256"/>
      <c r="C2622" s="221"/>
      <c r="D2622" s="218"/>
      <c r="E2622" s="218"/>
      <c r="F2622" s="527">
        <v>432</v>
      </c>
      <c r="G2622" s="520" t="s">
        <v>4204</v>
      </c>
      <c r="H2622" s="594"/>
      <c r="I2622" s="595"/>
      <c r="J2622" s="595">
        <f t="shared" si="84"/>
        <v>0</v>
      </c>
      <c r="K2622" s="533"/>
      <c r="L2622" s="533"/>
      <c r="M2622" s="533"/>
      <c r="N2622" s="268"/>
      <c r="O2622" s="533"/>
      <c r="P2622" s="533"/>
      <c r="Q2622" s="533"/>
      <c r="R2622" s="533"/>
      <c r="S2622" s="533"/>
      <c r="T2622" s="533"/>
      <c r="U2622" s="533"/>
      <c r="V2622" s="533"/>
      <c r="W2622" s="533"/>
      <c r="X2622" s="533"/>
      <c r="Y2622" s="533"/>
    </row>
    <row r="2623" spans="1:25" s="88" customFormat="1" hidden="1" x14ac:dyDescent="0.25">
      <c r="A2623" s="509"/>
      <c r="B2623" s="256"/>
      <c r="C2623" s="221"/>
      <c r="D2623" s="218"/>
      <c r="E2623" s="218"/>
      <c r="F2623" s="527">
        <v>433</v>
      </c>
      <c r="G2623" s="520" t="s">
        <v>4205</v>
      </c>
      <c r="H2623" s="594"/>
      <c r="I2623" s="595"/>
      <c r="J2623" s="595">
        <f t="shared" si="84"/>
        <v>0</v>
      </c>
      <c r="K2623" s="533"/>
      <c r="L2623" s="533"/>
      <c r="M2623" s="533"/>
      <c r="N2623" s="268"/>
      <c r="O2623" s="533"/>
      <c r="P2623" s="533"/>
      <c r="Q2623" s="533"/>
      <c r="R2623" s="533"/>
      <c r="S2623" s="533"/>
      <c r="T2623" s="533"/>
      <c r="U2623" s="533"/>
      <c r="V2623" s="533"/>
      <c r="W2623" s="533"/>
      <c r="X2623" s="533"/>
      <c r="Y2623" s="533"/>
    </row>
    <row r="2624" spans="1:25" s="88" customFormat="1" hidden="1" x14ac:dyDescent="0.25">
      <c r="A2624" s="509"/>
      <c r="B2624" s="256"/>
      <c r="C2624" s="221"/>
      <c r="D2624" s="218"/>
      <c r="E2624" s="218"/>
      <c r="F2624" s="527">
        <v>434</v>
      </c>
      <c r="G2624" s="520" t="s">
        <v>4206</v>
      </c>
      <c r="H2624" s="594"/>
      <c r="I2624" s="595"/>
      <c r="J2624" s="595">
        <f t="shared" si="84"/>
        <v>0</v>
      </c>
      <c r="K2624" s="533"/>
      <c r="L2624" s="533"/>
      <c r="M2624" s="533"/>
      <c r="N2624" s="268"/>
      <c r="O2624" s="533"/>
      <c r="P2624" s="533"/>
      <c r="Q2624" s="533"/>
      <c r="R2624" s="533"/>
      <c r="S2624" s="533"/>
      <c r="T2624" s="533"/>
      <c r="U2624" s="533"/>
      <c r="V2624" s="533"/>
      <c r="W2624" s="533"/>
      <c r="X2624" s="533"/>
      <c r="Y2624" s="533"/>
    </row>
    <row r="2625" spans="1:25" s="88" customFormat="1" hidden="1" x14ac:dyDescent="0.25">
      <c r="A2625" s="509"/>
      <c r="B2625" s="256"/>
      <c r="C2625" s="221"/>
      <c r="D2625" s="218"/>
      <c r="E2625" s="218"/>
      <c r="F2625" s="527">
        <v>435</v>
      </c>
      <c r="G2625" s="520" t="s">
        <v>3812</v>
      </c>
      <c r="H2625" s="594"/>
      <c r="I2625" s="595"/>
      <c r="J2625" s="595">
        <f t="shared" si="84"/>
        <v>0</v>
      </c>
      <c r="K2625" s="533"/>
      <c r="L2625" s="533"/>
      <c r="M2625" s="533"/>
      <c r="N2625" s="268"/>
      <c r="O2625" s="533"/>
      <c r="P2625" s="533"/>
      <c r="Q2625" s="533"/>
      <c r="R2625" s="533"/>
      <c r="S2625" s="533"/>
      <c r="T2625" s="533"/>
      <c r="U2625" s="533"/>
      <c r="V2625" s="533"/>
      <c r="W2625" s="533"/>
      <c r="X2625" s="533"/>
      <c r="Y2625" s="533"/>
    </row>
    <row r="2626" spans="1:25" s="88" customFormat="1" hidden="1" x14ac:dyDescent="0.25">
      <c r="A2626" s="509"/>
      <c r="B2626" s="256"/>
      <c r="C2626" s="221"/>
      <c r="D2626" s="218"/>
      <c r="E2626" s="218"/>
      <c r="F2626" s="527">
        <v>441</v>
      </c>
      <c r="G2626" s="520" t="s">
        <v>4207</v>
      </c>
      <c r="H2626" s="594"/>
      <c r="I2626" s="595"/>
      <c r="J2626" s="595">
        <f t="shared" si="84"/>
        <v>0</v>
      </c>
      <c r="K2626" s="533"/>
      <c r="L2626" s="533"/>
      <c r="M2626" s="533"/>
      <c r="N2626" s="268"/>
      <c r="O2626" s="533"/>
      <c r="P2626" s="533"/>
      <c r="Q2626" s="533"/>
      <c r="R2626" s="533"/>
      <c r="S2626" s="533"/>
      <c r="T2626" s="533"/>
      <c r="U2626" s="533"/>
      <c r="V2626" s="533"/>
      <c r="W2626" s="533"/>
      <c r="X2626" s="533"/>
      <c r="Y2626" s="533"/>
    </row>
    <row r="2627" spans="1:25" s="88" customFormat="1" hidden="1" x14ac:dyDescent="0.25">
      <c r="A2627" s="509"/>
      <c r="B2627" s="256"/>
      <c r="C2627" s="221"/>
      <c r="D2627" s="218"/>
      <c r="E2627" s="218"/>
      <c r="F2627" s="527">
        <v>442</v>
      </c>
      <c r="G2627" s="520" t="s">
        <v>4208</v>
      </c>
      <c r="H2627" s="594"/>
      <c r="I2627" s="595"/>
      <c r="J2627" s="595">
        <f t="shared" si="84"/>
        <v>0</v>
      </c>
      <c r="K2627" s="533"/>
      <c r="L2627" s="533"/>
      <c r="M2627" s="533"/>
      <c r="N2627" s="268"/>
      <c r="O2627" s="533"/>
      <c r="P2627" s="533"/>
      <c r="Q2627" s="533"/>
      <c r="R2627" s="533"/>
      <c r="S2627" s="533"/>
      <c r="T2627" s="533"/>
      <c r="U2627" s="533"/>
      <c r="V2627" s="533"/>
      <c r="W2627" s="533"/>
      <c r="X2627" s="533"/>
      <c r="Y2627" s="533"/>
    </row>
    <row r="2628" spans="1:25" s="88" customFormat="1" hidden="1" x14ac:dyDescent="0.25">
      <c r="A2628" s="509"/>
      <c r="B2628" s="256"/>
      <c r="C2628" s="221"/>
      <c r="D2628" s="218"/>
      <c r="E2628" s="218"/>
      <c r="F2628" s="527">
        <v>443</v>
      </c>
      <c r="G2628" s="520" t="s">
        <v>3817</v>
      </c>
      <c r="H2628" s="594"/>
      <c r="I2628" s="595"/>
      <c r="J2628" s="595">
        <f t="shared" si="84"/>
        <v>0</v>
      </c>
      <c r="K2628" s="533"/>
      <c r="L2628" s="533"/>
      <c r="M2628" s="533"/>
      <c r="N2628" s="268"/>
      <c r="O2628" s="533"/>
      <c r="P2628" s="533"/>
      <c r="Q2628" s="533"/>
      <c r="R2628" s="533"/>
      <c r="S2628" s="533"/>
      <c r="T2628" s="533"/>
      <c r="U2628" s="533"/>
      <c r="V2628" s="533"/>
      <c r="W2628" s="533"/>
      <c r="X2628" s="533"/>
      <c r="Y2628" s="533"/>
    </row>
    <row r="2629" spans="1:25" s="88" customFormat="1" hidden="1" x14ac:dyDescent="0.25">
      <c r="A2629" s="509"/>
      <c r="B2629" s="256"/>
      <c r="C2629" s="221"/>
      <c r="D2629" s="218"/>
      <c r="E2629" s="218"/>
      <c r="F2629" s="527">
        <v>444</v>
      </c>
      <c r="G2629" s="520" t="s">
        <v>3818</v>
      </c>
      <c r="H2629" s="594"/>
      <c r="I2629" s="595"/>
      <c r="J2629" s="595">
        <f t="shared" si="84"/>
        <v>0</v>
      </c>
      <c r="K2629" s="533"/>
      <c r="L2629" s="533"/>
      <c r="M2629" s="533"/>
      <c r="N2629" s="268"/>
      <c r="O2629" s="533"/>
      <c r="P2629" s="533"/>
      <c r="Q2629" s="533"/>
      <c r="R2629" s="533"/>
      <c r="S2629" s="533"/>
      <c r="T2629" s="533"/>
      <c r="U2629" s="533"/>
      <c r="V2629" s="533"/>
      <c r="W2629" s="533"/>
      <c r="X2629" s="533"/>
      <c r="Y2629" s="533"/>
    </row>
    <row r="2630" spans="1:25" s="88" customFormat="1" ht="30" hidden="1" x14ac:dyDescent="0.25">
      <c r="A2630" s="509"/>
      <c r="B2630" s="256"/>
      <c r="C2630" s="221"/>
      <c r="D2630" s="218"/>
      <c r="E2630" s="218"/>
      <c r="F2630" s="527">
        <v>4511</v>
      </c>
      <c r="G2630" s="223" t="s">
        <v>1692</v>
      </c>
      <c r="H2630" s="594"/>
      <c r="I2630" s="595"/>
      <c r="J2630" s="595">
        <f t="shared" si="84"/>
        <v>0</v>
      </c>
      <c r="K2630" s="533"/>
      <c r="L2630" s="533"/>
      <c r="M2630" s="533"/>
      <c r="N2630" s="268"/>
      <c r="O2630" s="533"/>
      <c r="P2630" s="533"/>
      <c r="Q2630" s="533"/>
      <c r="R2630" s="533"/>
      <c r="S2630" s="533"/>
      <c r="T2630" s="533"/>
      <c r="U2630" s="533"/>
      <c r="V2630" s="533"/>
      <c r="W2630" s="533"/>
      <c r="X2630" s="533"/>
      <c r="Y2630" s="533"/>
    </row>
    <row r="2631" spans="1:25" s="88" customFormat="1" ht="30" hidden="1" x14ac:dyDescent="0.25">
      <c r="A2631" s="509"/>
      <c r="B2631" s="256"/>
      <c r="C2631" s="221"/>
      <c r="D2631" s="218"/>
      <c r="E2631" s="218"/>
      <c r="F2631" s="527">
        <v>4512</v>
      </c>
      <c r="G2631" s="223" t="s">
        <v>1701</v>
      </c>
      <c r="H2631" s="594"/>
      <c r="I2631" s="595"/>
      <c r="J2631" s="595">
        <f t="shared" si="84"/>
        <v>0</v>
      </c>
      <c r="K2631" s="533"/>
      <c r="L2631" s="533"/>
      <c r="M2631" s="533"/>
      <c r="N2631" s="268"/>
      <c r="O2631" s="533"/>
      <c r="P2631" s="533"/>
      <c r="Q2631" s="533"/>
      <c r="R2631" s="533"/>
      <c r="S2631" s="533"/>
      <c r="T2631" s="533"/>
      <c r="U2631" s="533"/>
      <c r="V2631" s="533"/>
      <c r="W2631" s="533"/>
      <c r="X2631" s="533"/>
      <c r="Y2631" s="533"/>
    </row>
    <row r="2632" spans="1:25" s="88" customFormat="1" hidden="1" x14ac:dyDescent="0.25">
      <c r="A2632" s="509"/>
      <c r="B2632" s="256"/>
      <c r="C2632" s="221"/>
      <c r="D2632" s="218"/>
      <c r="E2632" s="218"/>
      <c r="F2632" s="527">
        <v>452</v>
      </c>
      <c r="G2632" s="520" t="s">
        <v>4209</v>
      </c>
      <c r="H2632" s="594"/>
      <c r="I2632" s="595"/>
      <c r="J2632" s="595">
        <f t="shared" si="84"/>
        <v>0</v>
      </c>
      <c r="K2632" s="533"/>
      <c r="L2632" s="533"/>
      <c r="M2632" s="533"/>
      <c r="N2632" s="268"/>
      <c r="O2632" s="533"/>
      <c r="P2632" s="533"/>
      <c r="Q2632" s="533"/>
      <c r="R2632" s="533"/>
      <c r="S2632" s="533"/>
      <c r="T2632" s="533"/>
      <c r="U2632" s="533"/>
      <c r="V2632" s="533"/>
      <c r="W2632" s="533"/>
      <c r="X2632" s="533"/>
      <c r="Y2632" s="533"/>
    </row>
    <row r="2633" spans="1:25" s="88" customFormat="1" hidden="1" x14ac:dyDescent="0.25">
      <c r="A2633" s="509"/>
      <c r="B2633" s="256"/>
      <c r="C2633" s="221"/>
      <c r="D2633" s="218"/>
      <c r="E2633" s="218"/>
      <c r="F2633" s="527">
        <v>453</v>
      </c>
      <c r="G2633" s="520" t="s">
        <v>4210</v>
      </c>
      <c r="H2633" s="594"/>
      <c r="I2633" s="595"/>
      <c r="J2633" s="595">
        <f t="shared" si="84"/>
        <v>0</v>
      </c>
      <c r="K2633" s="533"/>
      <c r="L2633" s="533"/>
      <c r="M2633" s="533"/>
      <c r="N2633" s="268"/>
      <c r="O2633" s="533"/>
      <c r="P2633" s="533"/>
      <c r="Q2633" s="533"/>
      <c r="R2633" s="533"/>
      <c r="S2633" s="533"/>
      <c r="T2633" s="533"/>
      <c r="U2633" s="533"/>
      <c r="V2633" s="533"/>
      <c r="W2633" s="533"/>
      <c r="X2633" s="533"/>
      <c r="Y2633" s="533"/>
    </row>
    <row r="2634" spans="1:25" s="88" customFormat="1" hidden="1" x14ac:dyDescent="0.25">
      <c r="A2634" s="509"/>
      <c r="B2634" s="256"/>
      <c r="C2634" s="221"/>
      <c r="D2634" s="218"/>
      <c r="E2634" s="218"/>
      <c r="F2634" s="527">
        <v>454</v>
      </c>
      <c r="G2634" s="520" t="s">
        <v>3823</v>
      </c>
      <c r="H2634" s="594"/>
      <c r="I2634" s="595"/>
      <c r="J2634" s="595">
        <f t="shared" si="84"/>
        <v>0</v>
      </c>
      <c r="K2634" s="533"/>
      <c r="L2634" s="533"/>
      <c r="M2634" s="533"/>
      <c r="N2634" s="268"/>
      <c r="O2634" s="533"/>
      <c r="P2634" s="533"/>
      <c r="Q2634" s="533"/>
      <c r="R2634" s="533"/>
      <c r="S2634" s="533"/>
      <c r="T2634" s="533"/>
      <c r="U2634" s="533"/>
      <c r="V2634" s="533"/>
      <c r="W2634" s="533"/>
      <c r="X2634" s="533"/>
      <c r="Y2634" s="533"/>
    </row>
    <row r="2635" spans="1:25" s="88" customFormat="1" hidden="1" x14ac:dyDescent="0.25">
      <c r="A2635" s="509"/>
      <c r="B2635" s="256"/>
      <c r="C2635" s="221"/>
      <c r="D2635" s="218"/>
      <c r="E2635" s="218"/>
      <c r="F2635" s="527">
        <v>461</v>
      </c>
      <c r="G2635" s="520" t="s">
        <v>4191</v>
      </c>
      <c r="H2635" s="594"/>
      <c r="I2635" s="595"/>
      <c r="J2635" s="595">
        <f t="shared" si="84"/>
        <v>0</v>
      </c>
      <c r="K2635" s="533"/>
      <c r="L2635" s="533"/>
      <c r="M2635" s="533"/>
      <c r="N2635" s="268"/>
      <c r="O2635" s="533"/>
      <c r="P2635" s="533"/>
      <c r="Q2635" s="533"/>
      <c r="R2635" s="533"/>
      <c r="S2635" s="533"/>
      <c r="T2635" s="533"/>
      <c r="U2635" s="533"/>
      <c r="V2635" s="533"/>
      <c r="W2635" s="533"/>
      <c r="X2635" s="533"/>
      <c r="Y2635" s="533"/>
    </row>
    <row r="2636" spans="1:25" s="88" customFormat="1" hidden="1" x14ac:dyDescent="0.25">
      <c r="A2636" s="509"/>
      <c r="B2636" s="256"/>
      <c r="C2636" s="221"/>
      <c r="D2636" s="218"/>
      <c r="E2636" s="218"/>
      <c r="F2636" s="527">
        <v>462</v>
      </c>
      <c r="G2636" s="520" t="s">
        <v>3826</v>
      </c>
      <c r="H2636" s="594"/>
      <c r="I2636" s="595"/>
      <c r="J2636" s="595">
        <f t="shared" si="84"/>
        <v>0</v>
      </c>
      <c r="K2636" s="533"/>
      <c r="L2636" s="533"/>
      <c r="M2636" s="533"/>
      <c r="N2636" s="268"/>
      <c r="O2636" s="533"/>
      <c r="P2636" s="533"/>
      <c r="Q2636" s="533"/>
      <c r="R2636" s="533"/>
      <c r="S2636" s="533"/>
      <c r="T2636" s="533"/>
      <c r="U2636" s="533"/>
      <c r="V2636" s="533"/>
      <c r="W2636" s="533"/>
      <c r="X2636" s="533"/>
      <c r="Y2636" s="533"/>
    </row>
    <row r="2637" spans="1:25" s="88" customFormat="1" hidden="1" x14ac:dyDescent="0.25">
      <c r="A2637" s="509"/>
      <c r="B2637" s="256"/>
      <c r="C2637" s="221"/>
      <c r="D2637" s="218"/>
      <c r="E2637" s="218"/>
      <c r="F2637" s="527">
        <v>4631</v>
      </c>
      <c r="G2637" s="520" t="s">
        <v>3827</v>
      </c>
      <c r="H2637" s="594"/>
      <c r="I2637" s="595"/>
      <c r="J2637" s="595">
        <f t="shared" si="84"/>
        <v>0</v>
      </c>
      <c r="K2637" s="533"/>
      <c r="L2637" s="533"/>
      <c r="M2637" s="533"/>
      <c r="N2637" s="268"/>
      <c r="O2637" s="533"/>
      <c r="P2637" s="533"/>
      <c r="Q2637" s="533"/>
      <c r="R2637" s="533"/>
      <c r="S2637" s="533"/>
      <c r="T2637" s="533"/>
      <c r="U2637" s="533"/>
      <c r="V2637" s="533"/>
      <c r="W2637" s="533"/>
      <c r="X2637" s="533"/>
      <c r="Y2637" s="533"/>
    </row>
    <row r="2638" spans="1:25" s="88" customFormat="1" hidden="1" x14ac:dyDescent="0.25">
      <c r="A2638" s="509"/>
      <c r="B2638" s="256"/>
      <c r="C2638" s="221"/>
      <c r="D2638" s="218"/>
      <c r="E2638" s="218"/>
      <c r="F2638" s="527">
        <v>4632</v>
      </c>
      <c r="G2638" s="520" t="s">
        <v>3828</v>
      </c>
      <c r="H2638" s="594"/>
      <c r="I2638" s="595"/>
      <c r="J2638" s="595">
        <f t="shared" si="84"/>
        <v>0</v>
      </c>
      <c r="K2638" s="533"/>
      <c r="L2638" s="533"/>
      <c r="M2638" s="533"/>
      <c r="N2638" s="268"/>
      <c r="O2638" s="533"/>
      <c r="P2638" s="533"/>
      <c r="Q2638" s="533"/>
      <c r="R2638" s="533"/>
      <c r="S2638" s="533"/>
      <c r="T2638" s="533"/>
      <c r="U2638" s="533"/>
      <c r="V2638" s="533"/>
      <c r="W2638" s="533"/>
      <c r="X2638" s="533"/>
      <c r="Y2638" s="533"/>
    </row>
    <row r="2639" spans="1:25" s="88" customFormat="1" hidden="1" x14ac:dyDescent="0.25">
      <c r="A2639" s="509"/>
      <c r="B2639" s="256"/>
      <c r="C2639" s="221"/>
      <c r="D2639" s="218"/>
      <c r="E2639" s="218"/>
      <c r="F2639" s="527">
        <v>464</v>
      </c>
      <c r="G2639" s="520" t="s">
        <v>3829</v>
      </c>
      <c r="H2639" s="594"/>
      <c r="I2639" s="595"/>
      <c r="J2639" s="595">
        <f t="shared" si="84"/>
        <v>0</v>
      </c>
      <c r="K2639" s="533"/>
      <c r="L2639" s="533"/>
      <c r="M2639" s="533"/>
      <c r="N2639" s="268"/>
      <c r="O2639" s="533"/>
      <c r="P2639" s="533"/>
      <c r="Q2639" s="533"/>
      <c r="R2639" s="533"/>
      <c r="S2639" s="533"/>
      <c r="T2639" s="533"/>
      <c r="U2639" s="533"/>
      <c r="V2639" s="533"/>
      <c r="W2639" s="533"/>
      <c r="X2639" s="533"/>
      <c r="Y2639" s="533"/>
    </row>
    <row r="2640" spans="1:25" s="88" customFormat="1" hidden="1" x14ac:dyDescent="0.25">
      <c r="A2640" s="509"/>
      <c r="B2640" s="256"/>
      <c r="C2640" s="221"/>
      <c r="D2640" s="218"/>
      <c r="E2640" s="218"/>
      <c r="F2640" s="527">
        <v>465</v>
      </c>
      <c r="G2640" s="520" t="s">
        <v>4192</v>
      </c>
      <c r="H2640" s="594"/>
      <c r="I2640" s="595"/>
      <c r="J2640" s="595">
        <f t="shared" si="84"/>
        <v>0</v>
      </c>
      <c r="K2640" s="533"/>
      <c r="L2640" s="533"/>
      <c r="M2640" s="533"/>
      <c r="N2640" s="268"/>
      <c r="O2640" s="533"/>
      <c r="P2640" s="533"/>
      <c r="Q2640" s="533"/>
      <c r="R2640" s="533"/>
      <c r="S2640" s="533"/>
      <c r="T2640" s="533"/>
      <c r="U2640" s="533"/>
      <c r="V2640" s="533"/>
      <c r="W2640" s="533"/>
      <c r="X2640" s="533"/>
      <c r="Y2640" s="533"/>
    </row>
    <row r="2641" spans="1:25" s="88" customFormat="1" hidden="1" x14ac:dyDescent="0.25">
      <c r="A2641" s="509"/>
      <c r="B2641" s="256"/>
      <c r="C2641" s="221"/>
      <c r="D2641" s="218"/>
      <c r="E2641" s="218"/>
      <c r="F2641" s="527">
        <v>472</v>
      </c>
      <c r="G2641" s="520" t="s">
        <v>3833</v>
      </c>
      <c r="H2641" s="594"/>
      <c r="I2641" s="595"/>
      <c r="J2641" s="595">
        <f t="shared" si="84"/>
        <v>0</v>
      </c>
      <c r="K2641" s="533"/>
      <c r="L2641" s="533"/>
      <c r="M2641" s="533"/>
      <c r="N2641" s="268"/>
      <c r="O2641" s="533"/>
      <c r="P2641" s="533"/>
      <c r="Q2641" s="533"/>
      <c r="R2641" s="533"/>
      <c r="S2641" s="533"/>
      <c r="T2641" s="533"/>
      <c r="U2641" s="533"/>
      <c r="V2641" s="533"/>
      <c r="W2641" s="533"/>
      <c r="X2641" s="533"/>
      <c r="Y2641" s="533"/>
    </row>
    <row r="2642" spans="1:25" s="88" customFormat="1" hidden="1" x14ac:dyDescent="0.25">
      <c r="A2642" s="509"/>
      <c r="B2642" s="256"/>
      <c r="C2642" s="221"/>
      <c r="D2642" s="218"/>
      <c r="E2642" s="218"/>
      <c r="F2642" s="527">
        <v>481</v>
      </c>
      <c r="G2642" s="520" t="s">
        <v>4211</v>
      </c>
      <c r="H2642" s="594"/>
      <c r="I2642" s="595"/>
      <c r="J2642" s="595">
        <f t="shared" si="84"/>
        <v>0</v>
      </c>
      <c r="K2642" s="533"/>
      <c r="L2642" s="533"/>
      <c r="M2642" s="533"/>
      <c r="N2642" s="268"/>
      <c r="O2642" s="533"/>
      <c r="P2642" s="533"/>
      <c r="Q2642" s="533"/>
      <c r="R2642" s="533"/>
      <c r="S2642" s="533"/>
      <c r="T2642" s="533"/>
      <c r="U2642" s="533"/>
      <c r="V2642" s="533"/>
      <c r="W2642" s="533"/>
      <c r="X2642" s="533"/>
      <c r="Y2642" s="533"/>
    </row>
    <row r="2643" spans="1:25" s="88" customFormat="1" hidden="1" x14ac:dyDescent="0.25">
      <c r="A2643" s="509"/>
      <c r="B2643" s="256"/>
      <c r="C2643" s="221"/>
      <c r="D2643" s="218"/>
      <c r="E2643" s="218"/>
      <c r="F2643" s="527">
        <v>482</v>
      </c>
      <c r="G2643" s="520" t="s">
        <v>4212</v>
      </c>
      <c r="H2643" s="594"/>
      <c r="I2643" s="595"/>
      <c r="J2643" s="595">
        <f t="shared" si="84"/>
        <v>0</v>
      </c>
      <c r="K2643" s="533"/>
      <c r="L2643" s="533"/>
      <c r="M2643" s="533"/>
      <c r="N2643" s="268"/>
      <c r="O2643" s="533"/>
      <c r="P2643" s="533"/>
      <c r="Q2643" s="533"/>
      <c r="R2643" s="533"/>
      <c r="S2643" s="533"/>
      <c r="T2643" s="533"/>
      <c r="U2643" s="533"/>
      <c r="V2643" s="533"/>
      <c r="W2643" s="533"/>
      <c r="X2643" s="533"/>
      <c r="Y2643" s="533"/>
    </row>
    <row r="2644" spans="1:25" s="88" customFormat="1" hidden="1" x14ac:dyDescent="0.25">
      <c r="A2644" s="509"/>
      <c r="B2644" s="256"/>
      <c r="C2644" s="221"/>
      <c r="D2644" s="218"/>
      <c r="E2644" s="218"/>
      <c r="F2644" s="527">
        <v>483</v>
      </c>
      <c r="G2644" s="524" t="s">
        <v>4213</v>
      </c>
      <c r="H2644" s="594"/>
      <c r="I2644" s="595"/>
      <c r="J2644" s="595">
        <f t="shared" si="84"/>
        <v>0</v>
      </c>
      <c r="K2644" s="533"/>
      <c r="L2644" s="533"/>
      <c r="M2644" s="533"/>
      <c r="N2644" s="268"/>
      <c r="O2644" s="533"/>
      <c r="P2644" s="533"/>
      <c r="Q2644" s="533"/>
      <c r="R2644" s="533"/>
      <c r="S2644" s="533"/>
      <c r="T2644" s="533"/>
      <c r="U2644" s="533"/>
      <c r="V2644" s="533"/>
      <c r="W2644" s="533"/>
      <c r="X2644" s="533"/>
      <c r="Y2644" s="533"/>
    </row>
    <row r="2645" spans="1:25" s="88" customFormat="1" ht="30" hidden="1" x14ac:dyDescent="0.25">
      <c r="A2645" s="509"/>
      <c r="B2645" s="256"/>
      <c r="C2645" s="221"/>
      <c r="D2645" s="218"/>
      <c r="E2645" s="218"/>
      <c r="F2645" s="527">
        <v>484</v>
      </c>
      <c r="G2645" s="520" t="s">
        <v>4214</v>
      </c>
      <c r="H2645" s="594"/>
      <c r="I2645" s="595"/>
      <c r="J2645" s="595">
        <f t="shared" si="84"/>
        <v>0</v>
      </c>
      <c r="K2645" s="533"/>
      <c r="L2645" s="533"/>
      <c r="M2645" s="533"/>
      <c r="N2645" s="268"/>
      <c r="O2645" s="533"/>
      <c r="P2645" s="533"/>
      <c r="Q2645" s="533"/>
      <c r="R2645" s="533"/>
      <c r="S2645" s="533"/>
      <c r="T2645" s="533"/>
      <c r="U2645" s="533"/>
      <c r="V2645" s="533"/>
      <c r="W2645" s="533"/>
      <c r="X2645" s="533"/>
      <c r="Y2645" s="533"/>
    </row>
    <row r="2646" spans="1:25" s="88" customFormat="1" ht="30" hidden="1" x14ac:dyDescent="0.25">
      <c r="A2646" s="509"/>
      <c r="B2646" s="256"/>
      <c r="C2646" s="221"/>
      <c r="D2646" s="218"/>
      <c r="E2646" s="218"/>
      <c r="F2646" s="527">
        <v>485</v>
      </c>
      <c r="G2646" s="520" t="s">
        <v>4215</v>
      </c>
      <c r="H2646" s="594"/>
      <c r="I2646" s="595"/>
      <c r="J2646" s="595">
        <f t="shared" si="84"/>
        <v>0</v>
      </c>
      <c r="K2646" s="533"/>
      <c r="L2646" s="533"/>
      <c r="M2646" s="533"/>
      <c r="N2646" s="268"/>
      <c r="O2646" s="533"/>
      <c r="P2646" s="533"/>
      <c r="Q2646" s="533"/>
      <c r="R2646" s="533"/>
      <c r="S2646" s="533"/>
      <c r="T2646" s="533"/>
      <c r="U2646" s="533"/>
      <c r="V2646" s="533"/>
      <c r="W2646" s="533"/>
      <c r="X2646" s="533"/>
      <c r="Y2646" s="533"/>
    </row>
    <row r="2647" spans="1:25" s="88" customFormat="1" ht="30" hidden="1" x14ac:dyDescent="0.25">
      <c r="A2647" s="509"/>
      <c r="B2647" s="256"/>
      <c r="C2647" s="221"/>
      <c r="D2647" s="218"/>
      <c r="E2647" s="218"/>
      <c r="F2647" s="527">
        <v>489</v>
      </c>
      <c r="G2647" s="520" t="s">
        <v>3841</v>
      </c>
      <c r="H2647" s="594"/>
      <c r="I2647" s="595"/>
      <c r="J2647" s="595">
        <f t="shared" si="84"/>
        <v>0</v>
      </c>
      <c r="K2647" s="533"/>
      <c r="L2647" s="533"/>
      <c r="M2647" s="533"/>
      <c r="N2647" s="268"/>
      <c r="O2647" s="533"/>
      <c r="P2647" s="533"/>
      <c r="Q2647" s="533"/>
      <c r="R2647" s="533"/>
      <c r="S2647" s="533"/>
      <c r="T2647" s="533"/>
      <c r="U2647" s="533"/>
      <c r="V2647" s="533"/>
      <c r="W2647" s="533"/>
      <c r="X2647" s="533"/>
      <c r="Y2647" s="533"/>
    </row>
    <row r="2648" spans="1:25" s="88" customFormat="1" hidden="1" x14ac:dyDescent="0.25">
      <c r="A2648" s="509"/>
      <c r="B2648" s="256"/>
      <c r="C2648" s="221"/>
      <c r="D2648" s="218"/>
      <c r="E2648" s="218"/>
      <c r="F2648" s="527">
        <v>494</v>
      </c>
      <c r="G2648" s="520" t="s">
        <v>4193</v>
      </c>
      <c r="H2648" s="594"/>
      <c r="I2648" s="595"/>
      <c r="J2648" s="595">
        <f t="shared" si="84"/>
        <v>0</v>
      </c>
      <c r="K2648" s="533"/>
      <c r="L2648" s="533"/>
      <c r="M2648" s="533"/>
      <c r="N2648" s="268"/>
      <c r="O2648" s="533"/>
      <c r="P2648" s="533"/>
      <c r="Q2648" s="533"/>
      <c r="R2648" s="533"/>
      <c r="S2648" s="533"/>
      <c r="T2648" s="533"/>
      <c r="U2648" s="533"/>
      <c r="V2648" s="533"/>
      <c r="W2648" s="533"/>
      <c r="X2648" s="533"/>
      <c r="Y2648" s="533"/>
    </row>
    <row r="2649" spans="1:25" s="88" customFormat="1" ht="30" hidden="1" x14ac:dyDescent="0.25">
      <c r="A2649" s="509"/>
      <c r="B2649" s="256"/>
      <c r="C2649" s="221"/>
      <c r="D2649" s="218"/>
      <c r="E2649" s="218"/>
      <c r="F2649" s="527">
        <v>495</v>
      </c>
      <c r="G2649" s="520" t="s">
        <v>4194</v>
      </c>
      <c r="H2649" s="594"/>
      <c r="I2649" s="595"/>
      <c r="J2649" s="595">
        <f t="shared" si="84"/>
        <v>0</v>
      </c>
      <c r="K2649" s="533"/>
      <c r="L2649" s="533"/>
      <c r="M2649" s="533"/>
      <c r="N2649" s="268"/>
      <c r="O2649" s="533"/>
      <c r="P2649" s="533"/>
      <c r="Q2649" s="533"/>
      <c r="R2649" s="533"/>
      <c r="S2649" s="533"/>
      <c r="T2649" s="533"/>
      <c r="U2649" s="533"/>
      <c r="V2649" s="533"/>
      <c r="W2649" s="533"/>
      <c r="X2649" s="533"/>
      <c r="Y2649" s="533"/>
    </row>
    <row r="2650" spans="1:25" s="88" customFormat="1" ht="30" hidden="1" x14ac:dyDescent="0.25">
      <c r="A2650" s="509"/>
      <c r="B2650" s="256"/>
      <c r="C2650" s="221"/>
      <c r="D2650" s="218"/>
      <c r="E2650" s="218"/>
      <c r="F2650" s="527">
        <v>496</v>
      </c>
      <c r="G2650" s="520" t="s">
        <v>4195</v>
      </c>
      <c r="H2650" s="594"/>
      <c r="I2650" s="595"/>
      <c r="J2650" s="595">
        <f t="shared" si="84"/>
        <v>0</v>
      </c>
      <c r="K2650" s="533"/>
      <c r="L2650" s="533"/>
      <c r="M2650" s="533"/>
      <c r="N2650" s="268"/>
      <c r="O2650" s="533"/>
      <c r="P2650" s="533"/>
      <c r="Q2650" s="533"/>
      <c r="R2650" s="533"/>
      <c r="S2650" s="533"/>
      <c r="T2650" s="533"/>
      <c r="U2650" s="533"/>
      <c r="V2650" s="533"/>
      <c r="W2650" s="533"/>
      <c r="X2650" s="533"/>
      <c r="Y2650" s="533"/>
    </row>
    <row r="2651" spans="1:25" s="88" customFormat="1" hidden="1" x14ac:dyDescent="0.25">
      <c r="A2651" s="509"/>
      <c r="B2651" s="256"/>
      <c r="C2651" s="221"/>
      <c r="D2651" s="218"/>
      <c r="E2651" s="218"/>
      <c r="F2651" s="527">
        <v>499</v>
      </c>
      <c r="G2651" s="520" t="s">
        <v>4196</v>
      </c>
      <c r="H2651" s="594"/>
      <c r="I2651" s="595"/>
      <c r="J2651" s="595">
        <f t="shared" si="84"/>
        <v>0</v>
      </c>
      <c r="K2651" s="533"/>
      <c r="L2651" s="533"/>
      <c r="M2651" s="533"/>
      <c r="N2651" s="268"/>
      <c r="O2651" s="533"/>
      <c r="P2651" s="533"/>
      <c r="Q2651" s="533"/>
      <c r="R2651" s="533"/>
      <c r="S2651" s="533"/>
      <c r="T2651" s="533"/>
      <c r="U2651" s="533"/>
      <c r="V2651" s="533"/>
      <c r="W2651" s="533"/>
      <c r="X2651" s="533"/>
      <c r="Y2651" s="533"/>
    </row>
    <row r="2652" spans="1:25" s="88" customFormat="1" ht="15.75" thickBot="1" x14ac:dyDescent="0.3">
      <c r="A2652" s="509"/>
      <c r="B2652" s="256"/>
      <c r="C2652" s="221"/>
      <c r="D2652" s="218"/>
      <c r="E2652" s="218">
        <v>40</v>
      </c>
      <c r="F2652" s="527">
        <v>511</v>
      </c>
      <c r="G2652" s="524" t="s">
        <v>4216</v>
      </c>
      <c r="H2652" s="594">
        <v>5700000</v>
      </c>
      <c r="I2652" s="595"/>
      <c r="J2652" s="595">
        <f t="shared" si="84"/>
        <v>5700000</v>
      </c>
      <c r="K2652" s="533"/>
      <c r="L2652" s="533"/>
      <c r="M2652" s="533"/>
      <c r="N2652" s="268"/>
      <c r="O2652" s="533"/>
      <c r="P2652" s="533"/>
      <c r="Q2652" s="533"/>
      <c r="R2652" s="533"/>
      <c r="S2652" s="533"/>
      <c r="T2652" s="533"/>
      <c r="U2652" s="533"/>
      <c r="V2652" s="533"/>
      <c r="W2652" s="533"/>
      <c r="X2652" s="533"/>
      <c r="Y2652" s="533"/>
    </row>
    <row r="2653" spans="1:25" s="88" customFormat="1" hidden="1" x14ac:dyDescent="0.25">
      <c r="A2653" s="509"/>
      <c r="B2653" s="256"/>
      <c r="C2653" s="221"/>
      <c r="D2653" s="218"/>
      <c r="E2653" s="218"/>
      <c r="F2653" s="527">
        <v>512</v>
      </c>
      <c r="G2653" s="524" t="s">
        <v>4217</v>
      </c>
      <c r="H2653" s="594"/>
      <c r="I2653" s="595"/>
      <c r="J2653" s="595">
        <f t="shared" si="84"/>
        <v>0</v>
      </c>
      <c r="K2653" s="533"/>
      <c r="L2653" s="533"/>
      <c r="M2653" s="533"/>
      <c r="N2653" s="268"/>
      <c r="O2653" s="533"/>
      <c r="P2653" s="533"/>
      <c r="Q2653" s="533"/>
      <c r="R2653" s="533"/>
      <c r="S2653" s="533"/>
      <c r="T2653" s="533"/>
      <c r="U2653" s="533"/>
      <c r="V2653" s="533"/>
      <c r="W2653" s="533"/>
      <c r="X2653" s="533"/>
      <c r="Y2653" s="533"/>
    </row>
    <row r="2654" spans="1:25" s="88" customFormat="1" hidden="1" x14ac:dyDescent="0.25">
      <c r="A2654" s="509"/>
      <c r="B2654" s="256"/>
      <c r="C2654" s="221"/>
      <c r="D2654" s="218"/>
      <c r="E2654" s="218"/>
      <c r="F2654" s="527">
        <v>513</v>
      </c>
      <c r="G2654" s="524" t="s">
        <v>4218</v>
      </c>
      <c r="H2654" s="594"/>
      <c r="I2654" s="595"/>
      <c r="J2654" s="595">
        <f t="shared" si="84"/>
        <v>0</v>
      </c>
      <c r="K2654" s="533"/>
      <c r="L2654" s="533"/>
      <c r="M2654" s="533"/>
      <c r="N2654" s="268"/>
      <c r="O2654" s="533"/>
      <c r="P2654" s="533"/>
      <c r="Q2654" s="533"/>
      <c r="R2654" s="533"/>
      <c r="S2654" s="533"/>
      <c r="T2654" s="533"/>
      <c r="U2654" s="533"/>
      <c r="V2654" s="533"/>
      <c r="W2654" s="533"/>
      <c r="X2654" s="533"/>
      <c r="Y2654" s="533"/>
    </row>
    <row r="2655" spans="1:25" s="88" customFormat="1" hidden="1" x14ac:dyDescent="0.25">
      <c r="A2655" s="509"/>
      <c r="B2655" s="256"/>
      <c r="C2655" s="221"/>
      <c r="D2655" s="218"/>
      <c r="E2655" s="218"/>
      <c r="F2655" s="527">
        <v>514</v>
      </c>
      <c r="G2655" s="520" t="s">
        <v>4219</v>
      </c>
      <c r="H2655" s="594"/>
      <c r="I2655" s="595"/>
      <c r="J2655" s="595">
        <f t="shared" si="84"/>
        <v>0</v>
      </c>
      <c r="K2655" s="533"/>
      <c r="L2655" s="533"/>
      <c r="M2655" s="533"/>
      <c r="N2655" s="268"/>
      <c r="O2655" s="533"/>
      <c r="P2655" s="533"/>
      <c r="Q2655" s="533"/>
      <c r="R2655" s="533"/>
      <c r="S2655" s="533"/>
      <c r="T2655" s="533"/>
      <c r="U2655" s="533"/>
      <c r="V2655" s="533"/>
      <c r="W2655" s="533"/>
      <c r="X2655" s="533"/>
      <c r="Y2655" s="533"/>
    </row>
    <row r="2656" spans="1:25" s="88" customFormat="1" hidden="1" x14ac:dyDescent="0.25">
      <c r="A2656" s="509"/>
      <c r="B2656" s="256"/>
      <c r="C2656" s="221"/>
      <c r="D2656" s="218"/>
      <c r="E2656" s="218"/>
      <c r="F2656" s="527">
        <v>515</v>
      </c>
      <c r="G2656" s="520" t="s">
        <v>3852</v>
      </c>
      <c r="H2656" s="594"/>
      <c r="I2656" s="595"/>
      <c r="J2656" s="595">
        <f t="shared" si="84"/>
        <v>0</v>
      </c>
      <c r="K2656" s="533"/>
      <c r="L2656" s="533"/>
      <c r="M2656" s="533"/>
      <c r="N2656" s="268"/>
      <c r="O2656" s="533"/>
      <c r="P2656" s="533"/>
      <c r="Q2656" s="533"/>
      <c r="R2656" s="533"/>
      <c r="S2656" s="533"/>
      <c r="T2656" s="533"/>
      <c r="U2656" s="533"/>
      <c r="V2656" s="533"/>
      <c r="W2656" s="533"/>
      <c r="X2656" s="533"/>
      <c r="Y2656" s="533"/>
    </row>
    <row r="2657" spans="1:25" s="88" customFormat="1" hidden="1" x14ac:dyDescent="0.25">
      <c r="A2657" s="509"/>
      <c r="B2657" s="256"/>
      <c r="C2657" s="221"/>
      <c r="D2657" s="218"/>
      <c r="E2657" s="218"/>
      <c r="F2657" s="527">
        <v>521</v>
      </c>
      <c r="G2657" s="520" t="s">
        <v>4220</v>
      </c>
      <c r="H2657" s="594"/>
      <c r="I2657" s="595"/>
      <c r="J2657" s="595">
        <f t="shared" si="84"/>
        <v>0</v>
      </c>
      <c r="K2657" s="533"/>
      <c r="L2657" s="533"/>
      <c r="M2657" s="533"/>
      <c r="N2657" s="268"/>
      <c r="O2657" s="533"/>
      <c r="P2657" s="533"/>
      <c r="Q2657" s="533"/>
      <c r="R2657" s="533"/>
      <c r="S2657" s="533"/>
      <c r="T2657" s="533"/>
      <c r="U2657" s="533"/>
      <c r="V2657" s="533"/>
      <c r="W2657" s="533"/>
      <c r="X2657" s="533"/>
      <c r="Y2657" s="533"/>
    </row>
    <row r="2658" spans="1:25" s="88" customFormat="1" hidden="1" x14ac:dyDescent="0.25">
      <c r="A2658" s="509"/>
      <c r="B2658" s="256"/>
      <c r="C2658" s="221"/>
      <c r="D2658" s="218"/>
      <c r="E2658" s="218"/>
      <c r="F2658" s="527">
        <v>522</v>
      </c>
      <c r="G2658" s="520" t="s">
        <v>4221</v>
      </c>
      <c r="H2658" s="594"/>
      <c r="I2658" s="595"/>
      <c r="J2658" s="595">
        <f t="shared" si="84"/>
        <v>0</v>
      </c>
      <c r="K2658" s="533"/>
      <c r="L2658" s="533"/>
      <c r="M2658" s="533"/>
      <c r="N2658" s="268"/>
      <c r="O2658" s="533"/>
      <c r="P2658" s="533"/>
      <c r="Q2658" s="533"/>
      <c r="R2658" s="533"/>
      <c r="S2658" s="533"/>
      <c r="T2658" s="533"/>
      <c r="U2658" s="533"/>
      <c r="V2658" s="533"/>
      <c r="W2658" s="533"/>
      <c r="X2658" s="533"/>
      <c r="Y2658" s="533"/>
    </row>
    <row r="2659" spans="1:25" s="88" customFormat="1" hidden="1" x14ac:dyDescent="0.25">
      <c r="A2659" s="509"/>
      <c r="B2659" s="256"/>
      <c r="C2659" s="221"/>
      <c r="D2659" s="218"/>
      <c r="E2659" s="218"/>
      <c r="F2659" s="527">
        <v>523</v>
      </c>
      <c r="G2659" s="520" t="s">
        <v>3857</v>
      </c>
      <c r="H2659" s="594"/>
      <c r="I2659" s="595"/>
      <c r="J2659" s="595">
        <f t="shared" si="84"/>
        <v>0</v>
      </c>
      <c r="K2659" s="533"/>
      <c r="L2659" s="533"/>
      <c r="M2659" s="533"/>
      <c r="N2659" s="268"/>
      <c r="O2659" s="533"/>
      <c r="P2659" s="533"/>
      <c r="Q2659" s="533"/>
      <c r="R2659" s="533"/>
      <c r="S2659" s="533"/>
      <c r="T2659" s="533"/>
      <c r="U2659" s="533"/>
      <c r="V2659" s="533"/>
      <c r="W2659" s="533"/>
      <c r="X2659" s="533"/>
      <c r="Y2659" s="533"/>
    </row>
    <row r="2660" spans="1:25" s="88" customFormat="1" hidden="1" x14ac:dyDescent="0.25">
      <c r="A2660" s="509"/>
      <c r="B2660" s="256"/>
      <c r="C2660" s="221"/>
      <c r="D2660" s="218"/>
      <c r="E2660" s="218"/>
      <c r="F2660" s="527">
        <v>531</v>
      </c>
      <c r="G2660" s="516" t="s">
        <v>4197</v>
      </c>
      <c r="H2660" s="594"/>
      <c r="I2660" s="595"/>
      <c r="J2660" s="595">
        <f t="shared" si="84"/>
        <v>0</v>
      </c>
      <c r="K2660" s="533"/>
      <c r="L2660" s="533"/>
      <c r="M2660" s="533"/>
      <c r="N2660" s="268"/>
      <c r="O2660" s="533"/>
      <c r="P2660" s="533"/>
      <c r="Q2660" s="533"/>
      <c r="R2660" s="533"/>
      <c r="S2660" s="533"/>
      <c r="T2660" s="533"/>
      <c r="U2660" s="533"/>
      <c r="V2660" s="533"/>
      <c r="W2660" s="533"/>
      <c r="X2660" s="533"/>
      <c r="Y2660" s="533"/>
    </row>
    <row r="2661" spans="1:25" s="88" customFormat="1" hidden="1" x14ac:dyDescent="0.25">
      <c r="A2661" s="509"/>
      <c r="B2661" s="256"/>
      <c r="C2661" s="221"/>
      <c r="D2661" s="218"/>
      <c r="E2661" s="218"/>
      <c r="F2661" s="527">
        <v>541</v>
      </c>
      <c r="G2661" s="520" t="s">
        <v>4222</v>
      </c>
      <c r="H2661" s="594"/>
      <c r="I2661" s="595"/>
      <c r="J2661" s="595">
        <f t="shared" si="84"/>
        <v>0</v>
      </c>
      <c r="K2661" s="533"/>
      <c r="L2661" s="533"/>
      <c r="M2661" s="533"/>
      <c r="N2661" s="268"/>
      <c r="O2661" s="533"/>
      <c r="P2661" s="533"/>
      <c r="Q2661" s="533"/>
      <c r="R2661" s="533"/>
      <c r="S2661" s="533"/>
      <c r="T2661" s="533"/>
      <c r="U2661" s="533"/>
      <c r="V2661" s="533"/>
      <c r="W2661" s="533"/>
      <c r="X2661" s="533"/>
      <c r="Y2661" s="533"/>
    </row>
    <row r="2662" spans="1:25" s="88" customFormat="1" hidden="1" x14ac:dyDescent="0.25">
      <c r="A2662" s="509"/>
      <c r="B2662" s="256"/>
      <c r="C2662" s="221"/>
      <c r="D2662" s="218"/>
      <c r="E2662" s="218"/>
      <c r="F2662" s="527">
        <v>542</v>
      </c>
      <c r="G2662" s="520" t="s">
        <v>4223</v>
      </c>
      <c r="H2662" s="594"/>
      <c r="I2662" s="595"/>
      <c r="J2662" s="595">
        <f t="shared" si="84"/>
        <v>0</v>
      </c>
      <c r="K2662" s="533"/>
      <c r="L2662" s="533"/>
      <c r="M2662" s="533"/>
      <c r="N2662" s="268"/>
      <c r="O2662" s="533"/>
      <c r="P2662" s="533"/>
      <c r="Q2662" s="533"/>
      <c r="R2662" s="533"/>
      <c r="S2662" s="533"/>
      <c r="T2662" s="533"/>
      <c r="U2662" s="533"/>
      <c r="V2662" s="533"/>
      <c r="W2662" s="533"/>
      <c r="X2662" s="533"/>
      <c r="Y2662" s="533"/>
    </row>
    <row r="2663" spans="1:25" s="88" customFormat="1" hidden="1" x14ac:dyDescent="0.25">
      <c r="A2663" s="509"/>
      <c r="B2663" s="256"/>
      <c r="C2663" s="221"/>
      <c r="D2663" s="218"/>
      <c r="E2663" s="218"/>
      <c r="F2663" s="527">
        <v>543</v>
      </c>
      <c r="G2663" s="520" t="s">
        <v>3862</v>
      </c>
      <c r="H2663" s="594"/>
      <c r="I2663" s="595"/>
      <c r="J2663" s="595">
        <f t="shared" si="84"/>
        <v>0</v>
      </c>
      <c r="K2663" s="533"/>
      <c r="L2663" s="533"/>
      <c r="M2663" s="533"/>
      <c r="N2663" s="268"/>
      <c r="O2663" s="533"/>
      <c r="P2663" s="533"/>
      <c r="Q2663" s="533"/>
      <c r="R2663" s="533"/>
      <c r="S2663" s="533"/>
      <c r="T2663" s="533"/>
      <c r="U2663" s="533"/>
      <c r="V2663" s="533"/>
      <c r="W2663" s="533"/>
      <c r="X2663" s="533"/>
      <c r="Y2663" s="533"/>
    </row>
    <row r="2664" spans="1:25" s="88" customFormat="1" ht="30" hidden="1" x14ac:dyDescent="0.25">
      <c r="A2664" s="509"/>
      <c r="B2664" s="256"/>
      <c r="C2664" s="221"/>
      <c r="D2664" s="218"/>
      <c r="E2664" s="218"/>
      <c r="F2664" s="527">
        <v>551</v>
      </c>
      <c r="G2664" s="520" t="s">
        <v>4198</v>
      </c>
      <c r="H2664" s="594"/>
      <c r="I2664" s="595"/>
      <c r="J2664" s="595">
        <f t="shared" si="84"/>
        <v>0</v>
      </c>
      <c r="K2664" s="533"/>
      <c r="L2664" s="533"/>
      <c r="M2664" s="533"/>
      <c r="N2664" s="268"/>
      <c r="O2664" s="533"/>
      <c r="P2664" s="533"/>
      <c r="Q2664" s="533"/>
      <c r="R2664" s="533"/>
      <c r="S2664" s="533"/>
      <c r="T2664" s="533"/>
      <c r="U2664" s="533"/>
      <c r="V2664" s="533"/>
      <c r="W2664" s="533"/>
      <c r="X2664" s="533"/>
      <c r="Y2664" s="533"/>
    </row>
    <row r="2665" spans="1:25" s="88" customFormat="1" hidden="1" x14ac:dyDescent="0.25">
      <c r="A2665" s="509"/>
      <c r="B2665" s="256"/>
      <c r="C2665" s="221"/>
      <c r="D2665" s="218"/>
      <c r="E2665" s="218"/>
      <c r="F2665" s="528">
        <v>611</v>
      </c>
      <c r="G2665" s="526" t="s">
        <v>3868</v>
      </c>
      <c r="H2665" s="594"/>
      <c r="I2665" s="595"/>
      <c r="J2665" s="595">
        <f t="shared" si="84"/>
        <v>0</v>
      </c>
      <c r="K2665" s="533"/>
      <c r="L2665" s="533"/>
      <c r="M2665" s="533"/>
      <c r="N2665" s="268"/>
      <c r="O2665" s="533"/>
      <c r="P2665" s="533"/>
      <c r="Q2665" s="533"/>
      <c r="R2665" s="533"/>
      <c r="S2665" s="533"/>
      <c r="T2665" s="533"/>
      <c r="U2665" s="533"/>
      <c r="V2665" s="533"/>
      <c r="W2665" s="533"/>
      <c r="X2665" s="533"/>
      <c r="Y2665" s="533"/>
    </row>
    <row r="2666" spans="1:25" s="88" customFormat="1" ht="15.75" hidden="1" thickBot="1" x14ac:dyDescent="0.3">
      <c r="A2666" s="509"/>
      <c r="B2666" s="256"/>
      <c r="C2666" s="221"/>
      <c r="D2666" s="218"/>
      <c r="E2666" s="218"/>
      <c r="F2666" s="528">
        <v>620</v>
      </c>
      <c r="G2666" s="526" t="s">
        <v>88</v>
      </c>
      <c r="H2666" s="594"/>
      <c r="I2666" s="595"/>
      <c r="J2666" s="595">
        <f t="shared" si="84"/>
        <v>0</v>
      </c>
      <c r="K2666" s="533"/>
      <c r="L2666" s="533"/>
      <c r="M2666" s="533"/>
      <c r="N2666" s="268"/>
      <c r="O2666" s="533"/>
      <c r="P2666" s="533"/>
      <c r="Q2666" s="533"/>
      <c r="R2666" s="533"/>
      <c r="S2666" s="533"/>
      <c r="T2666" s="533"/>
      <c r="U2666" s="533"/>
      <c r="V2666" s="533"/>
      <c r="W2666" s="533"/>
      <c r="X2666" s="533"/>
      <c r="Y2666" s="533"/>
    </row>
    <row r="2667" spans="1:25" s="88" customFormat="1" x14ac:dyDescent="0.25">
      <c r="A2667" s="509"/>
      <c r="B2667" s="256"/>
      <c r="C2667" s="221"/>
      <c r="D2667" s="218"/>
      <c r="E2667" s="517"/>
      <c r="F2667" s="528"/>
      <c r="G2667" s="327" t="s">
        <v>4368</v>
      </c>
      <c r="H2667" s="596"/>
      <c r="I2667" s="622"/>
      <c r="J2667" s="597"/>
      <c r="K2667" s="533"/>
      <c r="L2667" s="533"/>
      <c r="M2667" s="533"/>
      <c r="N2667" s="268"/>
      <c r="O2667" s="533"/>
      <c r="P2667" s="533"/>
      <c r="Q2667" s="533"/>
      <c r="R2667" s="533"/>
      <c r="S2667" s="533"/>
      <c r="T2667" s="533"/>
      <c r="U2667" s="533"/>
      <c r="V2667" s="533"/>
      <c r="W2667" s="533"/>
      <c r="X2667" s="533"/>
      <c r="Y2667" s="533"/>
    </row>
    <row r="2668" spans="1:25" s="88" customFormat="1" ht="15.75" thickBot="1" x14ac:dyDescent="0.3">
      <c r="A2668" s="509"/>
      <c r="B2668" s="256"/>
      <c r="C2668" s="221"/>
      <c r="D2668" s="218"/>
      <c r="E2668" s="222"/>
      <c r="F2668" s="642" t="s">
        <v>234</v>
      </c>
      <c r="G2668" s="643" t="s">
        <v>235</v>
      </c>
      <c r="H2668" s="598">
        <f>SUM(H2652)</f>
        <v>5700000</v>
      </c>
      <c r="I2668" s="599"/>
      <c r="J2668" s="599">
        <f t="shared" ref="J2668:J2683" si="85">SUM(H2668:I2668)</f>
        <v>5700000</v>
      </c>
      <c r="K2668" s="533"/>
      <c r="L2668" s="533"/>
      <c r="M2668" s="533"/>
      <c r="N2668" s="268"/>
      <c r="O2668" s="533"/>
      <c r="P2668" s="533"/>
      <c r="Q2668" s="533"/>
      <c r="R2668" s="533"/>
      <c r="S2668" s="533"/>
      <c r="T2668" s="533"/>
      <c r="U2668" s="533"/>
      <c r="V2668" s="533"/>
      <c r="W2668" s="533"/>
      <c r="X2668" s="533"/>
      <c r="Y2668" s="533"/>
    </row>
    <row r="2669" spans="1:25" s="88" customFormat="1" hidden="1" x14ac:dyDescent="0.25">
      <c r="A2669" s="509"/>
      <c r="B2669" s="256"/>
      <c r="C2669" s="221"/>
      <c r="D2669" s="218"/>
      <c r="E2669" s="218"/>
      <c r="F2669" s="642" t="s">
        <v>236</v>
      </c>
      <c r="G2669" s="643" t="s">
        <v>237</v>
      </c>
      <c r="H2669" s="594"/>
      <c r="I2669" s="595"/>
      <c r="J2669" s="599">
        <f t="shared" si="85"/>
        <v>0</v>
      </c>
      <c r="K2669" s="533"/>
      <c r="L2669" s="533"/>
      <c r="M2669" s="533"/>
      <c r="N2669" s="268"/>
      <c r="O2669" s="533"/>
      <c r="P2669" s="533"/>
      <c r="Q2669" s="533"/>
      <c r="R2669" s="533"/>
      <c r="S2669" s="533"/>
      <c r="T2669" s="533"/>
      <c r="U2669" s="533"/>
      <c r="V2669" s="533"/>
      <c r="W2669" s="533"/>
      <c r="X2669" s="533"/>
      <c r="Y2669" s="533"/>
    </row>
    <row r="2670" spans="1:25" s="88" customFormat="1" hidden="1" x14ac:dyDescent="0.25">
      <c r="A2670" s="509"/>
      <c r="B2670" s="256"/>
      <c r="C2670" s="221"/>
      <c r="D2670" s="218"/>
      <c r="E2670" s="218"/>
      <c r="F2670" s="642" t="s">
        <v>238</v>
      </c>
      <c r="G2670" s="643" t="s">
        <v>239</v>
      </c>
      <c r="H2670" s="594"/>
      <c r="I2670" s="595"/>
      <c r="J2670" s="599">
        <f t="shared" si="85"/>
        <v>0</v>
      </c>
      <c r="K2670" s="533"/>
      <c r="L2670" s="533"/>
      <c r="M2670" s="533"/>
      <c r="N2670" s="268"/>
      <c r="O2670" s="533"/>
      <c r="P2670" s="533"/>
      <c r="Q2670" s="533"/>
      <c r="R2670" s="533"/>
      <c r="S2670" s="533"/>
      <c r="T2670" s="533"/>
      <c r="U2670" s="533"/>
      <c r="V2670" s="533"/>
      <c r="W2670" s="533"/>
      <c r="X2670" s="533"/>
      <c r="Y2670" s="533"/>
    </row>
    <row r="2671" spans="1:25" s="88" customFormat="1" hidden="1" x14ac:dyDescent="0.25">
      <c r="A2671" s="509"/>
      <c r="B2671" s="256"/>
      <c r="C2671" s="221"/>
      <c r="D2671" s="218"/>
      <c r="E2671" s="218"/>
      <c r="F2671" s="642" t="s">
        <v>240</v>
      </c>
      <c r="G2671" s="643" t="s">
        <v>241</v>
      </c>
      <c r="H2671" s="594"/>
      <c r="I2671" s="595"/>
      <c r="J2671" s="599">
        <f t="shared" si="85"/>
        <v>0</v>
      </c>
      <c r="K2671" s="533"/>
      <c r="L2671" s="533"/>
      <c r="M2671" s="533"/>
      <c r="N2671" s="268"/>
      <c r="O2671" s="533"/>
      <c r="P2671" s="533"/>
      <c r="Q2671" s="533"/>
      <c r="R2671" s="533"/>
      <c r="S2671" s="533"/>
      <c r="T2671" s="533"/>
      <c r="U2671" s="533"/>
      <c r="V2671" s="533"/>
      <c r="W2671" s="533"/>
      <c r="X2671" s="533"/>
      <c r="Y2671" s="533"/>
    </row>
    <row r="2672" spans="1:25" s="88" customFormat="1" hidden="1" x14ac:dyDescent="0.25">
      <c r="A2672" s="509"/>
      <c r="B2672" s="256"/>
      <c r="C2672" s="221"/>
      <c r="D2672" s="218"/>
      <c r="E2672" s="218"/>
      <c r="F2672" s="642" t="s">
        <v>242</v>
      </c>
      <c r="G2672" s="643" t="s">
        <v>243</v>
      </c>
      <c r="H2672" s="594"/>
      <c r="I2672" s="595"/>
      <c r="J2672" s="599">
        <f t="shared" si="85"/>
        <v>0</v>
      </c>
      <c r="K2672" s="533"/>
      <c r="L2672" s="533"/>
      <c r="M2672" s="533"/>
      <c r="N2672" s="268"/>
      <c r="O2672" s="533"/>
      <c r="P2672" s="533"/>
      <c r="Q2672" s="533"/>
      <c r="R2672" s="533"/>
      <c r="S2672" s="533"/>
      <c r="T2672" s="533"/>
      <c r="U2672" s="533"/>
      <c r="V2672" s="533"/>
      <c r="W2672" s="533"/>
      <c r="X2672" s="533"/>
      <c r="Y2672" s="533"/>
    </row>
    <row r="2673" spans="1:25" s="88" customFormat="1" hidden="1" x14ac:dyDescent="0.25">
      <c r="A2673" s="509"/>
      <c r="B2673" s="256"/>
      <c r="C2673" s="221"/>
      <c r="D2673" s="218"/>
      <c r="E2673" s="218"/>
      <c r="F2673" s="642" t="s">
        <v>244</v>
      </c>
      <c r="G2673" s="643" t="s">
        <v>245</v>
      </c>
      <c r="H2673" s="594"/>
      <c r="I2673" s="595"/>
      <c r="J2673" s="599">
        <f t="shared" si="85"/>
        <v>0</v>
      </c>
      <c r="K2673" s="533"/>
      <c r="L2673" s="533"/>
      <c r="M2673" s="533"/>
      <c r="N2673" s="268"/>
      <c r="O2673" s="533"/>
      <c r="P2673" s="533"/>
      <c r="Q2673" s="533"/>
      <c r="R2673" s="533"/>
      <c r="S2673" s="533"/>
      <c r="T2673" s="533"/>
      <c r="U2673" s="533"/>
      <c r="V2673" s="533"/>
      <c r="W2673" s="533"/>
      <c r="X2673" s="533"/>
      <c r="Y2673" s="533"/>
    </row>
    <row r="2674" spans="1:25" s="88" customFormat="1" hidden="1" x14ac:dyDescent="0.25">
      <c r="A2674" s="509"/>
      <c r="B2674" s="256"/>
      <c r="C2674" s="221"/>
      <c r="D2674" s="218"/>
      <c r="E2674" s="218"/>
      <c r="F2674" s="642" t="s">
        <v>246</v>
      </c>
      <c r="G2674" s="643" t="s">
        <v>247</v>
      </c>
      <c r="H2674" s="594"/>
      <c r="I2674" s="595"/>
      <c r="J2674" s="599">
        <f t="shared" si="85"/>
        <v>0</v>
      </c>
      <c r="K2674" s="533"/>
      <c r="L2674" s="533"/>
      <c r="M2674" s="533"/>
      <c r="N2674" s="268"/>
      <c r="O2674" s="533"/>
      <c r="P2674" s="533"/>
      <c r="Q2674" s="533"/>
      <c r="R2674" s="533"/>
      <c r="S2674" s="533"/>
      <c r="T2674" s="533"/>
      <c r="U2674" s="533"/>
      <c r="V2674" s="533"/>
      <c r="W2674" s="533"/>
      <c r="X2674" s="533"/>
      <c r="Y2674" s="533"/>
    </row>
    <row r="2675" spans="1:25" s="88" customFormat="1" hidden="1" x14ac:dyDescent="0.25">
      <c r="A2675" s="509"/>
      <c r="B2675" s="256"/>
      <c r="C2675" s="221"/>
      <c r="D2675" s="218"/>
      <c r="E2675" s="218"/>
      <c r="F2675" s="642" t="s">
        <v>248</v>
      </c>
      <c r="G2675" s="643" t="s">
        <v>249</v>
      </c>
      <c r="H2675" s="594"/>
      <c r="I2675" s="595"/>
      <c r="J2675" s="599">
        <f t="shared" si="85"/>
        <v>0</v>
      </c>
      <c r="K2675" s="533"/>
      <c r="L2675" s="533"/>
      <c r="M2675" s="533"/>
      <c r="N2675" s="268"/>
      <c r="O2675" s="533"/>
      <c r="P2675" s="533"/>
      <c r="Q2675" s="533"/>
      <c r="R2675" s="533"/>
      <c r="S2675" s="533"/>
      <c r="T2675" s="533"/>
      <c r="U2675" s="533"/>
      <c r="V2675" s="533"/>
      <c r="W2675" s="533"/>
      <c r="X2675" s="533"/>
      <c r="Y2675" s="533"/>
    </row>
    <row r="2676" spans="1:25" s="88" customFormat="1" hidden="1" x14ac:dyDescent="0.25">
      <c r="A2676" s="218"/>
      <c r="B2676" s="218"/>
      <c r="C2676" s="221"/>
      <c r="D2676" s="218"/>
      <c r="E2676" s="218"/>
      <c r="F2676" s="642" t="s">
        <v>250</v>
      </c>
      <c r="G2676" s="643" t="s">
        <v>57</v>
      </c>
      <c r="H2676" s="594"/>
      <c r="I2676" s="595"/>
      <c r="J2676" s="599">
        <f t="shared" si="85"/>
        <v>0</v>
      </c>
      <c r="K2676" s="533"/>
      <c r="L2676" s="533"/>
      <c r="M2676" s="533"/>
      <c r="N2676" s="268"/>
      <c r="O2676" s="533"/>
      <c r="P2676" s="533"/>
      <c r="Q2676" s="533"/>
      <c r="R2676" s="533"/>
      <c r="S2676" s="533"/>
      <c r="T2676" s="533"/>
      <c r="U2676" s="533"/>
      <c r="V2676" s="533"/>
      <c r="W2676" s="533"/>
      <c r="X2676" s="533"/>
      <c r="Y2676" s="533"/>
    </row>
    <row r="2677" spans="1:25" s="88" customFormat="1" hidden="1" x14ac:dyDescent="0.25">
      <c r="A2677" s="218"/>
      <c r="B2677" s="218"/>
      <c r="C2677" s="221"/>
      <c r="D2677" s="218"/>
      <c r="E2677" s="218"/>
      <c r="F2677" s="642" t="s">
        <v>251</v>
      </c>
      <c r="G2677" s="643" t="s">
        <v>252</v>
      </c>
      <c r="H2677" s="594"/>
      <c r="I2677" s="595"/>
      <c r="J2677" s="599">
        <f t="shared" si="85"/>
        <v>0</v>
      </c>
      <c r="K2677" s="533"/>
      <c r="L2677" s="533"/>
      <c r="M2677" s="533"/>
      <c r="N2677" s="268"/>
      <c r="O2677" s="533"/>
      <c r="P2677" s="533"/>
      <c r="Q2677" s="533"/>
      <c r="R2677" s="533"/>
      <c r="S2677" s="533"/>
      <c r="T2677" s="533"/>
      <c r="U2677" s="533"/>
      <c r="V2677" s="533"/>
      <c r="W2677" s="533"/>
      <c r="X2677" s="533"/>
      <c r="Y2677" s="533"/>
    </row>
    <row r="2678" spans="1:25" s="88" customFormat="1" hidden="1" x14ac:dyDescent="0.25">
      <c r="A2678" s="218"/>
      <c r="B2678" s="218"/>
      <c r="C2678" s="221"/>
      <c r="D2678" s="218"/>
      <c r="E2678" s="218"/>
      <c r="F2678" s="642" t="s">
        <v>253</v>
      </c>
      <c r="G2678" s="643" t="s">
        <v>254</v>
      </c>
      <c r="H2678" s="594"/>
      <c r="I2678" s="595"/>
      <c r="J2678" s="599">
        <f t="shared" si="85"/>
        <v>0</v>
      </c>
      <c r="K2678" s="533"/>
      <c r="L2678" s="533"/>
      <c r="M2678" s="533"/>
      <c r="N2678" s="268"/>
      <c r="O2678" s="533"/>
      <c r="P2678" s="533"/>
      <c r="Q2678" s="533"/>
      <c r="R2678" s="533"/>
      <c r="S2678" s="533"/>
      <c r="T2678" s="533"/>
      <c r="U2678" s="533"/>
      <c r="V2678" s="533"/>
      <c r="W2678" s="533"/>
      <c r="X2678" s="533"/>
      <c r="Y2678" s="533"/>
    </row>
    <row r="2679" spans="1:25" s="88" customFormat="1" ht="30" hidden="1" x14ac:dyDescent="0.25">
      <c r="A2679" s="218"/>
      <c r="B2679" s="218"/>
      <c r="C2679" s="221"/>
      <c r="D2679" s="218"/>
      <c r="E2679" s="218"/>
      <c r="F2679" s="642" t="s">
        <v>255</v>
      </c>
      <c r="G2679" s="643" t="s">
        <v>256</v>
      </c>
      <c r="H2679" s="594"/>
      <c r="I2679" s="595"/>
      <c r="J2679" s="599">
        <f t="shared" si="85"/>
        <v>0</v>
      </c>
      <c r="K2679" s="533"/>
      <c r="L2679" s="533"/>
      <c r="M2679" s="533"/>
      <c r="N2679" s="268"/>
      <c r="O2679" s="533"/>
      <c r="P2679" s="533"/>
      <c r="Q2679" s="533"/>
      <c r="R2679" s="533"/>
      <c r="S2679" s="533"/>
      <c r="T2679" s="533"/>
      <c r="U2679" s="533"/>
      <c r="V2679" s="533"/>
      <c r="W2679" s="533"/>
      <c r="X2679" s="533"/>
      <c r="Y2679" s="533"/>
    </row>
    <row r="2680" spans="1:25" s="88" customFormat="1" hidden="1" x14ac:dyDescent="0.25">
      <c r="A2680" s="218"/>
      <c r="B2680" s="218"/>
      <c r="C2680" s="221"/>
      <c r="D2680" s="218"/>
      <c r="E2680" s="218"/>
      <c r="F2680" s="642" t="s">
        <v>257</v>
      </c>
      <c r="G2680" s="643" t="s">
        <v>258</v>
      </c>
      <c r="H2680" s="594"/>
      <c r="I2680" s="595"/>
      <c r="J2680" s="599">
        <f t="shared" si="85"/>
        <v>0</v>
      </c>
      <c r="K2680" s="533"/>
      <c r="L2680" s="533"/>
      <c r="M2680" s="533"/>
      <c r="N2680" s="268"/>
      <c r="O2680" s="533"/>
      <c r="P2680" s="533"/>
      <c r="Q2680" s="533"/>
      <c r="R2680" s="533"/>
      <c r="S2680" s="533"/>
      <c r="T2680" s="533"/>
      <c r="U2680" s="533"/>
      <c r="V2680" s="533"/>
      <c r="W2680" s="533"/>
      <c r="X2680" s="533"/>
      <c r="Y2680" s="533"/>
    </row>
    <row r="2681" spans="1:25" s="88" customFormat="1" ht="30" hidden="1" x14ac:dyDescent="0.25">
      <c r="A2681" s="218"/>
      <c r="B2681" s="218"/>
      <c r="C2681" s="221"/>
      <c r="D2681" s="218"/>
      <c r="E2681" s="218"/>
      <c r="F2681" s="642" t="s">
        <v>259</v>
      </c>
      <c r="G2681" s="643" t="s">
        <v>260</v>
      </c>
      <c r="H2681" s="594"/>
      <c r="I2681" s="595"/>
      <c r="J2681" s="599">
        <f t="shared" si="85"/>
        <v>0</v>
      </c>
      <c r="K2681" s="533"/>
      <c r="L2681" s="533"/>
      <c r="M2681" s="533"/>
      <c r="N2681" s="268"/>
      <c r="O2681" s="533"/>
      <c r="P2681" s="533"/>
      <c r="Q2681" s="533"/>
      <c r="R2681" s="533"/>
      <c r="S2681" s="533"/>
      <c r="T2681" s="533"/>
      <c r="U2681" s="533"/>
      <c r="V2681" s="533"/>
      <c r="W2681" s="533"/>
      <c r="X2681" s="533"/>
      <c r="Y2681" s="533"/>
    </row>
    <row r="2682" spans="1:25" s="88" customFormat="1" hidden="1" x14ac:dyDescent="0.25">
      <c r="A2682" s="218"/>
      <c r="B2682" s="218"/>
      <c r="C2682" s="221"/>
      <c r="D2682" s="218"/>
      <c r="E2682" s="218"/>
      <c r="F2682" s="642" t="s">
        <v>261</v>
      </c>
      <c r="G2682" s="643" t="s">
        <v>262</v>
      </c>
      <c r="H2682" s="594"/>
      <c r="I2682" s="595"/>
      <c r="J2682" s="599">
        <f t="shared" si="85"/>
        <v>0</v>
      </c>
      <c r="K2682" s="533"/>
      <c r="L2682" s="533"/>
      <c r="M2682" s="533"/>
      <c r="N2682" s="268"/>
      <c r="O2682" s="533"/>
      <c r="P2682" s="533"/>
      <c r="Q2682" s="533"/>
      <c r="R2682" s="533"/>
      <c r="S2682" s="533"/>
      <c r="T2682" s="533"/>
      <c r="U2682" s="533"/>
      <c r="V2682" s="533"/>
      <c r="W2682" s="533"/>
      <c r="X2682" s="533"/>
      <c r="Y2682" s="533"/>
    </row>
    <row r="2683" spans="1:25" s="88" customFormat="1" ht="15.75" hidden="1" thickBot="1" x14ac:dyDescent="0.3">
      <c r="A2683" s="218"/>
      <c r="B2683" s="218"/>
      <c r="C2683" s="221"/>
      <c r="D2683" s="218"/>
      <c r="E2683" s="218"/>
      <c r="F2683" s="642" t="s">
        <v>263</v>
      </c>
      <c r="G2683" s="643" t="s">
        <v>264</v>
      </c>
      <c r="H2683" s="598"/>
      <c r="I2683" s="599"/>
      <c r="J2683" s="599">
        <f t="shared" si="85"/>
        <v>0</v>
      </c>
      <c r="K2683" s="533"/>
      <c r="L2683" s="533"/>
      <c r="M2683" s="533"/>
      <c r="N2683" s="268"/>
      <c r="O2683" s="533"/>
      <c r="P2683" s="533"/>
      <c r="Q2683" s="533"/>
      <c r="R2683" s="533"/>
      <c r="S2683" s="533"/>
      <c r="T2683" s="533"/>
      <c r="U2683" s="533"/>
      <c r="V2683" s="533"/>
      <c r="W2683" s="533"/>
      <c r="X2683" s="533"/>
      <c r="Y2683" s="533"/>
    </row>
    <row r="2684" spans="1:25" s="88" customFormat="1" ht="15.75" thickBot="1" x14ac:dyDescent="0.3">
      <c r="A2684" s="218"/>
      <c r="B2684" s="218"/>
      <c r="C2684" s="221"/>
      <c r="D2684" s="218"/>
      <c r="E2684" s="218"/>
      <c r="F2684" s="218"/>
      <c r="G2684" s="229" t="s">
        <v>4369</v>
      </c>
      <c r="H2684" s="600">
        <f>SUM(H2668:H2683)</f>
        <v>5700000</v>
      </c>
      <c r="I2684" s="601">
        <f>SUM(I2669:I2683)</f>
        <v>0</v>
      </c>
      <c r="J2684" s="601">
        <f>SUM(J2668:J2683)</f>
        <v>5700000</v>
      </c>
      <c r="K2684" s="533"/>
      <c r="L2684" s="533"/>
      <c r="M2684" s="533"/>
      <c r="N2684" s="268"/>
      <c r="O2684" s="533"/>
      <c r="P2684" s="533"/>
      <c r="Q2684" s="533"/>
      <c r="R2684" s="533"/>
      <c r="S2684" s="533"/>
      <c r="T2684" s="533"/>
      <c r="U2684" s="533"/>
      <c r="V2684" s="533"/>
      <c r="W2684" s="533"/>
      <c r="X2684" s="533"/>
      <c r="Y2684" s="533"/>
    </row>
    <row r="2685" spans="1:25" s="88" customFormat="1" x14ac:dyDescent="0.25">
      <c r="A2685" s="218"/>
      <c r="B2685" s="218"/>
      <c r="C2685" s="221"/>
      <c r="D2685" s="218"/>
      <c r="E2685" s="218"/>
      <c r="F2685" s="218"/>
      <c r="G2685" s="286" t="s">
        <v>5245</v>
      </c>
      <c r="H2685" s="604"/>
      <c r="I2685" s="605"/>
      <c r="J2685" s="605"/>
      <c r="K2685" s="533"/>
      <c r="L2685" s="533"/>
      <c r="M2685" s="533"/>
      <c r="N2685" s="268"/>
      <c r="O2685" s="533"/>
      <c r="P2685" s="533"/>
      <c r="Q2685" s="533"/>
      <c r="R2685" s="533"/>
      <c r="S2685" s="533"/>
      <c r="T2685" s="533"/>
      <c r="U2685" s="533"/>
      <c r="V2685" s="533"/>
      <c r="W2685" s="533"/>
      <c r="X2685" s="533"/>
      <c r="Y2685" s="533"/>
    </row>
    <row r="2686" spans="1:25" s="88" customFormat="1" ht="15.75" thickBot="1" x14ac:dyDescent="0.3">
      <c r="A2686" s="218"/>
      <c r="B2686" s="218"/>
      <c r="C2686" s="221"/>
      <c r="D2686" s="218"/>
      <c r="E2686" s="218"/>
      <c r="F2686" s="218" t="s">
        <v>234</v>
      </c>
      <c r="G2686" s="723" t="s">
        <v>235</v>
      </c>
      <c r="H2686" s="725">
        <f>SUM(H2684)</f>
        <v>5700000</v>
      </c>
      <c r="I2686" s="726"/>
      <c r="J2686" s="729">
        <f t="shared" ref="J2686:J2701" si="86">SUM(H2686:I2686)</f>
        <v>5700000</v>
      </c>
      <c r="K2686" s="533"/>
      <c r="L2686" s="533"/>
      <c r="M2686" s="533"/>
      <c r="N2686" s="268"/>
      <c r="O2686" s="533"/>
      <c r="P2686" s="533"/>
      <c r="Q2686" s="533"/>
      <c r="R2686" s="533"/>
      <c r="S2686" s="533"/>
      <c r="T2686" s="533"/>
      <c r="U2686" s="533"/>
      <c r="V2686" s="533"/>
      <c r="W2686" s="533"/>
      <c r="X2686" s="533"/>
      <c r="Y2686" s="533"/>
    </row>
    <row r="2687" spans="1:25" s="88" customFormat="1" hidden="1" x14ac:dyDescent="0.25">
      <c r="A2687" s="218"/>
      <c r="B2687" s="218"/>
      <c r="C2687" s="221"/>
      <c r="D2687" s="218"/>
      <c r="E2687" s="218"/>
      <c r="F2687" s="218" t="s">
        <v>236</v>
      </c>
      <c r="G2687" s="286" t="s">
        <v>237</v>
      </c>
      <c r="H2687" s="604"/>
      <c r="I2687" s="605"/>
      <c r="J2687" s="605">
        <f t="shared" si="86"/>
        <v>0</v>
      </c>
      <c r="K2687" s="533"/>
      <c r="L2687" s="533"/>
      <c r="M2687" s="533"/>
      <c r="N2687" s="268"/>
      <c r="O2687" s="533"/>
      <c r="P2687" s="533"/>
      <c r="Q2687" s="533"/>
      <c r="R2687" s="533"/>
      <c r="S2687" s="533"/>
      <c r="T2687" s="533"/>
      <c r="U2687" s="533"/>
      <c r="V2687" s="533"/>
      <c r="W2687" s="533"/>
      <c r="X2687" s="533"/>
      <c r="Y2687" s="533"/>
    </row>
    <row r="2688" spans="1:25" s="88" customFormat="1" hidden="1" x14ac:dyDescent="0.25">
      <c r="A2688" s="218"/>
      <c r="B2688" s="218"/>
      <c r="C2688" s="221"/>
      <c r="D2688" s="218"/>
      <c r="E2688" s="218"/>
      <c r="F2688" s="218" t="s">
        <v>238</v>
      </c>
      <c r="G2688" s="286" t="s">
        <v>239</v>
      </c>
      <c r="H2688" s="604"/>
      <c r="I2688" s="605"/>
      <c r="J2688" s="605">
        <f t="shared" si="86"/>
        <v>0</v>
      </c>
      <c r="K2688" s="533"/>
      <c r="L2688" s="533"/>
      <c r="M2688" s="533"/>
      <c r="N2688" s="268"/>
      <c r="O2688" s="533"/>
      <c r="P2688" s="533"/>
      <c r="Q2688" s="533"/>
      <c r="R2688" s="533"/>
      <c r="S2688" s="533"/>
      <c r="T2688" s="533"/>
      <c r="U2688" s="533"/>
      <c r="V2688" s="533"/>
      <c r="W2688" s="533"/>
      <c r="X2688" s="533"/>
      <c r="Y2688" s="533"/>
    </row>
    <row r="2689" spans="1:25" s="88" customFormat="1" hidden="1" x14ac:dyDescent="0.25">
      <c r="A2689" s="218"/>
      <c r="B2689" s="218"/>
      <c r="C2689" s="221"/>
      <c r="D2689" s="218"/>
      <c r="E2689" s="218"/>
      <c r="F2689" s="218" t="s">
        <v>240</v>
      </c>
      <c r="G2689" s="286" t="s">
        <v>241</v>
      </c>
      <c r="H2689" s="604"/>
      <c r="I2689" s="605"/>
      <c r="J2689" s="605">
        <f t="shared" si="86"/>
        <v>0</v>
      </c>
      <c r="K2689" s="533"/>
      <c r="L2689" s="533"/>
      <c r="M2689" s="533"/>
      <c r="N2689" s="268"/>
      <c r="O2689" s="533"/>
      <c r="P2689" s="533"/>
      <c r="Q2689" s="533"/>
      <c r="R2689" s="533"/>
      <c r="S2689" s="533"/>
      <c r="T2689" s="533"/>
      <c r="U2689" s="533"/>
      <c r="V2689" s="533"/>
      <c r="W2689" s="533"/>
      <c r="X2689" s="533"/>
      <c r="Y2689" s="533"/>
    </row>
    <row r="2690" spans="1:25" s="88" customFormat="1" hidden="1" x14ac:dyDescent="0.25">
      <c r="A2690" s="218"/>
      <c r="B2690" s="218"/>
      <c r="C2690" s="221"/>
      <c r="D2690" s="218"/>
      <c r="E2690" s="218"/>
      <c r="F2690" s="218" t="s">
        <v>242</v>
      </c>
      <c r="G2690" s="286" t="s">
        <v>243</v>
      </c>
      <c r="H2690" s="604"/>
      <c r="I2690" s="605"/>
      <c r="J2690" s="605">
        <f t="shared" si="86"/>
        <v>0</v>
      </c>
      <c r="K2690" s="533"/>
      <c r="L2690" s="533"/>
      <c r="M2690" s="533"/>
      <c r="N2690" s="268"/>
      <c r="O2690" s="533"/>
      <c r="P2690" s="533"/>
      <c r="Q2690" s="533"/>
      <c r="R2690" s="533"/>
      <c r="S2690" s="533"/>
      <c r="T2690" s="533"/>
      <c r="U2690" s="533"/>
      <c r="V2690" s="533"/>
      <c r="W2690" s="533"/>
      <c r="X2690" s="533"/>
      <c r="Y2690" s="533"/>
    </row>
    <row r="2691" spans="1:25" s="88" customFormat="1" hidden="1" x14ac:dyDescent="0.25">
      <c r="A2691" s="218"/>
      <c r="B2691" s="218"/>
      <c r="C2691" s="221"/>
      <c r="D2691" s="218"/>
      <c r="E2691" s="218"/>
      <c r="F2691" s="218" t="s">
        <v>244</v>
      </c>
      <c r="G2691" s="286" t="s">
        <v>245</v>
      </c>
      <c r="H2691" s="604"/>
      <c r="I2691" s="605"/>
      <c r="J2691" s="605">
        <f t="shared" si="86"/>
        <v>0</v>
      </c>
      <c r="K2691" s="533"/>
      <c r="L2691" s="533"/>
      <c r="M2691" s="533"/>
      <c r="N2691" s="268"/>
      <c r="O2691" s="533"/>
      <c r="P2691" s="533"/>
      <c r="Q2691" s="533"/>
      <c r="R2691" s="533"/>
      <c r="S2691" s="533"/>
      <c r="T2691" s="533"/>
      <c r="U2691" s="533"/>
      <c r="V2691" s="533"/>
      <c r="W2691" s="533"/>
      <c r="X2691" s="533"/>
      <c r="Y2691" s="533"/>
    </row>
    <row r="2692" spans="1:25" s="88" customFormat="1" hidden="1" x14ac:dyDescent="0.25">
      <c r="A2692" s="218"/>
      <c r="B2692" s="218"/>
      <c r="C2692" s="221"/>
      <c r="D2692" s="218"/>
      <c r="E2692" s="218"/>
      <c r="F2692" s="218" t="s">
        <v>246</v>
      </c>
      <c r="G2692" s="286" t="s">
        <v>247</v>
      </c>
      <c r="H2692" s="604"/>
      <c r="I2692" s="605"/>
      <c r="J2692" s="605">
        <f t="shared" si="86"/>
        <v>0</v>
      </c>
      <c r="K2692" s="533"/>
      <c r="L2692" s="533"/>
      <c r="M2692" s="533"/>
      <c r="N2692" s="268"/>
      <c r="O2692" s="533"/>
      <c r="P2692" s="533"/>
      <c r="Q2692" s="533"/>
      <c r="R2692" s="533"/>
      <c r="S2692" s="533"/>
      <c r="T2692" s="533"/>
      <c r="U2692" s="533"/>
      <c r="V2692" s="533"/>
      <c r="W2692" s="533"/>
      <c r="X2692" s="533"/>
      <c r="Y2692" s="533"/>
    </row>
    <row r="2693" spans="1:25" s="88" customFormat="1" hidden="1" x14ac:dyDescent="0.25">
      <c r="A2693" s="218"/>
      <c r="B2693" s="218"/>
      <c r="C2693" s="221"/>
      <c r="D2693" s="218"/>
      <c r="E2693" s="218"/>
      <c r="F2693" s="218" t="s">
        <v>248</v>
      </c>
      <c r="G2693" s="286" t="s">
        <v>249</v>
      </c>
      <c r="H2693" s="604"/>
      <c r="I2693" s="605"/>
      <c r="J2693" s="605">
        <f t="shared" si="86"/>
        <v>0</v>
      </c>
      <c r="K2693" s="533"/>
      <c r="L2693" s="533"/>
      <c r="M2693" s="533"/>
      <c r="N2693" s="268"/>
      <c r="O2693" s="533"/>
      <c r="P2693" s="533"/>
      <c r="Q2693" s="533"/>
      <c r="R2693" s="533"/>
      <c r="S2693" s="533"/>
      <c r="T2693" s="533"/>
      <c r="U2693" s="533"/>
      <c r="V2693" s="533"/>
      <c r="W2693" s="533"/>
      <c r="X2693" s="533"/>
      <c r="Y2693" s="533"/>
    </row>
    <row r="2694" spans="1:25" s="88" customFormat="1" hidden="1" x14ac:dyDescent="0.25">
      <c r="A2694" s="218"/>
      <c r="B2694" s="218"/>
      <c r="C2694" s="221"/>
      <c r="D2694" s="218"/>
      <c r="E2694" s="218"/>
      <c r="F2694" s="218" t="s">
        <v>250</v>
      </c>
      <c r="G2694" s="286" t="s">
        <v>57</v>
      </c>
      <c r="H2694" s="604"/>
      <c r="I2694" s="605"/>
      <c r="J2694" s="605">
        <f t="shared" si="86"/>
        <v>0</v>
      </c>
      <c r="K2694" s="533"/>
      <c r="L2694" s="533"/>
      <c r="M2694" s="533"/>
      <c r="N2694" s="268"/>
      <c r="O2694" s="533"/>
      <c r="P2694" s="533"/>
      <c r="Q2694" s="533"/>
      <c r="R2694" s="533"/>
      <c r="S2694" s="533"/>
      <c r="T2694" s="533"/>
      <c r="U2694" s="533"/>
      <c r="V2694" s="533"/>
      <c r="W2694" s="533"/>
      <c r="X2694" s="533"/>
      <c r="Y2694" s="533"/>
    </row>
    <row r="2695" spans="1:25" s="88" customFormat="1" hidden="1" x14ac:dyDescent="0.25">
      <c r="A2695" s="218"/>
      <c r="B2695" s="218"/>
      <c r="C2695" s="221"/>
      <c r="D2695" s="218"/>
      <c r="E2695" s="218"/>
      <c r="F2695" s="218" t="s">
        <v>251</v>
      </c>
      <c r="G2695" s="286" t="s">
        <v>252</v>
      </c>
      <c r="H2695" s="604"/>
      <c r="I2695" s="605"/>
      <c r="J2695" s="605">
        <f t="shared" si="86"/>
        <v>0</v>
      </c>
      <c r="K2695" s="533"/>
      <c r="L2695" s="533"/>
      <c r="M2695" s="533"/>
      <c r="N2695" s="268"/>
      <c r="O2695" s="533"/>
      <c r="P2695" s="533"/>
      <c r="Q2695" s="533"/>
      <c r="R2695" s="533"/>
      <c r="S2695" s="533"/>
      <c r="T2695" s="533"/>
      <c r="U2695" s="533"/>
      <c r="V2695" s="533"/>
      <c r="W2695" s="533"/>
      <c r="X2695" s="533"/>
      <c r="Y2695" s="533"/>
    </row>
    <row r="2696" spans="1:25" s="88" customFormat="1" hidden="1" x14ac:dyDescent="0.25">
      <c r="A2696" s="218"/>
      <c r="B2696" s="218"/>
      <c r="C2696" s="221"/>
      <c r="D2696" s="218"/>
      <c r="E2696" s="218"/>
      <c r="F2696" s="218" t="s">
        <v>253</v>
      </c>
      <c r="G2696" s="286" t="s">
        <v>254</v>
      </c>
      <c r="H2696" s="604"/>
      <c r="I2696" s="605"/>
      <c r="J2696" s="605">
        <f t="shared" si="86"/>
        <v>0</v>
      </c>
      <c r="K2696" s="533"/>
      <c r="L2696" s="533"/>
      <c r="M2696" s="533"/>
      <c r="N2696" s="268"/>
      <c r="O2696" s="533"/>
      <c r="P2696" s="533"/>
      <c r="Q2696" s="533"/>
      <c r="R2696" s="533"/>
      <c r="S2696" s="533"/>
      <c r="T2696" s="533"/>
      <c r="U2696" s="533"/>
      <c r="V2696" s="533"/>
      <c r="W2696" s="533"/>
      <c r="X2696" s="533"/>
      <c r="Y2696" s="533"/>
    </row>
    <row r="2697" spans="1:25" s="88" customFormat="1" ht="28.5" hidden="1" x14ac:dyDescent="0.25">
      <c r="A2697" s="218"/>
      <c r="B2697" s="218"/>
      <c r="C2697" s="221"/>
      <c r="D2697" s="218"/>
      <c r="E2697" s="218"/>
      <c r="F2697" s="218" t="s">
        <v>255</v>
      </c>
      <c r="G2697" s="286" t="s">
        <v>256</v>
      </c>
      <c r="H2697" s="604"/>
      <c r="I2697" s="605"/>
      <c r="J2697" s="605">
        <f t="shared" si="86"/>
        <v>0</v>
      </c>
      <c r="K2697" s="533"/>
      <c r="L2697" s="533"/>
      <c r="M2697" s="533"/>
      <c r="N2697" s="268"/>
      <c r="O2697" s="533"/>
      <c r="P2697" s="533"/>
      <c r="Q2697" s="533"/>
      <c r="R2697" s="533"/>
      <c r="S2697" s="533"/>
      <c r="T2697" s="533"/>
      <c r="U2697" s="533"/>
      <c r="V2697" s="533"/>
      <c r="W2697" s="533"/>
      <c r="X2697" s="533"/>
      <c r="Y2697" s="533"/>
    </row>
    <row r="2698" spans="1:25" s="88" customFormat="1" hidden="1" x14ac:dyDescent="0.25">
      <c r="A2698" s="218"/>
      <c r="B2698" s="218"/>
      <c r="C2698" s="221"/>
      <c r="D2698" s="218"/>
      <c r="E2698" s="218"/>
      <c r="F2698" s="218" t="s">
        <v>257</v>
      </c>
      <c r="G2698" s="286" t="s">
        <v>258</v>
      </c>
      <c r="H2698" s="604"/>
      <c r="I2698" s="605"/>
      <c r="J2698" s="605">
        <f t="shared" si="86"/>
        <v>0</v>
      </c>
      <c r="K2698" s="533"/>
      <c r="L2698" s="533"/>
      <c r="M2698" s="533"/>
      <c r="N2698" s="268"/>
      <c r="O2698" s="533"/>
      <c r="P2698" s="533"/>
      <c r="Q2698" s="533"/>
      <c r="R2698" s="533"/>
      <c r="S2698" s="533"/>
      <c r="T2698" s="533"/>
      <c r="U2698" s="533"/>
      <c r="V2698" s="533"/>
      <c r="W2698" s="533"/>
      <c r="X2698" s="533"/>
      <c r="Y2698" s="533"/>
    </row>
    <row r="2699" spans="1:25" s="88" customFormat="1" ht="28.5" hidden="1" x14ac:dyDescent="0.25">
      <c r="A2699" s="218"/>
      <c r="B2699" s="218"/>
      <c r="C2699" s="221"/>
      <c r="D2699" s="218"/>
      <c r="E2699" s="218"/>
      <c r="F2699" s="218" t="s">
        <v>259</v>
      </c>
      <c r="G2699" s="286" t="s">
        <v>260</v>
      </c>
      <c r="H2699" s="604"/>
      <c r="I2699" s="605"/>
      <c r="J2699" s="605">
        <f t="shared" si="86"/>
        <v>0</v>
      </c>
      <c r="K2699" s="533"/>
      <c r="L2699" s="533"/>
      <c r="M2699" s="533"/>
      <c r="N2699" s="268"/>
      <c r="O2699" s="533"/>
      <c r="P2699" s="533"/>
      <c r="Q2699" s="533"/>
      <c r="R2699" s="533"/>
      <c r="S2699" s="533"/>
      <c r="T2699" s="533"/>
      <c r="U2699" s="533"/>
      <c r="V2699" s="533"/>
      <c r="W2699" s="533"/>
      <c r="X2699" s="533"/>
      <c r="Y2699" s="533"/>
    </row>
    <row r="2700" spans="1:25" s="88" customFormat="1" hidden="1" x14ac:dyDescent="0.25">
      <c r="A2700" s="218"/>
      <c r="B2700" s="218"/>
      <c r="C2700" s="221"/>
      <c r="D2700" s="218"/>
      <c r="E2700" s="218"/>
      <c r="F2700" s="218" t="s">
        <v>261</v>
      </c>
      <c r="G2700" s="286" t="s">
        <v>262</v>
      </c>
      <c r="H2700" s="604"/>
      <c r="I2700" s="605"/>
      <c r="J2700" s="605">
        <f t="shared" si="86"/>
        <v>0</v>
      </c>
      <c r="K2700" s="533"/>
      <c r="L2700" s="533"/>
      <c r="M2700" s="533"/>
      <c r="N2700" s="268"/>
      <c r="O2700" s="533"/>
      <c r="P2700" s="533"/>
      <c r="Q2700" s="533"/>
      <c r="R2700" s="533"/>
      <c r="S2700" s="533"/>
      <c r="T2700" s="533"/>
      <c r="U2700" s="533"/>
      <c r="V2700" s="533"/>
      <c r="W2700" s="533"/>
      <c r="X2700" s="533"/>
      <c r="Y2700" s="533"/>
    </row>
    <row r="2701" spans="1:25" s="88" customFormat="1" hidden="1" x14ac:dyDescent="0.25">
      <c r="A2701" s="218"/>
      <c r="B2701" s="218"/>
      <c r="C2701" s="221"/>
      <c r="D2701" s="218"/>
      <c r="E2701" s="218"/>
      <c r="F2701" s="218" t="s">
        <v>263</v>
      </c>
      <c r="G2701" s="286" t="s">
        <v>264</v>
      </c>
      <c r="H2701" s="604"/>
      <c r="I2701" s="605"/>
      <c r="J2701" s="605">
        <f t="shared" si="86"/>
        <v>0</v>
      </c>
      <c r="K2701" s="533"/>
      <c r="L2701" s="533"/>
      <c r="M2701" s="533"/>
      <c r="N2701" s="268"/>
      <c r="O2701" s="533"/>
      <c r="P2701" s="533"/>
      <c r="Q2701" s="533"/>
      <c r="R2701" s="533"/>
      <c r="S2701" s="533"/>
      <c r="T2701" s="533"/>
      <c r="U2701" s="533"/>
      <c r="V2701" s="533"/>
      <c r="W2701" s="533"/>
      <c r="X2701" s="533"/>
      <c r="Y2701" s="533"/>
    </row>
    <row r="2702" spans="1:25" s="88" customFormat="1" ht="15.75" thickBot="1" x14ac:dyDescent="0.3">
      <c r="A2702" s="218"/>
      <c r="B2702" s="218"/>
      <c r="C2702" s="221"/>
      <c r="D2702" s="218"/>
      <c r="E2702" s="218"/>
      <c r="F2702" s="218"/>
      <c r="G2702" s="727" t="s">
        <v>5246</v>
      </c>
      <c r="H2702" s="728">
        <f>SUM(H2686:H2701)</f>
        <v>5700000</v>
      </c>
      <c r="I2702" s="726">
        <f>SUM(I2687:I2701)</f>
        <v>0</v>
      </c>
      <c r="J2702" s="726">
        <f>SUM(J2686:J2701)</f>
        <v>5700000</v>
      </c>
      <c r="K2702" s="533"/>
      <c r="L2702" s="533"/>
      <c r="M2702" s="533"/>
      <c r="N2702" s="268"/>
      <c r="O2702" s="533"/>
      <c r="P2702" s="533"/>
      <c r="Q2702" s="533"/>
      <c r="R2702" s="533"/>
      <c r="S2702" s="533"/>
      <c r="T2702" s="533"/>
      <c r="U2702" s="533"/>
      <c r="V2702" s="533"/>
      <c r="W2702" s="533"/>
      <c r="X2702" s="533"/>
      <c r="Y2702" s="533"/>
    </row>
    <row r="2703" spans="1:25" s="88" customFormat="1" x14ac:dyDescent="0.25">
      <c r="A2703" s="218"/>
      <c r="B2703" s="218"/>
      <c r="C2703" s="221"/>
      <c r="D2703" s="218"/>
      <c r="E2703" s="218"/>
      <c r="F2703" s="218"/>
      <c r="G2703" s="286"/>
      <c r="H2703" s="604"/>
      <c r="I2703" s="605"/>
      <c r="J2703" s="605"/>
      <c r="K2703" s="533"/>
      <c r="L2703" s="533"/>
      <c r="M2703" s="533"/>
      <c r="N2703" s="268"/>
      <c r="O2703" s="533"/>
      <c r="P2703" s="533"/>
      <c r="Q2703" s="533"/>
      <c r="R2703" s="533"/>
      <c r="S2703" s="533"/>
      <c r="T2703" s="533"/>
      <c r="U2703" s="533"/>
      <c r="V2703" s="533"/>
      <c r="W2703" s="533"/>
      <c r="X2703" s="533"/>
      <c r="Y2703" s="533"/>
    </row>
    <row r="2704" spans="1:25" s="88" customFormat="1" hidden="1" x14ac:dyDescent="0.25">
      <c r="A2704" s="218"/>
      <c r="B2704" s="218"/>
      <c r="C2704" s="221"/>
      <c r="D2704" s="218"/>
      <c r="E2704" s="218"/>
      <c r="F2704" s="218"/>
      <c r="G2704" s="286"/>
      <c r="H2704" s="604"/>
      <c r="I2704" s="605"/>
      <c r="J2704" s="605"/>
      <c r="K2704" s="533"/>
      <c r="L2704" s="533"/>
      <c r="M2704" s="533"/>
      <c r="N2704" s="268"/>
      <c r="O2704" s="533"/>
      <c r="P2704" s="533"/>
      <c r="Q2704" s="533"/>
      <c r="R2704" s="533"/>
      <c r="S2704" s="533"/>
      <c r="T2704" s="533"/>
      <c r="U2704" s="533"/>
      <c r="V2704" s="533"/>
      <c r="W2704" s="533"/>
      <c r="X2704" s="533"/>
      <c r="Y2704" s="533"/>
    </row>
    <row r="2705" spans="1:25" s="88" customFormat="1" hidden="1" x14ac:dyDescent="0.25">
      <c r="A2705" s="218"/>
      <c r="B2705" s="218"/>
      <c r="C2705" s="221"/>
      <c r="D2705" s="218"/>
      <c r="E2705" s="218"/>
      <c r="F2705" s="218"/>
      <c r="G2705" s="286"/>
      <c r="H2705" s="604"/>
      <c r="I2705" s="605"/>
      <c r="J2705" s="605"/>
      <c r="K2705" s="533"/>
      <c r="L2705" s="533"/>
      <c r="M2705" s="533"/>
      <c r="N2705" s="268"/>
      <c r="O2705" s="533"/>
      <c r="P2705" s="533"/>
      <c r="Q2705" s="533"/>
      <c r="R2705" s="533"/>
      <c r="S2705" s="533"/>
      <c r="T2705" s="533"/>
      <c r="U2705" s="533"/>
      <c r="V2705" s="533"/>
      <c r="W2705" s="533"/>
      <c r="X2705" s="533"/>
      <c r="Y2705" s="533"/>
    </row>
    <row r="2706" spans="1:25" s="88" customFormat="1" hidden="1" x14ac:dyDescent="0.25">
      <c r="A2706" s="218"/>
      <c r="B2706" s="218"/>
      <c r="C2706" s="221"/>
      <c r="D2706" s="218"/>
      <c r="E2706" s="218"/>
      <c r="F2706" s="218"/>
      <c r="G2706" s="286"/>
      <c r="H2706" s="604"/>
      <c r="I2706" s="605"/>
      <c r="J2706" s="605"/>
      <c r="K2706" s="533"/>
      <c r="L2706" s="533"/>
      <c r="M2706" s="533"/>
      <c r="N2706" s="268"/>
      <c r="O2706" s="533"/>
      <c r="P2706" s="533"/>
      <c r="Q2706" s="533"/>
      <c r="R2706" s="533"/>
      <c r="S2706" s="533"/>
      <c r="T2706" s="533"/>
      <c r="U2706" s="533"/>
      <c r="V2706" s="533"/>
      <c r="W2706" s="533"/>
      <c r="X2706" s="533"/>
      <c r="Y2706" s="533"/>
    </row>
    <row r="2707" spans="1:25" s="88" customFormat="1" hidden="1" x14ac:dyDescent="0.25">
      <c r="A2707" s="218"/>
      <c r="B2707" s="218"/>
      <c r="C2707" s="221"/>
      <c r="D2707" s="218"/>
      <c r="E2707" s="218"/>
      <c r="F2707" s="218"/>
      <c r="G2707" s="286"/>
      <c r="H2707" s="604"/>
      <c r="I2707" s="605"/>
      <c r="J2707" s="605"/>
      <c r="K2707" s="533"/>
      <c r="L2707" s="533"/>
      <c r="M2707" s="533"/>
      <c r="N2707" s="268"/>
      <c r="O2707" s="533"/>
      <c r="P2707" s="533"/>
      <c r="Q2707" s="533"/>
      <c r="R2707" s="533"/>
      <c r="S2707" s="533"/>
      <c r="T2707" s="533"/>
      <c r="U2707" s="533"/>
      <c r="V2707" s="533"/>
      <c r="W2707" s="533"/>
      <c r="X2707" s="533"/>
      <c r="Y2707" s="533"/>
    </row>
    <row r="2708" spans="1:25" s="88" customFormat="1" hidden="1" x14ac:dyDescent="0.25">
      <c r="A2708" s="218"/>
      <c r="B2708" s="218"/>
      <c r="C2708" s="221"/>
      <c r="D2708" s="218"/>
      <c r="E2708" s="218"/>
      <c r="F2708" s="218"/>
      <c r="G2708" s="286"/>
      <c r="H2708" s="604"/>
      <c r="I2708" s="605"/>
      <c r="J2708" s="605"/>
      <c r="K2708" s="533"/>
      <c r="L2708" s="533"/>
      <c r="M2708" s="533"/>
      <c r="N2708" s="268"/>
      <c r="O2708" s="533"/>
      <c r="P2708" s="533"/>
      <c r="Q2708" s="533"/>
      <c r="R2708" s="533"/>
      <c r="S2708" s="533"/>
      <c r="T2708" s="533"/>
      <c r="U2708" s="533"/>
      <c r="V2708" s="533"/>
      <c r="W2708" s="533"/>
      <c r="X2708" s="533"/>
      <c r="Y2708" s="533"/>
    </row>
    <row r="2709" spans="1:25" s="88" customFormat="1" hidden="1" x14ac:dyDescent="0.25">
      <c r="A2709" s="218"/>
      <c r="B2709" s="218"/>
      <c r="C2709" s="221"/>
      <c r="D2709" s="218"/>
      <c r="E2709" s="218"/>
      <c r="F2709" s="218"/>
      <c r="G2709" s="286"/>
      <c r="H2709" s="604"/>
      <c r="I2709" s="605"/>
      <c r="J2709" s="605"/>
      <c r="K2709" s="533"/>
      <c r="L2709" s="533"/>
      <c r="M2709" s="533"/>
      <c r="N2709" s="268"/>
      <c r="O2709" s="533"/>
      <c r="P2709" s="533"/>
      <c r="Q2709" s="533"/>
      <c r="R2709" s="533"/>
      <c r="S2709" s="533"/>
      <c r="T2709" s="533"/>
      <c r="U2709" s="533"/>
      <c r="V2709" s="533"/>
      <c r="W2709" s="533"/>
      <c r="X2709" s="533"/>
      <c r="Y2709" s="533"/>
    </row>
    <row r="2710" spans="1:25" s="88" customFormat="1" hidden="1" x14ac:dyDescent="0.25">
      <c r="A2710" s="218"/>
      <c r="B2710" s="218"/>
      <c r="C2710" s="221"/>
      <c r="D2710" s="218"/>
      <c r="E2710" s="218"/>
      <c r="F2710" s="218"/>
      <c r="G2710" s="286"/>
      <c r="H2710" s="604"/>
      <c r="I2710" s="605"/>
      <c r="J2710" s="605"/>
      <c r="K2710" s="533"/>
      <c r="L2710" s="533"/>
      <c r="M2710" s="533"/>
      <c r="N2710" s="268"/>
      <c r="O2710" s="533"/>
      <c r="P2710" s="533"/>
      <c r="Q2710" s="533"/>
      <c r="R2710" s="533"/>
      <c r="S2710" s="533"/>
      <c r="T2710" s="533"/>
      <c r="U2710" s="533"/>
      <c r="V2710" s="533"/>
      <c r="W2710" s="533"/>
      <c r="X2710" s="533"/>
      <c r="Y2710" s="533"/>
    </row>
    <row r="2711" spans="1:25" s="88" customFormat="1" hidden="1" x14ac:dyDescent="0.25">
      <c r="A2711" s="218"/>
      <c r="B2711" s="218"/>
      <c r="C2711" s="221"/>
      <c r="D2711" s="218"/>
      <c r="E2711" s="218"/>
      <c r="F2711" s="218"/>
      <c r="G2711" s="286"/>
      <c r="H2711" s="604"/>
      <c r="I2711" s="605"/>
      <c r="J2711" s="605"/>
      <c r="K2711" s="533"/>
      <c r="L2711" s="533"/>
      <c r="M2711" s="533"/>
      <c r="N2711" s="268"/>
      <c r="O2711" s="533"/>
      <c r="P2711" s="533"/>
      <c r="Q2711" s="533"/>
      <c r="R2711" s="533"/>
      <c r="S2711" s="533"/>
      <c r="T2711" s="533"/>
      <c r="U2711" s="533"/>
      <c r="V2711" s="533"/>
      <c r="W2711" s="533"/>
      <c r="X2711" s="533"/>
      <c r="Y2711" s="533"/>
    </row>
    <row r="2712" spans="1:25" s="88" customFormat="1" hidden="1" x14ac:dyDescent="0.25">
      <c r="A2712" s="218"/>
      <c r="B2712" s="218"/>
      <c r="C2712" s="221"/>
      <c r="D2712" s="218"/>
      <c r="E2712" s="218"/>
      <c r="F2712" s="218"/>
      <c r="G2712" s="286"/>
      <c r="H2712" s="604"/>
      <c r="I2712" s="605"/>
      <c r="J2712" s="605"/>
      <c r="K2712" s="533"/>
      <c r="L2712" s="533"/>
      <c r="M2712" s="533"/>
      <c r="N2712" s="268"/>
      <c r="O2712" s="533"/>
      <c r="P2712" s="533"/>
      <c r="Q2712" s="533"/>
      <c r="R2712" s="533"/>
      <c r="S2712" s="533"/>
      <c r="T2712" s="533"/>
      <c r="U2712" s="533"/>
      <c r="V2712" s="533"/>
      <c r="W2712" s="533"/>
      <c r="X2712" s="533"/>
      <c r="Y2712" s="533"/>
    </row>
    <row r="2713" spans="1:25" s="88" customFormat="1" hidden="1" x14ac:dyDescent="0.25">
      <c r="A2713" s="218"/>
      <c r="B2713" s="218"/>
      <c r="C2713" s="221"/>
      <c r="D2713" s="218"/>
      <c r="E2713" s="218"/>
      <c r="F2713" s="218"/>
      <c r="G2713" s="286"/>
      <c r="H2713" s="604"/>
      <c r="I2713" s="605"/>
      <c r="J2713" s="605"/>
      <c r="K2713" s="533"/>
      <c r="L2713" s="533"/>
      <c r="M2713" s="533"/>
      <c r="N2713" s="268"/>
      <c r="O2713" s="533"/>
      <c r="P2713" s="533"/>
      <c r="Q2713" s="533"/>
      <c r="R2713" s="533"/>
      <c r="S2713" s="533"/>
      <c r="T2713" s="533"/>
      <c r="U2713" s="533"/>
      <c r="V2713" s="533"/>
      <c r="W2713" s="533"/>
      <c r="X2713" s="533"/>
      <c r="Y2713" s="533"/>
    </row>
    <row r="2714" spans="1:25" s="88" customFormat="1" hidden="1" x14ac:dyDescent="0.25">
      <c r="A2714" s="218"/>
      <c r="B2714" s="218"/>
      <c r="C2714" s="221"/>
      <c r="D2714" s="218"/>
      <c r="E2714" s="218"/>
      <c r="F2714" s="218"/>
      <c r="G2714" s="286"/>
      <c r="H2714" s="604"/>
      <c r="I2714" s="605"/>
      <c r="J2714" s="605"/>
      <c r="K2714" s="533"/>
      <c r="L2714" s="533"/>
      <c r="M2714" s="533"/>
      <c r="N2714" s="268"/>
      <c r="O2714" s="533"/>
      <c r="P2714" s="533"/>
      <c r="Q2714" s="533"/>
      <c r="R2714" s="533"/>
      <c r="S2714" s="533"/>
      <c r="T2714" s="533"/>
      <c r="U2714" s="533"/>
      <c r="V2714" s="533"/>
      <c r="W2714" s="533"/>
      <c r="X2714" s="533"/>
      <c r="Y2714" s="533"/>
    </row>
    <row r="2715" spans="1:25" s="88" customFormat="1" hidden="1" x14ac:dyDescent="0.25">
      <c r="A2715" s="218"/>
      <c r="B2715" s="218"/>
      <c r="C2715" s="221"/>
      <c r="D2715" s="218"/>
      <c r="E2715" s="218"/>
      <c r="F2715" s="218"/>
      <c r="G2715" s="286"/>
      <c r="H2715" s="604"/>
      <c r="I2715" s="605"/>
      <c r="J2715" s="605"/>
      <c r="K2715" s="533"/>
      <c r="L2715" s="533"/>
      <c r="M2715" s="533"/>
      <c r="N2715" s="268"/>
      <c r="O2715" s="533"/>
      <c r="P2715" s="533"/>
      <c r="Q2715" s="533"/>
      <c r="R2715" s="533"/>
      <c r="S2715" s="533"/>
      <c r="T2715" s="533"/>
      <c r="U2715" s="533"/>
      <c r="V2715" s="533"/>
      <c r="W2715" s="533"/>
      <c r="X2715" s="533"/>
      <c r="Y2715" s="533"/>
    </row>
    <row r="2716" spans="1:25" s="88" customFormat="1" hidden="1" x14ac:dyDescent="0.25">
      <c r="A2716" s="509"/>
      <c r="B2716" s="256"/>
      <c r="C2716" s="221"/>
      <c r="D2716" s="218"/>
      <c r="E2716" s="218"/>
      <c r="F2716" s="218"/>
      <c r="G2716" s="286"/>
      <c r="H2716" s="604"/>
      <c r="I2716" s="605"/>
      <c r="J2716" s="605"/>
      <c r="K2716" s="533"/>
      <c r="L2716" s="533"/>
      <c r="M2716" s="533"/>
      <c r="N2716" s="268"/>
      <c r="O2716" s="533"/>
      <c r="P2716" s="533"/>
      <c r="Q2716" s="533"/>
      <c r="R2716" s="533"/>
      <c r="S2716" s="533"/>
      <c r="T2716" s="533"/>
      <c r="U2716" s="533"/>
      <c r="V2716" s="533"/>
      <c r="W2716" s="533"/>
      <c r="X2716" s="533"/>
      <c r="Y2716" s="533"/>
    </row>
    <row r="2717" spans="1:25" s="88" customFormat="1" hidden="1" x14ac:dyDescent="0.25">
      <c r="A2717" s="509"/>
      <c r="B2717" s="256"/>
      <c r="C2717" s="228" t="s">
        <v>3584</v>
      </c>
      <c r="D2717" s="218"/>
      <c r="E2717" s="218"/>
      <c r="F2717" s="218"/>
      <c r="G2717" s="518" t="s">
        <v>4329</v>
      </c>
      <c r="H2717" s="594"/>
      <c r="I2717" s="595"/>
      <c r="J2717" s="595"/>
      <c r="K2717" s="533"/>
      <c r="L2717" s="533"/>
      <c r="M2717" s="533"/>
      <c r="N2717" s="268"/>
      <c r="O2717" s="533"/>
      <c r="P2717" s="533"/>
      <c r="Q2717" s="533"/>
      <c r="R2717" s="533"/>
      <c r="S2717" s="533"/>
      <c r="T2717" s="533"/>
      <c r="U2717" s="533"/>
      <c r="V2717" s="533"/>
      <c r="W2717" s="533"/>
      <c r="X2717" s="533"/>
      <c r="Y2717" s="533"/>
    </row>
    <row r="2718" spans="1:25" s="88" customFormat="1" ht="23.25" customHeight="1" x14ac:dyDescent="0.25">
      <c r="A2718" s="509"/>
      <c r="B2718" s="256"/>
      <c r="C2718" s="323" t="s">
        <v>4664</v>
      </c>
      <c r="D2718" s="285"/>
      <c r="E2718" s="285"/>
      <c r="F2718" s="222"/>
      <c r="G2718" s="286" t="s">
        <v>5244</v>
      </c>
      <c r="H2718" s="594"/>
      <c r="I2718" s="595"/>
      <c r="J2718" s="595"/>
      <c r="K2718" s="533"/>
      <c r="L2718" s="533"/>
      <c r="M2718" s="533"/>
      <c r="N2718" s="268"/>
      <c r="O2718" s="533"/>
      <c r="P2718" s="533"/>
      <c r="Q2718" s="533"/>
      <c r="R2718" s="533"/>
      <c r="S2718" s="533"/>
      <c r="T2718" s="533"/>
      <c r="U2718" s="533"/>
      <c r="V2718" s="533"/>
      <c r="W2718" s="533"/>
      <c r="X2718" s="533"/>
      <c r="Y2718" s="533"/>
    </row>
    <row r="2719" spans="1:25" s="88" customFormat="1" x14ac:dyDescent="0.25">
      <c r="A2719" s="509"/>
      <c r="B2719" s="256"/>
      <c r="C2719" s="228"/>
      <c r="D2719" s="312">
        <v>620</v>
      </c>
      <c r="E2719" s="312"/>
      <c r="F2719" s="312"/>
      <c r="G2719" s="314" t="s">
        <v>182</v>
      </c>
      <c r="H2719" s="594"/>
      <c r="I2719" s="595"/>
      <c r="J2719" s="595"/>
      <c r="K2719" s="533"/>
      <c r="L2719" s="533"/>
      <c r="M2719" s="533"/>
      <c r="N2719" s="268"/>
      <c r="O2719" s="533"/>
      <c r="P2719" s="533"/>
      <c r="Q2719" s="533"/>
      <c r="R2719" s="533"/>
      <c r="S2719" s="533"/>
      <c r="T2719" s="533"/>
      <c r="U2719" s="533"/>
      <c r="V2719" s="533"/>
      <c r="W2719" s="533"/>
      <c r="X2719" s="533"/>
      <c r="Y2719" s="533"/>
    </row>
    <row r="2720" spans="1:25" s="88" customFormat="1" hidden="1" x14ac:dyDescent="0.25">
      <c r="A2720" s="509"/>
      <c r="B2720" s="256"/>
      <c r="C2720" s="221"/>
      <c r="D2720" s="218"/>
      <c r="E2720" s="218"/>
      <c r="F2720" s="527">
        <v>411</v>
      </c>
      <c r="G2720" s="520" t="s">
        <v>4189</v>
      </c>
      <c r="H2720" s="594"/>
      <c r="I2720" s="595"/>
      <c r="J2720" s="595">
        <f>SUM(H2720:I2720)</f>
        <v>0</v>
      </c>
      <c r="K2720" s="533"/>
      <c r="L2720" s="533"/>
      <c r="M2720" s="533"/>
      <c r="N2720" s="268"/>
      <c r="O2720" s="533"/>
      <c r="P2720" s="533"/>
      <c r="Q2720" s="533"/>
      <c r="R2720" s="533"/>
      <c r="S2720" s="533"/>
      <c r="T2720" s="533"/>
      <c r="U2720" s="533"/>
      <c r="V2720" s="533"/>
      <c r="W2720" s="533"/>
      <c r="X2720" s="533"/>
      <c r="Y2720" s="533"/>
    </row>
    <row r="2721" spans="1:25" s="88" customFormat="1" hidden="1" x14ac:dyDescent="0.25">
      <c r="A2721" s="509"/>
      <c r="B2721" s="256"/>
      <c r="C2721" s="221"/>
      <c r="D2721" s="218"/>
      <c r="E2721" s="218"/>
      <c r="F2721" s="527">
        <v>412</v>
      </c>
      <c r="G2721" s="516" t="s">
        <v>3784</v>
      </c>
      <c r="H2721" s="594"/>
      <c r="I2721" s="595"/>
      <c r="J2721" s="595">
        <f t="shared" ref="J2721:J2779" si="87">SUM(H2721:I2721)</f>
        <v>0</v>
      </c>
      <c r="K2721" s="533"/>
      <c r="L2721" s="533"/>
      <c r="M2721" s="533"/>
      <c r="N2721" s="268"/>
      <c r="O2721" s="533"/>
      <c r="P2721" s="533"/>
      <c r="Q2721" s="533"/>
      <c r="R2721" s="533"/>
      <c r="S2721" s="533"/>
      <c r="T2721" s="533"/>
      <c r="U2721" s="533"/>
      <c r="V2721" s="533"/>
      <c r="W2721" s="533"/>
      <c r="X2721" s="533"/>
      <c r="Y2721" s="533"/>
    </row>
    <row r="2722" spans="1:25" s="88" customFormat="1" hidden="1" x14ac:dyDescent="0.25">
      <c r="A2722" s="509"/>
      <c r="B2722" s="256"/>
      <c r="C2722" s="221"/>
      <c r="D2722" s="218"/>
      <c r="E2722" s="218"/>
      <c r="F2722" s="527">
        <v>413</v>
      </c>
      <c r="G2722" s="520" t="s">
        <v>4190</v>
      </c>
      <c r="H2722" s="594"/>
      <c r="I2722" s="595"/>
      <c r="J2722" s="595">
        <f t="shared" si="87"/>
        <v>0</v>
      </c>
      <c r="K2722" s="533"/>
      <c r="L2722" s="533"/>
      <c r="M2722" s="533"/>
      <c r="N2722" s="268"/>
      <c r="O2722" s="533"/>
      <c r="P2722" s="533"/>
      <c r="Q2722" s="533"/>
      <c r="R2722" s="533"/>
      <c r="S2722" s="533"/>
      <c r="T2722" s="533"/>
      <c r="U2722" s="533"/>
      <c r="V2722" s="533"/>
      <c r="W2722" s="533"/>
      <c r="X2722" s="533"/>
      <c r="Y2722" s="533"/>
    </row>
    <row r="2723" spans="1:25" s="88" customFormat="1" hidden="1" x14ac:dyDescent="0.25">
      <c r="A2723" s="509"/>
      <c r="B2723" s="256"/>
      <c r="C2723" s="221"/>
      <c r="D2723" s="218"/>
      <c r="E2723" s="218"/>
      <c r="F2723" s="527">
        <v>414</v>
      </c>
      <c r="G2723" s="520" t="s">
        <v>3787</v>
      </c>
      <c r="H2723" s="594"/>
      <c r="I2723" s="595"/>
      <c r="J2723" s="595">
        <f t="shared" si="87"/>
        <v>0</v>
      </c>
      <c r="K2723" s="533"/>
      <c r="L2723" s="533"/>
      <c r="M2723" s="533"/>
      <c r="N2723" s="268"/>
      <c r="O2723" s="533"/>
      <c r="P2723" s="533"/>
      <c r="Q2723" s="533"/>
      <c r="R2723" s="533"/>
      <c r="S2723" s="533"/>
      <c r="T2723" s="533"/>
      <c r="U2723" s="533"/>
      <c r="V2723" s="533"/>
      <c r="W2723" s="533"/>
      <c r="X2723" s="533"/>
      <c r="Y2723" s="533"/>
    </row>
    <row r="2724" spans="1:25" s="88" customFormat="1" hidden="1" x14ac:dyDescent="0.25">
      <c r="A2724" s="509"/>
      <c r="B2724" s="256"/>
      <c r="C2724" s="221"/>
      <c r="D2724" s="218"/>
      <c r="E2724" s="218"/>
      <c r="F2724" s="527">
        <v>415</v>
      </c>
      <c r="G2724" s="520" t="s">
        <v>4199</v>
      </c>
      <c r="H2724" s="594"/>
      <c r="I2724" s="595"/>
      <c r="J2724" s="595">
        <f t="shared" si="87"/>
        <v>0</v>
      </c>
      <c r="K2724" s="533"/>
      <c r="L2724" s="533"/>
      <c r="M2724" s="533"/>
      <c r="N2724" s="268"/>
      <c r="O2724" s="533"/>
      <c r="P2724" s="533"/>
      <c r="Q2724" s="533"/>
      <c r="R2724" s="533"/>
      <c r="S2724" s="533"/>
      <c r="T2724" s="533"/>
      <c r="U2724" s="533"/>
      <c r="V2724" s="533"/>
      <c r="W2724" s="533"/>
      <c r="X2724" s="533"/>
      <c r="Y2724" s="533"/>
    </row>
    <row r="2725" spans="1:25" s="88" customFormat="1" hidden="1" x14ac:dyDescent="0.25">
      <c r="A2725" s="509"/>
      <c r="B2725" s="256"/>
      <c r="C2725" s="221"/>
      <c r="D2725" s="218"/>
      <c r="E2725" s="218"/>
      <c r="F2725" s="527">
        <v>416</v>
      </c>
      <c r="G2725" s="520" t="s">
        <v>4200</v>
      </c>
      <c r="H2725" s="594"/>
      <c r="I2725" s="595"/>
      <c r="J2725" s="595">
        <f t="shared" si="87"/>
        <v>0</v>
      </c>
      <c r="K2725" s="533"/>
      <c r="L2725" s="533"/>
      <c r="M2725" s="533"/>
      <c r="N2725" s="268"/>
      <c r="O2725" s="533"/>
      <c r="P2725" s="533"/>
      <c r="Q2725" s="533"/>
      <c r="R2725" s="533"/>
      <c r="S2725" s="533"/>
      <c r="T2725" s="533"/>
      <c r="U2725" s="533"/>
      <c r="V2725" s="533"/>
      <c r="W2725" s="533"/>
      <c r="X2725" s="533"/>
      <c r="Y2725" s="533"/>
    </row>
    <row r="2726" spans="1:25" s="88" customFormat="1" hidden="1" x14ac:dyDescent="0.25">
      <c r="A2726" s="509"/>
      <c r="B2726" s="256"/>
      <c r="C2726" s="221"/>
      <c r="D2726" s="218"/>
      <c r="E2726" s="218"/>
      <c r="F2726" s="527">
        <v>417</v>
      </c>
      <c r="G2726" s="520" t="s">
        <v>4201</v>
      </c>
      <c r="H2726" s="594"/>
      <c r="I2726" s="595"/>
      <c r="J2726" s="595">
        <f t="shared" si="87"/>
        <v>0</v>
      </c>
      <c r="K2726" s="533"/>
      <c r="L2726" s="533"/>
      <c r="M2726" s="533"/>
      <c r="N2726" s="268"/>
      <c r="O2726" s="533"/>
      <c r="P2726" s="533"/>
      <c r="Q2726" s="533"/>
      <c r="R2726" s="533"/>
      <c r="S2726" s="533"/>
      <c r="T2726" s="533"/>
      <c r="U2726" s="533"/>
      <c r="V2726" s="533"/>
      <c r="W2726" s="533"/>
      <c r="X2726" s="533"/>
      <c r="Y2726" s="533"/>
    </row>
    <row r="2727" spans="1:25" s="88" customFormat="1" hidden="1" x14ac:dyDescent="0.25">
      <c r="A2727" s="509"/>
      <c r="B2727" s="256"/>
      <c r="C2727" s="221"/>
      <c r="D2727" s="218"/>
      <c r="E2727" s="218"/>
      <c r="F2727" s="527">
        <v>418</v>
      </c>
      <c r="G2727" s="520" t="s">
        <v>3793</v>
      </c>
      <c r="H2727" s="594"/>
      <c r="I2727" s="595"/>
      <c r="J2727" s="595">
        <f t="shared" si="87"/>
        <v>0</v>
      </c>
      <c r="K2727" s="533"/>
      <c r="L2727" s="533"/>
      <c r="M2727" s="533"/>
      <c r="N2727" s="268"/>
      <c r="O2727" s="533"/>
      <c r="P2727" s="533"/>
      <c r="Q2727" s="533"/>
      <c r="R2727" s="533"/>
      <c r="S2727" s="533"/>
      <c r="T2727" s="533"/>
      <c r="U2727" s="533"/>
      <c r="V2727" s="533"/>
      <c r="W2727" s="533"/>
      <c r="X2727" s="533"/>
      <c r="Y2727" s="533"/>
    </row>
    <row r="2728" spans="1:25" s="88" customFormat="1" hidden="1" x14ac:dyDescent="0.25">
      <c r="A2728" s="509"/>
      <c r="B2728" s="256"/>
      <c r="C2728" s="221"/>
      <c r="D2728" s="218"/>
      <c r="E2728" s="218"/>
      <c r="F2728" s="527">
        <v>421</v>
      </c>
      <c r="G2728" s="520" t="s">
        <v>3797</v>
      </c>
      <c r="H2728" s="594"/>
      <c r="I2728" s="595"/>
      <c r="J2728" s="595">
        <f t="shared" si="87"/>
        <v>0</v>
      </c>
      <c r="K2728" s="533"/>
      <c r="L2728" s="533"/>
      <c r="M2728" s="533"/>
      <c r="N2728" s="268"/>
      <c r="O2728" s="533"/>
      <c r="P2728" s="533"/>
      <c r="Q2728" s="533"/>
      <c r="R2728" s="533"/>
      <c r="S2728" s="533"/>
      <c r="T2728" s="533"/>
      <c r="U2728" s="533"/>
      <c r="V2728" s="533"/>
      <c r="W2728" s="533"/>
      <c r="X2728" s="533"/>
      <c r="Y2728" s="533"/>
    </row>
    <row r="2729" spans="1:25" s="88" customFormat="1" hidden="1" x14ac:dyDescent="0.25">
      <c r="A2729" s="509"/>
      <c r="B2729" s="256"/>
      <c r="C2729" s="221"/>
      <c r="D2729" s="218"/>
      <c r="E2729" s="218"/>
      <c r="F2729" s="527">
        <v>422</v>
      </c>
      <c r="G2729" s="520" t="s">
        <v>3798</v>
      </c>
      <c r="H2729" s="594"/>
      <c r="I2729" s="595"/>
      <c r="J2729" s="595">
        <f t="shared" si="87"/>
        <v>0</v>
      </c>
      <c r="K2729" s="533"/>
      <c r="L2729" s="533"/>
      <c r="M2729" s="533"/>
      <c r="N2729" s="268"/>
      <c r="O2729" s="533"/>
      <c r="P2729" s="533"/>
      <c r="Q2729" s="533"/>
      <c r="R2729" s="533"/>
      <c r="S2729" s="533"/>
      <c r="T2729" s="533"/>
      <c r="U2729" s="533"/>
      <c r="V2729" s="533"/>
      <c r="W2729" s="533"/>
      <c r="X2729" s="533"/>
      <c r="Y2729" s="533"/>
    </row>
    <row r="2730" spans="1:25" s="88" customFormat="1" hidden="1" x14ac:dyDescent="0.25">
      <c r="A2730" s="509"/>
      <c r="B2730" s="256"/>
      <c r="C2730" s="221"/>
      <c r="D2730" s="218"/>
      <c r="E2730" s="218"/>
      <c r="F2730" s="527">
        <v>423</v>
      </c>
      <c r="G2730" s="520" t="s">
        <v>3799</v>
      </c>
      <c r="H2730" s="594"/>
      <c r="I2730" s="595"/>
      <c r="J2730" s="595">
        <f t="shared" si="87"/>
        <v>0</v>
      </c>
      <c r="K2730" s="533"/>
      <c r="L2730" s="533"/>
      <c r="M2730" s="533"/>
      <c r="N2730" s="268"/>
      <c r="O2730" s="533"/>
      <c r="P2730" s="533"/>
      <c r="Q2730" s="533"/>
      <c r="R2730" s="533"/>
      <c r="S2730" s="533"/>
      <c r="T2730" s="533"/>
      <c r="U2730" s="533"/>
      <c r="V2730" s="533"/>
      <c r="W2730" s="533"/>
      <c r="X2730" s="533"/>
      <c r="Y2730" s="533"/>
    </row>
    <row r="2731" spans="1:25" s="88" customFormat="1" hidden="1" x14ac:dyDescent="0.25">
      <c r="A2731" s="509"/>
      <c r="B2731" s="256"/>
      <c r="C2731" s="221"/>
      <c r="D2731" s="218"/>
      <c r="E2731" s="218"/>
      <c r="F2731" s="527">
        <v>424</v>
      </c>
      <c r="G2731" s="520" t="s">
        <v>3801</v>
      </c>
      <c r="H2731" s="594"/>
      <c r="I2731" s="595"/>
      <c r="J2731" s="595">
        <f t="shared" si="87"/>
        <v>0</v>
      </c>
      <c r="K2731" s="533"/>
      <c r="L2731" s="533"/>
      <c r="M2731" s="533"/>
      <c r="N2731" s="268"/>
      <c r="O2731" s="533"/>
      <c r="P2731" s="533"/>
      <c r="Q2731" s="533"/>
      <c r="R2731" s="533"/>
      <c r="S2731" s="533"/>
      <c r="T2731" s="533"/>
      <c r="U2731" s="533"/>
      <c r="V2731" s="533"/>
      <c r="W2731" s="533"/>
      <c r="X2731" s="533"/>
      <c r="Y2731" s="533"/>
    </row>
    <row r="2732" spans="1:25" s="88" customFormat="1" hidden="1" x14ac:dyDescent="0.25">
      <c r="A2732" s="509"/>
      <c r="B2732" s="256"/>
      <c r="C2732" s="221"/>
      <c r="D2732" s="218"/>
      <c r="E2732" s="218"/>
      <c r="F2732" s="527">
        <v>425</v>
      </c>
      <c r="G2732" s="520" t="s">
        <v>4202</v>
      </c>
      <c r="H2732" s="594"/>
      <c r="I2732" s="595"/>
      <c r="J2732" s="595">
        <f t="shared" si="87"/>
        <v>0</v>
      </c>
      <c r="K2732" s="533"/>
      <c r="L2732" s="533"/>
      <c r="M2732" s="533"/>
      <c r="N2732" s="268"/>
      <c r="O2732" s="533"/>
      <c r="P2732" s="533"/>
      <c r="Q2732" s="533"/>
      <c r="R2732" s="533"/>
      <c r="S2732" s="533"/>
      <c r="T2732" s="533"/>
      <c r="U2732" s="533"/>
      <c r="V2732" s="533"/>
      <c r="W2732" s="533"/>
      <c r="X2732" s="533"/>
      <c r="Y2732" s="533"/>
    </row>
    <row r="2733" spans="1:25" s="88" customFormat="1" hidden="1" x14ac:dyDescent="0.25">
      <c r="A2733" s="509"/>
      <c r="B2733" s="256"/>
      <c r="C2733" s="221"/>
      <c r="D2733" s="218"/>
      <c r="E2733" s="218"/>
      <c r="F2733" s="527">
        <v>426</v>
      </c>
      <c r="G2733" s="520" t="s">
        <v>3805</v>
      </c>
      <c r="H2733" s="594"/>
      <c r="I2733" s="595"/>
      <c r="J2733" s="595">
        <f t="shared" si="87"/>
        <v>0</v>
      </c>
      <c r="K2733" s="533"/>
      <c r="L2733" s="533"/>
      <c r="M2733" s="533"/>
      <c r="N2733" s="268"/>
      <c r="O2733" s="533"/>
      <c r="P2733" s="533"/>
      <c r="Q2733" s="533"/>
      <c r="R2733" s="533"/>
      <c r="S2733" s="533"/>
      <c r="T2733" s="533"/>
      <c r="U2733" s="533"/>
      <c r="V2733" s="533"/>
      <c r="W2733" s="533"/>
      <c r="X2733" s="533"/>
      <c r="Y2733" s="533"/>
    </row>
    <row r="2734" spans="1:25" s="88" customFormat="1" hidden="1" x14ac:dyDescent="0.25">
      <c r="A2734" s="509"/>
      <c r="B2734" s="256"/>
      <c r="C2734" s="221"/>
      <c r="D2734" s="218"/>
      <c r="E2734" s="218"/>
      <c r="F2734" s="527">
        <v>431</v>
      </c>
      <c r="G2734" s="520" t="s">
        <v>4203</v>
      </c>
      <c r="H2734" s="594"/>
      <c r="I2734" s="595"/>
      <c r="J2734" s="595">
        <f t="shared" si="87"/>
        <v>0</v>
      </c>
      <c r="K2734" s="533"/>
      <c r="L2734" s="533"/>
      <c r="M2734" s="533"/>
      <c r="N2734" s="268"/>
      <c r="O2734" s="533"/>
      <c r="P2734" s="533"/>
      <c r="Q2734" s="533"/>
      <c r="R2734" s="533"/>
      <c r="S2734" s="533"/>
      <c r="T2734" s="533"/>
      <c r="U2734" s="533"/>
      <c r="V2734" s="533"/>
      <c r="W2734" s="533"/>
      <c r="X2734" s="533"/>
      <c r="Y2734" s="533"/>
    </row>
    <row r="2735" spans="1:25" s="88" customFormat="1" hidden="1" x14ac:dyDescent="0.25">
      <c r="A2735" s="509"/>
      <c r="B2735" s="256"/>
      <c r="C2735" s="221"/>
      <c r="D2735" s="218"/>
      <c r="E2735" s="218"/>
      <c r="F2735" s="527">
        <v>432</v>
      </c>
      <c r="G2735" s="520" t="s">
        <v>4204</v>
      </c>
      <c r="H2735" s="594"/>
      <c r="I2735" s="595"/>
      <c r="J2735" s="595">
        <f t="shared" si="87"/>
        <v>0</v>
      </c>
      <c r="K2735" s="533"/>
      <c r="L2735" s="533"/>
      <c r="M2735" s="533"/>
      <c r="N2735" s="268"/>
      <c r="O2735" s="533"/>
      <c r="P2735" s="533"/>
      <c r="Q2735" s="533"/>
      <c r="R2735" s="533"/>
      <c r="S2735" s="533"/>
      <c r="T2735" s="533"/>
      <c r="U2735" s="533"/>
      <c r="V2735" s="533"/>
      <c r="W2735" s="533"/>
      <c r="X2735" s="533"/>
      <c r="Y2735" s="533"/>
    </row>
    <row r="2736" spans="1:25" s="88" customFormat="1" hidden="1" x14ac:dyDescent="0.25">
      <c r="A2736" s="509"/>
      <c r="B2736" s="256"/>
      <c r="C2736" s="221"/>
      <c r="D2736" s="218"/>
      <c r="E2736" s="218"/>
      <c r="F2736" s="527">
        <v>433</v>
      </c>
      <c r="G2736" s="520" t="s">
        <v>4205</v>
      </c>
      <c r="H2736" s="594"/>
      <c r="I2736" s="595"/>
      <c r="J2736" s="595">
        <f t="shared" si="87"/>
        <v>0</v>
      </c>
      <c r="K2736" s="533"/>
      <c r="L2736" s="533"/>
      <c r="M2736" s="533"/>
      <c r="N2736" s="268"/>
      <c r="O2736" s="533"/>
      <c r="P2736" s="533"/>
      <c r="Q2736" s="533"/>
      <c r="R2736" s="533"/>
      <c r="S2736" s="533"/>
      <c r="T2736" s="533"/>
      <c r="U2736" s="533"/>
      <c r="V2736" s="533"/>
      <c r="W2736" s="533"/>
      <c r="X2736" s="533"/>
      <c r="Y2736" s="533"/>
    </row>
    <row r="2737" spans="1:25" s="88" customFormat="1" hidden="1" x14ac:dyDescent="0.25">
      <c r="A2737" s="509"/>
      <c r="B2737" s="256"/>
      <c r="C2737" s="221"/>
      <c r="D2737" s="218"/>
      <c r="E2737" s="218"/>
      <c r="F2737" s="527">
        <v>434</v>
      </c>
      <c r="G2737" s="520" t="s">
        <v>4206</v>
      </c>
      <c r="H2737" s="594"/>
      <c r="I2737" s="595"/>
      <c r="J2737" s="595">
        <f t="shared" si="87"/>
        <v>0</v>
      </c>
      <c r="K2737" s="533"/>
      <c r="L2737" s="533"/>
      <c r="M2737" s="533"/>
      <c r="N2737" s="268"/>
      <c r="O2737" s="533"/>
      <c r="P2737" s="533"/>
      <c r="Q2737" s="533"/>
      <c r="R2737" s="533"/>
      <c r="S2737" s="533"/>
      <c r="T2737" s="533"/>
      <c r="U2737" s="533"/>
      <c r="V2737" s="533"/>
      <c r="W2737" s="533"/>
      <c r="X2737" s="533"/>
      <c r="Y2737" s="533"/>
    </row>
    <row r="2738" spans="1:25" s="88" customFormat="1" hidden="1" x14ac:dyDescent="0.25">
      <c r="A2738" s="509"/>
      <c r="B2738" s="256"/>
      <c r="C2738" s="221"/>
      <c r="D2738" s="218"/>
      <c r="E2738" s="218"/>
      <c r="F2738" s="527">
        <v>435</v>
      </c>
      <c r="G2738" s="520" t="s">
        <v>3812</v>
      </c>
      <c r="H2738" s="594"/>
      <c r="I2738" s="595"/>
      <c r="J2738" s="595">
        <f t="shared" si="87"/>
        <v>0</v>
      </c>
      <c r="K2738" s="533"/>
      <c r="L2738" s="533"/>
      <c r="M2738" s="533"/>
      <c r="N2738" s="268"/>
      <c r="O2738" s="533"/>
      <c r="P2738" s="533"/>
      <c r="Q2738" s="533"/>
      <c r="R2738" s="533"/>
      <c r="S2738" s="533"/>
      <c r="T2738" s="533"/>
      <c r="U2738" s="533"/>
      <c r="V2738" s="533"/>
      <c r="W2738" s="533"/>
      <c r="X2738" s="533"/>
      <c r="Y2738" s="533"/>
    </row>
    <row r="2739" spans="1:25" s="88" customFormat="1" hidden="1" x14ac:dyDescent="0.25">
      <c r="A2739" s="509"/>
      <c r="B2739" s="256"/>
      <c r="C2739" s="221"/>
      <c r="D2739" s="218"/>
      <c r="E2739" s="218"/>
      <c r="F2739" s="527">
        <v>441</v>
      </c>
      <c r="G2739" s="520" t="s">
        <v>4207</v>
      </c>
      <c r="H2739" s="594"/>
      <c r="I2739" s="595"/>
      <c r="J2739" s="595">
        <f t="shared" si="87"/>
        <v>0</v>
      </c>
      <c r="K2739" s="533"/>
      <c r="L2739" s="533"/>
      <c r="M2739" s="533"/>
      <c r="N2739" s="268"/>
      <c r="O2739" s="533"/>
      <c r="P2739" s="533"/>
      <c r="Q2739" s="533"/>
      <c r="R2739" s="533"/>
      <c r="S2739" s="533"/>
      <c r="T2739" s="533"/>
      <c r="U2739" s="533"/>
      <c r="V2739" s="533"/>
      <c r="W2739" s="533"/>
      <c r="X2739" s="533"/>
      <c r="Y2739" s="533"/>
    </row>
    <row r="2740" spans="1:25" s="88" customFormat="1" hidden="1" x14ac:dyDescent="0.25">
      <c r="A2740" s="509"/>
      <c r="B2740" s="256"/>
      <c r="C2740" s="221"/>
      <c r="D2740" s="218"/>
      <c r="E2740" s="218"/>
      <c r="F2740" s="527">
        <v>442</v>
      </c>
      <c r="G2740" s="520" t="s">
        <v>4208</v>
      </c>
      <c r="H2740" s="594"/>
      <c r="I2740" s="595"/>
      <c r="J2740" s="595">
        <f t="shared" si="87"/>
        <v>0</v>
      </c>
      <c r="K2740" s="533"/>
      <c r="L2740" s="533"/>
      <c r="M2740" s="533"/>
      <c r="N2740" s="268"/>
      <c r="O2740" s="533"/>
      <c r="P2740" s="533"/>
      <c r="Q2740" s="533"/>
      <c r="R2740" s="533"/>
      <c r="S2740" s="533"/>
      <c r="T2740" s="533"/>
      <c r="U2740" s="533"/>
      <c r="V2740" s="533"/>
      <c r="W2740" s="533"/>
      <c r="X2740" s="533"/>
      <c r="Y2740" s="533"/>
    </row>
    <row r="2741" spans="1:25" s="88" customFormat="1" hidden="1" x14ac:dyDescent="0.25">
      <c r="A2741" s="509"/>
      <c r="B2741" s="256"/>
      <c r="C2741" s="221"/>
      <c r="D2741" s="218"/>
      <c r="E2741" s="218"/>
      <c r="F2741" s="527">
        <v>443</v>
      </c>
      <c r="G2741" s="520" t="s">
        <v>3817</v>
      </c>
      <c r="H2741" s="594"/>
      <c r="I2741" s="595"/>
      <c r="J2741" s="595">
        <f t="shared" si="87"/>
        <v>0</v>
      </c>
      <c r="K2741" s="533"/>
      <c r="L2741" s="533"/>
      <c r="M2741" s="533"/>
      <c r="N2741" s="268"/>
      <c r="O2741" s="533"/>
      <c r="P2741" s="533"/>
      <c r="Q2741" s="533"/>
      <c r="R2741" s="533"/>
      <c r="S2741" s="533"/>
      <c r="T2741" s="533"/>
      <c r="U2741" s="533"/>
      <c r="V2741" s="533"/>
      <c r="W2741" s="533"/>
      <c r="X2741" s="533"/>
      <c r="Y2741" s="533"/>
    </row>
    <row r="2742" spans="1:25" s="88" customFormat="1" hidden="1" x14ac:dyDescent="0.25">
      <c r="A2742" s="509"/>
      <c r="B2742" s="256"/>
      <c r="C2742" s="221"/>
      <c r="D2742" s="218"/>
      <c r="E2742" s="218"/>
      <c r="F2742" s="527">
        <v>444</v>
      </c>
      <c r="G2742" s="520" t="s">
        <v>3818</v>
      </c>
      <c r="H2742" s="594"/>
      <c r="I2742" s="595"/>
      <c r="J2742" s="595">
        <f t="shared" si="87"/>
        <v>0</v>
      </c>
      <c r="K2742" s="533"/>
      <c r="L2742" s="533"/>
      <c r="M2742" s="533"/>
      <c r="N2742" s="268"/>
      <c r="O2742" s="533"/>
      <c r="P2742" s="533"/>
      <c r="Q2742" s="533"/>
      <c r="R2742" s="533"/>
      <c r="S2742" s="533"/>
      <c r="T2742" s="533"/>
      <c r="U2742" s="533"/>
      <c r="V2742" s="533"/>
      <c r="W2742" s="533"/>
      <c r="X2742" s="533"/>
      <c r="Y2742" s="533"/>
    </row>
    <row r="2743" spans="1:25" s="88" customFormat="1" ht="30" hidden="1" x14ac:dyDescent="0.25">
      <c r="A2743" s="509"/>
      <c r="B2743" s="256"/>
      <c r="C2743" s="221"/>
      <c r="D2743" s="218"/>
      <c r="E2743" s="218"/>
      <c r="F2743" s="527">
        <v>4511</v>
      </c>
      <c r="G2743" s="223" t="s">
        <v>1692</v>
      </c>
      <c r="H2743" s="594"/>
      <c r="I2743" s="595"/>
      <c r="J2743" s="595">
        <f t="shared" si="87"/>
        <v>0</v>
      </c>
      <c r="K2743" s="533"/>
      <c r="L2743" s="533"/>
      <c r="M2743" s="533"/>
      <c r="N2743" s="268"/>
      <c r="O2743" s="533"/>
      <c r="P2743" s="533"/>
      <c r="Q2743" s="533"/>
      <c r="R2743" s="533"/>
      <c r="S2743" s="533"/>
      <c r="T2743" s="533"/>
      <c r="U2743" s="533"/>
      <c r="V2743" s="533"/>
      <c r="W2743" s="533"/>
      <c r="X2743" s="533"/>
      <c r="Y2743" s="533"/>
    </row>
    <row r="2744" spans="1:25" s="88" customFormat="1" ht="30" hidden="1" x14ac:dyDescent="0.25">
      <c r="A2744" s="509"/>
      <c r="B2744" s="256"/>
      <c r="C2744" s="221"/>
      <c r="D2744" s="218"/>
      <c r="E2744" s="218"/>
      <c r="F2744" s="527">
        <v>4512</v>
      </c>
      <c r="G2744" s="223" t="s">
        <v>1701</v>
      </c>
      <c r="H2744" s="594"/>
      <c r="I2744" s="595"/>
      <c r="J2744" s="595">
        <f t="shared" si="87"/>
        <v>0</v>
      </c>
      <c r="K2744" s="533"/>
      <c r="L2744" s="533"/>
      <c r="M2744" s="533"/>
      <c r="N2744" s="268"/>
      <c r="O2744" s="533"/>
      <c r="P2744" s="533"/>
      <c r="Q2744" s="533"/>
      <c r="R2744" s="533"/>
      <c r="S2744" s="533"/>
      <c r="T2744" s="533"/>
      <c r="U2744" s="533"/>
      <c r="V2744" s="533"/>
      <c r="W2744" s="533"/>
      <c r="X2744" s="533"/>
      <c r="Y2744" s="533"/>
    </row>
    <row r="2745" spans="1:25" s="88" customFormat="1" hidden="1" x14ac:dyDescent="0.25">
      <c r="A2745" s="509"/>
      <c r="B2745" s="256"/>
      <c r="C2745" s="221"/>
      <c r="D2745" s="218"/>
      <c r="E2745" s="218"/>
      <c r="F2745" s="527">
        <v>452</v>
      </c>
      <c r="G2745" s="520" t="s">
        <v>4209</v>
      </c>
      <c r="H2745" s="594"/>
      <c r="I2745" s="595"/>
      <c r="J2745" s="595">
        <f t="shared" si="87"/>
        <v>0</v>
      </c>
      <c r="K2745" s="533"/>
      <c r="L2745" s="533"/>
      <c r="M2745" s="533"/>
      <c r="N2745" s="268"/>
      <c r="O2745" s="533"/>
      <c r="P2745" s="533"/>
      <c r="Q2745" s="533"/>
      <c r="R2745" s="533"/>
      <c r="S2745" s="533"/>
      <c r="T2745" s="533"/>
      <c r="U2745" s="533"/>
      <c r="V2745" s="533"/>
      <c r="W2745" s="533"/>
      <c r="X2745" s="533"/>
      <c r="Y2745" s="533"/>
    </row>
    <row r="2746" spans="1:25" s="88" customFormat="1" hidden="1" x14ac:dyDescent="0.25">
      <c r="A2746" s="509"/>
      <c r="B2746" s="256"/>
      <c r="C2746" s="221"/>
      <c r="D2746" s="218"/>
      <c r="E2746" s="218"/>
      <c r="F2746" s="527">
        <v>453</v>
      </c>
      <c r="G2746" s="520" t="s">
        <v>4210</v>
      </c>
      <c r="H2746" s="594"/>
      <c r="I2746" s="595"/>
      <c r="J2746" s="595">
        <f t="shared" si="87"/>
        <v>0</v>
      </c>
      <c r="K2746" s="533"/>
      <c r="L2746" s="533"/>
      <c r="M2746" s="533"/>
      <c r="N2746" s="268"/>
      <c r="O2746" s="533"/>
      <c r="P2746" s="533"/>
      <c r="Q2746" s="533"/>
      <c r="R2746" s="533"/>
      <c r="S2746" s="533"/>
      <c r="T2746" s="533"/>
      <c r="U2746" s="533"/>
      <c r="V2746" s="533"/>
      <c r="W2746" s="533"/>
      <c r="X2746" s="533"/>
      <c r="Y2746" s="533"/>
    </row>
    <row r="2747" spans="1:25" s="88" customFormat="1" hidden="1" x14ac:dyDescent="0.25">
      <c r="A2747" s="509"/>
      <c r="B2747" s="256"/>
      <c r="C2747" s="221"/>
      <c r="D2747" s="218"/>
      <c r="E2747" s="218"/>
      <c r="F2747" s="527">
        <v>454</v>
      </c>
      <c r="G2747" s="520" t="s">
        <v>3823</v>
      </c>
      <c r="H2747" s="594"/>
      <c r="I2747" s="595"/>
      <c r="J2747" s="595">
        <f t="shared" si="87"/>
        <v>0</v>
      </c>
      <c r="K2747" s="533"/>
      <c r="L2747" s="533"/>
      <c r="M2747" s="533"/>
      <c r="N2747" s="268"/>
      <c r="O2747" s="533"/>
      <c r="P2747" s="533"/>
      <c r="Q2747" s="533"/>
      <c r="R2747" s="533"/>
      <c r="S2747" s="533"/>
      <c r="T2747" s="533"/>
      <c r="U2747" s="533"/>
      <c r="V2747" s="533"/>
      <c r="W2747" s="533"/>
      <c r="X2747" s="533"/>
      <c r="Y2747" s="533"/>
    </row>
    <row r="2748" spans="1:25" s="88" customFormat="1" hidden="1" x14ac:dyDescent="0.25">
      <c r="A2748" s="509"/>
      <c r="B2748" s="256"/>
      <c r="C2748" s="221"/>
      <c r="D2748" s="218"/>
      <c r="E2748" s="218"/>
      <c r="F2748" s="527">
        <v>461</v>
      </c>
      <c r="G2748" s="520" t="s">
        <v>4191</v>
      </c>
      <c r="H2748" s="594"/>
      <c r="I2748" s="595"/>
      <c r="J2748" s="595">
        <f t="shared" si="87"/>
        <v>0</v>
      </c>
      <c r="K2748" s="533"/>
      <c r="L2748" s="533"/>
      <c r="M2748" s="533"/>
      <c r="N2748" s="268"/>
      <c r="O2748" s="533"/>
      <c r="P2748" s="533"/>
      <c r="Q2748" s="533"/>
      <c r="R2748" s="533"/>
      <c r="S2748" s="533"/>
      <c r="T2748" s="533"/>
      <c r="U2748" s="533"/>
      <c r="V2748" s="533"/>
      <c r="W2748" s="533"/>
      <c r="X2748" s="533"/>
      <c r="Y2748" s="533"/>
    </row>
    <row r="2749" spans="1:25" s="88" customFormat="1" hidden="1" x14ac:dyDescent="0.25">
      <c r="A2749" s="509"/>
      <c r="B2749" s="256"/>
      <c r="C2749" s="221"/>
      <c r="D2749" s="218"/>
      <c r="E2749" s="218"/>
      <c r="F2749" s="527">
        <v>462</v>
      </c>
      <c r="G2749" s="520" t="s">
        <v>3826</v>
      </c>
      <c r="H2749" s="594"/>
      <c r="I2749" s="595"/>
      <c r="J2749" s="595">
        <f t="shared" si="87"/>
        <v>0</v>
      </c>
      <c r="K2749" s="533"/>
      <c r="L2749" s="533"/>
      <c r="M2749" s="533"/>
      <c r="N2749" s="268"/>
      <c r="O2749" s="533"/>
      <c r="P2749" s="533"/>
      <c r="Q2749" s="533"/>
      <c r="R2749" s="533"/>
      <c r="S2749" s="533"/>
      <c r="T2749" s="533"/>
      <c r="U2749" s="533"/>
      <c r="V2749" s="533"/>
      <c r="W2749" s="533"/>
      <c r="X2749" s="533"/>
      <c r="Y2749" s="533"/>
    </row>
    <row r="2750" spans="1:25" s="88" customFormat="1" hidden="1" x14ac:dyDescent="0.25">
      <c r="A2750" s="509"/>
      <c r="B2750" s="256"/>
      <c r="C2750" s="221"/>
      <c r="D2750" s="218"/>
      <c r="E2750" s="218"/>
      <c r="F2750" s="527">
        <v>4631</v>
      </c>
      <c r="G2750" s="520" t="s">
        <v>3827</v>
      </c>
      <c r="H2750" s="594"/>
      <c r="I2750" s="595"/>
      <c r="J2750" s="595">
        <f t="shared" si="87"/>
        <v>0</v>
      </c>
      <c r="K2750" s="533"/>
      <c r="L2750" s="533"/>
      <c r="M2750" s="533"/>
      <c r="N2750" s="268"/>
      <c r="O2750" s="533"/>
      <c r="P2750" s="533"/>
      <c r="Q2750" s="533"/>
      <c r="R2750" s="533"/>
      <c r="S2750" s="533"/>
      <c r="T2750" s="533"/>
      <c r="U2750" s="533"/>
      <c r="V2750" s="533"/>
      <c r="W2750" s="533"/>
      <c r="X2750" s="533"/>
      <c r="Y2750" s="533"/>
    </row>
    <row r="2751" spans="1:25" s="88" customFormat="1" hidden="1" x14ac:dyDescent="0.25">
      <c r="A2751" s="509"/>
      <c r="B2751" s="256"/>
      <c r="C2751" s="221"/>
      <c r="D2751" s="218"/>
      <c r="E2751" s="218"/>
      <c r="F2751" s="527">
        <v>4632</v>
      </c>
      <c r="G2751" s="520" t="s">
        <v>3828</v>
      </c>
      <c r="H2751" s="594"/>
      <c r="I2751" s="595"/>
      <c r="J2751" s="595">
        <f t="shared" si="87"/>
        <v>0</v>
      </c>
      <c r="K2751" s="533"/>
      <c r="L2751" s="533"/>
      <c r="M2751" s="533"/>
      <c r="N2751" s="268"/>
      <c r="O2751" s="533"/>
      <c r="P2751" s="533"/>
      <c r="Q2751" s="533"/>
      <c r="R2751" s="533"/>
      <c r="S2751" s="533"/>
      <c r="T2751" s="533"/>
      <c r="U2751" s="533"/>
      <c r="V2751" s="533"/>
      <c r="W2751" s="533"/>
      <c r="X2751" s="533"/>
      <c r="Y2751" s="533"/>
    </row>
    <row r="2752" spans="1:25" s="88" customFormat="1" hidden="1" x14ac:dyDescent="0.25">
      <c r="A2752" s="509"/>
      <c r="B2752" s="256"/>
      <c r="C2752" s="221"/>
      <c r="D2752" s="218"/>
      <c r="E2752" s="218"/>
      <c r="F2752" s="527">
        <v>464</v>
      </c>
      <c r="G2752" s="520" t="s">
        <v>3829</v>
      </c>
      <c r="H2752" s="594"/>
      <c r="I2752" s="595"/>
      <c r="J2752" s="595">
        <f t="shared" si="87"/>
        <v>0</v>
      </c>
      <c r="K2752" s="533"/>
      <c r="L2752" s="533"/>
      <c r="M2752" s="533"/>
      <c r="N2752" s="268"/>
      <c r="O2752" s="533"/>
      <c r="P2752" s="533"/>
      <c r="Q2752" s="533"/>
      <c r="R2752" s="533"/>
      <c r="S2752" s="533"/>
      <c r="T2752" s="533"/>
      <c r="U2752" s="533"/>
      <c r="V2752" s="533"/>
      <c r="W2752" s="533"/>
      <c r="X2752" s="533"/>
      <c r="Y2752" s="533"/>
    </row>
    <row r="2753" spans="1:25" s="88" customFormat="1" hidden="1" x14ac:dyDescent="0.25">
      <c r="A2753" s="509"/>
      <c r="B2753" s="256"/>
      <c r="C2753" s="221"/>
      <c r="D2753" s="218"/>
      <c r="E2753" s="218"/>
      <c r="F2753" s="527">
        <v>465</v>
      </c>
      <c r="G2753" s="520" t="s">
        <v>4192</v>
      </c>
      <c r="H2753" s="594"/>
      <c r="I2753" s="595"/>
      <c r="J2753" s="595">
        <f t="shared" si="87"/>
        <v>0</v>
      </c>
      <c r="K2753" s="533"/>
      <c r="L2753" s="533"/>
      <c r="M2753" s="533"/>
      <c r="N2753" s="268"/>
      <c r="O2753" s="533"/>
      <c r="P2753" s="533"/>
      <c r="Q2753" s="533"/>
      <c r="R2753" s="533"/>
      <c r="S2753" s="533"/>
      <c r="T2753" s="533"/>
      <c r="U2753" s="533"/>
      <c r="V2753" s="533"/>
      <c r="W2753" s="533"/>
      <c r="X2753" s="533"/>
      <c r="Y2753" s="533"/>
    </row>
    <row r="2754" spans="1:25" s="88" customFormat="1" hidden="1" x14ac:dyDescent="0.25">
      <c r="A2754" s="509"/>
      <c r="B2754" s="256"/>
      <c r="C2754" s="221"/>
      <c r="D2754" s="218"/>
      <c r="E2754" s="218"/>
      <c r="F2754" s="527">
        <v>472</v>
      </c>
      <c r="G2754" s="520" t="s">
        <v>3833</v>
      </c>
      <c r="H2754" s="594"/>
      <c r="I2754" s="595"/>
      <c r="J2754" s="595">
        <f t="shared" si="87"/>
        <v>0</v>
      </c>
      <c r="K2754" s="533"/>
      <c r="L2754" s="533"/>
      <c r="M2754" s="533"/>
      <c r="N2754" s="268"/>
      <c r="O2754" s="533"/>
      <c r="P2754" s="533"/>
      <c r="Q2754" s="533"/>
      <c r="R2754" s="533"/>
      <c r="S2754" s="533"/>
      <c r="T2754" s="533"/>
      <c r="U2754" s="533"/>
      <c r="V2754" s="533"/>
      <c r="W2754" s="533"/>
      <c r="X2754" s="533"/>
      <c r="Y2754" s="533"/>
    </row>
    <row r="2755" spans="1:25" s="88" customFormat="1" hidden="1" x14ac:dyDescent="0.25">
      <c r="A2755" s="509"/>
      <c r="B2755" s="256"/>
      <c r="C2755" s="221"/>
      <c r="D2755" s="218"/>
      <c r="E2755" s="218"/>
      <c r="F2755" s="527">
        <v>481</v>
      </c>
      <c r="G2755" s="520" t="s">
        <v>4211</v>
      </c>
      <c r="H2755" s="594"/>
      <c r="I2755" s="595"/>
      <c r="J2755" s="595">
        <f t="shared" si="87"/>
        <v>0</v>
      </c>
      <c r="K2755" s="533"/>
      <c r="L2755" s="533"/>
      <c r="M2755" s="533"/>
      <c r="N2755" s="268"/>
      <c r="O2755" s="533"/>
      <c r="P2755" s="533"/>
      <c r="Q2755" s="533"/>
      <c r="R2755" s="533"/>
      <c r="S2755" s="533"/>
      <c r="T2755" s="533"/>
      <c r="U2755" s="533"/>
      <c r="V2755" s="533"/>
      <c r="W2755" s="533"/>
      <c r="X2755" s="533"/>
      <c r="Y2755" s="533"/>
    </row>
    <row r="2756" spans="1:25" s="88" customFormat="1" hidden="1" x14ac:dyDescent="0.25">
      <c r="A2756" s="509"/>
      <c r="B2756" s="256"/>
      <c r="C2756" s="221"/>
      <c r="D2756" s="218"/>
      <c r="E2756" s="218"/>
      <c r="F2756" s="527">
        <v>482</v>
      </c>
      <c r="G2756" s="520" t="s">
        <v>4212</v>
      </c>
      <c r="H2756" s="594"/>
      <c r="I2756" s="595"/>
      <c r="J2756" s="595">
        <f t="shared" si="87"/>
        <v>0</v>
      </c>
      <c r="K2756" s="533"/>
      <c r="L2756" s="533"/>
      <c r="M2756" s="533"/>
      <c r="N2756" s="268"/>
      <c r="O2756" s="533"/>
      <c r="P2756" s="533"/>
      <c r="Q2756" s="533"/>
      <c r="R2756" s="533"/>
      <c r="S2756" s="533"/>
      <c r="T2756" s="533"/>
      <c r="U2756" s="533"/>
      <c r="V2756" s="533"/>
      <c r="W2756" s="533"/>
      <c r="X2756" s="533"/>
      <c r="Y2756" s="533"/>
    </row>
    <row r="2757" spans="1:25" s="88" customFormat="1" hidden="1" x14ac:dyDescent="0.25">
      <c r="A2757" s="509"/>
      <c r="B2757" s="256"/>
      <c r="C2757" s="221"/>
      <c r="D2757" s="218"/>
      <c r="E2757" s="218"/>
      <c r="F2757" s="527">
        <v>483</v>
      </c>
      <c r="G2757" s="524" t="s">
        <v>4213</v>
      </c>
      <c r="H2757" s="594"/>
      <c r="I2757" s="595"/>
      <c r="J2757" s="595">
        <f t="shared" si="87"/>
        <v>0</v>
      </c>
      <c r="K2757" s="533"/>
      <c r="L2757" s="533"/>
      <c r="M2757" s="533"/>
      <c r="N2757" s="268"/>
      <c r="O2757" s="533"/>
      <c r="P2757" s="533"/>
      <c r="Q2757" s="533"/>
      <c r="R2757" s="533"/>
      <c r="S2757" s="533"/>
      <c r="T2757" s="533"/>
      <c r="U2757" s="533"/>
      <c r="V2757" s="533"/>
      <c r="W2757" s="533"/>
      <c r="X2757" s="533"/>
      <c r="Y2757" s="533"/>
    </row>
    <row r="2758" spans="1:25" s="88" customFormat="1" ht="30" hidden="1" x14ac:dyDescent="0.25">
      <c r="A2758" s="509"/>
      <c r="B2758" s="256"/>
      <c r="C2758" s="221"/>
      <c r="D2758" s="218"/>
      <c r="E2758" s="218"/>
      <c r="F2758" s="527">
        <v>484</v>
      </c>
      <c r="G2758" s="520" t="s">
        <v>4214</v>
      </c>
      <c r="H2758" s="594"/>
      <c r="I2758" s="595"/>
      <c r="J2758" s="595">
        <f t="shared" si="87"/>
        <v>0</v>
      </c>
      <c r="K2758" s="533"/>
      <c r="L2758" s="533"/>
      <c r="M2758" s="533"/>
      <c r="N2758" s="268"/>
      <c r="O2758" s="533"/>
      <c r="P2758" s="533"/>
      <c r="Q2758" s="533"/>
      <c r="R2758" s="533"/>
      <c r="S2758" s="533"/>
      <c r="T2758" s="533"/>
      <c r="U2758" s="533"/>
      <c r="V2758" s="533"/>
      <c r="W2758" s="533"/>
      <c r="X2758" s="533"/>
      <c r="Y2758" s="533"/>
    </row>
    <row r="2759" spans="1:25" s="88" customFormat="1" ht="30" hidden="1" x14ac:dyDescent="0.25">
      <c r="A2759" s="509"/>
      <c r="B2759" s="256"/>
      <c r="C2759" s="221"/>
      <c r="D2759" s="218"/>
      <c r="E2759" s="218"/>
      <c r="F2759" s="527">
        <v>485</v>
      </c>
      <c r="G2759" s="520" t="s">
        <v>4215</v>
      </c>
      <c r="H2759" s="594"/>
      <c r="I2759" s="595"/>
      <c r="J2759" s="595">
        <f t="shared" si="87"/>
        <v>0</v>
      </c>
      <c r="K2759" s="533"/>
      <c r="L2759" s="533"/>
      <c r="M2759" s="533"/>
      <c r="N2759" s="268"/>
      <c r="O2759" s="533"/>
      <c r="P2759" s="533"/>
      <c r="Q2759" s="533"/>
      <c r="R2759" s="533"/>
      <c r="S2759" s="533"/>
      <c r="T2759" s="533"/>
      <c r="U2759" s="533"/>
      <c r="V2759" s="533"/>
      <c r="W2759" s="533"/>
      <c r="X2759" s="533"/>
      <c r="Y2759" s="533"/>
    </row>
    <row r="2760" spans="1:25" s="88" customFormat="1" ht="30" hidden="1" x14ac:dyDescent="0.25">
      <c r="A2760" s="509"/>
      <c r="B2760" s="256"/>
      <c r="C2760" s="221"/>
      <c r="D2760" s="218"/>
      <c r="E2760" s="218"/>
      <c r="F2760" s="527">
        <v>489</v>
      </c>
      <c r="G2760" s="520" t="s">
        <v>3841</v>
      </c>
      <c r="H2760" s="594"/>
      <c r="I2760" s="595"/>
      <c r="J2760" s="595">
        <f t="shared" si="87"/>
        <v>0</v>
      </c>
      <c r="K2760" s="533"/>
      <c r="L2760" s="533"/>
      <c r="M2760" s="533"/>
      <c r="N2760" s="268"/>
      <c r="O2760" s="533"/>
      <c r="P2760" s="533"/>
      <c r="Q2760" s="533"/>
      <c r="R2760" s="533"/>
      <c r="S2760" s="533"/>
      <c r="T2760" s="533"/>
      <c r="U2760" s="533"/>
      <c r="V2760" s="533"/>
      <c r="W2760" s="533"/>
      <c r="X2760" s="533"/>
      <c r="Y2760" s="533"/>
    </row>
    <row r="2761" spans="1:25" s="88" customFormat="1" hidden="1" x14ac:dyDescent="0.25">
      <c r="A2761" s="509"/>
      <c r="B2761" s="256"/>
      <c r="C2761" s="221"/>
      <c r="D2761" s="218"/>
      <c r="E2761" s="218"/>
      <c r="F2761" s="527">
        <v>494</v>
      </c>
      <c r="G2761" s="520" t="s">
        <v>4193</v>
      </c>
      <c r="H2761" s="594"/>
      <c r="I2761" s="595"/>
      <c r="J2761" s="595">
        <f t="shared" si="87"/>
        <v>0</v>
      </c>
      <c r="K2761" s="533"/>
      <c r="L2761" s="533"/>
      <c r="M2761" s="533"/>
      <c r="N2761" s="268"/>
      <c r="O2761" s="533"/>
      <c r="P2761" s="533"/>
      <c r="Q2761" s="533"/>
      <c r="R2761" s="533"/>
      <c r="S2761" s="533"/>
      <c r="T2761" s="533"/>
      <c r="U2761" s="533"/>
      <c r="V2761" s="533"/>
      <c r="W2761" s="533"/>
      <c r="X2761" s="533"/>
      <c r="Y2761" s="533"/>
    </row>
    <row r="2762" spans="1:25" s="88" customFormat="1" ht="30" hidden="1" x14ac:dyDescent="0.25">
      <c r="A2762" s="509"/>
      <c r="B2762" s="256"/>
      <c r="C2762" s="221"/>
      <c r="D2762" s="218"/>
      <c r="E2762" s="218"/>
      <c r="F2762" s="527">
        <v>495</v>
      </c>
      <c r="G2762" s="520" t="s">
        <v>4194</v>
      </c>
      <c r="H2762" s="594"/>
      <c r="I2762" s="595"/>
      <c r="J2762" s="595">
        <f t="shared" si="87"/>
        <v>0</v>
      </c>
      <c r="K2762" s="533"/>
      <c r="L2762" s="533"/>
      <c r="M2762" s="533"/>
      <c r="N2762" s="268"/>
      <c r="O2762" s="533"/>
      <c r="P2762" s="533"/>
      <c r="Q2762" s="533"/>
      <c r="R2762" s="533"/>
      <c r="S2762" s="533"/>
      <c r="T2762" s="533"/>
      <c r="U2762" s="533"/>
      <c r="V2762" s="533"/>
      <c r="W2762" s="533"/>
      <c r="X2762" s="533"/>
      <c r="Y2762" s="533"/>
    </row>
    <row r="2763" spans="1:25" s="88" customFormat="1" ht="30" hidden="1" x14ac:dyDescent="0.25">
      <c r="A2763" s="509"/>
      <c r="B2763" s="256"/>
      <c r="C2763" s="221"/>
      <c r="D2763" s="218"/>
      <c r="E2763" s="218"/>
      <c r="F2763" s="527">
        <v>496</v>
      </c>
      <c r="G2763" s="520" t="s">
        <v>4195</v>
      </c>
      <c r="H2763" s="594"/>
      <c r="I2763" s="595"/>
      <c r="J2763" s="595">
        <f t="shared" si="87"/>
        <v>0</v>
      </c>
      <c r="K2763" s="533"/>
      <c r="L2763" s="533"/>
      <c r="M2763" s="533"/>
      <c r="N2763" s="268"/>
      <c r="O2763" s="533"/>
      <c r="P2763" s="533"/>
      <c r="Q2763" s="533"/>
      <c r="R2763" s="533"/>
      <c r="S2763" s="533"/>
      <c r="T2763" s="533"/>
      <c r="U2763" s="533"/>
      <c r="V2763" s="533"/>
      <c r="W2763" s="533"/>
      <c r="X2763" s="533"/>
      <c r="Y2763" s="533"/>
    </row>
    <row r="2764" spans="1:25" s="88" customFormat="1" hidden="1" x14ac:dyDescent="0.25">
      <c r="A2764" s="509"/>
      <c r="B2764" s="256"/>
      <c r="C2764" s="221"/>
      <c r="D2764" s="218"/>
      <c r="E2764" s="218"/>
      <c r="F2764" s="527">
        <v>499</v>
      </c>
      <c r="G2764" s="520" t="s">
        <v>4196</v>
      </c>
      <c r="H2764" s="594"/>
      <c r="I2764" s="595"/>
      <c r="J2764" s="595">
        <f t="shared" si="87"/>
        <v>0</v>
      </c>
      <c r="K2764" s="533"/>
      <c r="L2764" s="533"/>
      <c r="M2764" s="533"/>
      <c r="N2764" s="268"/>
      <c r="O2764" s="533"/>
      <c r="P2764" s="533"/>
      <c r="Q2764" s="533"/>
      <c r="R2764" s="533"/>
      <c r="S2764" s="533"/>
      <c r="T2764" s="533"/>
      <c r="U2764" s="533"/>
      <c r="V2764" s="533"/>
      <c r="W2764" s="533"/>
      <c r="X2764" s="533"/>
      <c r="Y2764" s="533"/>
    </row>
    <row r="2765" spans="1:25" s="88" customFormat="1" ht="15.75" thickBot="1" x14ac:dyDescent="0.3">
      <c r="A2765" s="509"/>
      <c r="B2765" s="256"/>
      <c r="C2765" s="221"/>
      <c r="D2765" s="218"/>
      <c r="E2765" s="218">
        <v>41</v>
      </c>
      <c r="F2765" s="527">
        <v>511</v>
      </c>
      <c r="G2765" s="524" t="s">
        <v>4216</v>
      </c>
      <c r="H2765" s="594">
        <v>27700000</v>
      </c>
      <c r="I2765" s="595"/>
      <c r="J2765" s="595">
        <f t="shared" si="87"/>
        <v>27700000</v>
      </c>
      <c r="K2765" s="533"/>
      <c r="L2765" s="533"/>
      <c r="M2765" s="533"/>
      <c r="N2765" s="268"/>
      <c r="O2765" s="533"/>
      <c r="P2765" s="533"/>
      <c r="Q2765" s="533"/>
      <c r="R2765" s="533"/>
      <c r="S2765" s="533"/>
      <c r="T2765" s="533"/>
      <c r="U2765" s="533"/>
      <c r="V2765" s="533"/>
      <c r="W2765" s="533"/>
      <c r="X2765" s="533"/>
      <c r="Y2765" s="533"/>
    </row>
    <row r="2766" spans="1:25" s="88" customFormat="1" hidden="1" x14ac:dyDescent="0.25">
      <c r="A2766" s="509"/>
      <c r="B2766" s="256"/>
      <c r="C2766" s="221"/>
      <c r="D2766" s="218"/>
      <c r="E2766" s="218"/>
      <c r="F2766" s="527">
        <v>512</v>
      </c>
      <c r="G2766" s="524" t="s">
        <v>4217</v>
      </c>
      <c r="H2766" s="594"/>
      <c r="I2766" s="595"/>
      <c r="J2766" s="595">
        <f t="shared" si="87"/>
        <v>0</v>
      </c>
      <c r="K2766" s="533"/>
      <c r="L2766" s="533"/>
      <c r="M2766" s="533"/>
      <c r="N2766" s="268"/>
      <c r="O2766" s="533"/>
      <c r="P2766" s="533"/>
      <c r="Q2766" s="533"/>
      <c r="R2766" s="533"/>
      <c r="S2766" s="533"/>
      <c r="T2766" s="533"/>
      <c r="U2766" s="533"/>
      <c r="V2766" s="533"/>
      <c r="W2766" s="533"/>
      <c r="X2766" s="533"/>
      <c r="Y2766" s="533"/>
    </row>
    <row r="2767" spans="1:25" s="88" customFormat="1" hidden="1" x14ac:dyDescent="0.25">
      <c r="A2767" s="509"/>
      <c r="B2767" s="256"/>
      <c r="C2767" s="221"/>
      <c r="D2767" s="218"/>
      <c r="E2767" s="218"/>
      <c r="F2767" s="527">
        <v>513</v>
      </c>
      <c r="G2767" s="524" t="s">
        <v>4218</v>
      </c>
      <c r="H2767" s="594"/>
      <c r="I2767" s="595"/>
      <c r="J2767" s="595">
        <f t="shared" si="87"/>
        <v>0</v>
      </c>
      <c r="K2767" s="533"/>
      <c r="L2767" s="533"/>
      <c r="M2767" s="533"/>
      <c r="N2767" s="268"/>
      <c r="O2767" s="533"/>
      <c r="P2767" s="533"/>
      <c r="Q2767" s="533"/>
      <c r="R2767" s="533"/>
      <c r="S2767" s="533"/>
      <c r="T2767" s="533"/>
      <c r="U2767" s="533"/>
      <c r="V2767" s="533"/>
      <c r="W2767" s="533"/>
      <c r="X2767" s="533"/>
      <c r="Y2767" s="533"/>
    </row>
    <row r="2768" spans="1:25" s="88" customFormat="1" hidden="1" x14ac:dyDescent="0.25">
      <c r="A2768" s="509"/>
      <c r="B2768" s="256"/>
      <c r="C2768" s="221"/>
      <c r="D2768" s="218"/>
      <c r="E2768" s="218"/>
      <c r="F2768" s="527">
        <v>514</v>
      </c>
      <c r="G2768" s="520" t="s">
        <v>4219</v>
      </c>
      <c r="H2768" s="594"/>
      <c r="I2768" s="595"/>
      <c r="J2768" s="595">
        <f t="shared" si="87"/>
        <v>0</v>
      </c>
      <c r="K2768" s="533"/>
      <c r="L2768" s="533"/>
      <c r="M2768" s="533"/>
      <c r="N2768" s="268"/>
      <c r="O2768" s="533"/>
      <c r="P2768" s="533"/>
      <c r="Q2768" s="533"/>
      <c r="R2768" s="533"/>
      <c r="S2768" s="533"/>
      <c r="T2768" s="533"/>
      <c r="U2768" s="533"/>
      <c r="V2768" s="533"/>
      <c r="W2768" s="533"/>
      <c r="X2768" s="533"/>
      <c r="Y2768" s="533"/>
    </row>
    <row r="2769" spans="1:25" s="88" customFormat="1" hidden="1" x14ac:dyDescent="0.25">
      <c r="A2769" s="509"/>
      <c r="B2769" s="256"/>
      <c r="C2769" s="221"/>
      <c r="D2769" s="218"/>
      <c r="E2769" s="218"/>
      <c r="F2769" s="527">
        <v>515</v>
      </c>
      <c r="G2769" s="520" t="s">
        <v>3852</v>
      </c>
      <c r="H2769" s="594"/>
      <c r="I2769" s="595"/>
      <c r="J2769" s="595">
        <f t="shared" si="87"/>
        <v>0</v>
      </c>
      <c r="K2769" s="533"/>
      <c r="L2769" s="533"/>
      <c r="M2769" s="533"/>
      <c r="N2769" s="268"/>
      <c r="O2769" s="533"/>
      <c r="P2769" s="533"/>
      <c r="Q2769" s="533"/>
      <c r="R2769" s="533"/>
      <c r="S2769" s="533"/>
      <c r="T2769" s="533"/>
      <c r="U2769" s="533"/>
      <c r="V2769" s="533"/>
      <c r="W2769" s="533"/>
      <c r="X2769" s="533"/>
      <c r="Y2769" s="533"/>
    </row>
    <row r="2770" spans="1:25" s="88" customFormat="1" hidden="1" x14ac:dyDescent="0.25">
      <c r="A2770" s="509"/>
      <c r="B2770" s="256"/>
      <c r="C2770" s="221"/>
      <c r="D2770" s="218"/>
      <c r="E2770" s="218"/>
      <c r="F2770" s="527">
        <v>521</v>
      </c>
      <c r="G2770" s="520" t="s">
        <v>4220</v>
      </c>
      <c r="H2770" s="594"/>
      <c r="I2770" s="595"/>
      <c r="J2770" s="595">
        <f t="shared" si="87"/>
        <v>0</v>
      </c>
      <c r="K2770" s="533"/>
      <c r="L2770" s="533"/>
      <c r="M2770" s="533"/>
      <c r="N2770" s="268"/>
      <c r="O2770" s="533"/>
      <c r="P2770" s="533"/>
      <c r="Q2770" s="533"/>
      <c r="R2770" s="533"/>
      <c r="S2770" s="533"/>
      <c r="T2770" s="533"/>
      <c r="U2770" s="533"/>
      <c r="V2770" s="533"/>
      <c r="W2770" s="533"/>
      <c r="X2770" s="533"/>
      <c r="Y2770" s="533"/>
    </row>
    <row r="2771" spans="1:25" s="88" customFormat="1" hidden="1" x14ac:dyDescent="0.25">
      <c r="A2771" s="509"/>
      <c r="B2771" s="256"/>
      <c r="C2771" s="221"/>
      <c r="D2771" s="218"/>
      <c r="E2771" s="218"/>
      <c r="F2771" s="527">
        <v>522</v>
      </c>
      <c r="G2771" s="520" t="s">
        <v>4221</v>
      </c>
      <c r="H2771" s="594"/>
      <c r="I2771" s="595"/>
      <c r="J2771" s="595">
        <f t="shared" si="87"/>
        <v>0</v>
      </c>
      <c r="K2771" s="533"/>
      <c r="L2771" s="533"/>
      <c r="M2771" s="533"/>
      <c r="N2771" s="268"/>
      <c r="O2771" s="533"/>
      <c r="P2771" s="533"/>
      <c r="Q2771" s="533"/>
      <c r="R2771" s="533"/>
      <c r="S2771" s="533"/>
      <c r="T2771" s="533"/>
      <c r="U2771" s="533"/>
      <c r="V2771" s="533"/>
      <c r="W2771" s="533"/>
      <c r="X2771" s="533"/>
      <c r="Y2771" s="533"/>
    </row>
    <row r="2772" spans="1:25" s="88" customFormat="1" hidden="1" x14ac:dyDescent="0.25">
      <c r="A2772" s="509"/>
      <c r="B2772" s="256"/>
      <c r="C2772" s="221"/>
      <c r="D2772" s="218"/>
      <c r="E2772" s="218"/>
      <c r="F2772" s="527">
        <v>523</v>
      </c>
      <c r="G2772" s="520" t="s">
        <v>3857</v>
      </c>
      <c r="H2772" s="594"/>
      <c r="I2772" s="595"/>
      <c r="J2772" s="595">
        <f t="shared" si="87"/>
        <v>0</v>
      </c>
      <c r="K2772" s="533"/>
      <c r="L2772" s="533"/>
      <c r="M2772" s="533"/>
      <c r="N2772" s="268"/>
      <c r="O2772" s="533"/>
      <c r="P2772" s="533"/>
      <c r="Q2772" s="533"/>
      <c r="R2772" s="533"/>
      <c r="S2772" s="533"/>
      <c r="T2772" s="533"/>
      <c r="U2772" s="533"/>
      <c r="V2772" s="533"/>
      <c r="W2772" s="533"/>
      <c r="X2772" s="533"/>
      <c r="Y2772" s="533"/>
    </row>
    <row r="2773" spans="1:25" s="88" customFormat="1" hidden="1" x14ac:dyDescent="0.25">
      <c r="A2773" s="509"/>
      <c r="B2773" s="256"/>
      <c r="C2773" s="221"/>
      <c r="D2773" s="218"/>
      <c r="E2773" s="218"/>
      <c r="F2773" s="527">
        <v>531</v>
      </c>
      <c r="G2773" s="516" t="s">
        <v>4197</v>
      </c>
      <c r="H2773" s="594"/>
      <c r="I2773" s="595"/>
      <c r="J2773" s="595">
        <f t="shared" si="87"/>
        <v>0</v>
      </c>
      <c r="K2773" s="533"/>
      <c r="L2773" s="533"/>
      <c r="M2773" s="533"/>
      <c r="N2773" s="268"/>
      <c r="O2773" s="533"/>
      <c r="P2773" s="533"/>
      <c r="Q2773" s="533"/>
      <c r="R2773" s="533"/>
      <c r="S2773" s="533"/>
      <c r="T2773" s="533"/>
      <c r="U2773" s="533"/>
      <c r="V2773" s="533"/>
      <c r="W2773" s="533"/>
      <c r="X2773" s="533"/>
      <c r="Y2773" s="533"/>
    </row>
    <row r="2774" spans="1:25" s="88" customFormat="1" hidden="1" x14ac:dyDescent="0.25">
      <c r="A2774" s="509"/>
      <c r="B2774" s="256"/>
      <c r="C2774" s="221"/>
      <c r="D2774" s="218"/>
      <c r="E2774" s="218"/>
      <c r="F2774" s="527">
        <v>541</v>
      </c>
      <c r="G2774" s="520" t="s">
        <v>4222</v>
      </c>
      <c r="H2774" s="594"/>
      <c r="I2774" s="595"/>
      <c r="J2774" s="595">
        <f t="shared" si="87"/>
        <v>0</v>
      </c>
      <c r="K2774" s="533"/>
      <c r="L2774" s="533"/>
      <c r="M2774" s="533"/>
      <c r="N2774" s="268"/>
      <c r="O2774" s="533"/>
      <c r="P2774" s="533"/>
      <c r="Q2774" s="533"/>
      <c r="R2774" s="533"/>
      <c r="S2774" s="533"/>
      <c r="T2774" s="533"/>
      <c r="U2774" s="533"/>
      <c r="V2774" s="533"/>
      <c r="W2774" s="533"/>
      <c r="X2774" s="533"/>
      <c r="Y2774" s="533"/>
    </row>
    <row r="2775" spans="1:25" s="88" customFormat="1" hidden="1" x14ac:dyDescent="0.25">
      <c r="A2775" s="509"/>
      <c r="B2775" s="256"/>
      <c r="C2775" s="221"/>
      <c r="D2775" s="218"/>
      <c r="E2775" s="218"/>
      <c r="F2775" s="527">
        <v>542</v>
      </c>
      <c r="G2775" s="520" t="s">
        <v>4223</v>
      </c>
      <c r="H2775" s="594"/>
      <c r="I2775" s="595"/>
      <c r="J2775" s="595">
        <f t="shared" si="87"/>
        <v>0</v>
      </c>
      <c r="K2775" s="533"/>
      <c r="L2775" s="533"/>
      <c r="M2775" s="533"/>
      <c r="N2775" s="268"/>
      <c r="O2775" s="533"/>
      <c r="P2775" s="533"/>
      <c r="Q2775" s="533"/>
      <c r="R2775" s="533"/>
      <c r="S2775" s="533"/>
      <c r="T2775" s="533"/>
      <c r="U2775" s="533"/>
      <c r="V2775" s="533"/>
      <c r="W2775" s="533"/>
      <c r="X2775" s="533"/>
      <c r="Y2775" s="533"/>
    </row>
    <row r="2776" spans="1:25" s="88" customFormat="1" hidden="1" x14ac:dyDescent="0.25">
      <c r="A2776" s="509"/>
      <c r="B2776" s="256"/>
      <c r="C2776" s="221"/>
      <c r="D2776" s="218"/>
      <c r="E2776" s="218"/>
      <c r="F2776" s="527">
        <v>543</v>
      </c>
      <c r="G2776" s="520" t="s">
        <v>3862</v>
      </c>
      <c r="H2776" s="594"/>
      <c r="I2776" s="595"/>
      <c r="J2776" s="595">
        <f t="shared" si="87"/>
        <v>0</v>
      </c>
      <c r="K2776" s="533"/>
      <c r="L2776" s="533"/>
      <c r="M2776" s="533"/>
      <c r="N2776" s="268"/>
      <c r="O2776" s="533"/>
      <c r="P2776" s="533"/>
      <c r="Q2776" s="533"/>
      <c r="R2776" s="533"/>
      <c r="S2776" s="533"/>
      <c r="T2776" s="533"/>
      <c r="U2776" s="533"/>
      <c r="V2776" s="533"/>
      <c r="W2776" s="533"/>
      <c r="X2776" s="533"/>
      <c r="Y2776" s="533"/>
    </row>
    <row r="2777" spans="1:25" s="88" customFormat="1" ht="30" hidden="1" x14ac:dyDescent="0.25">
      <c r="A2777" s="509"/>
      <c r="B2777" s="256"/>
      <c r="C2777" s="221"/>
      <c r="D2777" s="218"/>
      <c r="E2777" s="218"/>
      <c r="F2777" s="527">
        <v>551</v>
      </c>
      <c r="G2777" s="520" t="s">
        <v>4198</v>
      </c>
      <c r="H2777" s="594"/>
      <c r="I2777" s="595"/>
      <c r="J2777" s="595">
        <f t="shared" si="87"/>
        <v>0</v>
      </c>
      <c r="K2777" s="533"/>
      <c r="L2777" s="533"/>
      <c r="M2777" s="533"/>
      <c r="N2777" s="268"/>
      <c r="O2777" s="533"/>
      <c r="P2777" s="533"/>
      <c r="Q2777" s="533"/>
      <c r="R2777" s="533"/>
      <c r="S2777" s="533"/>
      <c r="T2777" s="533"/>
      <c r="U2777" s="533"/>
      <c r="V2777" s="533"/>
      <c r="W2777" s="533"/>
      <c r="X2777" s="533"/>
      <c r="Y2777" s="533"/>
    </row>
    <row r="2778" spans="1:25" s="88" customFormat="1" hidden="1" x14ac:dyDescent="0.25">
      <c r="A2778" s="509"/>
      <c r="B2778" s="256"/>
      <c r="C2778" s="221"/>
      <c r="D2778" s="218"/>
      <c r="E2778" s="218"/>
      <c r="F2778" s="528">
        <v>611</v>
      </c>
      <c r="G2778" s="526" t="s">
        <v>3868</v>
      </c>
      <c r="H2778" s="594"/>
      <c r="I2778" s="595"/>
      <c r="J2778" s="595">
        <f t="shared" si="87"/>
        <v>0</v>
      </c>
      <c r="K2778" s="533"/>
      <c r="L2778" s="533"/>
      <c r="M2778" s="533"/>
      <c r="N2778" s="268"/>
      <c r="O2778" s="533"/>
      <c r="P2778" s="533"/>
      <c r="Q2778" s="533"/>
      <c r="R2778" s="533"/>
      <c r="S2778" s="533"/>
      <c r="T2778" s="533"/>
      <c r="U2778" s="533"/>
      <c r="V2778" s="533"/>
      <c r="W2778" s="533"/>
      <c r="X2778" s="533"/>
      <c r="Y2778" s="533"/>
    </row>
    <row r="2779" spans="1:25" s="88" customFormat="1" ht="15.75" hidden="1" thickBot="1" x14ac:dyDescent="0.3">
      <c r="A2779" s="509"/>
      <c r="B2779" s="256"/>
      <c r="C2779" s="221"/>
      <c r="D2779" s="218"/>
      <c r="E2779" s="218"/>
      <c r="F2779" s="528">
        <v>620</v>
      </c>
      <c r="G2779" s="526" t="s">
        <v>88</v>
      </c>
      <c r="H2779" s="594"/>
      <c r="I2779" s="595"/>
      <c r="J2779" s="595">
        <f t="shared" si="87"/>
        <v>0</v>
      </c>
      <c r="K2779" s="533"/>
      <c r="L2779" s="533"/>
      <c r="M2779" s="533"/>
      <c r="N2779" s="268"/>
      <c r="O2779" s="533"/>
      <c r="P2779" s="533"/>
      <c r="Q2779" s="533"/>
      <c r="R2779" s="533"/>
      <c r="S2779" s="533"/>
      <c r="T2779" s="533"/>
      <c r="U2779" s="533"/>
      <c r="V2779" s="533"/>
      <c r="W2779" s="533"/>
      <c r="X2779" s="533"/>
      <c r="Y2779" s="533"/>
    </row>
    <row r="2780" spans="1:25" s="88" customFormat="1" x14ac:dyDescent="0.25">
      <c r="A2780" s="509"/>
      <c r="B2780" s="256"/>
      <c r="C2780" s="221"/>
      <c r="D2780" s="218"/>
      <c r="E2780" s="517"/>
      <c r="F2780" s="528"/>
      <c r="G2780" s="327" t="s">
        <v>4368</v>
      </c>
      <c r="H2780" s="596"/>
      <c r="I2780" s="622"/>
      <c r="J2780" s="597"/>
      <c r="K2780" s="533"/>
      <c r="L2780" s="533"/>
      <c r="M2780" s="533"/>
      <c r="N2780" s="268"/>
      <c r="O2780" s="533"/>
      <c r="P2780" s="533"/>
      <c r="Q2780" s="533"/>
      <c r="R2780" s="533"/>
      <c r="S2780" s="533"/>
      <c r="T2780" s="533"/>
      <c r="U2780" s="533"/>
      <c r="V2780" s="533"/>
      <c r="W2780" s="533"/>
      <c r="X2780" s="533"/>
      <c r="Y2780" s="533"/>
    </row>
    <row r="2781" spans="1:25" s="88" customFormat="1" ht="15.75" thickBot="1" x14ac:dyDescent="0.3">
      <c r="A2781" s="509"/>
      <c r="B2781" s="256"/>
      <c r="C2781" s="221"/>
      <c r="D2781" s="218"/>
      <c r="E2781" s="222"/>
      <c r="F2781" s="642" t="s">
        <v>234</v>
      </c>
      <c r="G2781" s="643" t="s">
        <v>235</v>
      </c>
      <c r="H2781" s="598">
        <f>SUM(H2720:H2779)</f>
        <v>27700000</v>
      </c>
      <c r="I2781" s="599"/>
      <c r="J2781" s="599">
        <f t="shared" ref="J2781:J2796" si="88">SUM(H2781:I2781)</f>
        <v>27700000</v>
      </c>
      <c r="K2781" s="533"/>
      <c r="L2781" s="533"/>
      <c r="M2781" s="533"/>
      <c r="N2781" s="268"/>
      <c r="O2781" s="533"/>
      <c r="P2781" s="533"/>
      <c r="Q2781" s="533"/>
      <c r="R2781" s="533"/>
      <c r="S2781" s="533"/>
      <c r="T2781" s="533"/>
      <c r="U2781" s="533"/>
      <c r="V2781" s="533"/>
      <c r="W2781" s="533"/>
      <c r="X2781" s="533"/>
      <c r="Y2781" s="533"/>
    </row>
    <row r="2782" spans="1:25" s="88" customFormat="1" hidden="1" x14ac:dyDescent="0.25">
      <c r="A2782" s="509"/>
      <c r="B2782" s="256"/>
      <c r="C2782" s="221"/>
      <c r="D2782" s="218"/>
      <c r="E2782" s="218"/>
      <c r="F2782" s="642" t="s">
        <v>236</v>
      </c>
      <c r="G2782" s="643" t="s">
        <v>237</v>
      </c>
      <c r="H2782" s="594"/>
      <c r="I2782" s="595"/>
      <c r="J2782" s="599">
        <f t="shared" si="88"/>
        <v>0</v>
      </c>
      <c r="K2782" s="533"/>
      <c r="L2782" s="533"/>
      <c r="M2782" s="533"/>
      <c r="N2782" s="268"/>
      <c r="O2782" s="533"/>
      <c r="P2782" s="533"/>
      <c r="Q2782" s="533"/>
      <c r="R2782" s="533"/>
      <c r="S2782" s="533"/>
      <c r="T2782" s="533"/>
      <c r="U2782" s="533"/>
      <c r="V2782" s="533"/>
      <c r="W2782" s="533"/>
      <c r="X2782" s="533"/>
      <c r="Y2782" s="533"/>
    </row>
    <row r="2783" spans="1:25" s="88" customFormat="1" hidden="1" x14ac:dyDescent="0.25">
      <c r="A2783" s="509"/>
      <c r="B2783" s="256"/>
      <c r="C2783" s="221"/>
      <c r="D2783" s="218"/>
      <c r="E2783" s="218"/>
      <c r="F2783" s="642" t="s">
        <v>238</v>
      </c>
      <c r="G2783" s="643" t="s">
        <v>239</v>
      </c>
      <c r="H2783" s="594"/>
      <c r="I2783" s="595"/>
      <c r="J2783" s="599">
        <f t="shared" si="88"/>
        <v>0</v>
      </c>
      <c r="K2783" s="533"/>
      <c r="L2783" s="533"/>
      <c r="M2783" s="533"/>
      <c r="N2783" s="268"/>
      <c r="O2783" s="533"/>
      <c r="P2783" s="533"/>
      <c r="Q2783" s="533"/>
      <c r="R2783" s="533"/>
      <c r="S2783" s="533"/>
      <c r="T2783" s="533"/>
      <c r="U2783" s="533"/>
      <c r="V2783" s="533"/>
      <c r="W2783" s="533"/>
      <c r="X2783" s="533"/>
      <c r="Y2783" s="533"/>
    </row>
    <row r="2784" spans="1:25" s="88" customFormat="1" hidden="1" x14ac:dyDescent="0.25">
      <c r="A2784" s="509"/>
      <c r="B2784" s="256"/>
      <c r="C2784" s="221"/>
      <c r="D2784" s="218"/>
      <c r="E2784" s="218"/>
      <c r="F2784" s="642" t="s">
        <v>240</v>
      </c>
      <c r="G2784" s="643" t="s">
        <v>241</v>
      </c>
      <c r="H2784" s="594"/>
      <c r="I2784" s="595"/>
      <c r="J2784" s="599">
        <f t="shared" si="88"/>
        <v>0</v>
      </c>
      <c r="K2784" s="533"/>
      <c r="L2784" s="533"/>
      <c r="M2784" s="533"/>
      <c r="N2784" s="268"/>
      <c r="O2784" s="533"/>
      <c r="P2784" s="533"/>
      <c r="Q2784" s="533"/>
      <c r="R2784" s="533"/>
      <c r="S2784" s="533"/>
      <c r="T2784" s="533"/>
      <c r="U2784" s="533"/>
      <c r="V2784" s="533"/>
      <c r="W2784" s="533"/>
      <c r="X2784" s="533"/>
      <c r="Y2784" s="533"/>
    </row>
    <row r="2785" spans="1:25" s="88" customFormat="1" hidden="1" x14ac:dyDescent="0.25">
      <c r="A2785" s="509"/>
      <c r="B2785" s="256"/>
      <c r="C2785" s="221"/>
      <c r="D2785" s="218"/>
      <c r="E2785" s="218"/>
      <c r="F2785" s="642" t="s">
        <v>242</v>
      </c>
      <c r="G2785" s="643" t="s">
        <v>243</v>
      </c>
      <c r="H2785" s="594"/>
      <c r="I2785" s="595"/>
      <c r="J2785" s="599">
        <f t="shared" si="88"/>
        <v>0</v>
      </c>
      <c r="K2785" s="533"/>
      <c r="L2785" s="533"/>
      <c r="M2785" s="533"/>
      <c r="N2785" s="268"/>
      <c r="O2785" s="533"/>
      <c r="P2785" s="533"/>
      <c r="Q2785" s="533"/>
      <c r="R2785" s="533"/>
      <c r="S2785" s="533"/>
      <c r="T2785" s="533"/>
      <c r="U2785" s="533"/>
      <c r="V2785" s="533"/>
      <c r="W2785" s="533"/>
      <c r="X2785" s="533"/>
      <c r="Y2785" s="533"/>
    </row>
    <row r="2786" spans="1:25" s="88" customFormat="1" hidden="1" x14ac:dyDescent="0.25">
      <c r="A2786" s="509"/>
      <c r="B2786" s="256"/>
      <c r="C2786" s="221"/>
      <c r="D2786" s="218"/>
      <c r="E2786" s="218"/>
      <c r="F2786" s="642" t="s">
        <v>244</v>
      </c>
      <c r="G2786" s="643" t="s">
        <v>245</v>
      </c>
      <c r="H2786" s="594"/>
      <c r="I2786" s="595"/>
      <c r="J2786" s="599">
        <f t="shared" si="88"/>
        <v>0</v>
      </c>
      <c r="K2786" s="533"/>
      <c r="L2786" s="533"/>
      <c r="M2786" s="533"/>
      <c r="N2786" s="268"/>
      <c r="O2786" s="533"/>
      <c r="P2786" s="533"/>
      <c r="Q2786" s="533"/>
      <c r="R2786" s="533"/>
      <c r="S2786" s="533"/>
      <c r="T2786" s="533"/>
      <c r="U2786" s="533"/>
      <c r="V2786" s="533"/>
      <c r="W2786" s="533"/>
      <c r="X2786" s="533"/>
      <c r="Y2786" s="533"/>
    </row>
    <row r="2787" spans="1:25" s="88" customFormat="1" hidden="1" x14ac:dyDescent="0.25">
      <c r="A2787" s="509"/>
      <c r="B2787" s="256"/>
      <c r="C2787" s="221"/>
      <c r="D2787" s="218"/>
      <c r="E2787" s="218"/>
      <c r="F2787" s="642" t="s">
        <v>246</v>
      </c>
      <c r="G2787" s="643" t="s">
        <v>247</v>
      </c>
      <c r="H2787" s="594"/>
      <c r="I2787" s="595"/>
      <c r="J2787" s="599">
        <f t="shared" si="88"/>
        <v>0</v>
      </c>
      <c r="K2787" s="533"/>
      <c r="L2787" s="533"/>
      <c r="M2787" s="533"/>
      <c r="N2787" s="268"/>
      <c r="O2787" s="533"/>
      <c r="P2787" s="533"/>
      <c r="Q2787" s="533"/>
      <c r="R2787" s="533"/>
      <c r="S2787" s="533"/>
      <c r="T2787" s="533"/>
      <c r="U2787" s="533"/>
      <c r="V2787" s="533"/>
      <c r="W2787" s="533"/>
      <c r="X2787" s="533"/>
      <c r="Y2787" s="533"/>
    </row>
    <row r="2788" spans="1:25" s="88" customFormat="1" hidden="1" x14ac:dyDescent="0.25">
      <c r="A2788" s="509"/>
      <c r="B2788" s="256"/>
      <c r="C2788" s="221"/>
      <c r="D2788" s="218"/>
      <c r="E2788" s="218"/>
      <c r="F2788" s="642" t="s">
        <v>248</v>
      </c>
      <c r="G2788" s="643" t="s">
        <v>249</v>
      </c>
      <c r="H2788" s="594"/>
      <c r="I2788" s="595"/>
      <c r="J2788" s="599">
        <f t="shared" si="88"/>
        <v>0</v>
      </c>
      <c r="K2788" s="533"/>
      <c r="L2788" s="533"/>
      <c r="M2788" s="533"/>
      <c r="N2788" s="268"/>
      <c r="O2788" s="533"/>
      <c r="P2788" s="533"/>
      <c r="Q2788" s="533"/>
      <c r="R2788" s="533"/>
      <c r="S2788" s="533"/>
      <c r="T2788" s="533"/>
      <c r="U2788" s="533"/>
      <c r="V2788" s="533"/>
      <c r="W2788" s="533"/>
      <c r="X2788" s="533"/>
      <c r="Y2788" s="533"/>
    </row>
    <row r="2789" spans="1:25" s="88" customFormat="1" hidden="1" x14ac:dyDescent="0.25">
      <c r="A2789" s="218"/>
      <c r="B2789" s="218"/>
      <c r="C2789" s="221"/>
      <c r="D2789" s="218"/>
      <c r="E2789" s="218"/>
      <c r="F2789" s="642" t="s">
        <v>250</v>
      </c>
      <c r="G2789" s="643" t="s">
        <v>57</v>
      </c>
      <c r="H2789" s="594"/>
      <c r="I2789" s="595"/>
      <c r="J2789" s="599">
        <f t="shared" si="88"/>
        <v>0</v>
      </c>
      <c r="K2789" s="533"/>
      <c r="L2789" s="533"/>
      <c r="M2789" s="533"/>
      <c r="N2789" s="268"/>
      <c r="O2789" s="533"/>
      <c r="P2789" s="533"/>
      <c r="Q2789" s="533"/>
      <c r="R2789" s="533"/>
      <c r="S2789" s="533"/>
      <c r="T2789" s="533"/>
      <c r="U2789" s="533"/>
      <c r="V2789" s="533"/>
      <c r="W2789" s="533"/>
      <c r="X2789" s="533"/>
      <c r="Y2789" s="533"/>
    </row>
    <row r="2790" spans="1:25" s="88" customFormat="1" hidden="1" x14ac:dyDescent="0.25">
      <c r="A2790" s="218"/>
      <c r="B2790" s="218"/>
      <c r="C2790" s="221"/>
      <c r="D2790" s="218"/>
      <c r="E2790" s="218"/>
      <c r="F2790" s="642" t="s">
        <v>251</v>
      </c>
      <c r="G2790" s="643" t="s">
        <v>252</v>
      </c>
      <c r="H2790" s="594"/>
      <c r="I2790" s="595"/>
      <c r="J2790" s="599">
        <f t="shared" si="88"/>
        <v>0</v>
      </c>
      <c r="K2790" s="533"/>
      <c r="L2790" s="533"/>
      <c r="M2790" s="533"/>
      <c r="N2790" s="268"/>
      <c r="O2790" s="533"/>
      <c r="P2790" s="533"/>
      <c r="Q2790" s="533"/>
      <c r="R2790" s="533"/>
      <c r="S2790" s="533"/>
      <c r="T2790" s="533"/>
      <c r="U2790" s="533"/>
      <c r="V2790" s="533"/>
      <c r="W2790" s="533"/>
      <c r="X2790" s="533"/>
      <c r="Y2790" s="533"/>
    </row>
    <row r="2791" spans="1:25" s="88" customFormat="1" hidden="1" x14ac:dyDescent="0.25">
      <c r="A2791" s="218"/>
      <c r="B2791" s="218"/>
      <c r="C2791" s="221"/>
      <c r="D2791" s="218"/>
      <c r="E2791" s="218"/>
      <c r="F2791" s="642" t="s">
        <v>253</v>
      </c>
      <c r="G2791" s="643" t="s">
        <v>254</v>
      </c>
      <c r="H2791" s="594"/>
      <c r="I2791" s="595"/>
      <c r="J2791" s="599">
        <f t="shared" si="88"/>
        <v>0</v>
      </c>
      <c r="K2791" s="533"/>
      <c r="L2791" s="533"/>
      <c r="M2791" s="533"/>
      <c r="N2791" s="268"/>
      <c r="O2791" s="533"/>
      <c r="P2791" s="533"/>
      <c r="Q2791" s="533"/>
      <c r="R2791" s="533"/>
      <c r="S2791" s="533"/>
      <c r="T2791" s="533"/>
      <c r="U2791" s="533"/>
      <c r="V2791" s="533"/>
      <c r="W2791" s="533"/>
      <c r="X2791" s="533"/>
      <c r="Y2791" s="533"/>
    </row>
    <row r="2792" spans="1:25" s="88" customFormat="1" ht="30" hidden="1" x14ac:dyDescent="0.25">
      <c r="A2792" s="218"/>
      <c r="B2792" s="218"/>
      <c r="C2792" s="221"/>
      <c r="D2792" s="218"/>
      <c r="E2792" s="218"/>
      <c r="F2792" s="642" t="s">
        <v>255</v>
      </c>
      <c r="G2792" s="643" t="s">
        <v>256</v>
      </c>
      <c r="H2792" s="594"/>
      <c r="I2792" s="595"/>
      <c r="J2792" s="599">
        <f t="shared" si="88"/>
        <v>0</v>
      </c>
      <c r="K2792" s="533"/>
      <c r="L2792" s="533"/>
      <c r="M2792" s="533"/>
      <c r="N2792" s="268"/>
      <c r="O2792" s="533"/>
      <c r="P2792" s="533"/>
      <c r="Q2792" s="533"/>
      <c r="R2792" s="533"/>
      <c r="S2792" s="533"/>
      <c r="T2792" s="533"/>
      <c r="U2792" s="533"/>
      <c r="V2792" s="533"/>
      <c r="W2792" s="533"/>
      <c r="X2792" s="533"/>
      <c r="Y2792" s="533"/>
    </row>
    <row r="2793" spans="1:25" s="88" customFormat="1" hidden="1" x14ac:dyDescent="0.25">
      <c r="A2793" s="218"/>
      <c r="B2793" s="218"/>
      <c r="C2793" s="221"/>
      <c r="D2793" s="218"/>
      <c r="E2793" s="218"/>
      <c r="F2793" s="642" t="s">
        <v>257</v>
      </c>
      <c r="G2793" s="643" t="s">
        <v>258</v>
      </c>
      <c r="H2793" s="594"/>
      <c r="I2793" s="595"/>
      <c r="J2793" s="599">
        <f t="shared" si="88"/>
        <v>0</v>
      </c>
      <c r="K2793" s="533"/>
      <c r="L2793" s="533"/>
      <c r="M2793" s="533"/>
      <c r="N2793" s="268"/>
      <c r="O2793" s="533"/>
      <c r="P2793" s="533"/>
      <c r="Q2793" s="533"/>
      <c r="R2793" s="533"/>
      <c r="S2793" s="533"/>
      <c r="T2793" s="533"/>
      <c r="U2793" s="533"/>
      <c r="V2793" s="533"/>
      <c r="W2793" s="533"/>
      <c r="X2793" s="533"/>
      <c r="Y2793" s="533"/>
    </row>
    <row r="2794" spans="1:25" s="88" customFormat="1" ht="30" hidden="1" x14ac:dyDescent="0.25">
      <c r="A2794" s="218"/>
      <c r="B2794" s="218"/>
      <c r="C2794" s="221"/>
      <c r="D2794" s="218"/>
      <c r="E2794" s="218"/>
      <c r="F2794" s="642" t="s">
        <v>259</v>
      </c>
      <c r="G2794" s="643" t="s">
        <v>260</v>
      </c>
      <c r="H2794" s="594"/>
      <c r="I2794" s="595"/>
      <c r="J2794" s="599">
        <f t="shared" si="88"/>
        <v>0</v>
      </c>
      <c r="K2794" s="533"/>
      <c r="L2794" s="533"/>
      <c r="M2794" s="533"/>
      <c r="N2794" s="268"/>
      <c r="O2794" s="533"/>
      <c r="P2794" s="533"/>
      <c r="Q2794" s="533"/>
      <c r="R2794" s="533"/>
      <c r="S2794" s="533"/>
      <c r="T2794" s="533"/>
      <c r="U2794" s="533"/>
      <c r="V2794" s="533"/>
      <c r="W2794" s="533"/>
      <c r="X2794" s="533"/>
      <c r="Y2794" s="533"/>
    </row>
    <row r="2795" spans="1:25" s="88" customFormat="1" hidden="1" x14ac:dyDescent="0.25">
      <c r="A2795" s="218"/>
      <c r="B2795" s="218"/>
      <c r="C2795" s="221"/>
      <c r="D2795" s="218"/>
      <c r="E2795" s="218"/>
      <c r="F2795" s="642" t="s">
        <v>261</v>
      </c>
      <c r="G2795" s="643" t="s">
        <v>262</v>
      </c>
      <c r="H2795" s="594"/>
      <c r="I2795" s="595"/>
      <c r="J2795" s="599">
        <f t="shared" si="88"/>
        <v>0</v>
      </c>
      <c r="K2795" s="533"/>
      <c r="L2795" s="533"/>
      <c r="M2795" s="533"/>
      <c r="N2795" s="268"/>
      <c r="O2795" s="533"/>
      <c r="P2795" s="533"/>
      <c r="Q2795" s="533"/>
      <c r="R2795" s="533"/>
      <c r="S2795" s="533"/>
      <c r="T2795" s="533"/>
      <c r="U2795" s="533"/>
      <c r="V2795" s="533"/>
      <c r="W2795" s="533"/>
      <c r="X2795" s="533"/>
      <c r="Y2795" s="533"/>
    </row>
    <row r="2796" spans="1:25" s="88" customFormat="1" ht="15.75" hidden="1" thickBot="1" x14ac:dyDescent="0.3">
      <c r="A2796" s="218"/>
      <c r="B2796" s="218"/>
      <c r="C2796" s="221"/>
      <c r="D2796" s="218"/>
      <c r="E2796" s="218"/>
      <c r="F2796" s="642" t="s">
        <v>263</v>
      </c>
      <c r="G2796" s="643" t="s">
        <v>264</v>
      </c>
      <c r="H2796" s="598"/>
      <c r="I2796" s="599"/>
      <c r="J2796" s="599">
        <f t="shared" si="88"/>
        <v>0</v>
      </c>
      <c r="K2796" s="533"/>
      <c r="L2796" s="533"/>
      <c r="M2796" s="533"/>
      <c r="N2796" s="268"/>
      <c r="O2796" s="533"/>
      <c r="P2796" s="533"/>
      <c r="Q2796" s="533"/>
      <c r="R2796" s="533"/>
      <c r="S2796" s="533"/>
      <c r="T2796" s="533"/>
      <c r="U2796" s="533"/>
      <c r="V2796" s="533"/>
      <c r="W2796" s="533"/>
      <c r="X2796" s="533"/>
      <c r="Y2796" s="533"/>
    </row>
    <row r="2797" spans="1:25" s="88" customFormat="1" ht="15.75" thickBot="1" x14ac:dyDescent="0.3">
      <c r="A2797" s="218"/>
      <c r="B2797" s="218"/>
      <c r="C2797" s="221"/>
      <c r="D2797" s="218"/>
      <c r="E2797" s="218"/>
      <c r="F2797" s="218"/>
      <c r="G2797" s="229" t="s">
        <v>4369</v>
      </c>
      <c r="H2797" s="600">
        <f>SUM(H2781:H2796)</f>
        <v>27700000</v>
      </c>
      <c r="I2797" s="601">
        <f>SUM(I2782:I2796)</f>
        <v>0</v>
      </c>
      <c r="J2797" s="601">
        <f>SUM(J2781:J2796)</f>
        <v>27700000</v>
      </c>
      <c r="K2797" s="533"/>
      <c r="L2797" s="533"/>
      <c r="M2797" s="533"/>
      <c r="N2797" s="268"/>
      <c r="O2797" s="533"/>
      <c r="P2797" s="533"/>
      <c r="Q2797" s="533"/>
      <c r="R2797" s="533"/>
      <c r="S2797" s="533"/>
      <c r="T2797" s="533"/>
      <c r="U2797" s="533"/>
      <c r="V2797" s="533"/>
      <c r="W2797" s="533"/>
      <c r="X2797" s="533"/>
      <c r="Y2797" s="533"/>
    </row>
    <row r="2798" spans="1:25" s="88" customFormat="1" x14ac:dyDescent="0.25">
      <c r="A2798" s="218"/>
      <c r="B2798" s="218"/>
      <c r="C2798" s="221"/>
      <c r="D2798" s="218"/>
      <c r="E2798" s="218"/>
      <c r="F2798" s="218"/>
      <c r="G2798" s="286" t="s">
        <v>5247</v>
      </c>
      <c r="H2798" s="604"/>
      <c r="I2798" s="605"/>
      <c r="J2798" s="605"/>
      <c r="K2798" s="533"/>
      <c r="L2798" s="533"/>
      <c r="M2798" s="533"/>
      <c r="N2798" s="268"/>
      <c r="O2798" s="533"/>
      <c r="P2798" s="533"/>
      <c r="Q2798" s="533"/>
      <c r="R2798" s="533"/>
      <c r="S2798" s="533"/>
      <c r="T2798" s="533"/>
      <c r="U2798" s="533"/>
      <c r="V2798" s="533"/>
      <c r="W2798" s="533"/>
      <c r="X2798" s="533"/>
      <c r="Y2798" s="533"/>
    </row>
    <row r="2799" spans="1:25" s="88" customFormat="1" ht="15.75" thickBot="1" x14ac:dyDescent="0.3">
      <c r="A2799" s="218"/>
      <c r="B2799" s="218"/>
      <c r="C2799" s="221"/>
      <c r="D2799" s="218"/>
      <c r="E2799" s="218"/>
      <c r="F2799" s="218" t="s">
        <v>234</v>
      </c>
      <c r="G2799" s="723" t="s">
        <v>235</v>
      </c>
      <c r="H2799" s="725">
        <f>SUM(H2720:H2779)</f>
        <v>27700000</v>
      </c>
      <c r="I2799" s="726"/>
      <c r="J2799" s="729">
        <f t="shared" ref="J2799:J2814" si="89">SUM(H2799:I2799)</f>
        <v>27700000</v>
      </c>
      <c r="K2799" s="533"/>
      <c r="L2799" s="533"/>
      <c r="M2799" s="533"/>
      <c r="N2799" s="268"/>
      <c r="O2799" s="533"/>
      <c r="P2799" s="533"/>
      <c r="Q2799" s="533"/>
      <c r="R2799" s="533"/>
      <c r="S2799" s="533"/>
      <c r="T2799" s="533"/>
      <c r="U2799" s="533"/>
      <c r="V2799" s="533"/>
      <c r="W2799" s="533"/>
      <c r="X2799" s="533"/>
      <c r="Y2799" s="533"/>
    </row>
    <row r="2800" spans="1:25" s="88" customFormat="1" hidden="1" x14ac:dyDescent="0.25">
      <c r="A2800" s="218"/>
      <c r="B2800" s="218"/>
      <c r="C2800" s="221"/>
      <c r="D2800" s="218"/>
      <c r="E2800" s="218"/>
      <c r="F2800" s="218" t="s">
        <v>236</v>
      </c>
      <c r="G2800" s="286" t="s">
        <v>237</v>
      </c>
      <c r="H2800" s="604"/>
      <c r="I2800" s="605"/>
      <c r="J2800" s="605">
        <f t="shared" si="89"/>
        <v>0</v>
      </c>
      <c r="K2800" s="533"/>
      <c r="L2800" s="533"/>
      <c r="M2800" s="533"/>
      <c r="N2800" s="268"/>
      <c r="O2800" s="533"/>
      <c r="P2800" s="533"/>
      <c r="Q2800" s="533"/>
      <c r="R2800" s="533"/>
      <c r="S2800" s="533"/>
      <c r="T2800" s="533"/>
      <c r="U2800" s="533"/>
      <c r="V2800" s="533"/>
      <c r="W2800" s="533"/>
      <c r="X2800" s="533"/>
      <c r="Y2800" s="533"/>
    </row>
    <row r="2801" spans="1:25" s="88" customFormat="1" hidden="1" x14ac:dyDescent="0.25">
      <c r="A2801" s="218"/>
      <c r="B2801" s="218"/>
      <c r="C2801" s="221"/>
      <c r="D2801" s="218"/>
      <c r="E2801" s="218"/>
      <c r="F2801" s="218" t="s">
        <v>238</v>
      </c>
      <c r="G2801" s="286" t="s">
        <v>239</v>
      </c>
      <c r="H2801" s="604"/>
      <c r="I2801" s="605"/>
      <c r="J2801" s="605">
        <f t="shared" si="89"/>
        <v>0</v>
      </c>
      <c r="K2801" s="533"/>
      <c r="L2801" s="533"/>
      <c r="M2801" s="533"/>
      <c r="N2801" s="268"/>
      <c r="O2801" s="533"/>
      <c r="P2801" s="533"/>
      <c r="Q2801" s="533"/>
      <c r="R2801" s="533"/>
      <c r="S2801" s="533"/>
      <c r="T2801" s="533"/>
      <c r="U2801" s="533"/>
      <c r="V2801" s="533"/>
      <c r="W2801" s="533"/>
      <c r="X2801" s="533"/>
      <c r="Y2801" s="533"/>
    </row>
    <row r="2802" spans="1:25" s="88" customFormat="1" hidden="1" x14ac:dyDescent="0.25">
      <c r="A2802" s="218"/>
      <c r="B2802" s="218"/>
      <c r="C2802" s="221"/>
      <c r="D2802" s="218"/>
      <c r="E2802" s="218"/>
      <c r="F2802" s="218" t="s">
        <v>240</v>
      </c>
      <c r="G2802" s="286" t="s">
        <v>241</v>
      </c>
      <c r="H2802" s="604"/>
      <c r="I2802" s="605"/>
      <c r="J2802" s="605">
        <f t="shared" si="89"/>
        <v>0</v>
      </c>
      <c r="K2802" s="533"/>
      <c r="L2802" s="533"/>
      <c r="M2802" s="533"/>
      <c r="N2802" s="268"/>
      <c r="O2802" s="533"/>
      <c r="P2802" s="533"/>
      <c r="Q2802" s="533"/>
      <c r="R2802" s="533"/>
      <c r="S2802" s="533"/>
      <c r="T2802" s="533"/>
      <c r="U2802" s="533"/>
      <c r="V2802" s="533"/>
      <c r="W2802" s="533"/>
      <c r="X2802" s="533"/>
      <c r="Y2802" s="533"/>
    </row>
    <row r="2803" spans="1:25" s="88" customFormat="1" hidden="1" x14ac:dyDescent="0.25">
      <c r="A2803" s="218"/>
      <c r="B2803" s="218"/>
      <c r="C2803" s="221"/>
      <c r="D2803" s="218"/>
      <c r="E2803" s="218"/>
      <c r="F2803" s="218" t="s">
        <v>242</v>
      </c>
      <c r="G2803" s="286" t="s">
        <v>243</v>
      </c>
      <c r="H2803" s="604"/>
      <c r="I2803" s="605"/>
      <c r="J2803" s="605">
        <f t="shared" si="89"/>
        <v>0</v>
      </c>
      <c r="K2803" s="533"/>
      <c r="L2803" s="533"/>
      <c r="M2803" s="533"/>
      <c r="N2803" s="268"/>
      <c r="O2803" s="533"/>
      <c r="P2803" s="533"/>
      <c r="Q2803" s="533"/>
      <c r="R2803" s="533"/>
      <c r="S2803" s="533"/>
      <c r="T2803" s="533"/>
      <c r="U2803" s="533"/>
      <c r="V2803" s="533"/>
      <c r="W2803" s="533"/>
      <c r="X2803" s="533"/>
      <c r="Y2803" s="533"/>
    </row>
    <row r="2804" spans="1:25" s="88" customFormat="1" hidden="1" x14ac:dyDescent="0.25">
      <c r="A2804" s="218"/>
      <c r="B2804" s="218"/>
      <c r="C2804" s="221"/>
      <c r="D2804" s="218"/>
      <c r="E2804" s="218"/>
      <c r="F2804" s="218" t="s">
        <v>244</v>
      </c>
      <c r="G2804" s="286" t="s">
        <v>245</v>
      </c>
      <c r="H2804" s="604"/>
      <c r="I2804" s="605"/>
      <c r="J2804" s="605">
        <f t="shared" si="89"/>
        <v>0</v>
      </c>
      <c r="K2804" s="533"/>
      <c r="L2804" s="533"/>
      <c r="M2804" s="533"/>
      <c r="N2804" s="268"/>
      <c r="O2804" s="533"/>
      <c r="P2804" s="533"/>
      <c r="Q2804" s="533"/>
      <c r="R2804" s="533"/>
      <c r="S2804" s="533"/>
      <c r="T2804" s="533"/>
      <c r="U2804" s="533"/>
      <c r="V2804" s="533"/>
      <c r="W2804" s="533"/>
      <c r="X2804" s="533"/>
      <c r="Y2804" s="533"/>
    </row>
    <row r="2805" spans="1:25" s="88" customFormat="1" hidden="1" x14ac:dyDescent="0.25">
      <c r="A2805" s="218"/>
      <c r="B2805" s="218"/>
      <c r="C2805" s="221"/>
      <c r="D2805" s="218"/>
      <c r="E2805" s="218"/>
      <c r="F2805" s="218" t="s">
        <v>246</v>
      </c>
      <c r="G2805" s="286" t="s">
        <v>247</v>
      </c>
      <c r="H2805" s="604"/>
      <c r="I2805" s="605"/>
      <c r="J2805" s="605">
        <f t="shared" si="89"/>
        <v>0</v>
      </c>
      <c r="K2805" s="533"/>
      <c r="L2805" s="533"/>
      <c r="M2805" s="533"/>
      <c r="N2805" s="268"/>
      <c r="O2805" s="533"/>
      <c r="P2805" s="533"/>
      <c r="Q2805" s="533"/>
      <c r="R2805" s="533"/>
      <c r="S2805" s="533"/>
      <c r="T2805" s="533"/>
      <c r="U2805" s="533"/>
      <c r="V2805" s="533"/>
      <c r="W2805" s="533"/>
      <c r="X2805" s="533"/>
      <c r="Y2805" s="533"/>
    </row>
    <row r="2806" spans="1:25" s="88" customFormat="1" hidden="1" x14ac:dyDescent="0.25">
      <c r="A2806" s="218"/>
      <c r="B2806" s="218"/>
      <c r="C2806" s="221"/>
      <c r="D2806" s="218"/>
      <c r="E2806" s="218"/>
      <c r="F2806" s="218" t="s">
        <v>248</v>
      </c>
      <c r="G2806" s="286" t="s">
        <v>249</v>
      </c>
      <c r="H2806" s="604"/>
      <c r="I2806" s="605"/>
      <c r="J2806" s="605">
        <f t="shared" si="89"/>
        <v>0</v>
      </c>
      <c r="K2806" s="533"/>
      <c r="L2806" s="533"/>
      <c r="M2806" s="533"/>
      <c r="N2806" s="268"/>
      <c r="O2806" s="533"/>
      <c r="P2806" s="533"/>
      <c r="Q2806" s="533"/>
      <c r="R2806" s="533"/>
      <c r="S2806" s="533"/>
      <c r="T2806" s="533"/>
      <c r="U2806" s="533"/>
      <c r="V2806" s="533"/>
      <c r="W2806" s="533"/>
      <c r="X2806" s="533"/>
      <c r="Y2806" s="533"/>
    </row>
    <row r="2807" spans="1:25" s="88" customFormat="1" hidden="1" x14ac:dyDescent="0.25">
      <c r="A2807" s="218"/>
      <c r="B2807" s="218"/>
      <c r="C2807" s="221"/>
      <c r="D2807" s="218"/>
      <c r="E2807" s="218"/>
      <c r="F2807" s="218" t="s">
        <v>250</v>
      </c>
      <c r="G2807" s="286" t="s">
        <v>57</v>
      </c>
      <c r="H2807" s="604"/>
      <c r="I2807" s="605"/>
      <c r="J2807" s="605">
        <f t="shared" si="89"/>
        <v>0</v>
      </c>
      <c r="K2807" s="533"/>
      <c r="L2807" s="533"/>
      <c r="M2807" s="533"/>
      <c r="N2807" s="268"/>
      <c r="O2807" s="533"/>
      <c r="P2807" s="533"/>
      <c r="Q2807" s="533"/>
      <c r="R2807" s="533"/>
      <c r="S2807" s="533"/>
      <c r="T2807" s="533"/>
      <c r="U2807" s="533"/>
      <c r="V2807" s="533"/>
      <c r="W2807" s="533"/>
      <c r="X2807" s="533"/>
      <c r="Y2807" s="533"/>
    </row>
    <row r="2808" spans="1:25" s="88" customFormat="1" hidden="1" x14ac:dyDescent="0.25">
      <c r="A2808" s="218"/>
      <c r="B2808" s="218"/>
      <c r="C2808" s="221"/>
      <c r="D2808" s="218"/>
      <c r="E2808" s="218"/>
      <c r="F2808" s="218" t="s">
        <v>251</v>
      </c>
      <c r="G2808" s="286" t="s">
        <v>252</v>
      </c>
      <c r="H2808" s="604"/>
      <c r="I2808" s="605"/>
      <c r="J2808" s="605">
        <f t="shared" si="89"/>
        <v>0</v>
      </c>
      <c r="K2808" s="533"/>
      <c r="L2808" s="533"/>
      <c r="M2808" s="533"/>
      <c r="N2808" s="268"/>
      <c r="O2808" s="533"/>
      <c r="P2808" s="533"/>
      <c r="Q2808" s="533"/>
      <c r="R2808" s="533"/>
      <c r="S2808" s="533"/>
      <c r="T2808" s="533"/>
      <c r="U2808" s="533"/>
      <c r="V2808" s="533"/>
      <c r="W2808" s="533"/>
      <c r="X2808" s="533"/>
      <c r="Y2808" s="533"/>
    </row>
    <row r="2809" spans="1:25" s="88" customFormat="1" hidden="1" x14ac:dyDescent="0.25">
      <c r="A2809" s="218"/>
      <c r="B2809" s="218"/>
      <c r="C2809" s="221"/>
      <c r="D2809" s="218"/>
      <c r="E2809" s="218"/>
      <c r="F2809" s="218" t="s">
        <v>253</v>
      </c>
      <c r="G2809" s="286" t="s">
        <v>254</v>
      </c>
      <c r="H2809" s="604"/>
      <c r="I2809" s="605"/>
      <c r="J2809" s="605">
        <f t="shared" si="89"/>
        <v>0</v>
      </c>
      <c r="K2809" s="533"/>
      <c r="L2809" s="533"/>
      <c r="M2809" s="533"/>
      <c r="N2809" s="268"/>
      <c r="O2809" s="533"/>
      <c r="P2809" s="533"/>
      <c r="Q2809" s="533"/>
      <c r="R2809" s="533"/>
      <c r="S2809" s="533"/>
      <c r="T2809" s="533"/>
      <c r="U2809" s="533"/>
      <c r="V2809" s="533"/>
      <c r="W2809" s="533"/>
      <c r="X2809" s="533"/>
      <c r="Y2809" s="533"/>
    </row>
    <row r="2810" spans="1:25" s="88" customFormat="1" ht="28.5" hidden="1" x14ac:dyDescent="0.25">
      <c r="A2810" s="218"/>
      <c r="B2810" s="218"/>
      <c r="C2810" s="221"/>
      <c r="D2810" s="218"/>
      <c r="E2810" s="218"/>
      <c r="F2810" s="218" t="s">
        <v>255</v>
      </c>
      <c r="G2810" s="286" t="s">
        <v>256</v>
      </c>
      <c r="H2810" s="604"/>
      <c r="I2810" s="605"/>
      <c r="J2810" s="605">
        <f t="shared" si="89"/>
        <v>0</v>
      </c>
      <c r="K2810" s="533"/>
      <c r="L2810" s="533"/>
      <c r="M2810" s="533"/>
      <c r="N2810" s="268"/>
      <c r="O2810" s="533"/>
      <c r="P2810" s="533"/>
      <c r="Q2810" s="533"/>
      <c r="R2810" s="533"/>
      <c r="S2810" s="533"/>
      <c r="T2810" s="533"/>
      <c r="U2810" s="533"/>
      <c r="V2810" s="533"/>
      <c r="W2810" s="533"/>
      <c r="X2810" s="533"/>
      <c r="Y2810" s="533"/>
    </row>
    <row r="2811" spans="1:25" s="88" customFormat="1" hidden="1" x14ac:dyDescent="0.25">
      <c r="A2811" s="218"/>
      <c r="B2811" s="218"/>
      <c r="C2811" s="221"/>
      <c r="D2811" s="218"/>
      <c r="E2811" s="218"/>
      <c r="F2811" s="218" t="s">
        <v>257</v>
      </c>
      <c r="G2811" s="286" t="s">
        <v>258</v>
      </c>
      <c r="H2811" s="604"/>
      <c r="I2811" s="605"/>
      <c r="J2811" s="605">
        <f t="shared" si="89"/>
        <v>0</v>
      </c>
      <c r="K2811" s="533"/>
      <c r="L2811" s="533"/>
      <c r="M2811" s="533"/>
      <c r="N2811" s="268"/>
      <c r="O2811" s="533"/>
      <c r="P2811" s="533"/>
      <c r="Q2811" s="533"/>
      <c r="R2811" s="533"/>
      <c r="S2811" s="533"/>
      <c r="T2811" s="533"/>
      <c r="U2811" s="533"/>
      <c r="V2811" s="533"/>
      <c r="W2811" s="533"/>
      <c r="X2811" s="533"/>
      <c r="Y2811" s="533"/>
    </row>
    <row r="2812" spans="1:25" s="88" customFormat="1" ht="28.5" hidden="1" x14ac:dyDescent="0.25">
      <c r="A2812" s="218"/>
      <c r="B2812" s="218"/>
      <c r="C2812" s="221"/>
      <c r="D2812" s="218"/>
      <c r="E2812" s="218"/>
      <c r="F2812" s="218" t="s">
        <v>259</v>
      </c>
      <c r="G2812" s="286" t="s">
        <v>260</v>
      </c>
      <c r="H2812" s="604"/>
      <c r="I2812" s="605"/>
      <c r="J2812" s="605">
        <f t="shared" si="89"/>
        <v>0</v>
      </c>
      <c r="K2812" s="533"/>
      <c r="L2812" s="533"/>
      <c r="M2812" s="533"/>
      <c r="N2812" s="268"/>
      <c r="O2812" s="533"/>
      <c r="P2812" s="533"/>
      <c r="Q2812" s="533"/>
      <c r="R2812" s="533"/>
      <c r="S2812" s="533"/>
      <c r="T2812" s="533"/>
      <c r="U2812" s="533"/>
      <c r="V2812" s="533"/>
      <c r="W2812" s="533"/>
      <c r="X2812" s="533"/>
      <c r="Y2812" s="533"/>
    </row>
    <row r="2813" spans="1:25" s="88" customFormat="1" hidden="1" x14ac:dyDescent="0.25">
      <c r="A2813" s="218"/>
      <c r="B2813" s="218"/>
      <c r="C2813" s="221"/>
      <c r="D2813" s="218"/>
      <c r="E2813" s="218"/>
      <c r="F2813" s="218" t="s">
        <v>261</v>
      </c>
      <c r="G2813" s="286" t="s">
        <v>262</v>
      </c>
      <c r="H2813" s="604"/>
      <c r="I2813" s="605"/>
      <c r="J2813" s="605">
        <f t="shared" si="89"/>
        <v>0</v>
      </c>
      <c r="K2813" s="533"/>
      <c r="L2813" s="533"/>
      <c r="M2813" s="533"/>
      <c r="N2813" s="268"/>
      <c r="O2813" s="533"/>
      <c r="P2813" s="533"/>
      <c r="Q2813" s="533"/>
      <c r="R2813" s="533"/>
      <c r="S2813" s="533"/>
      <c r="T2813" s="533"/>
      <c r="U2813" s="533"/>
      <c r="V2813" s="533"/>
      <c r="W2813" s="533"/>
      <c r="X2813" s="533"/>
      <c r="Y2813" s="533"/>
    </row>
    <row r="2814" spans="1:25" s="88" customFormat="1" hidden="1" x14ac:dyDescent="0.25">
      <c r="A2814" s="218"/>
      <c r="B2814" s="218"/>
      <c r="C2814" s="221"/>
      <c r="D2814" s="218"/>
      <c r="E2814" s="218"/>
      <c r="F2814" s="218" t="s">
        <v>263</v>
      </c>
      <c r="G2814" s="286" t="s">
        <v>264</v>
      </c>
      <c r="H2814" s="604"/>
      <c r="I2814" s="605"/>
      <c r="J2814" s="605">
        <f t="shared" si="89"/>
        <v>0</v>
      </c>
      <c r="K2814" s="533"/>
      <c r="L2814" s="533"/>
      <c r="M2814" s="533"/>
      <c r="N2814" s="268"/>
      <c r="O2814" s="533"/>
      <c r="P2814" s="533"/>
      <c r="Q2814" s="533"/>
      <c r="R2814" s="533"/>
      <c r="S2814" s="533"/>
      <c r="T2814" s="533"/>
      <c r="U2814" s="533"/>
      <c r="V2814" s="533"/>
      <c r="W2814" s="533"/>
      <c r="X2814" s="533"/>
      <c r="Y2814" s="533"/>
    </row>
    <row r="2815" spans="1:25" s="88" customFormat="1" ht="15.75" thickBot="1" x14ac:dyDescent="0.3">
      <c r="A2815" s="218"/>
      <c r="B2815" s="218"/>
      <c r="C2815" s="221"/>
      <c r="D2815" s="218"/>
      <c r="E2815" s="218"/>
      <c r="F2815" s="218"/>
      <c r="G2815" s="727" t="s">
        <v>5248</v>
      </c>
      <c r="H2815" s="728">
        <f>SUM(H2799:H2814)</f>
        <v>27700000</v>
      </c>
      <c r="I2815" s="726">
        <f>SUM(I2800:I2814)</f>
        <v>0</v>
      </c>
      <c r="J2815" s="726">
        <f>SUM(J2799:J2814)</f>
        <v>27700000</v>
      </c>
      <c r="K2815" s="533"/>
      <c r="L2815" s="533"/>
      <c r="M2815" s="533"/>
      <c r="N2815" s="268"/>
      <c r="O2815" s="533"/>
      <c r="P2815" s="533"/>
      <c r="Q2815" s="533"/>
      <c r="R2815" s="533"/>
      <c r="S2815" s="533"/>
      <c r="T2815" s="533"/>
      <c r="U2815" s="533"/>
      <c r="V2815" s="533"/>
      <c r="W2815" s="533"/>
      <c r="X2815" s="533"/>
      <c r="Y2815" s="533"/>
    </row>
    <row r="2816" spans="1:25" s="88" customFormat="1" x14ac:dyDescent="0.25">
      <c r="A2816" s="509"/>
      <c r="B2816" s="256"/>
      <c r="C2816" s="221"/>
      <c r="D2816" s="218"/>
      <c r="E2816" s="218"/>
      <c r="F2816" s="218"/>
      <c r="G2816" s="286"/>
      <c r="H2816" s="604"/>
      <c r="I2816" s="605"/>
      <c r="J2816" s="605"/>
      <c r="K2816" s="533"/>
      <c r="L2816" s="533"/>
      <c r="M2816" s="533"/>
      <c r="N2816" s="268"/>
      <c r="O2816" s="533"/>
      <c r="P2816" s="533"/>
      <c r="Q2816" s="533"/>
      <c r="R2816" s="533"/>
      <c r="S2816" s="533"/>
      <c r="T2816" s="533"/>
      <c r="U2816" s="533"/>
      <c r="V2816" s="533"/>
      <c r="W2816" s="533"/>
      <c r="X2816" s="533"/>
      <c r="Y2816" s="533"/>
    </row>
    <row r="2817" spans="1:25" s="88" customFormat="1" ht="28.5" x14ac:dyDescent="0.25">
      <c r="A2817" s="509"/>
      <c r="B2817" s="256"/>
      <c r="C2817" s="323" t="s">
        <v>4665</v>
      </c>
      <c r="D2817" s="285"/>
      <c r="E2817" s="285"/>
      <c r="F2817" s="222"/>
      <c r="G2817" s="286" t="s">
        <v>5249</v>
      </c>
      <c r="H2817" s="594"/>
      <c r="I2817" s="595"/>
      <c r="J2817" s="595"/>
      <c r="K2817" s="533"/>
      <c r="L2817" s="533"/>
      <c r="M2817" s="533"/>
      <c r="N2817" s="268"/>
      <c r="O2817" s="533"/>
      <c r="P2817" s="533"/>
      <c r="Q2817" s="533"/>
      <c r="R2817" s="533"/>
      <c r="S2817" s="533"/>
      <c r="T2817" s="533"/>
      <c r="U2817" s="533"/>
      <c r="V2817" s="533"/>
      <c r="W2817" s="533"/>
      <c r="X2817" s="533"/>
      <c r="Y2817" s="533"/>
    </row>
    <row r="2818" spans="1:25" s="88" customFormat="1" x14ac:dyDescent="0.25">
      <c r="A2818" s="509"/>
      <c r="B2818" s="256"/>
      <c r="C2818" s="228"/>
      <c r="D2818" s="312">
        <v>620</v>
      </c>
      <c r="E2818" s="312"/>
      <c r="F2818" s="312"/>
      <c r="G2818" s="314" t="s">
        <v>182</v>
      </c>
      <c r="H2818" s="594"/>
      <c r="I2818" s="595"/>
      <c r="J2818" s="595"/>
      <c r="K2818" s="533"/>
      <c r="L2818" s="533"/>
      <c r="M2818" s="533"/>
      <c r="N2818" s="268"/>
      <c r="O2818" s="533"/>
      <c r="P2818" s="533"/>
      <c r="Q2818" s="533"/>
      <c r="R2818" s="533"/>
      <c r="S2818" s="533"/>
      <c r="T2818" s="533"/>
      <c r="U2818" s="533"/>
      <c r="V2818" s="533"/>
      <c r="W2818" s="533"/>
      <c r="X2818" s="533"/>
      <c r="Y2818" s="533"/>
    </row>
    <row r="2819" spans="1:25" s="88" customFormat="1" hidden="1" x14ac:dyDescent="0.25">
      <c r="A2819" s="509"/>
      <c r="B2819" s="256"/>
      <c r="C2819" s="221"/>
      <c r="D2819" s="218"/>
      <c r="E2819" s="218"/>
      <c r="F2819" s="527">
        <v>411</v>
      </c>
      <c r="G2819" s="520" t="s">
        <v>4189</v>
      </c>
      <c r="H2819" s="594"/>
      <c r="I2819" s="595"/>
      <c r="J2819" s="595">
        <f>SUM(H2819:I2819)</f>
        <v>0</v>
      </c>
      <c r="K2819" s="533"/>
      <c r="L2819" s="533"/>
      <c r="M2819" s="533"/>
      <c r="N2819" s="268"/>
      <c r="O2819" s="533"/>
      <c r="P2819" s="533"/>
      <c r="Q2819" s="533"/>
      <c r="R2819" s="533"/>
      <c r="S2819" s="533"/>
      <c r="T2819" s="533"/>
      <c r="U2819" s="533"/>
      <c r="V2819" s="533"/>
      <c r="W2819" s="533"/>
      <c r="X2819" s="533"/>
      <c r="Y2819" s="533"/>
    </row>
    <row r="2820" spans="1:25" s="88" customFormat="1" hidden="1" x14ac:dyDescent="0.25">
      <c r="A2820" s="509"/>
      <c r="B2820" s="256"/>
      <c r="C2820" s="221"/>
      <c r="D2820" s="218"/>
      <c r="E2820" s="218"/>
      <c r="F2820" s="527">
        <v>412</v>
      </c>
      <c r="G2820" s="516" t="s">
        <v>3784</v>
      </c>
      <c r="H2820" s="594"/>
      <c r="I2820" s="595"/>
      <c r="J2820" s="595">
        <f t="shared" ref="J2820:J2878" si="90">SUM(H2820:I2820)</f>
        <v>0</v>
      </c>
      <c r="K2820" s="533"/>
      <c r="L2820" s="533"/>
      <c r="M2820" s="533"/>
      <c r="N2820" s="268"/>
      <c r="O2820" s="533"/>
      <c r="P2820" s="533"/>
      <c r="Q2820" s="533"/>
      <c r="R2820" s="533"/>
      <c r="S2820" s="533"/>
      <c r="T2820" s="533"/>
      <c r="U2820" s="533"/>
      <c r="V2820" s="533"/>
      <c r="W2820" s="533"/>
      <c r="X2820" s="533"/>
      <c r="Y2820" s="533"/>
    </row>
    <row r="2821" spans="1:25" s="88" customFormat="1" hidden="1" x14ac:dyDescent="0.25">
      <c r="A2821" s="509"/>
      <c r="B2821" s="256"/>
      <c r="C2821" s="221"/>
      <c r="D2821" s="218"/>
      <c r="E2821" s="218"/>
      <c r="F2821" s="527">
        <v>413</v>
      </c>
      <c r="G2821" s="520" t="s">
        <v>4190</v>
      </c>
      <c r="H2821" s="594"/>
      <c r="I2821" s="595"/>
      <c r="J2821" s="595">
        <f t="shared" si="90"/>
        <v>0</v>
      </c>
      <c r="K2821" s="533"/>
      <c r="L2821" s="533"/>
      <c r="M2821" s="533"/>
      <c r="N2821" s="268"/>
      <c r="O2821" s="533"/>
      <c r="P2821" s="533"/>
      <c r="Q2821" s="533"/>
      <c r="R2821" s="533"/>
      <c r="S2821" s="533"/>
      <c r="T2821" s="533"/>
      <c r="U2821" s="533"/>
      <c r="V2821" s="533"/>
      <c r="W2821" s="533"/>
      <c r="X2821" s="533"/>
      <c r="Y2821" s="533"/>
    </row>
    <row r="2822" spans="1:25" s="88" customFormat="1" hidden="1" x14ac:dyDescent="0.25">
      <c r="A2822" s="509"/>
      <c r="B2822" s="256"/>
      <c r="C2822" s="221"/>
      <c r="D2822" s="218"/>
      <c r="E2822" s="218"/>
      <c r="F2822" s="527">
        <v>414</v>
      </c>
      <c r="G2822" s="520" t="s">
        <v>3787</v>
      </c>
      <c r="H2822" s="594"/>
      <c r="I2822" s="595"/>
      <c r="J2822" s="595">
        <f t="shared" si="90"/>
        <v>0</v>
      </c>
      <c r="K2822" s="533"/>
      <c r="L2822" s="533"/>
      <c r="M2822" s="533"/>
      <c r="N2822" s="268"/>
      <c r="O2822" s="533"/>
      <c r="P2822" s="533"/>
      <c r="Q2822" s="533"/>
      <c r="R2822" s="533"/>
      <c r="S2822" s="533"/>
      <c r="T2822" s="533"/>
      <c r="U2822" s="533"/>
      <c r="V2822" s="533"/>
      <c r="W2822" s="533"/>
      <c r="X2822" s="533"/>
      <c r="Y2822" s="533"/>
    </row>
    <row r="2823" spans="1:25" s="88" customFormat="1" hidden="1" x14ac:dyDescent="0.25">
      <c r="A2823" s="509"/>
      <c r="B2823" s="256"/>
      <c r="C2823" s="221"/>
      <c r="D2823" s="218"/>
      <c r="E2823" s="218"/>
      <c r="F2823" s="527">
        <v>415</v>
      </c>
      <c r="G2823" s="520" t="s">
        <v>4199</v>
      </c>
      <c r="H2823" s="594"/>
      <c r="I2823" s="595"/>
      <c r="J2823" s="595">
        <f t="shared" si="90"/>
        <v>0</v>
      </c>
      <c r="K2823" s="533"/>
      <c r="L2823" s="533"/>
      <c r="M2823" s="533"/>
      <c r="N2823" s="268"/>
      <c r="O2823" s="533"/>
      <c r="P2823" s="533"/>
      <c r="Q2823" s="533"/>
      <c r="R2823" s="533"/>
      <c r="S2823" s="533"/>
      <c r="T2823" s="533"/>
      <c r="U2823" s="533"/>
      <c r="V2823" s="533"/>
      <c r="W2823" s="533"/>
      <c r="X2823" s="533"/>
      <c r="Y2823" s="533"/>
    </row>
    <row r="2824" spans="1:25" s="88" customFormat="1" hidden="1" x14ac:dyDescent="0.25">
      <c r="A2824" s="509"/>
      <c r="B2824" s="256"/>
      <c r="C2824" s="221"/>
      <c r="D2824" s="218"/>
      <c r="E2824" s="218"/>
      <c r="F2824" s="527">
        <v>416</v>
      </c>
      <c r="G2824" s="520" t="s">
        <v>4200</v>
      </c>
      <c r="H2824" s="594"/>
      <c r="I2824" s="595"/>
      <c r="J2824" s="595">
        <f t="shared" si="90"/>
        <v>0</v>
      </c>
      <c r="K2824" s="533"/>
      <c r="L2824" s="533"/>
      <c r="M2824" s="533"/>
      <c r="N2824" s="268"/>
      <c r="O2824" s="533"/>
      <c r="P2824" s="533"/>
      <c r="Q2824" s="533"/>
      <c r="R2824" s="533"/>
      <c r="S2824" s="533"/>
      <c r="T2824" s="533"/>
      <c r="U2824" s="533"/>
      <c r="V2824" s="533"/>
      <c r="W2824" s="533"/>
      <c r="X2824" s="533"/>
      <c r="Y2824" s="533"/>
    </row>
    <row r="2825" spans="1:25" s="88" customFormat="1" hidden="1" x14ac:dyDescent="0.25">
      <c r="A2825" s="509"/>
      <c r="B2825" s="256"/>
      <c r="C2825" s="221"/>
      <c r="D2825" s="218"/>
      <c r="E2825" s="218"/>
      <c r="F2825" s="527">
        <v>417</v>
      </c>
      <c r="G2825" s="520" t="s">
        <v>4201</v>
      </c>
      <c r="H2825" s="594"/>
      <c r="I2825" s="595"/>
      <c r="J2825" s="595">
        <f t="shared" si="90"/>
        <v>0</v>
      </c>
      <c r="K2825" s="533"/>
      <c r="L2825" s="533"/>
      <c r="M2825" s="533"/>
      <c r="N2825" s="268"/>
      <c r="O2825" s="533"/>
      <c r="P2825" s="533"/>
      <c r="Q2825" s="533"/>
      <c r="R2825" s="533"/>
      <c r="S2825" s="533"/>
      <c r="T2825" s="533"/>
      <c r="U2825" s="533"/>
      <c r="V2825" s="533"/>
      <c r="W2825" s="533"/>
      <c r="X2825" s="533"/>
      <c r="Y2825" s="533"/>
    </row>
    <row r="2826" spans="1:25" s="88" customFormat="1" hidden="1" x14ac:dyDescent="0.25">
      <c r="A2826" s="509"/>
      <c r="B2826" s="256"/>
      <c r="C2826" s="221"/>
      <c r="D2826" s="218"/>
      <c r="E2826" s="218"/>
      <c r="F2826" s="527">
        <v>418</v>
      </c>
      <c r="G2826" s="520" t="s">
        <v>3793</v>
      </c>
      <c r="H2826" s="594"/>
      <c r="I2826" s="595"/>
      <c r="J2826" s="595">
        <f t="shared" si="90"/>
        <v>0</v>
      </c>
      <c r="K2826" s="533"/>
      <c r="L2826" s="533"/>
      <c r="M2826" s="533"/>
      <c r="N2826" s="268"/>
      <c r="O2826" s="533"/>
      <c r="P2826" s="533"/>
      <c r="Q2826" s="533"/>
      <c r="R2826" s="533"/>
      <c r="S2826" s="533"/>
      <c r="T2826" s="533"/>
      <c r="U2826" s="533"/>
      <c r="V2826" s="533"/>
      <c r="W2826" s="533"/>
      <c r="X2826" s="533"/>
      <c r="Y2826" s="533"/>
    </row>
    <row r="2827" spans="1:25" s="88" customFormat="1" hidden="1" x14ac:dyDescent="0.25">
      <c r="A2827" s="509"/>
      <c r="B2827" s="256"/>
      <c r="C2827" s="221"/>
      <c r="D2827" s="218"/>
      <c r="E2827" s="218"/>
      <c r="F2827" s="527">
        <v>421</v>
      </c>
      <c r="G2827" s="520" t="s">
        <v>3797</v>
      </c>
      <c r="H2827" s="594"/>
      <c r="I2827" s="595"/>
      <c r="J2827" s="595">
        <f t="shared" si="90"/>
        <v>0</v>
      </c>
      <c r="K2827" s="533"/>
      <c r="L2827" s="533"/>
      <c r="M2827" s="533"/>
      <c r="N2827" s="268"/>
      <c r="O2827" s="533"/>
      <c r="P2827" s="533"/>
      <c r="Q2827" s="533"/>
      <c r="R2827" s="533"/>
      <c r="S2827" s="533"/>
      <c r="T2827" s="533"/>
      <c r="U2827" s="533"/>
      <c r="V2827" s="533"/>
      <c r="W2827" s="533"/>
      <c r="X2827" s="533"/>
      <c r="Y2827" s="533"/>
    </row>
    <row r="2828" spans="1:25" s="88" customFormat="1" hidden="1" x14ac:dyDescent="0.25">
      <c r="A2828" s="509"/>
      <c r="B2828" s="256"/>
      <c r="C2828" s="221"/>
      <c r="D2828" s="218"/>
      <c r="E2828" s="218"/>
      <c r="F2828" s="527">
        <v>422</v>
      </c>
      <c r="G2828" s="520" t="s">
        <v>3798</v>
      </c>
      <c r="H2828" s="594"/>
      <c r="I2828" s="595"/>
      <c r="J2828" s="595">
        <f t="shared" si="90"/>
        <v>0</v>
      </c>
      <c r="K2828" s="533"/>
      <c r="L2828" s="533"/>
      <c r="M2828" s="533"/>
      <c r="N2828" s="268"/>
      <c r="O2828" s="533"/>
      <c r="P2828" s="533"/>
      <c r="Q2828" s="533"/>
      <c r="R2828" s="533"/>
      <c r="S2828" s="533"/>
      <c r="T2828" s="533"/>
      <c r="U2828" s="533"/>
      <c r="V2828" s="533"/>
      <c r="W2828" s="533"/>
      <c r="X2828" s="533"/>
      <c r="Y2828" s="533"/>
    </row>
    <row r="2829" spans="1:25" s="88" customFormat="1" hidden="1" x14ac:dyDescent="0.25">
      <c r="A2829" s="509"/>
      <c r="B2829" s="256"/>
      <c r="C2829" s="221"/>
      <c r="D2829" s="218"/>
      <c r="E2829" s="218"/>
      <c r="F2829" s="527">
        <v>423</v>
      </c>
      <c r="G2829" s="520" t="s">
        <v>3799</v>
      </c>
      <c r="H2829" s="594"/>
      <c r="I2829" s="595"/>
      <c r="J2829" s="595">
        <f t="shared" si="90"/>
        <v>0</v>
      </c>
      <c r="K2829" s="533"/>
      <c r="L2829" s="533"/>
      <c r="M2829" s="533"/>
      <c r="N2829" s="268"/>
      <c r="O2829" s="533"/>
      <c r="P2829" s="533"/>
      <c r="Q2829" s="533"/>
      <c r="R2829" s="533"/>
      <c r="S2829" s="533"/>
      <c r="T2829" s="533"/>
      <c r="U2829" s="533"/>
      <c r="V2829" s="533"/>
      <c r="W2829" s="533"/>
      <c r="X2829" s="533"/>
      <c r="Y2829" s="533"/>
    </row>
    <row r="2830" spans="1:25" s="88" customFormat="1" hidden="1" x14ac:dyDescent="0.25">
      <c r="A2830" s="509"/>
      <c r="B2830" s="256"/>
      <c r="C2830" s="221"/>
      <c r="D2830" s="218"/>
      <c r="E2830" s="218"/>
      <c r="F2830" s="527">
        <v>424</v>
      </c>
      <c r="G2830" s="520" t="s">
        <v>3801</v>
      </c>
      <c r="H2830" s="594"/>
      <c r="I2830" s="595"/>
      <c r="J2830" s="595">
        <f t="shared" si="90"/>
        <v>0</v>
      </c>
      <c r="K2830" s="533"/>
      <c r="L2830" s="533"/>
      <c r="M2830" s="533"/>
      <c r="N2830" s="268"/>
      <c r="O2830" s="533"/>
      <c r="P2830" s="533"/>
      <c r="Q2830" s="533"/>
      <c r="R2830" s="533"/>
      <c r="S2830" s="533"/>
      <c r="T2830" s="533"/>
      <c r="U2830" s="533"/>
      <c r="V2830" s="533"/>
      <c r="W2830" s="533"/>
      <c r="X2830" s="533"/>
      <c r="Y2830" s="533"/>
    </row>
    <row r="2831" spans="1:25" s="88" customFormat="1" hidden="1" x14ac:dyDescent="0.25">
      <c r="A2831" s="509"/>
      <c r="B2831" s="256"/>
      <c r="C2831" s="221"/>
      <c r="D2831" s="218"/>
      <c r="E2831" s="218"/>
      <c r="F2831" s="527">
        <v>425</v>
      </c>
      <c r="G2831" s="520" t="s">
        <v>4202</v>
      </c>
      <c r="H2831" s="594"/>
      <c r="I2831" s="595"/>
      <c r="J2831" s="595">
        <f t="shared" si="90"/>
        <v>0</v>
      </c>
      <c r="K2831" s="533"/>
      <c r="L2831" s="533"/>
      <c r="M2831" s="533"/>
      <c r="N2831" s="268"/>
      <c r="O2831" s="533"/>
      <c r="P2831" s="533"/>
      <c r="Q2831" s="533"/>
      <c r="R2831" s="533"/>
      <c r="S2831" s="533"/>
      <c r="T2831" s="533"/>
      <c r="U2831" s="533"/>
      <c r="V2831" s="533"/>
      <c r="W2831" s="533"/>
      <c r="X2831" s="533"/>
      <c r="Y2831" s="533"/>
    </row>
    <row r="2832" spans="1:25" s="88" customFormat="1" hidden="1" x14ac:dyDescent="0.25">
      <c r="A2832" s="509"/>
      <c r="B2832" s="256"/>
      <c r="C2832" s="221"/>
      <c r="D2832" s="218"/>
      <c r="E2832" s="218"/>
      <c r="F2832" s="527">
        <v>426</v>
      </c>
      <c r="G2832" s="520" t="s">
        <v>3805</v>
      </c>
      <c r="H2832" s="594"/>
      <c r="I2832" s="595"/>
      <c r="J2832" s="595">
        <f t="shared" si="90"/>
        <v>0</v>
      </c>
      <c r="K2832" s="533"/>
      <c r="L2832" s="533"/>
      <c r="M2832" s="533"/>
      <c r="N2832" s="268"/>
      <c r="O2832" s="533"/>
      <c r="P2832" s="533"/>
      <c r="Q2832" s="533"/>
      <c r="R2832" s="533"/>
      <c r="S2832" s="533"/>
      <c r="T2832" s="533"/>
      <c r="U2832" s="533"/>
      <c r="V2832" s="533"/>
      <c r="W2832" s="533"/>
      <c r="X2832" s="533"/>
      <c r="Y2832" s="533"/>
    </row>
    <row r="2833" spans="1:25" s="88" customFormat="1" hidden="1" x14ac:dyDescent="0.25">
      <c r="A2833" s="509"/>
      <c r="B2833" s="256"/>
      <c r="C2833" s="221"/>
      <c r="D2833" s="218"/>
      <c r="E2833" s="218"/>
      <c r="F2833" s="527">
        <v>431</v>
      </c>
      <c r="G2833" s="520" t="s">
        <v>4203</v>
      </c>
      <c r="H2833" s="594"/>
      <c r="I2833" s="595"/>
      <c r="J2833" s="595">
        <f t="shared" si="90"/>
        <v>0</v>
      </c>
      <c r="K2833" s="533"/>
      <c r="L2833" s="533"/>
      <c r="M2833" s="533"/>
      <c r="N2833" s="268"/>
      <c r="O2833" s="533"/>
      <c r="P2833" s="533"/>
      <c r="Q2833" s="533"/>
      <c r="R2833" s="533"/>
      <c r="S2833" s="533"/>
      <c r="T2833" s="533"/>
      <c r="U2833" s="533"/>
      <c r="V2833" s="533"/>
      <c r="W2833" s="533"/>
      <c r="X2833" s="533"/>
      <c r="Y2833" s="533"/>
    </row>
    <row r="2834" spans="1:25" s="88" customFormat="1" hidden="1" x14ac:dyDescent="0.25">
      <c r="A2834" s="509"/>
      <c r="B2834" s="256"/>
      <c r="C2834" s="221"/>
      <c r="D2834" s="218"/>
      <c r="E2834" s="218"/>
      <c r="F2834" s="527">
        <v>432</v>
      </c>
      <c r="G2834" s="520" t="s">
        <v>4204</v>
      </c>
      <c r="H2834" s="594"/>
      <c r="I2834" s="595"/>
      <c r="J2834" s="595">
        <f t="shared" si="90"/>
        <v>0</v>
      </c>
      <c r="K2834" s="533"/>
      <c r="L2834" s="533"/>
      <c r="M2834" s="533"/>
      <c r="N2834" s="268"/>
      <c r="O2834" s="533"/>
      <c r="P2834" s="533"/>
      <c r="Q2834" s="533"/>
      <c r="R2834" s="533"/>
      <c r="S2834" s="533"/>
      <c r="T2834" s="533"/>
      <c r="U2834" s="533"/>
      <c r="V2834" s="533"/>
      <c r="W2834" s="533"/>
      <c r="X2834" s="533"/>
      <c r="Y2834" s="533"/>
    </row>
    <row r="2835" spans="1:25" s="88" customFormat="1" hidden="1" x14ac:dyDescent="0.25">
      <c r="A2835" s="509"/>
      <c r="B2835" s="256"/>
      <c r="C2835" s="221"/>
      <c r="D2835" s="218"/>
      <c r="E2835" s="218"/>
      <c r="F2835" s="527">
        <v>433</v>
      </c>
      <c r="G2835" s="520" t="s">
        <v>4205</v>
      </c>
      <c r="H2835" s="594"/>
      <c r="I2835" s="595"/>
      <c r="J2835" s="595">
        <f t="shared" si="90"/>
        <v>0</v>
      </c>
      <c r="K2835" s="533"/>
      <c r="L2835" s="533"/>
      <c r="M2835" s="533"/>
      <c r="N2835" s="268"/>
      <c r="O2835" s="533"/>
      <c r="P2835" s="533"/>
      <c r="Q2835" s="533"/>
      <c r="R2835" s="533"/>
      <c r="S2835" s="533"/>
      <c r="T2835" s="533"/>
      <c r="U2835" s="533"/>
      <c r="V2835" s="533"/>
      <c r="W2835" s="533"/>
      <c r="X2835" s="533"/>
      <c r="Y2835" s="533"/>
    </row>
    <row r="2836" spans="1:25" s="88" customFormat="1" hidden="1" x14ac:dyDescent="0.25">
      <c r="A2836" s="509"/>
      <c r="B2836" s="256"/>
      <c r="C2836" s="221"/>
      <c r="D2836" s="218"/>
      <c r="E2836" s="218"/>
      <c r="F2836" s="527">
        <v>434</v>
      </c>
      <c r="G2836" s="520" t="s">
        <v>4206</v>
      </c>
      <c r="H2836" s="594"/>
      <c r="I2836" s="595"/>
      <c r="J2836" s="595">
        <f t="shared" si="90"/>
        <v>0</v>
      </c>
      <c r="K2836" s="533"/>
      <c r="L2836" s="533"/>
      <c r="M2836" s="533"/>
      <c r="N2836" s="268"/>
      <c r="O2836" s="533"/>
      <c r="P2836" s="533"/>
      <c r="Q2836" s="533"/>
      <c r="R2836" s="533"/>
      <c r="S2836" s="533"/>
      <c r="T2836" s="533"/>
      <c r="U2836" s="533"/>
      <c r="V2836" s="533"/>
      <c r="W2836" s="533"/>
      <c r="X2836" s="533"/>
      <c r="Y2836" s="533"/>
    </row>
    <row r="2837" spans="1:25" s="88" customFormat="1" hidden="1" x14ac:dyDescent="0.25">
      <c r="A2837" s="509"/>
      <c r="B2837" s="256"/>
      <c r="C2837" s="221"/>
      <c r="D2837" s="218"/>
      <c r="E2837" s="218"/>
      <c r="F2837" s="527">
        <v>435</v>
      </c>
      <c r="G2837" s="520" t="s">
        <v>3812</v>
      </c>
      <c r="H2837" s="594"/>
      <c r="I2837" s="595"/>
      <c r="J2837" s="595">
        <f t="shared" si="90"/>
        <v>0</v>
      </c>
      <c r="K2837" s="533"/>
      <c r="L2837" s="533"/>
      <c r="M2837" s="533"/>
      <c r="N2837" s="268"/>
      <c r="O2837" s="533"/>
      <c r="P2837" s="533"/>
      <c r="Q2837" s="533"/>
      <c r="R2837" s="533"/>
      <c r="S2837" s="533"/>
      <c r="T2837" s="533"/>
      <c r="U2837" s="533"/>
      <c r="V2837" s="533"/>
      <c r="W2837" s="533"/>
      <c r="X2837" s="533"/>
      <c r="Y2837" s="533"/>
    </row>
    <row r="2838" spans="1:25" s="88" customFormat="1" hidden="1" x14ac:dyDescent="0.25">
      <c r="A2838" s="509"/>
      <c r="B2838" s="256"/>
      <c r="C2838" s="221"/>
      <c r="D2838" s="218"/>
      <c r="E2838" s="218"/>
      <c r="F2838" s="527">
        <v>441</v>
      </c>
      <c r="G2838" s="520" t="s">
        <v>4207</v>
      </c>
      <c r="H2838" s="594"/>
      <c r="I2838" s="595"/>
      <c r="J2838" s="595">
        <f t="shared" si="90"/>
        <v>0</v>
      </c>
      <c r="K2838" s="533"/>
      <c r="L2838" s="533"/>
      <c r="M2838" s="533"/>
      <c r="N2838" s="268"/>
      <c r="O2838" s="533"/>
      <c r="P2838" s="533"/>
      <c r="Q2838" s="533"/>
      <c r="R2838" s="533"/>
      <c r="S2838" s="533"/>
      <c r="T2838" s="533"/>
      <c r="U2838" s="533"/>
      <c r="V2838" s="533"/>
      <c r="W2838" s="533"/>
      <c r="X2838" s="533"/>
      <c r="Y2838" s="533"/>
    </row>
    <row r="2839" spans="1:25" s="88" customFormat="1" hidden="1" x14ac:dyDescent="0.25">
      <c r="A2839" s="509"/>
      <c r="B2839" s="256"/>
      <c r="C2839" s="221"/>
      <c r="D2839" s="218"/>
      <c r="E2839" s="218"/>
      <c r="F2839" s="527">
        <v>442</v>
      </c>
      <c r="G2839" s="520" t="s">
        <v>4208</v>
      </c>
      <c r="H2839" s="594"/>
      <c r="I2839" s="595"/>
      <c r="J2839" s="595">
        <f t="shared" si="90"/>
        <v>0</v>
      </c>
      <c r="K2839" s="533"/>
      <c r="L2839" s="533"/>
      <c r="M2839" s="533"/>
      <c r="N2839" s="268"/>
      <c r="O2839" s="533"/>
      <c r="P2839" s="533"/>
      <c r="Q2839" s="533"/>
      <c r="R2839" s="533"/>
      <c r="S2839" s="533"/>
      <c r="T2839" s="533"/>
      <c r="U2839" s="533"/>
      <c r="V2839" s="533"/>
      <c r="W2839" s="533"/>
      <c r="X2839" s="533"/>
      <c r="Y2839" s="533"/>
    </row>
    <row r="2840" spans="1:25" s="88" customFormat="1" hidden="1" x14ac:dyDescent="0.25">
      <c r="A2840" s="509"/>
      <c r="B2840" s="256"/>
      <c r="C2840" s="221"/>
      <c r="D2840" s="218"/>
      <c r="E2840" s="218"/>
      <c r="F2840" s="527">
        <v>443</v>
      </c>
      <c r="G2840" s="520" t="s">
        <v>3817</v>
      </c>
      <c r="H2840" s="594"/>
      <c r="I2840" s="595"/>
      <c r="J2840" s="595">
        <f t="shared" si="90"/>
        <v>0</v>
      </c>
      <c r="K2840" s="533"/>
      <c r="L2840" s="533"/>
      <c r="M2840" s="533"/>
      <c r="N2840" s="268"/>
      <c r="O2840" s="533"/>
      <c r="P2840" s="533"/>
      <c r="Q2840" s="533"/>
      <c r="R2840" s="533"/>
      <c r="S2840" s="533"/>
      <c r="T2840" s="533"/>
      <c r="U2840" s="533"/>
      <c r="V2840" s="533"/>
      <c r="W2840" s="533"/>
      <c r="X2840" s="533"/>
      <c r="Y2840" s="533"/>
    </row>
    <row r="2841" spans="1:25" s="88" customFormat="1" hidden="1" x14ac:dyDescent="0.25">
      <c r="A2841" s="509"/>
      <c r="B2841" s="256"/>
      <c r="C2841" s="221"/>
      <c r="D2841" s="218"/>
      <c r="E2841" s="218"/>
      <c r="F2841" s="527">
        <v>444</v>
      </c>
      <c r="G2841" s="520" t="s">
        <v>3818</v>
      </c>
      <c r="H2841" s="594"/>
      <c r="I2841" s="595"/>
      <c r="J2841" s="595">
        <f t="shared" si="90"/>
        <v>0</v>
      </c>
      <c r="K2841" s="533"/>
      <c r="L2841" s="533"/>
      <c r="M2841" s="533"/>
      <c r="N2841" s="268"/>
      <c r="O2841" s="533"/>
      <c r="P2841" s="533"/>
      <c r="Q2841" s="533"/>
      <c r="R2841" s="533"/>
      <c r="S2841" s="533"/>
      <c r="T2841" s="533"/>
      <c r="U2841" s="533"/>
      <c r="V2841" s="533"/>
      <c r="W2841" s="533"/>
      <c r="X2841" s="533"/>
      <c r="Y2841" s="533"/>
    </row>
    <row r="2842" spans="1:25" s="88" customFormat="1" ht="30" hidden="1" x14ac:dyDescent="0.25">
      <c r="A2842" s="509"/>
      <c r="B2842" s="256"/>
      <c r="C2842" s="221"/>
      <c r="D2842" s="218"/>
      <c r="E2842" s="218"/>
      <c r="F2842" s="527">
        <v>4511</v>
      </c>
      <c r="G2842" s="223" t="s">
        <v>1692</v>
      </c>
      <c r="H2842" s="594"/>
      <c r="I2842" s="595"/>
      <c r="J2842" s="595">
        <f t="shared" si="90"/>
        <v>0</v>
      </c>
      <c r="K2842" s="533"/>
      <c r="L2842" s="533"/>
      <c r="M2842" s="533"/>
      <c r="N2842" s="268"/>
      <c r="O2842" s="533"/>
      <c r="P2842" s="533"/>
      <c r="Q2842" s="533"/>
      <c r="R2842" s="533"/>
      <c r="S2842" s="533"/>
      <c r="T2842" s="533"/>
      <c r="U2842" s="533"/>
      <c r="V2842" s="533"/>
      <c r="W2842" s="533"/>
      <c r="X2842" s="533"/>
      <c r="Y2842" s="533"/>
    </row>
    <row r="2843" spans="1:25" s="88" customFormat="1" ht="30" hidden="1" x14ac:dyDescent="0.25">
      <c r="A2843" s="509"/>
      <c r="B2843" s="256"/>
      <c r="C2843" s="221"/>
      <c r="D2843" s="218"/>
      <c r="E2843" s="218"/>
      <c r="F2843" s="527">
        <v>4512</v>
      </c>
      <c r="G2843" s="223" t="s">
        <v>1701</v>
      </c>
      <c r="H2843" s="594"/>
      <c r="I2843" s="595"/>
      <c r="J2843" s="595">
        <f t="shared" si="90"/>
        <v>0</v>
      </c>
      <c r="K2843" s="533"/>
      <c r="L2843" s="533"/>
      <c r="M2843" s="533"/>
      <c r="N2843" s="268"/>
      <c r="O2843" s="533"/>
      <c r="P2843" s="533"/>
      <c r="Q2843" s="533"/>
      <c r="R2843" s="533"/>
      <c r="S2843" s="533"/>
      <c r="T2843" s="533"/>
      <c r="U2843" s="533"/>
      <c r="V2843" s="533"/>
      <c r="W2843" s="533"/>
      <c r="X2843" s="533"/>
      <c r="Y2843" s="533"/>
    </row>
    <row r="2844" spans="1:25" s="88" customFormat="1" hidden="1" x14ac:dyDescent="0.25">
      <c r="A2844" s="509"/>
      <c r="B2844" s="256"/>
      <c r="C2844" s="221"/>
      <c r="D2844" s="218"/>
      <c r="E2844" s="218"/>
      <c r="F2844" s="527">
        <v>452</v>
      </c>
      <c r="G2844" s="520" t="s">
        <v>4209</v>
      </c>
      <c r="H2844" s="594"/>
      <c r="I2844" s="595"/>
      <c r="J2844" s="595">
        <f t="shared" si="90"/>
        <v>0</v>
      </c>
      <c r="K2844" s="533"/>
      <c r="L2844" s="533"/>
      <c r="M2844" s="533"/>
      <c r="N2844" s="268"/>
      <c r="O2844" s="533"/>
      <c r="P2844" s="533"/>
      <c r="Q2844" s="533"/>
      <c r="R2844" s="533"/>
      <c r="S2844" s="533"/>
      <c r="T2844" s="533"/>
      <c r="U2844" s="533"/>
      <c r="V2844" s="533"/>
      <c r="W2844" s="533"/>
      <c r="X2844" s="533"/>
      <c r="Y2844" s="533"/>
    </row>
    <row r="2845" spans="1:25" s="88" customFormat="1" hidden="1" x14ac:dyDescent="0.25">
      <c r="A2845" s="509"/>
      <c r="B2845" s="256"/>
      <c r="C2845" s="221"/>
      <c r="D2845" s="218"/>
      <c r="E2845" s="218"/>
      <c r="F2845" s="527">
        <v>453</v>
      </c>
      <c r="G2845" s="520" t="s">
        <v>4210</v>
      </c>
      <c r="H2845" s="594"/>
      <c r="I2845" s="595"/>
      <c r="J2845" s="595">
        <f t="shared" si="90"/>
        <v>0</v>
      </c>
      <c r="K2845" s="533"/>
      <c r="L2845" s="533"/>
      <c r="M2845" s="533"/>
      <c r="N2845" s="268"/>
      <c r="O2845" s="533"/>
      <c r="P2845" s="533"/>
      <c r="Q2845" s="533"/>
      <c r="R2845" s="533"/>
      <c r="S2845" s="533"/>
      <c r="T2845" s="533"/>
      <c r="U2845" s="533"/>
      <c r="V2845" s="533"/>
      <c r="W2845" s="533"/>
      <c r="X2845" s="533"/>
      <c r="Y2845" s="533"/>
    </row>
    <row r="2846" spans="1:25" s="88" customFormat="1" hidden="1" x14ac:dyDescent="0.25">
      <c r="A2846" s="509"/>
      <c r="B2846" s="256"/>
      <c r="C2846" s="221"/>
      <c r="D2846" s="218"/>
      <c r="E2846" s="218"/>
      <c r="F2846" s="527">
        <v>454</v>
      </c>
      <c r="G2846" s="520" t="s">
        <v>3823</v>
      </c>
      <c r="H2846" s="594"/>
      <c r="I2846" s="595"/>
      <c r="J2846" s="595">
        <f t="shared" si="90"/>
        <v>0</v>
      </c>
      <c r="K2846" s="533"/>
      <c r="L2846" s="533"/>
      <c r="M2846" s="533"/>
      <c r="N2846" s="268"/>
      <c r="O2846" s="533"/>
      <c r="P2846" s="533"/>
      <c r="Q2846" s="533"/>
      <c r="R2846" s="533"/>
      <c r="S2846" s="533"/>
      <c r="T2846" s="533"/>
      <c r="U2846" s="533"/>
      <c r="V2846" s="533"/>
      <c r="W2846" s="533"/>
      <c r="X2846" s="533"/>
      <c r="Y2846" s="533"/>
    </row>
    <row r="2847" spans="1:25" s="88" customFormat="1" hidden="1" x14ac:dyDescent="0.25">
      <c r="A2847" s="509"/>
      <c r="B2847" s="256"/>
      <c r="C2847" s="221"/>
      <c r="D2847" s="218"/>
      <c r="E2847" s="218"/>
      <c r="F2847" s="527">
        <v>461</v>
      </c>
      <c r="G2847" s="520" t="s">
        <v>4191</v>
      </c>
      <c r="H2847" s="594"/>
      <c r="I2847" s="595"/>
      <c r="J2847" s="595">
        <f t="shared" si="90"/>
        <v>0</v>
      </c>
      <c r="K2847" s="533"/>
      <c r="L2847" s="533"/>
      <c r="M2847" s="533"/>
      <c r="N2847" s="268"/>
      <c r="O2847" s="533"/>
      <c r="P2847" s="533"/>
      <c r="Q2847" s="533"/>
      <c r="R2847" s="533"/>
      <c r="S2847" s="533"/>
      <c r="T2847" s="533"/>
      <c r="U2847" s="533"/>
      <c r="V2847" s="533"/>
      <c r="W2847" s="533"/>
      <c r="X2847" s="533"/>
      <c r="Y2847" s="533"/>
    </row>
    <row r="2848" spans="1:25" s="88" customFormat="1" hidden="1" x14ac:dyDescent="0.25">
      <c r="A2848" s="509"/>
      <c r="B2848" s="256"/>
      <c r="C2848" s="221"/>
      <c r="D2848" s="218"/>
      <c r="E2848" s="218"/>
      <c r="F2848" s="527">
        <v>462</v>
      </c>
      <c r="G2848" s="520" t="s">
        <v>3826</v>
      </c>
      <c r="H2848" s="594"/>
      <c r="I2848" s="595"/>
      <c r="J2848" s="595">
        <f t="shared" si="90"/>
        <v>0</v>
      </c>
      <c r="K2848" s="533"/>
      <c r="L2848" s="533"/>
      <c r="M2848" s="533"/>
      <c r="N2848" s="268"/>
      <c r="O2848" s="533"/>
      <c r="P2848" s="533"/>
      <c r="Q2848" s="533"/>
      <c r="R2848" s="533"/>
      <c r="S2848" s="533"/>
      <c r="T2848" s="533"/>
      <c r="U2848" s="533"/>
      <c r="V2848" s="533"/>
      <c r="W2848" s="533"/>
      <c r="X2848" s="533"/>
      <c r="Y2848" s="533"/>
    </row>
    <row r="2849" spans="1:25" s="88" customFormat="1" hidden="1" x14ac:dyDescent="0.25">
      <c r="A2849" s="509"/>
      <c r="B2849" s="256"/>
      <c r="C2849" s="221"/>
      <c r="D2849" s="218"/>
      <c r="E2849" s="218"/>
      <c r="F2849" s="527">
        <v>4631</v>
      </c>
      <c r="G2849" s="520" t="s">
        <v>3827</v>
      </c>
      <c r="H2849" s="594"/>
      <c r="I2849" s="595"/>
      <c r="J2849" s="595">
        <f t="shared" si="90"/>
        <v>0</v>
      </c>
      <c r="K2849" s="533"/>
      <c r="L2849" s="533"/>
      <c r="M2849" s="533"/>
      <c r="N2849" s="268"/>
      <c r="O2849" s="533"/>
      <c r="P2849" s="533"/>
      <c r="Q2849" s="533"/>
      <c r="R2849" s="533"/>
      <c r="S2849" s="533"/>
      <c r="T2849" s="533"/>
      <c r="U2849" s="533"/>
      <c r="V2849" s="533"/>
      <c r="W2849" s="533"/>
      <c r="X2849" s="533"/>
      <c r="Y2849" s="533"/>
    </row>
    <row r="2850" spans="1:25" s="88" customFormat="1" hidden="1" x14ac:dyDescent="0.25">
      <c r="A2850" s="509"/>
      <c r="B2850" s="256"/>
      <c r="C2850" s="221"/>
      <c r="D2850" s="218"/>
      <c r="E2850" s="218"/>
      <c r="F2850" s="527">
        <v>4632</v>
      </c>
      <c r="G2850" s="520" t="s">
        <v>3828</v>
      </c>
      <c r="H2850" s="594"/>
      <c r="I2850" s="595"/>
      <c r="J2850" s="595">
        <f t="shared" si="90"/>
        <v>0</v>
      </c>
      <c r="K2850" s="533"/>
      <c r="L2850" s="533"/>
      <c r="M2850" s="533"/>
      <c r="N2850" s="268"/>
      <c r="O2850" s="533"/>
      <c r="P2850" s="533"/>
      <c r="Q2850" s="533"/>
      <c r="R2850" s="533"/>
      <c r="S2850" s="533"/>
      <c r="T2850" s="533"/>
      <c r="U2850" s="533"/>
      <c r="V2850" s="533"/>
      <c r="W2850" s="533"/>
      <c r="X2850" s="533"/>
      <c r="Y2850" s="533"/>
    </row>
    <row r="2851" spans="1:25" s="88" customFormat="1" hidden="1" x14ac:dyDescent="0.25">
      <c r="A2851" s="509"/>
      <c r="B2851" s="256"/>
      <c r="C2851" s="221"/>
      <c r="D2851" s="218"/>
      <c r="E2851" s="218"/>
      <c r="F2851" s="527">
        <v>464</v>
      </c>
      <c r="G2851" s="520" t="s">
        <v>3829</v>
      </c>
      <c r="H2851" s="594"/>
      <c r="I2851" s="595"/>
      <c r="J2851" s="595">
        <f t="shared" si="90"/>
        <v>0</v>
      </c>
      <c r="K2851" s="533"/>
      <c r="L2851" s="533"/>
      <c r="M2851" s="533"/>
      <c r="N2851" s="268"/>
      <c r="O2851" s="533"/>
      <c r="P2851" s="533"/>
      <c r="Q2851" s="533"/>
      <c r="R2851" s="533"/>
      <c r="S2851" s="533"/>
      <c r="T2851" s="533"/>
      <c r="U2851" s="533"/>
      <c r="V2851" s="533"/>
      <c r="W2851" s="533"/>
      <c r="X2851" s="533"/>
      <c r="Y2851" s="533"/>
    </row>
    <row r="2852" spans="1:25" s="88" customFormat="1" hidden="1" x14ac:dyDescent="0.25">
      <c r="A2852" s="509"/>
      <c r="B2852" s="256"/>
      <c r="C2852" s="221"/>
      <c r="D2852" s="218"/>
      <c r="E2852" s="218"/>
      <c r="F2852" s="527">
        <v>465</v>
      </c>
      <c r="G2852" s="520" t="s">
        <v>4192</v>
      </c>
      <c r="H2852" s="594"/>
      <c r="I2852" s="595"/>
      <c r="J2852" s="595">
        <f t="shared" si="90"/>
        <v>0</v>
      </c>
      <c r="K2852" s="533"/>
      <c r="L2852" s="533"/>
      <c r="M2852" s="533"/>
      <c r="N2852" s="268"/>
      <c r="O2852" s="533"/>
      <c r="P2852" s="533"/>
      <c r="Q2852" s="533"/>
      <c r="R2852" s="533"/>
      <c r="S2852" s="533"/>
      <c r="T2852" s="533"/>
      <c r="U2852" s="533"/>
      <c r="V2852" s="533"/>
      <c r="W2852" s="533"/>
      <c r="X2852" s="533"/>
      <c r="Y2852" s="533"/>
    </row>
    <row r="2853" spans="1:25" s="88" customFormat="1" hidden="1" x14ac:dyDescent="0.25">
      <c r="A2853" s="509"/>
      <c r="B2853" s="256"/>
      <c r="C2853" s="221"/>
      <c r="D2853" s="218"/>
      <c r="E2853" s="218"/>
      <c r="F2853" s="527">
        <v>472</v>
      </c>
      <c r="G2853" s="520" t="s">
        <v>3833</v>
      </c>
      <c r="H2853" s="594"/>
      <c r="I2853" s="595"/>
      <c r="J2853" s="595">
        <f t="shared" si="90"/>
        <v>0</v>
      </c>
      <c r="K2853" s="533"/>
      <c r="L2853" s="533"/>
      <c r="M2853" s="533"/>
      <c r="N2853" s="268"/>
      <c r="O2853" s="533"/>
      <c r="P2853" s="533"/>
      <c r="Q2853" s="533"/>
      <c r="R2853" s="533"/>
      <c r="S2853" s="533"/>
      <c r="T2853" s="533"/>
      <c r="U2853" s="533"/>
      <c r="V2853" s="533"/>
      <c r="W2853" s="533"/>
      <c r="X2853" s="533"/>
      <c r="Y2853" s="533"/>
    </row>
    <row r="2854" spans="1:25" s="88" customFormat="1" hidden="1" x14ac:dyDescent="0.25">
      <c r="A2854" s="509"/>
      <c r="B2854" s="256"/>
      <c r="C2854" s="221"/>
      <c r="D2854" s="218"/>
      <c r="E2854" s="218"/>
      <c r="F2854" s="527">
        <v>481</v>
      </c>
      <c r="G2854" s="520" t="s">
        <v>4211</v>
      </c>
      <c r="H2854" s="594"/>
      <c r="I2854" s="595"/>
      <c r="J2854" s="595">
        <f t="shared" si="90"/>
        <v>0</v>
      </c>
      <c r="K2854" s="533"/>
      <c r="L2854" s="533"/>
      <c r="M2854" s="533"/>
      <c r="N2854" s="268"/>
      <c r="O2854" s="533"/>
      <c r="P2854" s="533"/>
      <c r="Q2854" s="533"/>
      <c r="R2854" s="533"/>
      <c r="S2854" s="533"/>
      <c r="T2854" s="533"/>
      <c r="U2854" s="533"/>
      <c r="V2854" s="533"/>
      <c r="W2854" s="533"/>
      <c r="X2854" s="533"/>
      <c r="Y2854" s="533"/>
    </row>
    <row r="2855" spans="1:25" s="88" customFormat="1" hidden="1" x14ac:dyDescent="0.25">
      <c r="A2855" s="509"/>
      <c r="B2855" s="256"/>
      <c r="C2855" s="221"/>
      <c r="D2855" s="218"/>
      <c r="E2855" s="218"/>
      <c r="F2855" s="527">
        <v>482</v>
      </c>
      <c r="G2855" s="520" t="s">
        <v>4212</v>
      </c>
      <c r="H2855" s="594"/>
      <c r="I2855" s="595"/>
      <c r="J2855" s="595">
        <f t="shared" si="90"/>
        <v>0</v>
      </c>
      <c r="K2855" s="533"/>
      <c r="L2855" s="533"/>
      <c r="M2855" s="533"/>
      <c r="N2855" s="268"/>
      <c r="O2855" s="533"/>
      <c r="P2855" s="533"/>
      <c r="Q2855" s="533"/>
      <c r="R2855" s="533"/>
      <c r="S2855" s="533"/>
      <c r="T2855" s="533"/>
      <c r="U2855" s="533"/>
      <c r="V2855" s="533"/>
      <c r="W2855" s="533"/>
      <c r="X2855" s="533"/>
      <c r="Y2855" s="533"/>
    </row>
    <row r="2856" spans="1:25" s="88" customFormat="1" hidden="1" x14ac:dyDescent="0.25">
      <c r="A2856" s="509"/>
      <c r="B2856" s="256"/>
      <c r="C2856" s="221"/>
      <c r="D2856" s="218"/>
      <c r="E2856" s="218"/>
      <c r="F2856" s="527">
        <v>483</v>
      </c>
      <c r="G2856" s="524" t="s">
        <v>4213</v>
      </c>
      <c r="H2856" s="594"/>
      <c r="I2856" s="595"/>
      <c r="J2856" s="595">
        <f t="shared" si="90"/>
        <v>0</v>
      </c>
      <c r="K2856" s="533"/>
      <c r="L2856" s="533"/>
      <c r="M2856" s="533"/>
      <c r="N2856" s="268"/>
      <c r="O2856" s="533"/>
      <c r="P2856" s="533"/>
      <c r="Q2856" s="533"/>
      <c r="R2856" s="533"/>
      <c r="S2856" s="533"/>
      <c r="T2856" s="533"/>
      <c r="U2856" s="533"/>
      <c r="V2856" s="533"/>
      <c r="W2856" s="533"/>
      <c r="X2856" s="533"/>
      <c r="Y2856" s="533"/>
    </row>
    <row r="2857" spans="1:25" s="88" customFormat="1" ht="30" hidden="1" x14ac:dyDescent="0.25">
      <c r="A2857" s="509"/>
      <c r="B2857" s="256"/>
      <c r="C2857" s="221"/>
      <c r="D2857" s="218"/>
      <c r="E2857" s="218"/>
      <c r="F2857" s="527">
        <v>484</v>
      </c>
      <c r="G2857" s="520" t="s">
        <v>4214</v>
      </c>
      <c r="H2857" s="594"/>
      <c r="I2857" s="595"/>
      <c r="J2857" s="595">
        <f t="shared" si="90"/>
        <v>0</v>
      </c>
      <c r="K2857" s="533"/>
      <c r="L2857" s="533"/>
      <c r="M2857" s="533"/>
      <c r="N2857" s="268"/>
      <c r="O2857" s="533"/>
      <c r="P2857" s="533"/>
      <c r="Q2857" s="533"/>
      <c r="R2857" s="533"/>
      <c r="S2857" s="533"/>
      <c r="T2857" s="533"/>
      <c r="U2857" s="533"/>
      <c r="V2857" s="533"/>
      <c r="W2857" s="533"/>
      <c r="X2857" s="533"/>
      <c r="Y2857" s="533"/>
    </row>
    <row r="2858" spans="1:25" s="88" customFormat="1" ht="30" hidden="1" x14ac:dyDescent="0.25">
      <c r="A2858" s="509"/>
      <c r="B2858" s="256"/>
      <c r="C2858" s="221"/>
      <c r="D2858" s="218"/>
      <c r="E2858" s="218"/>
      <c r="F2858" s="527">
        <v>485</v>
      </c>
      <c r="G2858" s="520" t="s">
        <v>4215</v>
      </c>
      <c r="H2858" s="594"/>
      <c r="I2858" s="595"/>
      <c r="J2858" s="595">
        <f t="shared" si="90"/>
        <v>0</v>
      </c>
      <c r="K2858" s="533"/>
      <c r="L2858" s="533"/>
      <c r="M2858" s="533"/>
      <c r="N2858" s="268"/>
      <c r="O2858" s="533"/>
      <c r="P2858" s="533"/>
      <c r="Q2858" s="533"/>
      <c r="R2858" s="533"/>
      <c r="S2858" s="533"/>
      <c r="T2858" s="533"/>
      <c r="U2858" s="533"/>
      <c r="V2858" s="533"/>
      <c r="W2858" s="533"/>
      <c r="X2858" s="533"/>
      <c r="Y2858" s="533"/>
    </row>
    <row r="2859" spans="1:25" s="88" customFormat="1" ht="30" hidden="1" x14ac:dyDescent="0.25">
      <c r="A2859" s="509"/>
      <c r="B2859" s="256"/>
      <c r="C2859" s="221"/>
      <c r="D2859" s="218"/>
      <c r="E2859" s="218"/>
      <c r="F2859" s="527">
        <v>489</v>
      </c>
      <c r="G2859" s="520" t="s">
        <v>3841</v>
      </c>
      <c r="H2859" s="594"/>
      <c r="I2859" s="595"/>
      <c r="J2859" s="595">
        <f t="shared" si="90"/>
        <v>0</v>
      </c>
      <c r="K2859" s="533"/>
      <c r="L2859" s="533"/>
      <c r="M2859" s="533"/>
      <c r="N2859" s="268"/>
      <c r="O2859" s="533"/>
      <c r="P2859" s="533"/>
      <c r="Q2859" s="533"/>
      <c r="R2859" s="533"/>
      <c r="S2859" s="533"/>
      <c r="T2859" s="533"/>
      <c r="U2859" s="533"/>
      <c r="V2859" s="533"/>
      <c r="W2859" s="533"/>
      <c r="X2859" s="533"/>
      <c r="Y2859" s="533"/>
    </row>
    <row r="2860" spans="1:25" s="88" customFormat="1" hidden="1" x14ac:dyDescent="0.25">
      <c r="A2860" s="509"/>
      <c r="B2860" s="256"/>
      <c r="C2860" s="221"/>
      <c r="D2860" s="218"/>
      <c r="E2860" s="218"/>
      <c r="F2860" s="527">
        <v>494</v>
      </c>
      <c r="G2860" s="520" t="s">
        <v>4193</v>
      </c>
      <c r="H2860" s="594"/>
      <c r="I2860" s="595"/>
      <c r="J2860" s="595">
        <f t="shared" si="90"/>
        <v>0</v>
      </c>
      <c r="K2860" s="533"/>
      <c r="L2860" s="533"/>
      <c r="M2860" s="533"/>
      <c r="N2860" s="268"/>
      <c r="O2860" s="533"/>
      <c r="P2860" s="533"/>
      <c r="Q2860" s="533"/>
      <c r="R2860" s="533"/>
      <c r="S2860" s="533"/>
      <c r="T2860" s="533"/>
      <c r="U2860" s="533"/>
      <c r="V2860" s="533"/>
      <c r="W2860" s="533"/>
      <c r="X2860" s="533"/>
      <c r="Y2860" s="533"/>
    </row>
    <row r="2861" spans="1:25" s="88" customFormat="1" ht="30" hidden="1" x14ac:dyDescent="0.25">
      <c r="A2861" s="509"/>
      <c r="B2861" s="256"/>
      <c r="C2861" s="221"/>
      <c r="D2861" s="218"/>
      <c r="E2861" s="218"/>
      <c r="F2861" s="527">
        <v>495</v>
      </c>
      <c r="G2861" s="520" t="s">
        <v>4194</v>
      </c>
      <c r="H2861" s="594"/>
      <c r="I2861" s="595"/>
      <c r="J2861" s="595">
        <f t="shared" si="90"/>
        <v>0</v>
      </c>
      <c r="K2861" s="533"/>
      <c r="L2861" s="533"/>
      <c r="M2861" s="533"/>
      <c r="N2861" s="268"/>
      <c r="O2861" s="533"/>
      <c r="P2861" s="533"/>
      <c r="Q2861" s="533"/>
      <c r="R2861" s="533"/>
      <c r="S2861" s="533"/>
      <c r="T2861" s="533"/>
      <c r="U2861" s="533"/>
      <c r="V2861" s="533"/>
      <c r="W2861" s="533"/>
      <c r="X2861" s="533"/>
      <c r="Y2861" s="533"/>
    </row>
    <row r="2862" spans="1:25" s="88" customFormat="1" ht="30" hidden="1" x14ac:dyDescent="0.25">
      <c r="A2862" s="509"/>
      <c r="B2862" s="256"/>
      <c r="C2862" s="221"/>
      <c r="D2862" s="218"/>
      <c r="E2862" s="218"/>
      <c r="F2862" s="527">
        <v>496</v>
      </c>
      <c r="G2862" s="520" t="s">
        <v>4195</v>
      </c>
      <c r="H2862" s="594"/>
      <c r="I2862" s="595"/>
      <c r="J2862" s="595">
        <f t="shared" si="90"/>
        <v>0</v>
      </c>
      <c r="K2862" s="533"/>
      <c r="L2862" s="533"/>
      <c r="M2862" s="533"/>
      <c r="N2862" s="268"/>
      <c r="O2862" s="533"/>
      <c r="P2862" s="533"/>
      <c r="Q2862" s="533"/>
      <c r="R2862" s="533"/>
      <c r="S2862" s="533"/>
      <c r="T2862" s="533"/>
      <c r="U2862" s="533"/>
      <c r="V2862" s="533"/>
      <c r="W2862" s="533"/>
      <c r="X2862" s="533"/>
      <c r="Y2862" s="533"/>
    </row>
    <row r="2863" spans="1:25" s="88" customFormat="1" hidden="1" x14ac:dyDescent="0.25">
      <c r="A2863" s="509"/>
      <c r="B2863" s="256"/>
      <c r="C2863" s="221"/>
      <c r="D2863" s="218"/>
      <c r="E2863" s="218"/>
      <c r="F2863" s="527">
        <v>499</v>
      </c>
      <c r="G2863" s="520" t="s">
        <v>4196</v>
      </c>
      <c r="H2863" s="594"/>
      <c r="I2863" s="595"/>
      <c r="J2863" s="595">
        <f t="shared" si="90"/>
        <v>0</v>
      </c>
      <c r="K2863" s="533"/>
      <c r="L2863" s="533"/>
      <c r="M2863" s="533"/>
      <c r="N2863" s="268"/>
      <c r="O2863" s="533"/>
      <c r="P2863" s="533"/>
      <c r="Q2863" s="533"/>
      <c r="R2863" s="533"/>
      <c r="S2863" s="533"/>
      <c r="T2863" s="533"/>
      <c r="U2863" s="533"/>
      <c r="V2863" s="533"/>
      <c r="W2863" s="533"/>
      <c r="X2863" s="533"/>
      <c r="Y2863" s="533"/>
    </row>
    <row r="2864" spans="1:25" s="88" customFormat="1" ht="15.75" thickBot="1" x14ac:dyDescent="0.3">
      <c r="A2864" s="509"/>
      <c r="B2864" s="256"/>
      <c r="C2864" s="221"/>
      <c r="D2864" s="218"/>
      <c r="E2864" s="218">
        <v>42</v>
      </c>
      <c r="F2864" s="527">
        <v>511</v>
      </c>
      <c r="G2864" s="524" t="s">
        <v>4216</v>
      </c>
      <c r="H2864" s="594">
        <v>11000000</v>
      </c>
      <c r="I2864" s="595"/>
      <c r="J2864" s="595">
        <f t="shared" si="90"/>
        <v>11000000</v>
      </c>
      <c r="K2864" s="533"/>
      <c r="L2864" s="533"/>
      <c r="M2864" s="533"/>
      <c r="N2864" s="268"/>
      <c r="O2864" s="533"/>
      <c r="P2864" s="533"/>
      <c r="Q2864" s="533"/>
      <c r="R2864" s="533"/>
      <c r="S2864" s="533"/>
      <c r="T2864" s="533"/>
      <c r="U2864" s="533"/>
      <c r="V2864" s="533"/>
      <c r="W2864" s="533"/>
      <c r="X2864" s="533"/>
      <c r="Y2864" s="533"/>
    </row>
    <row r="2865" spans="1:25" s="88" customFormat="1" hidden="1" x14ac:dyDescent="0.25">
      <c r="A2865" s="509"/>
      <c r="B2865" s="256"/>
      <c r="C2865" s="221"/>
      <c r="D2865" s="218"/>
      <c r="E2865" s="218"/>
      <c r="F2865" s="527">
        <v>512</v>
      </c>
      <c r="G2865" s="524" t="s">
        <v>4217</v>
      </c>
      <c r="H2865" s="594"/>
      <c r="I2865" s="595"/>
      <c r="J2865" s="595">
        <f t="shared" si="90"/>
        <v>0</v>
      </c>
      <c r="K2865" s="533"/>
      <c r="L2865" s="533"/>
      <c r="M2865" s="533"/>
      <c r="N2865" s="268"/>
      <c r="O2865" s="533"/>
      <c r="P2865" s="533"/>
      <c r="Q2865" s="533"/>
      <c r="R2865" s="533"/>
      <c r="S2865" s="533"/>
      <c r="T2865" s="533"/>
      <c r="U2865" s="533"/>
      <c r="V2865" s="533"/>
      <c r="W2865" s="533"/>
      <c r="X2865" s="533"/>
      <c r="Y2865" s="533"/>
    </row>
    <row r="2866" spans="1:25" s="88" customFormat="1" hidden="1" x14ac:dyDescent="0.25">
      <c r="A2866" s="509"/>
      <c r="B2866" s="256"/>
      <c r="C2866" s="221"/>
      <c r="D2866" s="218"/>
      <c r="E2866" s="218"/>
      <c r="F2866" s="527">
        <v>513</v>
      </c>
      <c r="G2866" s="524" t="s">
        <v>4218</v>
      </c>
      <c r="H2866" s="594"/>
      <c r="I2866" s="595"/>
      <c r="J2866" s="595">
        <f t="shared" si="90"/>
        <v>0</v>
      </c>
      <c r="K2866" s="533"/>
      <c r="L2866" s="533"/>
      <c r="M2866" s="533"/>
      <c r="N2866" s="268"/>
      <c r="O2866" s="533"/>
      <c r="P2866" s="533"/>
      <c r="Q2866" s="533"/>
      <c r="R2866" s="533"/>
      <c r="S2866" s="533"/>
      <c r="T2866" s="533"/>
      <c r="U2866" s="533"/>
      <c r="V2866" s="533"/>
      <c r="W2866" s="533"/>
      <c r="X2866" s="533"/>
      <c r="Y2866" s="533"/>
    </row>
    <row r="2867" spans="1:25" s="88" customFormat="1" hidden="1" x14ac:dyDescent="0.25">
      <c r="A2867" s="509"/>
      <c r="B2867" s="256"/>
      <c r="C2867" s="221"/>
      <c r="D2867" s="218"/>
      <c r="E2867" s="218"/>
      <c r="F2867" s="527">
        <v>514</v>
      </c>
      <c r="G2867" s="520" t="s">
        <v>4219</v>
      </c>
      <c r="H2867" s="594"/>
      <c r="I2867" s="595"/>
      <c r="J2867" s="595">
        <f t="shared" si="90"/>
        <v>0</v>
      </c>
      <c r="K2867" s="533"/>
      <c r="L2867" s="533"/>
      <c r="M2867" s="533"/>
      <c r="N2867" s="268"/>
      <c r="O2867" s="533"/>
      <c r="P2867" s="533"/>
      <c r="Q2867" s="533"/>
      <c r="R2867" s="533"/>
      <c r="S2867" s="533"/>
      <c r="T2867" s="533"/>
      <c r="U2867" s="533"/>
      <c r="V2867" s="533"/>
      <c r="W2867" s="533"/>
      <c r="X2867" s="533"/>
      <c r="Y2867" s="533"/>
    </row>
    <row r="2868" spans="1:25" s="88" customFormat="1" hidden="1" x14ac:dyDescent="0.25">
      <c r="A2868" s="509"/>
      <c r="B2868" s="256"/>
      <c r="C2868" s="221"/>
      <c r="D2868" s="218"/>
      <c r="E2868" s="218"/>
      <c r="F2868" s="527">
        <v>515</v>
      </c>
      <c r="G2868" s="520" t="s">
        <v>3852</v>
      </c>
      <c r="H2868" s="594"/>
      <c r="I2868" s="595"/>
      <c r="J2868" s="595">
        <f t="shared" si="90"/>
        <v>0</v>
      </c>
      <c r="K2868" s="533"/>
      <c r="L2868" s="533"/>
      <c r="M2868" s="533"/>
      <c r="N2868" s="268"/>
      <c r="O2868" s="533"/>
      <c r="P2868" s="533"/>
      <c r="Q2868" s="533"/>
      <c r="R2868" s="533"/>
      <c r="S2868" s="533"/>
      <c r="T2868" s="533"/>
      <c r="U2868" s="533"/>
      <c r="V2868" s="533"/>
      <c r="W2868" s="533"/>
      <c r="X2868" s="533"/>
      <c r="Y2868" s="533"/>
    </row>
    <row r="2869" spans="1:25" s="88" customFormat="1" hidden="1" x14ac:dyDescent="0.25">
      <c r="A2869" s="509"/>
      <c r="B2869" s="256"/>
      <c r="C2869" s="221"/>
      <c r="D2869" s="218"/>
      <c r="E2869" s="218"/>
      <c r="F2869" s="527">
        <v>521</v>
      </c>
      <c r="G2869" s="520" t="s">
        <v>4220</v>
      </c>
      <c r="H2869" s="594"/>
      <c r="I2869" s="595"/>
      <c r="J2869" s="595">
        <f t="shared" si="90"/>
        <v>0</v>
      </c>
      <c r="K2869" s="533"/>
      <c r="L2869" s="533"/>
      <c r="M2869" s="533"/>
      <c r="N2869" s="268"/>
      <c r="O2869" s="533"/>
      <c r="P2869" s="533"/>
      <c r="Q2869" s="533"/>
      <c r="R2869" s="533"/>
      <c r="S2869" s="533"/>
      <c r="T2869" s="533"/>
      <c r="U2869" s="533"/>
      <c r="V2869" s="533"/>
      <c r="W2869" s="533"/>
      <c r="X2869" s="533"/>
      <c r="Y2869" s="533"/>
    </row>
    <row r="2870" spans="1:25" s="88" customFormat="1" hidden="1" x14ac:dyDescent="0.25">
      <c r="A2870" s="509"/>
      <c r="B2870" s="256"/>
      <c r="C2870" s="221"/>
      <c r="D2870" s="218"/>
      <c r="E2870" s="218"/>
      <c r="F2870" s="527">
        <v>522</v>
      </c>
      <c r="G2870" s="520" t="s">
        <v>4221</v>
      </c>
      <c r="H2870" s="594"/>
      <c r="I2870" s="595"/>
      <c r="J2870" s="595">
        <f t="shared" si="90"/>
        <v>0</v>
      </c>
      <c r="K2870" s="533"/>
      <c r="L2870" s="533"/>
      <c r="M2870" s="533"/>
      <c r="N2870" s="268"/>
      <c r="O2870" s="533"/>
      <c r="P2870" s="533"/>
      <c r="Q2870" s="533"/>
      <c r="R2870" s="533"/>
      <c r="S2870" s="533"/>
      <c r="T2870" s="533"/>
      <c r="U2870" s="533"/>
      <c r="V2870" s="533"/>
      <c r="W2870" s="533"/>
      <c r="X2870" s="533"/>
      <c r="Y2870" s="533"/>
    </row>
    <row r="2871" spans="1:25" s="88" customFormat="1" hidden="1" x14ac:dyDescent="0.25">
      <c r="A2871" s="509"/>
      <c r="B2871" s="256"/>
      <c r="C2871" s="221"/>
      <c r="D2871" s="218"/>
      <c r="E2871" s="218"/>
      <c r="F2871" s="527">
        <v>523</v>
      </c>
      <c r="G2871" s="520" t="s">
        <v>3857</v>
      </c>
      <c r="H2871" s="594"/>
      <c r="I2871" s="595"/>
      <c r="J2871" s="595">
        <f t="shared" si="90"/>
        <v>0</v>
      </c>
      <c r="K2871" s="533"/>
      <c r="L2871" s="533"/>
      <c r="M2871" s="533"/>
      <c r="N2871" s="268"/>
      <c r="O2871" s="533"/>
      <c r="P2871" s="533"/>
      <c r="Q2871" s="533"/>
      <c r="R2871" s="533"/>
      <c r="S2871" s="533"/>
      <c r="T2871" s="533"/>
      <c r="U2871" s="533"/>
      <c r="V2871" s="533"/>
      <c r="W2871" s="533"/>
      <c r="X2871" s="533"/>
      <c r="Y2871" s="533"/>
    </row>
    <row r="2872" spans="1:25" s="88" customFormat="1" hidden="1" x14ac:dyDescent="0.25">
      <c r="A2872" s="509"/>
      <c r="B2872" s="256"/>
      <c r="C2872" s="221"/>
      <c r="D2872" s="218"/>
      <c r="E2872" s="218"/>
      <c r="F2872" s="527">
        <v>531</v>
      </c>
      <c r="G2872" s="516" t="s">
        <v>4197</v>
      </c>
      <c r="H2872" s="594"/>
      <c r="I2872" s="595"/>
      <c r="J2872" s="595">
        <f t="shared" si="90"/>
        <v>0</v>
      </c>
      <c r="K2872" s="533"/>
      <c r="L2872" s="533"/>
      <c r="M2872" s="533"/>
      <c r="N2872" s="268"/>
      <c r="O2872" s="533"/>
      <c r="P2872" s="533"/>
      <c r="Q2872" s="533"/>
      <c r="R2872" s="533"/>
      <c r="S2872" s="533"/>
      <c r="T2872" s="533"/>
      <c r="U2872" s="533"/>
      <c r="V2872" s="533"/>
      <c r="W2872" s="533"/>
      <c r="X2872" s="533"/>
      <c r="Y2872" s="533"/>
    </row>
    <row r="2873" spans="1:25" s="88" customFormat="1" hidden="1" x14ac:dyDescent="0.25">
      <c r="A2873" s="509"/>
      <c r="B2873" s="256"/>
      <c r="C2873" s="221"/>
      <c r="D2873" s="218"/>
      <c r="E2873" s="218"/>
      <c r="F2873" s="527">
        <v>541</v>
      </c>
      <c r="G2873" s="520" t="s">
        <v>4222</v>
      </c>
      <c r="H2873" s="594"/>
      <c r="I2873" s="595"/>
      <c r="J2873" s="595">
        <f t="shared" si="90"/>
        <v>0</v>
      </c>
      <c r="K2873" s="533"/>
      <c r="L2873" s="533"/>
      <c r="M2873" s="533"/>
      <c r="N2873" s="268"/>
      <c r="O2873" s="533"/>
      <c r="P2873" s="533"/>
      <c r="Q2873" s="533"/>
      <c r="R2873" s="533"/>
      <c r="S2873" s="533"/>
      <c r="T2873" s="533"/>
      <c r="U2873" s="533"/>
      <c r="V2873" s="533"/>
      <c r="W2873" s="533"/>
      <c r="X2873" s="533"/>
      <c r="Y2873" s="533"/>
    </row>
    <row r="2874" spans="1:25" s="88" customFormat="1" hidden="1" x14ac:dyDescent="0.25">
      <c r="A2874" s="509"/>
      <c r="B2874" s="256"/>
      <c r="C2874" s="221"/>
      <c r="D2874" s="218"/>
      <c r="E2874" s="218"/>
      <c r="F2874" s="527">
        <v>542</v>
      </c>
      <c r="G2874" s="520" t="s">
        <v>4223</v>
      </c>
      <c r="H2874" s="594"/>
      <c r="I2874" s="595"/>
      <c r="J2874" s="595">
        <f t="shared" si="90"/>
        <v>0</v>
      </c>
      <c r="K2874" s="533"/>
      <c r="L2874" s="533"/>
      <c r="M2874" s="533"/>
      <c r="N2874" s="268"/>
      <c r="O2874" s="533"/>
      <c r="P2874" s="533"/>
      <c r="Q2874" s="533"/>
      <c r="R2874" s="533"/>
      <c r="S2874" s="533"/>
      <c r="T2874" s="533"/>
      <c r="U2874" s="533"/>
      <c r="V2874" s="533"/>
      <c r="W2874" s="533"/>
      <c r="X2874" s="533"/>
      <c r="Y2874" s="533"/>
    </row>
    <row r="2875" spans="1:25" s="88" customFormat="1" hidden="1" x14ac:dyDescent="0.25">
      <c r="A2875" s="509"/>
      <c r="B2875" s="256"/>
      <c r="C2875" s="221"/>
      <c r="D2875" s="218"/>
      <c r="E2875" s="218"/>
      <c r="F2875" s="527">
        <v>543</v>
      </c>
      <c r="G2875" s="520" t="s">
        <v>3862</v>
      </c>
      <c r="H2875" s="594"/>
      <c r="I2875" s="595"/>
      <c r="J2875" s="595">
        <f t="shared" si="90"/>
        <v>0</v>
      </c>
      <c r="K2875" s="533"/>
      <c r="L2875" s="533"/>
      <c r="M2875" s="533"/>
      <c r="N2875" s="268"/>
      <c r="O2875" s="533"/>
      <c r="P2875" s="533"/>
      <c r="Q2875" s="533"/>
      <c r="R2875" s="533"/>
      <c r="S2875" s="533"/>
      <c r="T2875" s="533"/>
      <c r="U2875" s="533"/>
      <c r="V2875" s="533"/>
      <c r="W2875" s="533"/>
      <c r="X2875" s="533"/>
      <c r="Y2875" s="533"/>
    </row>
    <row r="2876" spans="1:25" s="88" customFormat="1" ht="30" hidden="1" x14ac:dyDescent="0.25">
      <c r="A2876" s="509"/>
      <c r="B2876" s="256"/>
      <c r="C2876" s="221"/>
      <c r="D2876" s="218"/>
      <c r="E2876" s="218"/>
      <c r="F2876" s="527">
        <v>551</v>
      </c>
      <c r="G2876" s="520" t="s">
        <v>4198</v>
      </c>
      <c r="H2876" s="594"/>
      <c r="I2876" s="595"/>
      <c r="J2876" s="595">
        <f t="shared" si="90"/>
        <v>0</v>
      </c>
      <c r="K2876" s="533"/>
      <c r="L2876" s="533"/>
      <c r="M2876" s="533"/>
      <c r="N2876" s="268"/>
      <c r="O2876" s="533"/>
      <c r="P2876" s="533"/>
      <c r="Q2876" s="533"/>
      <c r="R2876" s="533"/>
      <c r="S2876" s="533"/>
      <c r="T2876" s="533"/>
      <c r="U2876" s="533"/>
      <c r="V2876" s="533"/>
      <c r="W2876" s="533"/>
      <c r="X2876" s="533"/>
      <c r="Y2876" s="533"/>
    </row>
    <row r="2877" spans="1:25" s="88" customFormat="1" hidden="1" x14ac:dyDescent="0.25">
      <c r="A2877" s="509"/>
      <c r="B2877" s="256"/>
      <c r="C2877" s="221"/>
      <c r="D2877" s="218"/>
      <c r="E2877" s="218"/>
      <c r="F2877" s="528">
        <v>611</v>
      </c>
      <c r="G2877" s="526" t="s">
        <v>3868</v>
      </c>
      <c r="H2877" s="594"/>
      <c r="I2877" s="595"/>
      <c r="J2877" s="595">
        <f t="shared" si="90"/>
        <v>0</v>
      </c>
      <c r="K2877" s="533"/>
      <c r="L2877" s="533"/>
      <c r="M2877" s="533"/>
      <c r="N2877" s="268"/>
      <c r="O2877" s="533"/>
      <c r="P2877" s="533"/>
      <c r="Q2877" s="533"/>
      <c r="R2877" s="533"/>
      <c r="S2877" s="533"/>
      <c r="T2877" s="533"/>
      <c r="U2877" s="533"/>
      <c r="V2877" s="533"/>
      <c r="W2877" s="533"/>
      <c r="X2877" s="533"/>
      <c r="Y2877" s="533"/>
    </row>
    <row r="2878" spans="1:25" s="88" customFormat="1" ht="15.75" hidden="1" thickBot="1" x14ac:dyDescent="0.3">
      <c r="A2878" s="509"/>
      <c r="B2878" s="256"/>
      <c r="C2878" s="221"/>
      <c r="D2878" s="218"/>
      <c r="E2878" s="218"/>
      <c r="F2878" s="528">
        <v>620</v>
      </c>
      <c r="G2878" s="526" t="s">
        <v>88</v>
      </c>
      <c r="H2878" s="594"/>
      <c r="I2878" s="595"/>
      <c r="J2878" s="595">
        <f t="shared" si="90"/>
        <v>0</v>
      </c>
      <c r="K2878" s="533"/>
      <c r="L2878" s="533"/>
      <c r="M2878" s="533"/>
      <c r="N2878" s="268"/>
      <c r="O2878" s="533"/>
      <c r="P2878" s="533"/>
      <c r="Q2878" s="533"/>
      <c r="R2878" s="533"/>
      <c r="S2878" s="533"/>
      <c r="T2878" s="533"/>
      <c r="U2878" s="533"/>
      <c r="V2878" s="533"/>
      <c r="W2878" s="533"/>
      <c r="X2878" s="533"/>
      <c r="Y2878" s="533"/>
    </row>
    <row r="2879" spans="1:25" s="88" customFormat="1" x14ac:dyDescent="0.25">
      <c r="A2879" s="509"/>
      <c r="B2879" s="256"/>
      <c r="C2879" s="221"/>
      <c r="D2879" s="218"/>
      <c r="E2879" s="517"/>
      <c r="F2879" s="528"/>
      <c r="G2879" s="327" t="s">
        <v>4368</v>
      </c>
      <c r="H2879" s="596"/>
      <c r="I2879" s="622"/>
      <c r="J2879" s="597"/>
      <c r="K2879" s="533"/>
      <c r="L2879" s="533"/>
      <c r="M2879" s="533"/>
      <c r="N2879" s="268"/>
      <c r="O2879" s="533"/>
      <c r="P2879" s="533"/>
      <c r="Q2879" s="533"/>
      <c r="R2879" s="533"/>
      <c r="S2879" s="533"/>
      <c r="T2879" s="533"/>
      <c r="U2879" s="533"/>
      <c r="V2879" s="533"/>
      <c r="W2879" s="533"/>
      <c r="X2879" s="533"/>
      <c r="Y2879" s="533"/>
    </row>
    <row r="2880" spans="1:25" s="88" customFormat="1" ht="15.75" thickBot="1" x14ac:dyDescent="0.3">
      <c r="A2880" s="509"/>
      <c r="B2880" s="256"/>
      <c r="C2880" s="221"/>
      <c r="D2880" s="218"/>
      <c r="E2880" s="222"/>
      <c r="F2880" s="642" t="s">
        <v>234</v>
      </c>
      <c r="G2880" s="643" t="s">
        <v>235</v>
      </c>
      <c r="H2880" s="598">
        <f>SUM(H2819:H2878)</f>
        <v>11000000</v>
      </c>
      <c r="I2880" s="599"/>
      <c r="J2880" s="599">
        <f t="shared" ref="J2880:J2895" si="91">SUM(H2880:I2880)</f>
        <v>11000000</v>
      </c>
      <c r="K2880" s="533"/>
      <c r="L2880" s="533"/>
      <c r="M2880" s="533"/>
      <c r="N2880" s="268"/>
      <c r="O2880" s="533"/>
      <c r="P2880" s="533"/>
      <c r="Q2880" s="533"/>
      <c r="R2880" s="533"/>
      <c r="S2880" s="533"/>
      <c r="T2880" s="533"/>
      <c r="U2880" s="533"/>
      <c r="V2880" s="533"/>
      <c r="W2880" s="533"/>
      <c r="X2880" s="533"/>
      <c r="Y2880" s="533"/>
    </row>
    <row r="2881" spans="1:25" s="88" customFormat="1" hidden="1" x14ac:dyDescent="0.25">
      <c r="A2881" s="509"/>
      <c r="B2881" s="256"/>
      <c r="C2881" s="221"/>
      <c r="D2881" s="218"/>
      <c r="E2881" s="218"/>
      <c r="F2881" s="642" t="s">
        <v>236</v>
      </c>
      <c r="G2881" s="643" t="s">
        <v>237</v>
      </c>
      <c r="H2881" s="594"/>
      <c r="I2881" s="595"/>
      <c r="J2881" s="599">
        <f t="shared" si="91"/>
        <v>0</v>
      </c>
      <c r="K2881" s="533"/>
      <c r="L2881" s="533"/>
      <c r="M2881" s="533"/>
      <c r="N2881" s="268"/>
      <c r="O2881" s="533"/>
      <c r="P2881" s="533"/>
      <c r="Q2881" s="533"/>
      <c r="R2881" s="533"/>
      <c r="S2881" s="533"/>
      <c r="T2881" s="533"/>
      <c r="U2881" s="533"/>
      <c r="V2881" s="533"/>
      <c r="W2881" s="533"/>
      <c r="X2881" s="533"/>
      <c r="Y2881" s="533"/>
    </row>
    <row r="2882" spans="1:25" s="88" customFormat="1" hidden="1" x14ac:dyDescent="0.25">
      <c r="A2882" s="509"/>
      <c r="B2882" s="256"/>
      <c r="C2882" s="221"/>
      <c r="D2882" s="218"/>
      <c r="E2882" s="218"/>
      <c r="F2882" s="642" t="s">
        <v>238</v>
      </c>
      <c r="G2882" s="643" t="s">
        <v>239</v>
      </c>
      <c r="H2882" s="594"/>
      <c r="I2882" s="595"/>
      <c r="J2882" s="599">
        <f t="shared" si="91"/>
        <v>0</v>
      </c>
      <c r="K2882" s="533"/>
      <c r="L2882" s="533"/>
      <c r="M2882" s="533"/>
      <c r="N2882" s="268"/>
      <c r="O2882" s="533"/>
      <c r="P2882" s="533"/>
      <c r="Q2882" s="533"/>
      <c r="R2882" s="533"/>
      <c r="S2882" s="533"/>
      <c r="T2882" s="533"/>
      <c r="U2882" s="533"/>
      <c r="V2882" s="533"/>
      <c r="W2882" s="533"/>
      <c r="X2882" s="533"/>
      <c r="Y2882" s="533"/>
    </row>
    <row r="2883" spans="1:25" s="88" customFormat="1" hidden="1" x14ac:dyDescent="0.25">
      <c r="A2883" s="509"/>
      <c r="B2883" s="256"/>
      <c r="C2883" s="221"/>
      <c r="D2883" s="218"/>
      <c r="E2883" s="218"/>
      <c r="F2883" s="642" t="s">
        <v>240</v>
      </c>
      <c r="G2883" s="643" t="s">
        <v>241</v>
      </c>
      <c r="H2883" s="594"/>
      <c r="I2883" s="595"/>
      <c r="J2883" s="599">
        <f t="shared" si="91"/>
        <v>0</v>
      </c>
      <c r="K2883" s="533"/>
      <c r="L2883" s="533"/>
      <c r="M2883" s="533"/>
      <c r="N2883" s="268"/>
      <c r="O2883" s="533"/>
      <c r="P2883" s="533"/>
      <c r="Q2883" s="533"/>
      <c r="R2883" s="533"/>
      <c r="S2883" s="533"/>
      <c r="T2883" s="533"/>
      <c r="U2883" s="533"/>
      <c r="V2883" s="533"/>
      <c r="W2883" s="533"/>
      <c r="X2883" s="533"/>
      <c r="Y2883" s="533"/>
    </row>
    <row r="2884" spans="1:25" s="88" customFormat="1" hidden="1" x14ac:dyDescent="0.25">
      <c r="A2884" s="509"/>
      <c r="B2884" s="256"/>
      <c r="C2884" s="221"/>
      <c r="D2884" s="218"/>
      <c r="E2884" s="218"/>
      <c r="F2884" s="642" t="s">
        <v>242</v>
      </c>
      <c r="G2884" s="643" t="s">
        <v>243</v>
      </c>
      <c r="H2884" s="594"/>
      <c r="I2884" s="595"/>
      <c r="J2884" s="599">
        <f t="shared" si="91"/>
        <v>0</v>
      </c>
      <c r="K2884" s="533"/>
      <c r="L2884" s="533"/>
      <c r="M2884" s="533"/>
      <c r="N2884" s="268"/>
      <c r="O2884" s="533"/>
      <c r="P2884" s="533"/>
      <c r="Q2884" s="533"/>
      <c r="R2884" s="533"/>
      <c r="S2884" s="533"/>
      <c r="T2884" s="533"/>
      <c r="U2884" s="533"/>
      <c r="V2884" s="533"/>
      <c r="W2884" s="533"/>
      <c r="X2884" s="533"/>
      <c r="Y2884" s="533"/>
    </row>
    <row r="2885" spans="1:25" s="88" customFormat="1" hidden="1" x14ac:dyDescent="0.25">
      <c r="A2885" s="509"/>
      <c r="B2885" s="256"/>
      <c r="C2885" s="221"/>
      <c r="D2885" s="218"/>
      <c r="E2885" s="218"/>
      <c r="F2885" s="642" t="s">
        <v>244</v>
      </c>
      <c r="G2885" s="643" t="s">
        <v>245</v>
      </c>
      <c r="H2885" s="594"/>
      <c r="I2885" s="595"/>
      <c r="J2885" s="599">
        <f t="shared" si="91"/>
        <v>0</v>
      </c>
      <c r="K2885" s="533"/>
      <c r="L2885" s="533"/>
      <c r="M2885" s="533"/>
      <c r="N2885" s="268"/>
      <c r="O2885" s="533"/>
      <c r="P2885" s="533"/>
      <c r="Q2885" s="533"/>
      <c r="R2885" s="533"/>
      <c r="S2885" s="533"/>
      <c r="T2885" s="533"/>
      <c r="U2885" s="533"/>
      <c r="V2885" s="533"/>
      <c r="W2885" s="533"/>
      <c r="X2885" s="533"/>
      <c r="Y2885" s="533"/>
    </row>
    <row r="2886" spans="1:25" s="88" customFormat="1" hidden="1" x14ac:dyDescent="0.25">
      <c r="A2886" s="509"/>
      <c r="B2886" s="256"/>
      <c r="C2886" s="221"/>
      <c r="D2886" s="218"/>
      <c r="E2886" s="218"/>
      <c r="F2886" s="642" t="s">
        <v>246</v>
      </c>
      <c r="G2886" s="643" t="s">
        <v>247</v>
      </c>
      <c r="H2886" s="594"/>
      <c r="I2886" s="595"/>
      <c r="J2886" s="599">
        <f t="shared" si="91"/>
        <v>0</v>
      </c>
      <c r="K2886" s="533"/>
      <c r="L2886" s="533"/>
      <c r="M2886" s="533"/>
      <c r="N2886" s="268"/>
      <c r="O2886" s="533"/>
      <c r="P2886" s="533"/>
      <c r="Q2886" s="533"/>
      <c r="R2886" s="533"/>
      <c r="S2886" s="533"/>
      <c r="T2886" s="533"/>
      <c r="U2886" s="533"/>
      <c r="V2886" s="533"/>
      <c r="W2886" s="533"/>
      <c r="X2886" s="533"/>
      <c r="Y2886" s="533"/>
    </row>
    <row r="2887" spans="1:25" s="88" customFormat="1" hidden="1" x14ac:dyDescent="0.25">
      <c r="A2887" s="509"/>
      <c r="B2887" s="256"/>
      <c r="C2887" s="221"/>
      <c r="D2887" s="218"/>
      <c r="E2887" s="218"/>
      <c r="F2887" s="642" t="s">
        <v>248</v>
      </c>
      <c r="G2887" s="643" t="s">
        <v>249</v>
      </c>
      <c r="H2887" s="594"/>
      <c r="I2887" s="595"/>
      <c r="J2887" s="599">
        <f t="shared" si="91"/>
        <v>0</v>
      </c>
      <c r="K2887" s="533"/>
      <c r="L2887" s="533"/>
      <c r="M2887" s="533"/>
      <c r="N2887" s="268"/>
      <c r="O2887" s="533"/>
      <c r="P2887" s="533"/>
      <c r="Q2887" s="533"/>
      <c r="R2887" s="533"/>
      <c r="S2887" s="533"/>
      <c r="T2887" s="533"/>
      <c r="U2887" s="533"/>
      <c r="V2887" s="533"/>
      <c r="W2887" s="533"/>
      <c r="X2887" s="533"/>
      <c r="Y2887" s="533"/>
    </row>
    <row r="2888" spans="1:25" s="88" customFormat="1" hidden="1" x14ac:dyDescent="0.25">
      <c r="A2888" s="218"/>
      <c r="B2888" s="218"/>
      <c r="C2888" s="221"/>
      <c r="D2888" s="218"/>
      <c r="E2888" s="218"/>
      <c r="F2888" s="642" t="s">
        <v>250</v>
      </c>
      <c r="G2888" s="643" t="s">
        <v>57</v>
      </c>
      <c r="H2888" s="594"/>
      <c r="I2888" s="595"/>
      <c r="J2888" s="599">
        <f t="shared" si="91"/>
        <v>0</v>
      </c>
      <c r="K2888" s="533"/>
      <c r="L2888" s="533"/>
      <c r="M2888" s="533"/>
      <c r="N2888" s="268"/>
      <c r="O2888" s="533"/>
      <c r="P2888" s="533"/>
      <c r="Q2888" s="533"/>
      <c r="R2888" s="533"/>
      <c r="S2888" s="533"/>
      <c r="T2888" s="533"/>
      <c r="U2888" s="533"/>
      <c r="V2888" s="533"/>
      <c r="W2888" s="533"/>
      <c r="X2888" s="533"/>
      <c r="Y2888" s="533"/>
    </row>
    <row r="2889" spans="1:25" s="88" customFormat="1" hidden="1" x14ac:dyDescent="0.25">
      <c r="A2889" s="218"/>
      <c r="B2889" s="218"/>
      <c r="C2889" s="221"/>
      <c r="D2889" s="218"/>
      <c r="E2889" s="218"/>
      <c r="F2889" s="642" t="s">
        <v>251</v>
      </c>
      <c r="G2889" s="643" t="s">
        <v>252</v>
      </c>
      <c r="H2889" s="594"/>
      <c r="I2889" s="595"/>
      <c r="J2889" s="599">
        <f t="shared" si="91"/>
        <v>0</v>
      </c>
      <c r="K2889" s="533"/>
      <c r="L2889" s="533"/>
      <c r="M2889" s="533"/>
      <c r="N2889" s="268"/>
      <c r="O2889" s="533"/>
      <c r="P2889" s="533"/>
      <c r="Q2889" s="533"/>
      <c r="R2889" s="533"/>
      <c r="S2889" s="533"/>
      <c r="T2889" s="533"/>
      <c r="U2889" s="533"/>
      <c r="V2889" s="533"/>
      <c r="W2889" s="533"/>
      <c r="X2889" s="533"/>
      <c r="Y2889" s="533"/>
    </row>
    <row r="2890" spans="1:25" s="88" customFormat="1" hidden="1" x14ac:dyDescent="0.25">
      <c r="A2890" s="218"/>
      <c r="B2890" s="218"/>
      <c r="C2890" s="221"/>
      <c r="D2890" s="218"/>
      <c r="E2890" s="218"/>
      <c r="F2890" s="642" t="s">
        <v>253</v>
      </c>
      <c r="G2890" s="643" t="s">
        <v>254</v>
      </c>
      <c r="H2890" s="594"/>
      <c r="I2890" s="595"/>
      <c r="J2890" s="599">
        <f t="shared" si="91"/>
        <v>0</v>
      </c>
      <c r="K2890" s="533"/>
      <c r="L2890" s="533"/>
      <c r="M2890" s="533"/>
      <c r="N2890" s="268"/>
      <c r="O2890" s="533"/>
      <c r="P2890" s="533"/>
      <c r="Q2890" s="533"/>
      <c r="R2890" s="533"/>
      <c r="S2890" s="533"/>
      <c r="T2890" s="533"/>
      <c r="U2890" s="533"/>
      <c r="V2890" s="533"/>
      <c r="W2890" s="533"/>
      <c r="X2890" s="533"/>
      <c r="Y2890" s="533"/>
    </row>
    <row r="2891" spans="1:25" s="88" customFormat="1" ht="30" hidden="1" x14ac:dyDescent="0.25">
      <c r="A2891" s="218"/>
      <c r="B2891" s="218"/>
      <c r="C2891" s="221"/>
      <c r="D2891" s="218"/>
      <c r="E2891" s="218"/>
      <c r="F2891" s="642" t="s">
        <v>255</v>
      </c>
      <c r="G2891" s="643" t="s">
        <v>256</v>
      </c>
      <c r="H2891" s="594"/>
      <c r="I2891" s="595"/>
      <c r="J2891" s="599">
        <f t="shared" si="91"/>
        <v>0</v>
      </c>
      <c r="K2891" s="533"/>
      <c r="L2891" s="533"/>
      <c r="M2891" s="533"/>
      <c r="N2891" s="268"/>
      <c r="O2891" s="533"/>
      <c r="P2891" s="533"/>
      <c r="Q2891" s="533"/>
      <c r="R2891" s="533"/>
      <c r="S2891" s="533"/>
      <c r="T2891" s="533"/>
      <c r="U2891" s="533"/>
      <c r="V2891" s="533"/>
      <c r="W2891" s="533"/>
      <c r="X2891" s="533"/>
      <c r="Y2891" s="533"/>
    </row>
    <row r="2892" spans="1:25" s="88" customFormat="1" hidden="1" x14ac:dyDescent="0.25">
      <c r="A2892" s="218"/>
      <c r="B2892" s="218"/>
      <c r="C2892" s="221"/>
      <c r="D2892" s="218"/>
      <c r="E2892" s="218"/>
      <c r="F2892" s="642" t="s">
        <v>257</v>
      </c>
      <c r="G2892" s="643" t="s">
        <v>258</v>
      </c>
      <c r="H2892" s="594"/>
      <c r="I2892" s="595"/>
      <c r="J2892" s="599">
        <f t="shared" si="91"/>
        <v>0</v>
      </c>
      <c r="K2892" s="533"/>
      <c r="L2892" s="533"/>
      <c r="M2892" s="533"/>
      <c r="N2892" s="268"/>
      <c r="O2892" s="533"/>
      <c r="P2892" s="533"/>
      <c r="Q2892" s="533"/>
      <c r="R2892" s="533"/>
      <c r="S2892" s="533"/>
      <c r="T2892" s="533"/>
      <c r="U2892" s="533"/>
      <c r="V2892" s="533"/>
      <c r="W2892" s="533"/>
      <c r="X2892" s="533"/>
      <c r="Y2892" s="533"/>
    </row>
    <row r="2893" spans="1:25" s="88" customFormat="1" ht="30" hidden="1" x14ac:dyDescent="0.25">
      <c r="A2893" s="218"/>
      <c r="B2893" s="218"/>
      <c r="C2893" s="221"/>
      <c r="D2893" s="218"/>
      <c r="E2893" s="218"/>
      <c r="F2893" s="642" t="s">
        <v>259</v>
      </c>
      <c r="G2893" s="643" t="s">
        <v>260</v>
      </c>
      <c r="H2893" s="594"/>
      <c r="I2893" s="595"/>
      <c r="J2893" s="599">
        <f t="shared" si="91"/>
        <v>0</v>
      </c>
      <c r="K2893" s="533"/>
      <c r="L2893" s="533"/>
      <c r="M2893" s="533"/>
      <c r="N2893" s="268"/>
      <c r="O2893" s="533"/>
      <c r="P2893" s="533"/>
      <c r="Q2893" s="533"/>
      <c r="R2893" s="533"/>
      <c r="S2893" s="533"/>
      <c r="T2893" s="533"/>
      <c r="U2893" s="533"/>
      <c r="V2893" s="533"/>
      <c r="W2893" s="533"/>
      <c r="X2893" s="533"/>
      <c r="Y2893" s="533"/>
    </row>
    <row r="2894" spans="1:25" s="88" customFormat="1" hidden="1" x14ac:dyDescent="0.25">
      <c r="A2894" s="218"/>
      <c r="B2894" s="218"/>
      <c r="C2894" s="221"/>
      <c r="D2894" s="218"/>
      <c r="E2894" s="218"/>
      <c r="F2894" s="642" t="s">
        <v>261</v>
      </c>
      <c r="G2894" s="643" t="s">
        <v>262</v>
      </c>
      <c r="H2894" s="594"/>
      <c r="I2894" s="595"/>
      <c r="J2894" s="599">
        <f t="shared" si="91"/>
        <v>0</v>
      </c>
      <c r="K2894" s="533"/>
      <c r="L2894" s="533"/>
      <c r="M2894" s="533"/>
      <c r="N2894" s="268"/>
      <c r="O2894" s="533"/>
      <c r="P2894" s="533"/>
      <c r="Q2894" s="533"/>
      <c r="R2894" s="533"/>
      <c r="S2894" s="533"/>
      <c r="T2894" s="533"/>
      <c r="U2894" s="533"/>
      <c r="V2894" s="533"/>
      <c r="W2894" s="533"/>
      <c r="X2894" s="533"/>
      <c r="Y2894" s="533"/>
    </row>
    <row r="2895" spans="1:25" s="88" customFormat="1" ht="15.75" hidden="1" thickBot="1" x14ac:dyDescent="0.3">
      <c r="A2895" s="218"/>
      <c r="B2895" s="218"/>
      <c r="C2895" s="221"/>
      <c r="D2895" s="218"/>
      <c r="E2895" s="218"/>
      <c r="F2895" s="642" t="s">
        <v>263</v>
      </c>
      <c r="G2895" s="643" t="s">
        <v>264</v>
      </c>
      <c r="H2895" s="598"/>
      <c r="I2895" s="599"/>
      <c r="J2895" s="599">
        <f t="shared" si="91"/>
        <v>0</v>
      </c>
      <c r="K2895" s="533"/>
      <c r="L2895" s="533"/>
      <c r="M2895" s="533"/>
      <c r="N2895" s="268"/>
      <c r="O2895" s="533"/>
      <c r="P2895" s="533"/>
      <c r="Q2895" s="533"/>
      <c r="R2895" s="533"/>
      <c r="S2895" s="533"/>
      <c r="T2895" s="533"/>
      <c r="U2895" s="533"/>
      <c r="V2895" s="533"/>
      <c r="W2895" s="533"/>
      <c r="X2895" s="533"/>
      <c r="Y2895" s="533"/>
    </row>
    <row r="2896" spans="1:25" s="88" customFormat="1" ht="15.75" thickBot="1" x14ac:dyDescent="0.3">
      <c r="A2896" s="218"/>
      <c r="B2896" s="218"/>
      <c r="C2896" s="221"/>
      <c r="D2896" s="218"/>
      <c r="E2896" s="218"/>
      <c r="F2896" s="218"/>
      <c r="G2896" s="229" t="s">
        <v>4369</v>
      </c>
      <c r="H2896" s="600">
        <f>SUM(H2880:H2895)</f>
        <v>11000000</v>
      </c>
      <c r="I2896" s="601">
        <f>SUM(I2881:I2895)</f>
        <v>0</v>
      </c>
      <c r="J2896" s="601">
        <f>SUM(J2880:J2895)</f>
        <v>11000000</v>
      </c>
      <c r="K2896" s="533"/>
      <c r="L2896" s="533"/>
      <c r="M2896" s="533"/>
      <c r="N2896" s="268"/>
      <c r="O2896" s="533"/>
      <c r="P2896" s="533"/>
      <c r="Q2896" s="533"/>
      <c r="R2896" s="533"/>
      <c r="S2896" s="533"/>
      <c r="T2896" s="533"/>
      <c r="U2896" s="533"/>
      <c r="V2896" s="533"/>
      <c r="W2896" s="533"/>
      <c r="X2896" s="533"/>
      <c r="Y2896" s="533"/>
    </row>
    <row r="2897" spans="1:25" s="88" customFormat="1" x14ac:dyDescent="0.25">
      <c r="A2897" s="218"/>
      <c r="B2897" s="218"/>
      <c r="C2897" s="221"/>
      <c r="D2897" s="218"/>
      <c r="E2897" s="218"/>
      <c r="F2897" s="218"/>
      <c r="G2897" s="286" t="s">
        <v>5250</v>
      </c>
      <c r="H2897" s="604"/>
      <c r="I2897" s="605"/>
      <c r="J2897" s="605"/>
      <c r="K2897" s="533"/>
      <c r="L2897" s="533"/>
      <c r="M2897" s="533"/>
      <c r="N2897" s="268"/>
      <c r="O2897" s="533"/>
      <c r="P2897" s="533"/>
      <c r="Q2897" s="533"/>
      <c r="R2897" s="533"/>
      <c r="S2897" s="533"/>
      <c r="T2897" s="533"/>
      <c r="U2897" s="533"/>
      <c r="V2897" s="533"/>
      <c r="W2897" s="533"/>
      <c r="X2897" s="533"/>
      <c r="Y2897" s="533"/>
    </row>
    <row r="2898" spans="1:25" s="88" customFormat="1" ht="15.75" thickBot="1" x14ac:dyDescent="0.3">
      <c r="A2898" s="218"/>
      <c r="B2898" s="218"/>
      <c r="C2898" s="221"/>
      <c r="D2898" s="218"/>
      <c r="E2898" s="218"/>
      <c r="F2898" s="218" t="s">
        <v>234</v>
      </c>
      <c r="G2898" s="723" t="s">
        <v>235</v>
      </c>
      <c r="H2898" s="725">
        <f>SUM(H2819:H2878)</f>
        <v>11000000</v>
      </c>
      <c r="I2898" s="726"/>
      <c r="J2898" s="729">
        <f t="shared" ref="J2898:J2913" si="92">SUM(H2898:I2898)</f>
        <v>11000000</v>
      </c>
      <c r="K2898" s="533"/>
      <c r="L2898" s="533"/>
      <c r="M2898" s="533"/>
      <c r="N2898" s="268"/>
      <c r="O2898" s="533"/>
      <c r="P2898" s="533"/>
      <c r="Q2898" s="533"/>
      <c r="R2898" s="533"/>
      <c r="S2898" s="533"/>
      <c r="T2898" s="533"/>
      <c r="U2898" s="533"/>
      <c r="V2898" s="533"/>
      <c r="W2898" s="533"/>
      <c r="X2898" s="533"/>
      <c r="Y2898" s="533"/>
    </row>
    <row r="2899" spans="1:25" s="88" customFormat="1" hidden="1" x14ac:dyDescent="0.25">
      <c r="A2899" s="218"/>
      <c r="B2899" s="218"/>
      <c r="C2899" s="221"/>
      <c r="D2899" s="218"/>
      <c r="E2899" s="218"/>
      <c r="F2899" s="218" t="s">
        <v>236</v>
      </c>
      <c r="G2899" s="286" t="s">
        <v>237</v>
      </c>
      <c r="H2899" s="604"/>
      <c r="I2899" s="605"/>
      <c r="J2899" s="605">
        <f t="shared" si="92"/>
        <v>0</v>
      </c>
      <c r="K2899" s="533"/>
      <c r="L2899" s="533"/>
      <c r="M2899" s="533"/>
      <c r="N2899" s="268"/>
      <c r="O2899" s="533"/>
      <c r="P2899" s="533"/>
      <c r="Q2899" s="533"/>
      <c r="R2899" s="533"/>
      <c r="S2899" s="533"/>
      <c r="T2899" s="533"/>
      <c r="U2899" s="533"/>
      <c r="V2899" s="533"/>
      <c r="W2899" s="533"/>
      <c r="X2899" s="533"/>
      <c r="Y2899" s="533"/>
    </row>
    <row r="2900" spans="1:25" s="88" customFormat="1" hidden="1" x14ac:dyDescent="0.25">
      <c r="A2900" s="218"/>
      <c r="B2900" s="218"/>
      <c r="C2900" s="221"/>
      <c r="D2900" s="218"/>
      <c r="E2900" s="218"/>
      <c r="F2900" s="218" t="s">
        <v>238</v>
      </c>
      <c r="G2900" s="286" t="s">
        <v>239</v>
      </c>
      <c r="H2900" s="604"/>
      <c r="I2900" s="605"/>
      <c r="J2900" s="605">
        <f t="shared" si="92"/>
        <v>0</v>
      </c>
      <c r="K2900" s="533"/>
      <c r="L2900" s="533"/>
      <c r="M2900" s="533"/>
      <c r="N2900" s="268"/>
      <c r="O2900" s="533"/>
      <c r="P2900" s="533"/>
      <c r="Q2900" s="533"/>
      <c r="R2900" s="533"/>
      <c r="S2900" s="533"/>
      <c r="T2900" s="533"/>
      <c r="U2900" s="533"/>
      <c r="V2900" s="533"/>
      <c r="W2900" s="533"/>
      <c r="X2900" s="533"/>
      <c r="Y2900" s="533"/>
    </row>
    <row r="2901" spans="1:25" s="88" customFormat="1" hidden="1" x14ac:dyDescent="0.25">
      <c r="A2901" s="218"/>
      <c r="B2901" s="218"/>
      <c r="C2901" s="221"/>
      <c r="D2901" s="218"/>
      <c r="E2901" s="218"/>
      <c r="F2901" s="218" t="s">
        <v>240</v>
      </c>
      <c r="G2901" s="286" t="s">
        <v>241</v>
      </c>
      <c r="H2901" s="604"/>
      <c r="I2901" s="605"/>
      <c r="J2901" s="605">
        <f t="shared" si="92"/>
        <v>0</v>
      </c>
      <c r="K2901" s="533"/>
      <c r="L2901" s="533"/>
      <c r="M2901" s="533"/>
      <c r="N2901" s="268"/>
      <c r="O2901" s="533"/>
      <c r="P2901" s="533"/>
      <c r="Q2901" s="533"/>
      <c r="R2901" s="533"/>
      <c r="S2901" s="533"/>
      <c r="T2901" s="533"/>
      <c r="U2901" s="533"/>
      <c r="V2901" s="533"/>
      <c r="W2901" s="533"/>
      <c r="X2901" s="533"/>
      <c r="Y2901" s="533"/>
    </row>
    <row r="2902" spans="1:25" s="88" customFormat="1" hidden="1" x14ac:dyDescent="0.25">
      <c r="A2902" s="218"/>
      <c r="B2902" s="218"/>
      <c r="C2902" s="221"/>
      <c r="D2902" s="218"/>
      <c r="E2902" s="218"/>
      <c r="F2902" s="218" t="s">
        <v>242</v>
      </c>
      <c r="G2902" s="286" t="s">
        <v>243</v>
      </c>
      <c r="H2902" s="604"/>
      <c r="I2902" s="605"/>
      <c r="J2902" s="605">
        <f t="shared" si="92"/>
        <v>0</v>
      </c>
      <c r="K2902" s="533"/>
      <c r="L2902" s="533"/>
      <c r="M2902" s="533"/>
      <c r="N2902" s="268"/>
      <c r="O2902" s="533"/>
      <c r="P2902" s="533"/>
      <c r="Q2902" s="533"/>
      <c r="R2902" s="533"/>
      <c r="S2902" s="533"/>
      <c r="T2902" s="533"/>
      <c r="U2902" s="533"/>
      <c r="V2902" s="533"/>
      <c r="W2902" s="533"/>
      <c r="X2902" s="533"/>
      <c r="Y2902" s="533"/>
    </row>
    <row r="2903" spans="1:25" s="88" customFormat="1" hidden="1" x14ac:dyDescent="0.25">
      <c r="A2903" s="218"/>
      <c r="B2903" s="218"/>
      <c r="C2903" s="221"/>
      <c r="D2903" s="218"/>
      <c r="E2903" s="218"/>
      <c r="F2903" s="218" t="s">
        <v>244</v>
      </c>
      <c r="G2903" s="286" t="s">
        <v>245</v>
      </c>
      <c r="H2903" s="604"/>
      <c r="I2903" s="605"/>
      <c r="J2903" s="605">
        <f t="shared" si="92"/>
        <v>0</v>
      </c>
      <c r="K2903" s="533"/>
      <c r="L2903" s="533"/>
      <c r="M2903" s="533"/>
      <c r="N2903" s="268"/>
      <c r="O2903" s="533"/>
      <c r="P2903" s="533"/>
      <c r="Q2903" s="533"/>
      <c r="R2903" s="533"/>
      <c r="S2903" s="533"/>
      <c r="T2903" s="533"/>
      <c r="U2903" s="533"/>
      <c r="V2903" s="533"/>
      <c r="W2903" s="533"/>
      <c r="X2903" s="533"/>
      <c r="Y2903" s="533"/>
    </row>
    <row r="2904" spans="1:25" s="88" customFormat="1" hidden="1" x14ac:dyDescent="0.25">
      <c r="A2904" s="218"/>
      <c r="B2904" s="218"/>
      <c r="C2904" s="221"/>
      <c r="D2904" s="218"/>
      <c r="E2904" s="218"/>
      <c r="F2904" s="218" t="s">
        <v>246</v>
      </c>
      <c r="G2904" s="286" t="s">
        <v>247</v>
      </c>
      <c r="H2904" s="604"/>
      <c r="I2904" s="605"/>
      <c r="J2904" s="605">
        <f t="shared" si="92"/>
        <v>0</v>
      </c>
      <c r="K2904" s="533"/>
      <c r="L2904" s="533"/>
      <c r="M2904" s="533"/>
      <c r="N2904" s="268"/>
      <c r="O2904" s="533"/>
      <c r="P2904" s="533"/>
      <c r="Q2904" s="533"/>
      <c r="R2904" s="533"/>
      <c r="S2904" s="533"/>
      <c r="T2904" s="533"/>
      <c r="U2904" s="533"/>
      <c r="V2904" s="533"/>
      <c r="W2904" s="533"/>
      <c r="X2904" s="533"/>
      <c r="Y2904" s="533"/>
    </row>
    <row r="2905" spans="1:25" s="88" customFormat="1" hidden="1" x14ac:dyDescent="0.25">
      <c r="A2905" s="218"/>
      <c r="B2905" s="218"/>
      <c r="C2905" s="221"/>
      <c r="D2905" s="218"/>
      <c r="E2905" s="218"/>
      <c r="F2905" s="218" t="s">
        <v>248</v>
      </c>
      <c r="G2905" s="286" t="s">
        <v>249</v>
      </c>
      <c r="H2905" s="604"/>
      <c r="I2905" s="605"/>
      <c r="J2905" s="605">
        <f t="shared" si="92"/>
        <v>0</v>
      </c>
      <c r="K2905" s="533"/>
      <c r="L2905" s="533"/>
      <c r="M2905" s="533"/>
      <c r="N2905" s="268"/>
      <c r="O2905" s="533"/>
      <c r="P2905" s="533"/>
      <c r="Q2905" s="533"/>
      <c r="R2905" s="533"/>
      <c r="S2905" s="533"/>
      <c r="T2905" s="533"/>
      <c r="U2905" s="533"/>
      <c r="V2905" s="533"/>
      <c r="W2905" s="533"/>
      <c r="X2905" s="533"/>
      <c r="Y2905" s="533"/>
    </row>
    <row r="2906" spans="1:25" s="88" customFormat="1" hidden="1" x14ac:dyDescent="0.25">
      <c r="A2906" s="218"/>
      <c r="B2906" s="218"/>
      <c r="C2906" s="221"/>
      <c r="D2906" s="218"/>
      <c r="E2906" s="218"/>
      <c r="F2906" s="218" t="s">
        <v>250</v>
      </c>
      <c r="G2906" s="286" t="s">
        <v>57</v>
      </c>
      <c r="H2906" s="604"/>
      <c r="I2906" s="605"/>
      <c r="J2906" s="605">
        <f t="shared" si="92"/>
        <v>0</v>
      </c>
      <c r="K2906" s="533"/>
      <c r="L2906" s="533"/>
      <c r="M2906" s="533"/>
      <c r="N2906" s="268"/>
      <c r="O2906" s="533"/>
      <c r="P2906" s="533"/>
      <c r="Q2906" s="533"/>
      <c r="R2906" s="533"/>
      <c r="S2906" s="533"/>
      <c r="T2906" s="533"/>
      <c r="U2906" s="533"/>
      <c r="V2906" s="533"/>
      <c r="W2906" s="533"/>
      <c r="X2906" s="533"/>
      <c r="Y2906" s="533"/>
    </row>
    <row r="2907" spans="1:25" s="88" customFormat="1" hidden="1" x14ac:dyDescent="0.25">
      <c r="A2907" s="218"/>
      <c r="B2907" s="218"/>
      <c r="C2907" s="221"/>
      <c r="D2907" s="218"/>
      <c r="E2907" s="218"/>
      <c r="F2907" s="218" t="s">
        <v>251</v>
      </c>
      <c r="G2907" s="286" t="s">
        <v>252</v>
      </c>
      <c r="H2907" s="604"/>
      <c r="I2907" s="605"/>
      <c r="J2907" s="605">
        <f t="shared" si="92"/>
        <v>0</v>
      </c>
      <c r="K2907" s="533"/>
      <c r="L2907" s="533"/>
      <c r="M2907" s="533"/>
      <c r="N2907" s="268"/>
      <c r="O2907" s="533"/>
      <c r="P2907" s="533"/>
      <c r="Q2907" s="533"/>
      <c r="R2907" s="533"/>
      <c r="S2907" s="533"/>
      <c r="T2907" s="533"/>
      <c r="U2907" s="533"/>
      <c r="V2907" s="533"/>
      <c r="W2907" s="533"/>
      <c r="X2907" s="533"/>
      <c r="Y2907" s="533"/>
    </row>
    <row r="2908" spans="1:25" s="88" customFormat="1" hidden="1" x14ac:dyDescent="0.25">
      <c r="A2908" s="218"/>
      <c r="B2908" s="218"/>
      <c r="C2908" s="221"/>
      <c r="D2908" s="218"/>
      <c r="E2908" s="218"/>
      <c r="F2908" s="218" t="s">
        <v>253</v>
      </c>
      <c r="G2908" s="286" t="s">
        <v>254</v>
      </c>
      <c r="H2908" s="604"/>
      <c r="I2908" s="605"/>
      <c r="J2908" s="605">
        <f t="shared" si="92"/>
        <v>0</v>
      </c>
      <c r="K2908" s="533"/>
      <c r="L2908" s="533"/>
      <c r="M2908" s="533"/>
      <c r="N2908" s="268"/>
      <c r="O2908" s="533"/>
      <c r="P2908" s="533"/>
      <c r="Q2908" s="533"/>
      <c r="R2908" s="533"/>
      <c r="S2908" s="533"/>
      <c r="T2908" s="533"/>
      <c r="U2908" s="533"/>
      <c r="V2908" s="533"/>
      <c r="W2908" s="533"/>
      <c r="X2908" s="533"/>
      <c r="Y2908" s="533"/>
    </row>
    <row r="2909" spans="1:25" s="88" customFormat="1" ht="28.5" hidden="1" x14ac:dyDescent="0.25">
      <c r="A2909" s="218"/>
      <c r="B2909" s="218"/>
      <c r="C2909" s="221"/>
      <c r="D2909" s="218"/>
      <c r="E2909" s="218"/>
      <c r="F2909" s="218" t="s">
        <v>255</v>
      </c>
      <c r="G2909" s="286" t="s">
        <v>256</v>
      </c>
      <c r="H2909" s="604"/>
      <c r="I2909" s="605"/>
      <c r="J2909" s="605">
        <f t="shared" si="92"/>
        <v>0</v>
      </c>
      <c r="K2909" s="533"/>
      <c r="L2909" s="533"/>
      <c r="M2909" s="533"/>
      <c r="N2909" s="268"/>
      <c r="O2909" s="533"/>
      <c r="P2909" s="533"/>
      <c r="Q2909" s="533"/>
      <c r="R2909" s="533"/>
      <c r="S2909" s="533"/>
      <c r="T2909" s="533"/>
      <c r="U2909" s="533"/>
      <c r="V2909" s="533"/>
      <c r="W2909" s="533"/>
      <c r="X2909" s="533"/>
      <c r="Y2909" s="533"/>
    </row>
    <row r="2910" spans="1:25" s="88" customFormat="1" hidden="1" x14ac:dyDescent="0.25">
      <c r="A2910" s="218"/>
      <c r="B2910" s="218"/>
      <c r="C2910" s="221"/>
      <c r="D2910" s="218"/>
      <c r="E2910" s="218"/>
      <c r="F2910" s="218" t="s">
        <v>257</v>
      </c>
      <c r="G2910" s="286" t="s">
        <v>258</v>
      </c>
      <c r="H2910" s="604"/>
      <c r="I2910" s="605"/>
      <c r="J2910" s="605">
        <f t="shared" si="92"/>
        <v>0</v>
      </c>
      <c r="K2910" s="533"/>
      <c r="L2910" s="533"/>
      <c r="M2910" s="533"/>
      <c r="N2910" s="268"/>
      <c r="O2910" s="533"/>
      <c r="P2910" s="533"/>
      <c r="Q2910" s="533"/>
      <c r="R2910" s="533"/>
      <c r="S2910" s="533"/>
      <c r="T2910" s="533"/>
      <c r="U2910" s="533"/>
      <c r="V2910" s="533"/>
      <c r="W2910" s="533"/>
      <c r="X2910" s="533"/>
      <c r="Y2910" s="533"/>
    </row>
    <row r="2911" spans="1:25" s="88" customFormat="1" ht="28.5" hidden="1" x14ac:dyDescent="0.25">
      <c r="A2911" s="218"/>
      <c r="B2911" s="218"/>
      <c r="C2911" s="221"/>
      <c r="D2911" s="218"/>
      <c r="E2911" s="218"/>
      <c r="F2911" s="218" t="s">
        <v>259</v>
      </c>
      <c r="G2911" s="286" t="s">
        <v>260</v>
      </c>
      <c r="H2911" s="604"/>
      <c r="I2911" s="605"/>
      <c r="J2911" s="605">
        <f t="shared" si="92"/>
        <v>0</v>
      </c>
      <c r="K2911" s="533"/>
      <c r="L2911" s="533"/>
      <c r="M2911" s="533"/>
      <c r="N2911" s="268"/>
      <c r="O2911" s="533"/>
      <c r="P2911" s="533"/>
      <c r="Q2911" s="533"/>
      <c r="R2911" s="533"/>
      <c r="S2911" s="533"/>
      <c r="T2911" s="533"/>
      <c r="U2911" s="533"/>
      <c r="V2911" s="533"/>
      <c r="W2911" s="533"/>
      <c r="X2911" s="533"/>
      <c r="Y2911" s="533"/>
    </row>
    <row r="2912" spans="1:25" s="88" customFormat="1" hidden="1" x14ac:dyDescent="0.25">
      <c r="A2912" s="218"/>
      <c r="B2912" s="218"/>
      <c r="C2912" s="221"/>
      <c r="D2912" s="218"/>
      <c r="E2912" s="218"/>
      <c r="F2912" s="218" t="s">
        <v>261</v>
      </c>
      <c r="G2912" s="286" t="s">
        <v>262</v>
      </c>
      <c r="H2912" s="604"/>
      <c r="I2912" s="605"/>
      <c r="J2912" s="605">
        <f t="shared" si="92"/>
        <v>0</v>
      </c>
      <c r="K2912" s="533"/>
      <c r="L2912" s="533"/>
      <c r="M2912" s="533"/>
      <c r="N2912" s="268"/>
      <c r="O2912" s="533"/>
      <c r="P2912" s="533"/>
      <c r="Q2912" s="533"/>
      <c r="R2912" s="533"/>
      <c r="S2912" s="533"/>
      <c r="T2912" s="533"/>
      <c r="U2912" s="533"/>
      <c r="V2912" s="533"/>
      <c r="W2912" s="533"/>
      <c r="X2912" s="533"/>
      <c r="Y2912" s="533"/>
    </row>
    <row r="2913" spans="1:25" s="88" customFormat="1" hidden="1" x14ac:dyDescent="0.25">
      <c r="A2913" s="218"/>
      <c r="B2913" s="218"/>
      <c r="C2913" s="221"/>
      <c r="D2913" s="218"/>
      <c r="E2913" s="218"/>
      <c r="F2913" s="218" t="s">
        <v>263</v>
      </c>
      <c r="G2913" s="286" t="s">
        <v>264</v>
      </c>
      <c r="H2913" s="604"/>
      <c r="I2913" s="605"/>
      <c r="J2913" s="605">
        <f t="shared" si="92"/>
        <v>0</v>
      </c>
      <c r="K2913" s="533"/>
      <c r="L2913" s="533"/>
      <c r="M2913" s="533"/>
      <c r="N2913" s="268"/>
      <c r="O2913" s="533"/>
      <c r="P2913" s="533"/>
      <c r="Q2913" s="533"/>
      <c r="R2913" s="533"/>
      <c r="S2913" s="533"/>
      <c r="T2913" s="533"/>
      <c r="U2913" s="533"/>
      <c r="V2913" s="533"/>
      <c r="W2913" s="533"/>
      <c r="X2913" s="533"/>
      <c r="Y2913" s="533"/>
    </row>
    <row r="2914" spans="1:25" s="88" customFormat="1" ht="15.75" thickBot="1" x14ac:dyDescent="0.3">
      <c r="A2914" s="218"/>
      <c r="B2914" s="218"/>
      <c r="C2914" s="221"/>
      <c r="D2914" s="218"/>
      <c r="E2914" s="218"/>
      <c r="F2914" s="218"/>
      <c r="G2914" s="727" t="s">
        <v>5251</v>
      </c>
      <c r="H2914" s="728">
        <f>SUM(H2898:H2913)</f>
        <v>11000000</v>
      </c>
      <c r="I2914" s="726">
        <f>SUM(I2899:I2913)</f>
        <v>0</v>
      </c>
      <c r="J2914" s="726">
        <f>SUM(J2898:J2913)</f>
        <v>11000000</v>
      </c>
      <c r="K2914" s="533"/>
      <c r="L2914" s="533"/>
      <c r="M2914" s="533"/>
      <c r="N2914" s="268"/>
      <c r="O2914" s="533"/>
      <c r="P2914" s="533"/>
      <c r="Q2914" s="533"/>
      <c r="R2914" s="533"/>
      <c r="S2914" s="533"/>
      <c r="T2914" s="533"/>
      <c r="U2914" s="533"/>
      <c r="V2914" s="533"/>
      <c r="W2914" s="533"/>
      <c r="X2914" s="533"/>
      <c r="Y2914" s="533"/>
    </row>
    <row r="2915" spans="1:25" s="88" customFormat="1" x14ac:dyDescent="0.25">
      <c r="A2915" s="509"/>
      <c r="B2915" s="256"/>
      <c r="C2915" s="221"/>
      <c r="D2915" s="218"/>
      <c r="E2915" s="218"/>
      <c r="F2915" s="218"/>
      <c r="G2915" s="286"/>
      <c r="H2915" s="604"/>
      <c r="I2915" s="605"/>
      <c r="J2915" s="605"/>
      <c r="K2915" s="533"/>
      <c r="L2915" s="533"/>
      <c r="M2915" s="533"/>
      <c r="N2915" s="268"/>
      <c r="O2915" s="533"/>
      <c r="P2915" s="533"/>
      <c r="Q2915" s="533"/>
      <c r="R2915" s="533"/>
      <c r="S2915" s="533"/>
      <c r="T2915" s="533"/>
      <c r="U2915" s="533"/>
      <c r="V2915" s="533"/>
      <c r="W2915" s="533"/>
      <c r="X2915" s="533"/>
      <c r="Y2915" s="533"/>
    </row>
    <row r="2916" spans="1:25" s="88" customFormat="1" x14ac:dyDescent="0.25">
      <c r="A2916" s="509"/>
      <c r="B2916" s="256"/>
      <c r="C2916" s="323" t="s">
        <v>4666</v>
      </c>
      <c r="D2916" s="285"/>
      <c r="E2916" s="285"/>
      <c r="F2916" s="222"/>
      <c r="G2916" s="286" t="s">
        <v>5252</v>
      </c>
      <c r="H2916" s="594"/>
      <c r="I2916" s="595"/>
      <c r="J2916" s="595"/>
      <c r="K2916" s="533"/>
      <c r="L2916" s="533"/>
      <c r="M2916" s="533"/>
      <c r="N2916" s="268"/>
      <c r="O2916" s="533"/>
      <c r="P2916" s="533"/>
      <c r="Q2916" s="533"/>
      <c r="R2916" s="533"/>
      <c r="S2916" s="533"/>
      <c r="T2916" s="533"/>
      <c r="U2916" s="533"/>
      <c r="V2916" s="533"/>
      <c r="W2916" s="533"/>
      <c r="X2916" s="533"/>
      <c r="Y2916" s="533"/>
    </row>
    <row r="2917" spans="1:25" s="88" customFormat="1" x14ac:dyDescent="0.25">
      <c r="A2917" s="509"/>
      <c r="B2917" s="256"/>
      <c r="C2917" s="228"/>
      <c r="D2917" s="312">
        <v>620</v>
      </c>
      <c r="E2917" s="312"/>
      <c r="F2917" s="312"/>
      <c r="G2917" s="314" t="s">
        <v>182</v>
      </c>
      <c r="H2917" s="594"/>
      <c r="I2917" s="595"/>
      <c r="J2917" s="595"/>
      <c r="K2917" s="533"/>
      <c r="L2917" s="533"/>
      <c r="M2917" s="533"/>
      <c r="N2917" s="268"/>
      <c r="O2917" s="533"/>
      <c r="P2917" s="533"/>
      <c r="Q2917" s="533"/>
      <c r="R2917" s="533"/>
      <c r="S2917" s="533"/>
      <c r="T2917" s="533"/>
      <c r="U2917" s="533"/>
      <c r="V2917" s="533"/>
      <c r="W2917" s="533"/>
      <c r="X2917" s="533"/>
      <c r="Y2917" s="533"/>
    </row>
    <row r="2918" spans="1:25" s="88" customFormat="1" hidden="1" x14ac:dyDescent="0.25">
      <c r="A2918" s="509"/>
      <c r="B2918" s="256"/>
      <c r="C2918" s="221"/>
      <c r="D2918" s="218"/>
      <c r="E2918" s="218"/>
      <c r="F2918" s="527">
        <v>411</v>
      </c>
      <c r="G2918" s="520" t="s">
        <v>4189</v>
      </c>
      <c r="H2918" s="594"/>
      <c r="I2918" s="595"/>
      <c r="J2918" s="595">
        <f>SUM(H2918:I2918)</f>
        <v>0</v>
      </c>
      <c r="K2918" s="533"/>
      <c r="L2918" s="533"/>
      <c r="M2918" s="533"/>
      <c r="N2918" s="268"/>
      <c r="O2918" s="533"/>
      <c r="P2918" s="533"/>
      <c r="Q2918" s="533"/>
      <c r="R2918" s="533"/>
      <c r="S2918" s="533"/>
      <c r="T2918" s="533"/>
      <c r="U2918" s="533"/>
      <c r="V2918" s="533"/>
      <c r="W2918" s="533"/>
      <c r="X2918" s="533"/>
      <c r="Y2918" s="533"/>
    </row>
    <row r="2919" spans="1:25" s="88" customFormat="1" hidden="1" x14ac:dyDescent="0.25">
      <c r="A2919" s="509"/>
      <c r="B2919" s="256"/>
      <c r="C2919" s="221"/>
      <c r="D2919" s="218"/>
      <c r="E2919" s="218"/>
      <c r="F2919" s="527">
        <v>412</v>
      </c>
      <c r="G2919" s="516" t="s">
        <v>3784</v>
      </c>
      <c r="H2919" s="594"/>
      <c r="I2919" s="595"/>
      <c r="J2919" s="595">
        <f t="shared" ref="J2919:J2977" si="93">SUM(H2919:I2919)</f>
        <v>0</v>
      </c>
      <c r="K2919" s="533"/>
      <c r="L2919" s="533"/>
      <c r="M2919" s="533"/>
      <c r="N2919" s="268"/>
      <c r="O2919" s="533"/>
      <c r="P2919" s="533"/>
      <c r="Q2919" s="533"/>
      <c r="R2919" s="533"/>
      <c r="S2919" s="533"/>
      <c r="T2919" s="533"/>
      <c r="U2919" s="533"/>
      <c r="V2919" s="533"/>
      <c r="W2919" s="533"/>
      <c r="X2919" s="533"/>
      <c r="Y2919" s="533"/>
    </row>
    <row r="2920" spans="1:25" s="88" customFormat="1" hidden="1" x14ac:dyDescent="0.25">
      <c r="A2920" s="509"/>
      <c r="B2920" s="256"/>
      <c r="C2920" s="221"/>
      <c r="D2920" s="218"/>
      <c r="E2920" s="218"/>
      <c r="F2920" s="527">
        <v>413</v>
      </c>
      <c r="G2920" s="520" t="s">
        <v>4190</v>
      </c>
      <c r="H2920" s="594"/>
      <c r="I2920" s="595"/>
      <c r="J2920" s="595">
        <f t="shared" si="93"/>
        <v>0</v>
      </c>
      <c r="K2920" s="533"/>
      <c r="L2920" s="533"/>
      <c r="M2920" s="533"/>
      <c r="N2920" s="268"/>
      <c r="O2920" s="533"/>
      <c r="P2920" s="533"/>
      <c r="Q2920" s="533"/>
      <c r="R2920" s="533"/>
      <c r="S2920" s="533"/>
      <c r="T2920" s="533"/>
      <c r="U2920" s="533"/>
      <c r="V2920" s="533"/>
      <c r="W2920" s="533"/>
      <c r="X2920" s="533"/>
      <c r="Y2920" s="533"/>
    </row>
    <row r="2921" spans="1:25" s="88" customFormat="1" hidden="1" x14ac:dyDescent="0.25">
      <c r="A2921" s="509"/>
      <c r="B2921" s="256"/>
      <c r="C2921" s="221"/>
      <c r="D2921" s="218"/>
      <c r="E2921" s="218"/>
      <c r="F2921" s="527">
        <v>414</v>
      </c>
      <c r="G2921" s="520" t="s">
        <v>3787</v>
      </c>
      <c r="H2921" s="594"/>
      <c r="I2921" s="595"/>
      <c r="J2921" s="595">
        <f t="shared" si="93"/>
        <v>0</v>
      </c>
      <c r="K2921" s="533"/>
      <c r="L2921" s="533"/>
      <c r="M2921" s="533"/>
      <c r="N2921" s="268"/>
      <c r="O2921" s="533"/>
      <c r="P2921" s="533"/>
      <c r="Q2921" s="533"/>
      <c r="R2921" s="533"/>
      <c r="S2921" s="533"/>
      <c r="T2921" s="533"/>
      <c r="U2921" s="533"/>
      <c r="V2921" s="533"/>
      <c r="W2921" s="533"/>
      <c r="X2921" s="533"/>
      <c r="Y2921" s="533"/>
    </row>
    <row r="2922" spans="1:25" s="88" customFormat="1" hidden="1" x14ac:dyDescent="0.25">
      <c r="A2922" s="509"/>
      <c r="B2922" s="256"/>
      <c r="C2922" s="221"/>
      <c r="D2922" s="218"/>
      <c r="E2922" s="218"/>
      <c r="F2922" s="527">
        <v>415</v>
      </c>
      <c r="G2922" s="520" t="s">
        <v>4199</v>
      </c>
      <c r="H2922" s="594"/>
      <c r="I2922" s="595"/>
      <c r="J2922" s="595">
        <f t="shared" si="93"/>
        <v>0</v>
      </c>
      <c r="K2922" s="533"/>
      <c r="L2922" s="533"/>
      <c r="M2922" s="533"/>
      <c r="N2922" s="268"/>
      <c r="O2922" s="533"/>
      <c r="P2922" s="533"/>
      <c r="Q2922" s="533"/>
      <c r="R2922" s="533"/>
      <c r="S2922" s="533"/>
      <c r="T2922" s="533"/>
      <c r="U2922" s="533"/>
      <c r="V2922" s="533"/>
      <c r="W2922" s="533"/>
      <c r="X2922" s="533"/>
      <c r="Y2922" s="533"/>
    </row>
    <row r="2923" spans="1:25" s="88" customFormat="1" hidden="1" x14ac:dyDescent="0.25">
      <c r="A2923" s="509"/>
      <c r="B2923" s="256"/>
      <c r="C2923" s="221"/>
      <c r="D2923" s="218"/>
      <c r="E2923" s="218"/>
      <c r="F2923" s="527">
        <v>416</v>
      </c>
      <c r="G2923" s="520" t="s">
        <v>4200</v>
      </c>
      <c r="H2923" s="594"/>
      <c r="I2923" s="595"/>
      <c r="J2923" s="595">
        <f t="shared" si="93"/>
        <v>0</v>
      </c>
      <c r="K2923" s="533"/>
      <c r="L2923" s="533"/>
      <c r="M2923" s="533"/>
      <c r="N2923" s="268"/>
      <c r="O2923" s="533"/>
      <c r="P2923" s="533"/>
      <c r="Q2923" s="533"/>
      <c r="R2923" s="533"/>
      <c r="S2923" s="533"/>
      <c r="T2923" s="533"/>
      <c r="U2923" s="533"/>
      <c r="V2923" s="533"/>
      <c r="W2923" s="533"/>
      <c r="X2923" s="533"/>
      <c r="Y2923" s="533"/>
    </row>
    <row r="2924" spans="1:25" s="88" customFormat="1" hidden="1" x14ac:dyDescent="0.25">
      <c r="A2924" s="509"/>
      <c r="B2924" s="256"/>
      <c r="C2924" s="221"/>
      <c r="D2924" s="218"/>
      <c r="E2924" s="218"/>
      <c r="F2924" s="527">
        <v>417</v>
      </c>
      <c r="G2924" s="520" t="s">
        <v>4201</v>
      </c>
      <c r="H2924" s="594"/>
      <c r="I2924" s="595"/>
      <c r="J2924" s="595">
        <f t="shared" si="93"/>
        <v>0</v>
      </c>
      <c r="K2924" s="533"/>
      <c r="L2924" s="533"/>
      <c r="M2924" s="533"/>
      <c r="N2924" s="268"/>
      <c r="O2924" s="533"/>
      <c r="P2924" s="533"/>
      <c r="Q2924" s="533"/>
      <c r="R2924" s="533"/>
      <c r="S2924" s="533"/>
      <c r="T2924" s="533"/>
      <c r="U2924" s="533"/>
      <c r="V2924" s="533"/>
      <c r="W2924" s="533"/>
      <c r="X2924" s="533"/>
      <c r="Y2924" s="533"/>
    </row>
    <row r="2925" spans="1:25" s="88" customFormat="1" hidden="1" x14ac:dyDescent="0.25">
      <c r="A2925" s="509"/>
      <c r="B2925" s="256"/>
      <c r="C2925" s="221"/>
      <c r="D2925" s="218"/>
      <c r="E2925" s="218"/>
      <c r="F2925" s="527">
        <v>418</v>
      </c>
      <c r="G2925" s="520" t="s">
        <v>3793</v>
      </c>
      <c r="H2925" s="594"/>
      <c r="I2925" s="595"/>
      <c r="J2925" s="595">
        <f t="shared" si="93"/>
        <v>0</v>
      </c>
      <c r="K2925" s="533"/>
      <c r="L2925" s="533"/>
      <c r="M2925" s="533"/>
      <c r="N2925" s="268"/>
      <c r="O2925" s="533"/>
      <c r="P2925" s="533"/>
      <c r="Q2925" s="533"/>
      <c r="R2925" s="533"/>
      <c r="S2925" s="533"/>
      <c r="T2925" s="533"/>
      <c r="U2925" s="533"/>
      <c r="V2925" s="533"/>
      <c r="W2925" s="533"/>
      <c r="X2925" s="533"/>
      <c r="Y2925" s="533"/>
    </row>
    <row r="2926" spans="1:25" s="88" customFormat="1" hidden="1" x14ac:dyDescent="0.25">
      <c r="A2926" s="509"/>
      <c r="B2926" s="256"/>
      <c r="C2926" s="221"/>
      <c r="D2926" s="218"/>
      <c r="E2926" s="218"/>
      <c r="F2926" s="527">
        <v>421</v>
      </c>
      <c r="G2926" s="520" t="s">
        <v>3797</v>
      </c>
      <c r="H2926" s="594"/>
      <c r="I2926" s="595"/>
      <c r="J2926" s="595">
        <f t="shared" si="93"/>
        <v>0</v>
      </c>
      <c r="K2926" s="533"/>
      <c r="L2926" s="533"/>
      <c r="M2926" s="533"/>
      <c r="N2926" s="268"/>
      <c r="O2926" s="533"/>
      <c r="P2926" s="533"/>
      <c r="Q2926" s="533"/>
      <c r="R2926" s="533"/>
      <c r="S2926" s="533"/>
      <c r="T2926" s="533"/>
      <c r="U2926" s="533"/>
      <c r="V2926" s="533"/>
      <c r="W2926" s="533"/>
      <c r="X2926" s="533"/>
      <c r="Y2926" s="533"/>
    </row>
    <row r="2927" spans="1:25" s="88" customFormat="1" hidden="1" x14ac:dyDescent="0.25">
      <c r="A2927" s="509"/>
      <c r="B2927" s="256"/>
      <c r="C2927" s="221"/>
      <c r="D2927" s="218"/>
      <c r="E2927" s="218"/>
      <c r="F2927" s="527">
        <v>422</v>
      </c>
      <c r="G2927" s="520" t="s">
        <v>3798</v>
      </c>
      <c r="H2927" s="594"/>
      <c r="I2927" s="595"/>
      <c r="J2927" s="595">
        <f t="shared" si="93"/>
        <v>0</v>
      </c>
      <c r="K2927" s="533"/>
      <c r="L2927" s="533"/>
      <c r="M2927" s="533"/>
      <c r="N2927" s="268"/>
      <c r="O2927" s="533"/>
      <c r="P2927" s="533"/>
      <c r="Q2927" s="533"/>
      <c r="R2927" s="533"/>
      <c r="S2927" s="533"/>
      <c r="T2927" s="533"/>
      <c r="U2927" s="533"/>
      <c r="V2927" s="533"/>
      <c r="W2927" s="533"/>
      <c r="X2927" s="533"/>
      <c r="Y2927" s="533"/>
    </row>
    <row r="2928" spans="1:25" s="88" customFormat="1" hidden="1" x14ac:dyDescent="0.25">
      <c r="A2928" s="509"/>
      <c r="B2928" s="256"/>
      <c r="C2928" s="221"/>
      <c r="D2928" s="218"/>
      <c r="E2928" s="218"/>
      <c r="F2928" s="527">
        <v>423</v>
      </c>
      <c r="G2928" s="520" t="s">
        <v>3799</v>
      </c>
      <c r="H2928" s="594"/>
      <c r="I2928" s="595"/>
      <c r="J2928" s="595">
        <f t="shared" si="93"/>
        <v>0</v>
      </c>
      <c r="K2928" s="533"/>
      <c r="L2928" s="533"/>
      <c r="M2928" s="533"/>
      <c r="N2928" s="268"/>
      <c r="O2928" s="533"/>
      <c r="P2928" s="533"/>
      <c r="Q2928" s="533"/>
      <c r="R2928" s="533"/>
      <c r="S2928" s="533"/>
      <c r="T2928" s="533"/>
      <c r="U2928" s="533"/>
      <c r="V2928" s="533"/>
      <c r="W2928" s="533"/>
      <c r="X2928" s="533"/>
      <c r="Y2928" s="533"/>
    </row>
    <row r="2929" spans="1:25" s="88" customFormat="1" hidden="1" x14ac:dyDescent="0.25">
      <c r="A2929" s="509"/>
      <c r="B2929" s="256"/>
      <c r="C2929" s="221"/>
      <c r="D2929" s="218"/>
      <c r="E2929" s="218"/>
      <c r="F2929" s="527">
        <v>424</v>
      </c>
      <c r="G2929" s="520" t="s">
        <v>3801</v>
      </c>
      <c r="H2929" s="594"/>
      <c r="I2929" s="595"/>
      <c r="J2929" s="595">
        <f t="shared" si="93"/>
        <v>0</v>
      </c>
      <c r="K2929" s="533"/>
      <c r="L2929" s="533"/>
      <c r="M2929" s="533"/>
      <c r="N2929" s="268"/>
      <c r="O2929" s="533"/>
      <c r="P2929" s="533"/>
      <c r="Q2929" s="533"/>
      <c r="R2929" s="533"/>
      <c r="S2929" s="533"/>
      <c r="T2929" s="533"/>
      <c r="U2929" s="533"/>
      <c r="V2929" s="533"/>
      <c r="W2929" s="533"/>
      <c r="X2929" s="533"/>
      <c r="Y2929" s="533"/>
    </row>
    <row r="2930" spans="1:25" s="88" customFormat="1" hidden="1" x14ac:dyDescent="0.25">
      <c r="A2930" s="509"/>
      <c r="B2930" s="256"/>
      <c r="C2930" s="221"/>
      <c r="D2930" s="218"/>
      <c r="E2930" s="218"/>
      <c r="F2930" s="527">
        <v>425</v>
      </c>
      <c r="G2930" s="520" t="s">
        <v>4202</v>
      </c>
      <c r="H2930" s="594"/>
      <c r="I2930" s="595"/>
      <c r="J2930" s="595">
        <f t="shared" si="93"/>
        <v>0</v>
      </c>
      <c r="K2930" s="533"/>
      <c r="L2930" s="533"/>
      <c r="M2930" s="533"/>
      <c r="N2930" s="268"/>
      <c r="O2930" s="533"/>
      <c r="P2930" s="533"/>
      <c r="Q2930" s="533"/>
      <c r="R2930" s="533"/>
      <c r="S2930" s="533"/>
      <c r="T2930" s="533"/>
      <c r="U2930" s="533"/>
      <c r="V2930" s="533"/>
      <c r="W2930" s="533"/>
      <c r="X2930" s="533"/>
      <c r="Y2930" s="533"/>
    </row>
    <row r="2931" spans="1:25" s="88" customFormat="1" hidden="1" x14ac:dyDescent="0.25">
      <c r="A2931" s="509"/>
      <c r="B2931" s="256"/>
      <c r="C2931" s="221"/>
      <c r="D2931" s="218"/>
      <c r="E2931" s="218"/>
      <c r="F2931" s="527">
        <v>426</v>
      </c>
      <c r="G2931" s="520" t="s">
        <v>3805</v>
      </c>
      <c r="H2931" s="594"/>
      <c r="I2931" s="595"/>
      <c r="J2931" s="595">
        <f t="shared" si="93"/>
        <v>0</v>
      </c>
      <c r="K2931" s="533"/>
      <c r="L2931" s="533"/>
      <c r="M2931" s="533"/>
      <c r="N2931" s="268"/>
      <c r="O2931" s="533"/>
      <c r="P2931" s="533"/>
      <c r="Q2931" s="533"/>
      <c r="R2931" s="533"/>
      <c r="S2931" s="533"/>
      <c r="T2931" s="533"/>
      <c r="U2931" s="533"/>
      <c r="V2931" s="533"/>
      <c r="W2931" s="533"/>
      <c r="X2931" s="533"/>
      <c r="Y2931" s="533"/>
    </row>
    <row r="2932" spans="1:25" s="88" customFormat="1" hidden="1" x14ac:dyDescent="0.25">
      <c r="A2932" s="509"/>
      <c r="B2932" s="256"/>
      <c r="C2932" s="221"/>
      <c r="D2932" s="218"/>
      <c r="E2932" s="218"/>
      <c r="F2932" s="527">
        <v>431</v>
      </c>
      <c r="G2932" s="520" t="s">
        <v>4203</v>
      </c>
      <c r="H2932" s="594"/>
      <c r="I2932" s="595"/>
      <c r="J2932" s="595">
        <f t="shared" si="93"/>
        <v>0</v>
      </c>
      <c r="K2932" s="533"/>
      <c r="L2932" s="533"/>
      <c r="M2932" s="533"/>
      <c r="N2932" s="268"/>
      <c r="O2932" s="533"/>
      <c r="P2932" s="533"/>
      <c r="Q2932" s="533"/>
      <c r="R2932" s="533"/>
      <c r="S2932" s="533"/>
      <c r="T2932" s="533"/>
      <c r="U2932" s="533"/>
      <c r="V2932" s="533"/>
      <c r="W2932" s="533"/>
      <c r="X2932" s="533"/>
      <c r="Y2932" s="533"/>
    </row>
    <row r="2933" spans="1:25" s="88" customFormat="1" hidden="1" x14ac:dyDescent="0.25">
      <c r="A2933" s="509"/>
      <c r="B2933" s="256"/>
      <c r="C2933" s="221"/>
      <c r="D2933" s="218"/>
      <c r="E2933" s="218"/>
      <c r="F2933" s="527">
        <v>432</v>
      </c>
      <c r="G2933" s="520" t="s">
        <v>4204</v>
      </c>
      <c r="H2933" s="594"/>
      <c r="I2933" s="595"/>
      <c r="J2933" s="595">
        <f t="shared" si="93"/>
        <v>0</v>
      </c>
      <c r="K2933" s="533"/>
      <c r="L2933" s="533"/>
      <c r="M2933" s="533"/>
      <c r="N2933" s="268"/>
      <c r="O2933" s="533"/>
      <c r="P2933" s="533"/>
      <c r="Q2933" s="533"/>
      <c r="R2933" s="533"/>
      <c r="S2933" s="533"/>
      <c r="T2933" s="533"/>
      <c r="U2933" s="533"/>
      <c r="V2933" s="533"/>
      <c r="W2933" s="533"/>
      <c r="X2933" s="533"/>
      <c r="Y2933" s="533"/>
    </row>
    <row r="2934" spans="1:25" s="88" customFormat="1" hidden="1" x14ac:dyDescent="0.25">
      <c r="A2934" s="509"/>
      <c r="B2934" s="256"/>
      <c r="C2934" s="221"/>
      <c r="D2934" s="218"/>
      <c r="E2934" s="218"/>
      <c r="F2934" s="527">
        <v>433</v>
      </c>
      <c r="G2934" s="520" t="s">
        <v>4205</v>
      </c>
      <c r="H2934" s="594"/>
      <c r="I2934" s="595"/>
      <c r="J2934" s="595">
        <f t="shared" si="93"/>
        <v>0</v>
      </c>
      <c r="K2934" s="533"/>
      <c r="L2934" s="533"/>
      <c r="M2934" s="533"/>
      <c r="N2934" s="268"/>
      <c r="O2934" s="533"/>
      <c r="P2934" s="533"/>
      <c r="Q2934" s="533"/>
      <c r="R2934" s="533"/>
      <c r="S2934" s="533"/>
      <c r="T2934" s="533"/>
      <c r="U2934" s="533"/>
      <c r="V2934" s="533"/>
      <c r="W2934" s="533"/>
      <c r="X2934" s="533"/>
      <c r="Y2934" s="533"/>
    </row>
    <row r="2935" spans="1:25" s="88" customFormat="1" hidden="1" x14ac:dyDescent="0.25">
      <c r="A2935" s="509"/>
      <c r="B2935" s="256"/>
      <c r="C2935" s="221"/>
      <c r="D2935" s="218"/>
      <c r="E2935" s="218"/>
      <c r="F2935" s="527">
        <v>434</v>
      </c>
      <c r="G2935" s="520" t="s">
        <v>4206</v>
      </c>
      <c r="H2935" s="594"/>
      <c r="I2935" s="595"/>
      <c r="J2935" s="595">
        <f t="shared" si="93"/>
        <v>0</v>
      </c>
      <c r="K2935" s="533"/>
      <c r="L2935" s="533"/>
      <c r="M2935" s="533"/>
      <c r="N2935" s="268"/>
      <c r="O2935" s="533"/>
      <c r="P2935" s="533"/>
      <c r="Q2935" s="533"/>
      <c r="R2935" s="533"/>
      <c r="S2935" s="533"/>
      <c r="T2935" s="533"/>
      <c r="U2935" s="533"/>
      <c r="V2935" s="533"/>
      <c r="W2935" s="533"/>
      <c r="X2935" s="533"/>
      <c r="Y2935" s="533"/>
    </row>
    <row r="2936" spans="1:25" s="88" customFormat="1" hidden="1" x14ac:dyDescent="0.25">
      <c r="A2936" s="509"/>
      <c r="B2936" s="256"/>
      <c r="C2936" s="221"/>
      <c r="D2936" s="218"/>
      <c r="E2936" s="218"/>
      <c r="F2936" s="527">
        <v>435</v>
      </c>
      <c r="G2936" s="520" t="s">
        <v>3812</v>
      </c>
      <c r="H2936" s="594"/>
      <c r="I2936" s="595"/>
      <c r="J2936" s="595">
        <f t="shared" si="93"/>
        <v>0</v>
      </c>
      <c r="K2936" s="533"/>
      <c r="L2936" s="533"/>
      <c r="M2936" s="533"/>
      <c r="N2936" s="268"/>
      <c r="O2936" s="533"/>
      <c r="P2936" s="533"/>
      <c r="Q2936" s="533"/>
      <c r="R2936" s="533"/>
      <c r="S2936" s="533"/>
      <c r="T2936" s="533"/>
      <c r="U2936" s="533"/>
      <c r="V2936" s="533"/>
      <c r="W2936" s="533"/>
      <c r="X2936" s="533"/>
      <c r="Y2936" s="533"/>
    </row>
    <row r="2937" spans="1:25" s="88" customFormat="1" hidden="1" x14ac:dyDescent="0.25">
      <c r="A2937" s="509"/>
      <c r="B2937" s="256"/>
      <c r="C2937" s="221"/>
      <c r="D2937" s="218"/>
      <c r="E2937" s="218"/>
      <c r="F2937" s="527">
        <v>441</v>
      </c>
      <c r="G2937" s="520" t="s">
        <v>4207</v>
      </c>
      <c r="H2937" s="594"/>
      <c r="I2937" s="595"/>
      <c r="J2937" s="595">
        <f t="shared" si="93"/>
        <v>0</v>
      </c>
      <c r="K2937" s="533"/>
      <c r="L2937" s="533"/>
      <c r="M2937" s="533"/>
      <c r="N2937" s="268"/>
      <c r="O2937" s="533"/>
      <c r="P2937" s="533"/>
      <c r="Q2937" s="533"/>
      <c r="R2937" s="533"/>
      <c r="S2937" s="533"/>
      <c r="T2937" s="533"/>
      <c r="U2937" s="533"/>
      <c r="V2937" s="533"/>
      <c r="W2937" s="533"/>
      <c r="X2937" s="533"/>
      <c r="Y2937" s="533"/>
    </row>
    <row r="2938" spans="1:25" s="88" customFormat="1" hidden="1" x14ac:dyDescent="0.25">
      <c r="A2938" s="509"/>
      <c r="B2938" s="256"/>
      <c r="C2938" s="221"/>
      <c r="D2938" s="218"/>
      <c r="E2938" s="218"/>
      <c r="F2938" s="527">
        <v>442</v>
      </c>
      <c r="G2938" s="520" t="s">
        <v>4208</v>
      </c>
      <c r="H2938" s="594"/>
      <c r="I2938" s="595"/>
      <c r="J2938" s="595">
        <f t="shared" si="93"/>
        <v>0</v>
      </c>
      <c r="K2938" s="533"/>
      <c r="L2938" s="533"/>
      <c r="M2938" s="533"/>
      <c r="N2938" s="268"/>
      <c r="O2938" s="533"/>
      <c r="P2938" s="533"/>
      <c r="Q2938" s="533"/>
      <c r="R2938" s="533"/>
      <c r="S2938" s="533"/>
      <c r="T2938" s="533"/>
      <c r="U2938" s="533"/>
      <c r="V2938" s="533"/>
      <c r="W2938" s="533"/>
      <c r="X2938" s="533"/>
      <c r="Y2938" s="533"/>
    </row>
    <row r="2939" spans="1:25" s="88" customFormat="1" hidden="1" x14ac:dyDescent="0.25">
      <c r="A2939" s="509"/>
      <c r="B2939" s="256"/>
      <c r="C2939" s="221"/>
      <c r="D2939" s="218"/>
      <c r="E2939" s="218"/>
      <c r="F2939" s="527">
        <v>443</v>
      </c>
      <c r="G2939" s="520" t="s">
        <v>3817</v>
      </c>
      <c r="H2939" s="594"/>
      <c r="I2939" s="595"/>
      <c r="J2939" s="595">
        <f t="shared" si="93"/>
        <v>0</v>
      </c>
      <c r="K2939" s="533"/>
      <c r="L2939" s="533"/>
      <c r="M2939" s="533"/>
      <c r="N2939" s="268"/>
      <c r="O2939" s="533"/>
      <c r="P2939" s="533"/>
      <c r="Q2939" s="533"/>
      <c r="R2939" s="533"/>
      <c r="S2939" s="533"/>
      <c r="T2939" s="533"/>
      <c r="U2939" s="533"/>
      <c r="V2939" s="533"/>
      <c r="W2939" s="533"/>
      <c r="X2939" s="533"/>
      <c r="Y2939" s="533"/>
    </row>
    <row r="2940" spans="1:25" s="88" customFormat="1" hidden="1" x14ac:dyDescent="0.25">
      <c r="A2940" s="509"/>
      <c r="B2940" s="256"/>
      <c r="C2940" s="221"/>
      <c r="D2940" s="218"/>
      <c r="E2940" s="218"/>
      <c r="F2940" s="527">
        <v>444</v>
      </c>
      <c r="G2940" s="520" t="s">
        <v>3818</v>
      </c>
      <c r="H2940" s="594"/>
      <c r="I2940" s="595"/>
      <c r="J2940" s="595">
        <f t="shared" si="93"/>
        <v>0</v>
      </c>
      <c r="K2940" s="533"/>
      <c r="L2940" s="533"/>
      <c r="M2940" s="533"/>
      <c r="N2940" s="268"/>
      <c r="O2940" s="533"/>
      <c r="P2940" s="533"/>
      <c r="Q2940" s="533"/>
      <c r="R2940" s="533"/>
      <c r="S2940" s="533"/>
      <c r="T2940" s="533"/>
      <c r="U2940" s="533"/>
      <c r="V2940" s="533"/>
      <c r="W2940" s="533"/>
      <c r="X2940" s="533"/>
      <c r="Y2940" s="533"/>
    </row>
    <row r="2941" spans="1:25" s="88" customFormat="1" ht="30" hidden="1" x14ac:dyDescent="0.25">
      <c r="A2941" s="509"/>
      <c r="B2941" s="256"/>
      <c r="C2941" s="221"/>
      <c r="D2941" s="218"/>
      <c r="E2941" s="218"/>
      <c r="F2941" s="527">
        <v>4511</v>
      </c>
      <c r="G2941" s="223" t="s">
        <v>1692</v>
      </c>
      <c r="H2941" s="594"/>
      <c r="I2941" s="595"/>
      <c r="J2941" s="595">
        <f t="shared" si="93"/>
        <v>0</v>
      </c>
      <c r="K2941" s="533"/>
      <c r="L2941" s="533"/>
      <c r="M2941" s="533"/>
      <c r="N2941" s="268"/>
      <c r="O2941" s="533"/>
      <c r="P2941" s="533"/>
      <c r="Q2941" s="533"/>
      <c r="R2941" s="533"/>
      <c r="S2941" s="533"/>
      <c r="T2941" s="533"/>
      <c r="U2941" s="533"/>
      <c r="V2941" s="533"/>
      <c r="W2941" s="533"/>
      <c r="X2941" s="533"/>
      <c r="Y2941" s="533"/>
    </row>
    <row r="2942" spans="1:25" s="88" customFormat="1" ht="30" hidden="1" x14ac:dyDescent="0.25">
      <c r="A2942" s="509"/>
      <c r="B2942" s="256"/>
      <c r="C2942" s="221"/>
      <c r="D2942" s="218"/>
      <c r="E2942" s="218"/>
      <c r="F2942" s="527">
        <v>4512</v>
      </c>
      <c r="G2942" s="223" t="s">
        <v>1701</v>
      </c>
      <c r="H2942" s="594"/>
      <c r="I2942" s="595"/>
      <c r="J2942" s="595">
        <f t="shared" si="93"/>
        <v>0</v>
      </c>
      <c r="K2942" s="533"/>
      <c r="L2942" s="533"/>
      <c r="M2942" s="533"/>
      <c r="N2942" s="268"/>
      <c r="O2942" s="533"/>
      <c r="P2942" s="533"/>
      <c r="Q2942" s="533"/>
      <c r="R2942" s="533"/>
      <c r="S2942" s="533"/>
      <c r="T2942" s="533"/>
      <c r="U2942" s="533"/>
      <c r="V2942" s="533"/>
      <c r="W2942" s="533"/>
      <c r="X2942" s="533"/>
      <c r="Y2942" s="533"/>
    </row>
    <row r="2943" spans="1:25" s="88" customFormat="1" hidden="1" x14ac:dyDescent="0.25">
      <c r="A2943" s="509"/>
      <c r="B2943" s="256"/>
      <c r="C2943" s="221"/>
      <c r="D2943" s="218"/>
      <c r="E2943" s="218"/>
      <c r="F2943" s="527">
        <v>452</v>
      </c>
      <c r="G2943" s="520" t="s">
        <v>4209</v>
      </c>
      <c r="H2943" s="594"/>
      <c r="I2943" s="595"/>
      <c r="J2943" s="595">
        <f t="shared" si="93"/>
        <v>0</v>
      </c>
      <c r="K2943" s="533"/>
      <c r="L2943" s="533"/>
      <c r="M2943" s="533"/>
      <c r="N2943" s="268"/>
      <c r="O2943" s="533"/>
      <c r="P2943" s="533"/>
      <c r="Q2943" s="533"/>
      <c r="R2943" s="533"/>
      <c r="S2943" s="533"/>
      <c r="T2943" s="533"/>
      <c r="U2943" s="533"/>
      <c r="V2943" s="533"/>
      <c r="W2943" s="533"/>
      <c r="X2943" s="533"/>
      <c r="Y2943" s="533"/>
    </row>
    <row r="2944" spans="1:25" s="88" customFormat="1" hidden="1" x14ac:dyDescent="0.25">
      <c r="A2944" s="509"/>
      <c r="B2944" s="256"/>
      <c r="C2944" s="221"/>
      <c r="D2944" s="218"/>
      <c r="E2944" s="218"/>
      <c r="F2944" s="527">
        <v>453</v>
      </c>
      <c r="G2944" s="520" t="s">
        <v>4210</v>
      </c>
      <c r="H2944" s="594"/>
      <c r="I2944" s="595"/>
      <c r="J2944" s="595">
        <f t="shared" si="93"/>
        <v>0</v>
      </c>
      <c r="K2944" s="533"/>
      <c r="L2944" s="533"/>
      <c r="M2944" s="533"/>
      <c r="N2944" s="268"/>
      <c r="O2944" s="533"/>
      <c r="P2944" s="533"/>
      <c r="Q2944" s="533"/>
      <c r="R2944" s="533"/>
      <c r="S2944" s="533"/>
      <c r="T2944" s="533"/>
      <c r="U2944" s="533"/>
      <c r="V2944" s="533"/>
      <c r="W2944" s="533"/>
      <c r="X2944" s="533"/>
      <c r="Y2944" s="533"/>
    </row>
    <row r="2945" spans="1:25" s="88" customFormat="1" hidden="1" x14ac:dyDescent="0.25">
      <c r="A2945" s="509"/>
      <c r="B2945" s="256"/>
      <c r="C2945" s="221"/>
      <c r="D2945" s="218"/>
      <c r="E2945" s="218"/>
      <c r="F2945" s="527">
        <v>454</v>
      </c>
      <c r="G2945" s="520" t="s">
        <v>3823</v>
      </c>
      <c r="H2945" s="594"/>
      <c r="I2945" s="595"/>
      <c r="J2945" s="595">
        <f t="shared" si="93"/>
        <v>0</v>
      </c>
      <c r="K2945" s="533"/>
      <c r="L2945" s="533"/>
      <c r="M2945" s="533"/>
      <c r="N2945" s="268"/>
      <c r="O2945" s="533"/>
      <c r="P2945" s="533"/>
      <c r="Q2945" s="533"/>
      <c r="R2945" s="533"/>
      <c r="S2945" s="533"/>
      <c r="T2945" s="533"/>
      <c r="U2945" s="533"/>
      <c r="V2945" s="533"/>
      <c r="W2945" s="533"/>
      <c r="X2945" s="533"/>
      <c r="Y2945" s="533"/>
    </row>
    <row r="2946" spans="1:25" s="88" customFormat="1" hidden="1" x14ac:dyDescent="0.25">
      <c r="A2946" s="509"/>
      <c r="B2946" s="256"/>
      <c r="C2946" s="221"/>
      <c r="D2946" s="218"/>
      <c r="E2946" s="218"/>
      <c r="F2946" s="527">
        <v>461</v>
      </c>
      <c r="G2946" s="520" t="s">
        <v>4191</v>
      </c>
      <c r="H2946" s="594"/>
      <c r="I2946" s="595"/>
      <c r="J2946" s="595">
        <f t="shared" si="93"/>
        <v>0</v>
      </c>
      <c r="K2946" s="533"/>
      <c r="L2946" s="533"/>
      <c r="M2946" s="533"/>
      <c r="N2946" s="268"/>
      <c r="O2946" s="533"/>
      <c r="P2946" s="533"/>
      <c r="Q2946" s="533"/>
      <c r="R2946" s="533"/>
      <c r="S2946" s="533"/>
      <c r="T2946" s="533"/>
      <c r="U2946" s="533"/>
      <c r="V2946" s="533"/>
      <c r="W2946" s="533"/>
      <c r="X2946" s="533"/>
      <c r="Y2946" s="533"/>
    </row>
    <row r="2947" spans="1:25" s="88" customFormat="1" hidden="1" x14ac:dyDescent="0.25">
      <c r="A2947" s="509"/>
      <c r="B2947" s="256"/>
      <c r="C2947" s="221"/>
      <c r="D2947" s="218"/>
      <c r="E2947" s="218"/>
      <c r="F2947" s="527">
        <v>462</v>
      </c>
      <c r="G2947" s="520" t="s">
        <v>3826</v>
      </c>
      <c r="H2947" s="594"/>
      <c r="I2947" s="595"/>
      <c r="J2947" s="595">
        <f t="shared" si="93"/>
        <v>0</v>
      </c>
      <c r="K2947" s="533"/>
      <c r="L2947" s="533"/>
      <c r="M2947" s="533"/>
      <c r="N2947" s="268"/>
      <c r="O2947" s="533"/>
      <c r="P2947" s="533"/>
      <c r="Q2947" s="533"/>
      <c r="R2947" s="533"/>
      <c r="S2947" s="533"/>
      <c r="T2947" s="533"/>
      <c r="U2947" s="533"/>
      <c r="V2947" s="533"/>
      <c r="W2947" s="533"/>
      <c r="X2947" s="533"/>
      <c r="Y2947" s="533"/>
    </row>
    <row r="2948" spans="1:25" s="88" customFormat="1" hidden="1" x14ac:dyDescent="0.25">
      <c r="A2948" s="509"/>
      <c r="B2948" s="256"/>
      <c r="C2948" s="221"/>
      <c r="D2948" s="218"/>
      <c r="E2948" s="218"/>
      <c r="F2948" s="527">
        <v>4631</v>
      </c>
      <c r="G2948" s="520" t="s">
        <v>3827</v>
      </c>
      <c r="H2948" s="594"/>
      <c r="I2948" s="595"/>
      <c r="J2948" s="595">
        <f t="shared" si="93"/>
        <v>0</v>
      </c>
      <c r="K2948" s="533"/>
      <c r="L2948" s="533"/>
      <c r="M2948" s="533"/>
      <c r="N2948" s="268"/>
      <c r="O2948" s="533"/>
      <c r="P2948" s="533"/>
      <c r="Q2948" s="533"/>
      <c r="R2948" s="533"/>
      <c r="S2948" s="533"/>
      <c r="T2948" s="533"/>
      <c r="U2948" s="533"/>
      <c r="V2948" s="533"/>
      <c r="W2948" s="533"/>
      <c r="X2948" s="533"/>
      <c r="Y2948" s="533"/>
    </row>
    <row r="2949" spans="1:25" s="88" customFormat="1" hidden="1" x14ac:dyDescent="0.25">
      <c r="A2949" s="509"/>
      <c r="B2949" s="256"/>
      <c r="C2949" s="221"/>
      <c r="D2949" s="218"/>
      <c r="E2949" s="218"/>
      <c r="F2949" s="527">
        <v>4632</v>
      </c>
      <c r="G2949" s="520" t="s">
        <v>3828</v>
      </c>
      <c r="H2949" s="594"/>
      <c r="I2949" s="595"/>
      <c r="J2949" s="595">
        <f t="shared" si="93"/>
        <v>0</v>
      </c>
      <c r="K2949" s="533"/>
      <c r="L2949" s="533"/>
      <c r="M2949" s="533"/>
      <c r="N2949" s="268"/>
      <c r="O2949" s="533"/>
      <c r="P2949" s="533"/>
      <c r="Q2949" s="533"/>
      <c r="R2949" s="533"/>
      <c r="S2949" s="533"/>
      <c r="T2949" s="533"/>
      <c r="U2949" s="533"/>
      <c r="V2949" s="533"/>
      <c r="W2949" s="533"/>
      <c r="X2949" s="533"/>
      <c r="Y2949" s="533"/>
    </row>
    <row r="2950" spans="1:25" s="88" customFormat="1" hidden="1" x14ac:dyDescent="0.25">
      <c r="A2950" s="509"/>
      <c r="B2950" s="256"/>
      <c r="C2950" s="221"/>
      <c r="D2950" s="218"/>
      <c r="E2950" s="218"/>
      <c r="F2950" s="527">
        <v>464</v>
      </c>
      <c r="G2950" s="520" t="s">
        <v>3829</v>
      </c>
      <c r="H2950" s="594"/>
      <c r="I2950" s="595"/>
      <c r="J2950" s="595">
        <f t="shared" si="93"/>
        <v>0</v>
      </c>
      <c r="K2950" s="533"/>
      <c r="L2950" s="533"/>
      <c r="M2950" s="533"/>
      <c r="N2950" s="268"/>
      <c r="O2950" s="533"/>
      <c r="P2950" s="533"/>
      <c r="Q2950" s="533"/>
      <c r="R2950" s="533"/>
      <c r="S2950" s="533"/>
      <c r="T2950" s="533"/>
      <c r="U2950" s="533"/>
      <c r="V2950" s="533"/>
      <c r="W2950" s="533"/>
      <c r="X2950" s="533"/>
      <c r="Y2950" s="533"/>
    </row>
    <row r="2951" spans="1:25" s="88" customFormat="1" hidden="1" x14ac:dyDescent="0.25">
      <c r="A2951" s="509"/>
      <c r="B2951" s="256"/>
      <c r="C2951" s="221"/>
      <c r="D2951" s="218"/>
      <c r="E2951" s="218"/>
      <c r="F2951" s="527">
        <v>465</v>
      </c>
      <c r="G2951" s="520" t="s">
        <v>4192</v>
      </c>
      <c r="H2951" s="594"/>
      <c r="I2951" s="595"/>
      <c r="J2951" s="595">
        <f t="shared" si="93"/>
        <v>0</v>
      </c>
      <c r="K2951" s="533"/>
      <c r="L2951" s="533"/>
      <c r="M2951" s="533"/>
      <c r="N2951" s="268"/>
      <c r="O2951" s="533"/>
      <c r="P2951" s="533"/>
      <c r="Q2951" s="533"/>
      <c r="R2951" s="533"/>
      <c r="S2951" s="533"/>
      <c r="T2951" s="533"/>
      <c r="U2951" s="533"/>
      <c r="V2951" s="533"/>
      <c r="W2951" s="533"/>
      <c r="X2951" s="533"/>
      <c r="Y2951" s="533"/>
    </row>
    <row r="2952" spans="1:25" s="88" customFormat="1" hidden="1" x14ac:dyDescent="0.25">
      <c r="A2952" s="509"/>
      <c r="B2952" s="256"/>
      <c r="C2952" s="221"/>
      <c r="D2952" s="218"/>
      <c r="E2952" s="218"/>
      <c r="F2952" s="527">
        <v>472</v>
      </c>
      <c r="G2952" s="520" t="s">
        <v>3833</v>
      </c>
      <c r="H2952" s="594"/>
      <c r="I2952" s="595"/>
      <c r="J2952" s="595">
        <f t="shared" si="93"/>
        <v>0</v>
      </c>
      <c r="K2952" s="533"/>
      <c r="L2952" s="533"/>
      <c r="M2952" s="533"/>
      <c r="N2952" s="268"/>
      <c r="O2952" s="533"/>
      <c r="P2952" s="533"/>
      <c r="Q2952" s="533"/>
      <c r="R2952" s="533"/>
      <c r="S2952" s="533"/>
      <c r="T2952" s="533"/>
      <c r="U2952" s="533"/>
      <c r="V2952" s="533"/>
      <c r="W2952" s="533"/>
      <c r="X2952" s="533"/>
      <c r="Y2952" s="533"/>
    </row>
    <row r="2953" spans="1:25" s="88" customFormat="1" hidden="1" x14ac:dyDescent="0.25">
      <c r="A2953" s="509"/>
      <c r="B2953" s="256"/>
      <c r="C2953" s="221"/>
      <c r="D2953" s="218"/>
      <c r="E2953" s="218"/>
      <c r="F2953" s="527">
        <v>481</v>
      </c>
      <c r="G2953" s="520" t="s">
        <v>4211</v>
      </c>
      <c r="H2953" s="594"/>
      <c r="I2953" s="595"/>
      <c r="J2953" s="595">
        <f t="shared" si="93"/>
        <v>0</v>
      </c>
      <c r="K2953" s="533"/>
      <c r="L2953" s="533"/>
      <c r="M2953" s="533"/>
      <c r="N2953" s="268"/>
      <c r="O2953" s="533"/>
      <c r="P2953" s="533"/>
      <c r="Q2953" s="533"/>
      <c r="R2953" s="533"/>
      <c r="S2953" s="533"/>
      <c r="T2953" s="533"/>
      <c r="U2953" s="533"/>
      <c r="V2953" s="533"/>
      <c r="W2953" s="533"/>
      <c r="X2953" s="533"/>
      <c r="Y2953" s="533"/>
    </row>
    <row r="2954" spans="1:25" s="88" customFormat="1" hidden="1" x14ac:dyDescent="0.25">
      <c r="A2954" s="509"/>
      <c r="B2954" s="256"/>
      <c r="C2954" s="221"/>
      <c r="D2954" s="218"/>
      <c r="E2954" s="218"/>
      <c r="F2954" s="527">
        <v>482</v>
      </c>
      <c r="G2954" s="520" t="s">
        <v>4212</v>
      </c>
      <c r="H2954" s="594"/>
      <c r="I2954" s="595"/>
      <c r="J2954" s="595">
        <f t="shared" si="93"/>
        <v>0</v>
      </c>
      <c r="K2954" s="533"/>
      <c r="L2954" s="533"/>
      <c r="M2954" s="533"/>
      <c r="N2954" s="268"/>
      <c r="O2954" s="533"/>
      <c r="P2954" s="533"/>
      <c r="Q2954" s="533"/>
      <c r="R2954" s="533"/>
      <c r="S2954" s="533"/>
      <c r="T2954" s="533"/>
      <c r="U2954" s="533"/>
      <c r="V2954" s="533"/>
      <c r="W2954" s="533"/>
      <c r="X2954" s="533"/>
      <c r="Y2954" s="533"/>
    </row>
    <row r="2955" spans="1:25" s="88" customFormat="1" hidden="1" x14ac:dyDescent="0.25">
      <c r="A2955" s="509"/>
      <c r="B2955" s="256"/>
      <c r="C2955" s="221"/>
      <c r="D2955" s="218"/>
      <c r="E2955" s="218"/>
      <c r="F2955" s="527">
        <v>483</v>
      </c>
      <c r="G2955" s="524" t="s">
        <v>4213</v>
      </c>
      <c r="H2955" s="594"/>
      <c r="I2955" s="595"/>
      <c r="J2955" s="595">
        <f t="shared" si="93"/>
        <v>0</v>
      </c>
      <c r="K2955" s="533"/>
      <c r="L2955" s="533"/>
      <c r="M2955" s="533"/>
      <c r="N2955" s="268"/>
      <c r="O2955" s="533"/>
      <c r="P2955" s="533"/>
      <c r="Q2955" s="533"/>
      <c r="R2955" s="533"/>
      <c r="S2955" s="533"/>
      <c r="T2955" s="533"/>
      <c r="U2955" s="533"/>
      <c r="V2955" s="533"/>
      <c r="W2955" s="533"/>
      <c r="X2955" s="533"/>
      <c r="Y2955" s="533"/>
    </row>
    <row r="2956" spans="1:25" s="88" customFormat="1" ht="30" hidden="1" x14ac:dyDescent="0.25">
      <c r="A2956" s="509"/>
      <c r="B2956" s="256"/>
      <c r="C2956" s="221"/>
      <c r="D2956" s="218"/>
      <c r="E2956" s="218"/>
      <c r="F2956" s="527">
        <v>484</v>
      </c>
      <c r="G2956" s="520" t="s">
        <v>4214</v>
      </c>
      <c r="H2956" s="594"/>
      <c r="I2956" s="595"/>
      <c r="J2956" s="595">
        <f t="shared" si="93"/>
        <v>0</v>
      </c>
      <c r="K2956" s="533"/>
      <c r="L2956" s="533"/>
      <c r="M2956" s="533"/>
      <c r="N2956" s="268"/>
      <c r="O2956" s="533"/>
      <c r="P2956" s="533"/>
      <c r="Q2956" s="533"/>
      <c r="R2956" s="533"/>
      <c r="S2956" s="533"/>
      <c r="T2956" s="533"/>
      <c r="U2956" s="533"/>
      <c r="V2956" s="533"/>
      <c r="W2956" s="533"/>
      <c r="X2956" s="533"/>
      <c r="Y2956" s="533"/>
    </row>
    <row r="2957" spans="1:25" s="88" customFormat="1" ht="30" hidden="1" x14ac:dyDescent="0.25">
      <c r="A2957" s="509"/>
      <c r="B2957" s="256"/>
      <c r="C2957" s="221"/>
      <c r="D2957" s="218"/>
      <c r="E2957" s="218"/>
      <c r="F2957" s="527">
        <v>485</v>
      </c>
      <c r="G2957" s="520" t="s">
        <v>4215</v>
      </c>
      <c r="H2957" s="594"/>
      <c r="I2957" s="595"/>
      <c r="J2957" s="595">
        <f t="shared" si="93"/>
        <v>0</v>
      </c>
      <c r="K2957" s="533"/>
      <c r="L2957" s="533"/>
      <c r="M2957" s="533"/>
      <c r="N2957" s="268"/>
      <c r="O2957" s="533"/>
      <c r="P2957" s="533"/>
      <c r="Q2957" s="533"/>
      <c r="R2957" s="533"/>
      <c r="S2957" s="533"/>
      <c r="T2957" s="533"/>
      <c r="U2957" s="533"/>
      <c r="V2957" s="533"/>
      <c r="W2957" s="533"/>
      <c r="X2957" s="533"/>
      <c r="Y2957" s="533"/>
    </row>
    <row r="2958" spans="1:25" s="88" customFormat="1" ht="30" hidden="1" x14ac:dyDescent="0.25">
      <c r="A2958" s="509"/>
      <c r="B2958" s="256"/>
      <c r="C2958" s="221"/>
      <c r="D2958" s="218"/>
      <c r="E2958" s="218"/>
      <c r="F2958" s="527">
        <v>489</v>
      </c>
      <c r="G2958" s="520" t="s">
        <v>3841</v>
      </c>
      <c r="H2958" s="594"/>
      <c r="I2958" s="595"/>
      <c r="J2958" s="595">
        <f t="shared" si="93"/>
        <v>0</v>
      </c>
      <c r="K2958" s="533"/>
      <c r="L2958" s="533"/>
      <c r="M2958" s="533"/>
      <c r="N2958" s="268"/>
      <c r="O2958" s="533"/>
      <c r="P2958" s="533"/>
      <c r="Q2958" s="533"/>
      <c r="R2958" s="533"/>
      <c r="S2958" s="533"/>
      <c r="T2958" s="533"/>
      <c r="U2958" s="533"/>
      <c r="V2958" s="533"/>
      <c r="W2958" s="533"/>
      <c r="X2958" s="533"/>
      <c r="Y2958" s="533"/>
    </row>
    <row r="2959" spans="1:25" s="88" customFormat="1" hidden="1" x14ac:dyDescent="0.25">
      <c r="A2959" s="509"/>
      <c r="B2959" s="256"/>
      <c r="C2959" s="221"/>
      <c r="D2959" s="218"/>
      <c r="E2959" s="218"/>
      <c r="F2959" s="527">
        <v>494</v>
      </c>
      <c r="G2959" s="520" t="s">
        <v>4193</v>
      </c>
      <c r="H2959" s="594"/>
      <c r="I2959" s="595"/>
      <c r="J2959" s="595">
        <f t="shared" si="93"/>
        <v>0</v>
      </c>
      <c r="K2959" s="533"/>
      <c r="L2959" s="533"/>
      <c r="M2959" s="533"/>
      <c r="N2959" s="268"/>
      <c r="O2959" s="533"/>
      <c r="P2959" s="533"/>
      <c r="Q2959" s="533"/>
      <c r="R2959" s="533"/>
      <c r="S2959" s="533"/>
      <c r="T2959" s="533"/>
      <c r="U2959" s="533"/>
      <c r="V2959" s="533"/>
      <c r="W2959" s="533"/>
      <c r="X2959" s="533"/>
      <c r="Y2959" s="533"/>
    </row>
    <row r="2960" spans="1:25" s="88" customFormat="1" ht="30" hidden="1" x14ac:dyDescent="0.25">
      <c r="A2960" s="509"/>
      <c r="B2960" s="256"/>
      <c r="C2960" s="221"/>
      <c r="D2960" s="218"/>
      <c r="E2960" s="218"/>
      <c r="F2960" s="527">
        <v>495</v>
      </c>
      <c r="G2960" s="520" t="s">
        <v>4194</v>
      </c>
      <c r="H2960" s="594"/>
      <c r="I2960" s="595"/>
      <c r="J2960" s="595">
        <f t="shared" si="93"/>
        <v>0</v>
      </c>
      <c r="K2960" s="533"/>
      <c r="L2960" s="533"/>
      <c r="M2960" s="533"/>
      <c r="N2960" s="268"/>
      <c r="O2960" s="533"/>
      <c r="P2960" s="533"/>
      <c r="Q2960" s="533"/>
      <c r="R2960" s="533"/>
      <c r="S2960" s="533"/>
      <c r="T2960" s="533"/>
      <c r="U2960" s="533"/>
      <c r="V2960" s="533"/>
      <c r="W2960" s="533"/>
      <c r="X2960" s="533"/>
      <c r="Y2960" s="533"/>
    </row>
    <row r="2961" spans="1:25" s="88" customFormat="1" ht="30" hidden="1" x14ac:dyDescent="0.25">
      <c r="A2961" s="509"/>
      <c r="B2961" s="256"/>
      <c r="C2961" s="221"/>
      <c r="D2961" s="218"/>
      <c r="E2961" s="218"/>
      <c r="F2961" s="527">
        <v>496</v>
      </c>
      <c r="G2961" s="520" t="s">
        <v>4195</v>
      </c>
      <c r="H2961" s="594"/>
      <c r="I2961" s="595"/>
      <c r="J2961" s="595">
        <f t="shared" si="93"/>
        <v>0</v>
      </c>
      <c r="K2961" s="533"/>
      <c r="L2961" s="533"/>
      <c r="M2961" s="533"/>
      <c r="N2961" s="268"/>
      <c r="O2961" s="533"/>
      <c r="P2961" s="533"/>
      <c r="Q2961" s="533"/>
      <c r="R2961" s="533"/>
      <c r="S2961" s="533"/>
      <c r="T2961" s="533"/>
      <c r="U2961" s="533"/>
      <c r="V2961" s="533"/>
      <c r="W2961" s="533"/>
      <c r="X2961" s="533"/>
      <c r="Y2961" s="533"/>
    </row>
    <row r="2962" spans="1:25" s="88" customFormat="1" hidden="1" x14ac:dyDescent="0.25">
      <c r="A2962" s="509"/>
      <c r="B2962" s="256"/>
      <c r="C2962" s="221"/>
      <c r="D2962" s="218"/>
      <c r="E2962" s="218"/>
      <c r="F2962" s="527">
        <v>499</v>
      </c>
      <c r="G2962" s="520" t="s">
        <v>4196</v>
      </c>
      <c r="H2962" s="594"/>
      <c r="I2962" s="595"/>
      <c r="J2962" s="595">
        <f t="shared" si="93"/>
        <v>0</v>
      </c>
      <c r="K2962" s="533"/>
      <c r="L2962" s="533"/>
      <c r="M2962" s="533"/>
      <c r="N2962" s="268"/>
      <c r="O2962" s="533"/>
      <c r="P2962" s="533"/>
      <c r="Q2962" s="533"/>
      <c r="R2962" s="533"/>
      <c r="S2962" s="533"/>
      <c r="T2962" s="533"/>
      <c r="U2962" s="533"/>
      <c r="V2962" s="533"/>
      <c r="W2962" s="533"/>
      <c r="X2962" s="533"/>
      <c r="Y2962" s="533"/>
    </row>
    <row r="2963" spans="1:25" s="88" customFormat="1" ht="15.75" thickBot="1" x14ac:dyDescent="0.3">
      <c r="A2963" s="509"/>
      <c r="B2963" s="256"/>
      <c r="C2963" s="221"/>
      <c r="D2963" s="218"/>
      <c r="E2963" s="218">
        <v>43</v>
      </c>
      <c r="F2963" s="527">
        <v>511</v>
      </c>
      <c r="G2963" s="524" t="s">
        <v>4216</v>
      </c>
      <c r="H2963" s="594">
        <v>6000000</v>
      </c>
      <c r="I2963" s="595"/>
      <c r="J2963" s="595">
        <f t="shared" si="93"/>
        <v>6000000</v>
      </c>
      <c r="K2963" s="533"/>
      <c r="L2963" s="533"/>
      <c r="M2963" s="533"/>
      <c r="N2963" s="268"/>
      <c r="O2963" s="533"/>
      <c r="P2963" s="533"/>
      <c r="Q2963" s="533"/>
      <c r="R2963" s="533"/>
      <c r="S2963" s="533"/>
      <c r="T2963" s="533"/>
      <c r="U2963" s="533"/>
      <c r="V2963" s="533"/>
      <c r="W2963" s="533"/>
      <c r="X2963" s="533"/>
      <c r="Y2963" s="533"/>
    </row>
    <row r="2964" spans="1:25" s="88" customFormat="1" hidden="1" x14ac:dyDescent="0.25">
      <c r="A2964" s="509"/>
      <c r="B2964" s="256"/>
      <c r="C2964" s="221"/>
      <c r="D2964" s="218"/>
      <c r="E2964" s="218"/>
      <c r="F2964" s="527">
        <v>512</v>
      </c>
      <c r="G2964" s="524" t="s">
        <v>4217</v>
      </c>
      <c r="H2964" s="594"/>
      <c r="I2964" s="595"/>
      <c r="J2964" s="595">
        <f t="shared" si="93"/>
        <v>0</v>
      </c>
      <c r="K2964" s="533"/>
      <c r="L2964" s="533"/>
      <c r="M2964" s="533"/>
      <c r="N2964" s="268"/>
      <c r="O2964" s="533"/>
      <c r="P2964" s="533"/>
      <c r="Q2964" s="533"/>
      <c r="R2964" s="533"/>
      <c r="S2964" s="533"/>
      <c r="T2964" s="533"/>
      <c r="U2964" s="533"/>
      <c r="V2964" s="533"/>
      <c r="W2964" s="533"/>
      <c r="X2964" s="533"/>
      <c r="Y2964" s="533"/>
    </row>
    <row r="2965" spans="1:25" s="88" customFormat="1" hidden="1" x14ac:dyDescent="0.25">
      <c r="A2965" s="509"/>
      <c r="B2965" s="256"/>
      <c r="C2965" s="221"/>
      <c r="D2965" s="218"/>
      <c r="E2965" s="218"/>
      <c r="F2965" s="527">
        <v>513</v>
      </c>
      <c r="G2965" s="524" t="s">
        <v>4218</v>
      </c>
      <c r="H2965" s="594"/>
      <c r="I2965" s="595"/>
      <c r="J2965" s="595">
        <f t="shared" si="93"/>
        <v>0</v>
      </c>
      <c r="K2965" s="533"/>
      <c r="L2965" s="533"/>
      <c r="M2965" s="533"/>
      <c r="N2965" s="268"/>
      <c r="O2965" s="533"/>
      <c r="P2965" s="533"/>
      <c r="Q2965" s="533"/>
      <c r="R2965" s="533"/>
      <c r="S2965" s="533"/>
      <c r="T2965" s="533"/>
      <c r="U2965" s="533"/>
      <c r="V2965" s="533"/>
      <c r="W2965" s="533"/>
      <c r="X2965" s="533"/>
      <c r="Y2965" s="533"/>
    </row>
    <row r="2966" spans="1:25" s="88" customFormat="1" hidden="1" x14ac:dyDescent="0.25">
      <c r="A2966" s="509"/>
      <c r="B2966" s="256"/>
      <c r="C2966" s="221"/>
      <c r="D2966" s="218"/>
      <c r="E2966" s="218"/>
      <c r="F2966" s="527">
        <v>514</v>
      </c>
      <c r="G2966" s="520" t="s">
        <v>4219</v>
      </c>
      <c r="H2966" s="594"/>
      <c r="I2966" s="595"/>
      <c r="J2966" s="595">
        <f t="shared" si="93"/>
        <v>0</v>
      </c>
      <c r="K2966" s="533"/>
      <c r="L2966" s="533"/>
      <c r="M2966" s="533"/>
      <c r="N2966" s="268"/>
      <c r="O2966" s="533"/>
      <c r="P2966" s="533"/>
      <c r="Q2966" s="533"/>
      <c r="R2966" s="533"/>
      <c r="S2966" s="533"/>
      <c r="T2966" s="533"/>
      <c r="U2966" s="533"/>
      <c r="V2966" s="533"/>
      <c r="W2966" s="533"/>
      <c r="X2966" s="533"/>
      <c r="Y2966" s="533"/>
    </row>
    <row r="2967" spans="1:25" s="88" customFormat="1" hidden="1" x14ac:dyDescent="0.25">
      <c r="A2967" s="509"/>
      <c r="B2967" s="256"/>
      <c r="C2967" s="221"/>
      <c r="D2967" s="218"/>
      <c r="E2967" s="218"/>
      <c r="F2967" s="527">
        <v>515</v>
      </c>
      <c r="G2967" s="520" t="s">
        <v>3852</v>
      </c>
      <c r="H2967" s="594"/>
      <c r="I2967" s="595"/>
      <c r="J2967" s="595">
        <f t="shared" si="93"/>
        <v>0</v>
      </c>
      <c r="K2967" s="533"/>
      <c r="L2967" s="533"/>
      <c r="M2967" s="533"/>
      <c r="N2967" s="268"/>
      <c r="O2967" s="533"/>
      <c r="P2967" s="533"/>
      <c r="Q2967" s="533"/>
      <c r="R2967" s="533"/>
      <c r="S2967" s="533"/>
      <c r="T2967" s="533"/>
      <c r="U2967" s="533"/>
      <c r="V2967" s="533"/>
      <c r="W2967" s="533"/>
      <c r="X2967" s="533"/>
      <c r="Y2967" s="533"/>
    </row>
    <row r="2968" spans="1:25" s="88" customFormat="1" hidden="1" x14ac:dyDescent="0.25">
      <c r="A2968" s="509"/>
      <c r="B2968" s="256"/>
      <c r="C2968" s="221"/>
      <c r="D2968" s="218"/>
      <c r="E2968" s="218"/>
      <c r="F2968" s="527">
        <v>521</v>
      </c>
      <c r="G2968" s="520" t="s">
        <v>4220</v>
      </c>
      <c r="H2968" s="594"/>
      <c r="I2968" s="595"/>
      <c r="J2968" s="595">
        <f t="shared" si="93"/>
        <v>0</v>
      </c>
      <c r="K2968" s="533"/>
      <c r="L2968" s="533"/>
      <c r="M2968" s="533"/>
      <c r="N2968" s="268"/>
      <c r="O2968" s="533"/>
      <c r="P2968" s="533"/>
      <c r="Q2968" s="533"/>
      <c r="R2968" s="533"/>
      <c r="S2968" s="533"/>
      <c r="T2968" s="533"/>
      <c r="U2968" s="533"/>
      <c r="V2968" s="533"/>
      <c r="W2968" s="533"/>
      <c r="X2968" s="533"/>
      <c r="Y2968" s="533"/>
    </row>
    <row r="2969" spans="1:25" s="88" customFormat="1" hidden="1" x14ac:dyDescent="0.25">
      <c r="A2969" s="509"/>
      <c r="B2969" s="256"/>
      <c r="C2969" s="221"/>
      <c r="D2969" s="218"/>
      <c r="E2969" s="218"/>
      <c r="F2969" s="527">
        <v>522</v>
      </c>
      <c r="G2969" s="520" t="s">
        <v>4221</v>
      </c>
      <c r="H2969" s="594"/>
      <c r="I2969" s="595"/>
      <c r="J2969" s="595">
        <f t="shared" si="93"/>
        <v>0</v>
      </c>
      <c r="K2969" s="533"/>
      <c r="L2969" s="533"/>
      <c r="M2969" s="533"/>
      <c r="N2969" s="268"/>
      <c r="O2969" s="533"/>
      <c r="P2969" s="533"/>
      <c r="Q2969" s="533"/>
      <c r="R2969" s="533"/>
      <c r="S2969" s="533"/>
      <c r="T2969" s="533"/>
      <c r="U2969" s="533"/>
      <c r="V2969" s="533"/>
      <c r="W2969" s="533"/>
      <c r="X2969" s="533"/>
      <c r="Y2969" s="533"/>
    </row>
    <row r="2970" spans="1:25" s="88" customFormat="1" hidden="1" x14ac:dyDescent="0.25">
      <c r="A2970" s="509"/>
      <c r="B2970" s="256"/>
      <c r="C2970" s="221"/>
      <c r="D2970" s="218"/>
      <c r="E2970" s="218"/>
      <c r="F2970" s="527">
        <v>523</v>
      </c>
      <c r="G2970" s="520" t="s">
        <v>3857</v>
      </c>
      <c r="H2970" s="594"/>
      <c r="I2970" s="595"/>
      <c r="J2970" s="595">
        <f t="shared" si="93"/>
        <v>0</v>
      </c>
      <c r="K2970" s="533"/>
      <c r="L2970" s="533"/>
      <c r="M2970" s="533"/>
      <c r="N2970" s="268"/>
      <c r="O2970" s="533"/>
      <c r="P2970" s="533"/>
      <c r="Q2970" s="533"/>
      <c r="R2970" s="533"/>
      <c r="S2970" s="533"/>
      <c r="T2970" s="533"/>
      <c r="U2970" s="533"/>
      <c r="V2970" s="533"/>
      <c r="W2970" s="533"/>
      <c r="X2970" s="533"/>
      <c r="Y2970" s="533"/>
    </row>
    <row r="2971" spans="1:25" s="88" customFormat="1" hidden="1" x14ac:dyDescent="0.25">
      <c r="A2971" s="509"/>
      <c r="B2971" s="256"/>
      <c r="C2971" s="221"/>
      <c r="D2971" s="218"/>
      <c r="E2971" s="218"/>
      <c r="F2971" s="527">
        <v>531</v>
      </c>
      <c r="G2971" s="516" t="s">
        <v>4197</v>
      </c>
      <c r="H2971" s="594"/>
      <c r="I2971" s="595"/>
      <c r="J2971" s="595">
        <f t="shared" si="93"/>
        <v>0</v>
      </c>
      <c r="K2971" s="533"/>
      <c r="L2971" s="533"/>
      <c r="M2971" s="533"/>
      <c r="N2971" s="268"/>
      <c r="O2971" s="533"/>
      <c r="P2971" s="533"/>
      <c r="Q2971" s="533"/>
      <c r="R2971" s="533"/>
      <c r="S2971" s="533"/>
      <c r="T2971" s="533"/>
      <c r="U2971" s="533"/>
      <c r="V2971" s="533"/>
      <c r="W2971" s="533"/>
      <c r="X2971" s="533"/>
      <c r="Y2971" s="533"/>
    </row>
    <row r="2972" spans="1:25" s="88" customFormat="1" hidden="1" x14ac:dyDescent="0.25">
      <c r="A2972" s="509"/>
      <c r="B2972" s="256"/>
      <c r="C2972" s="221"/>
      <c r="D2972" s="218"/>
      <c r="E2972" s="218"/>
      <c r="F2972" s="527">
        <v>541</v>
      </c>
      <c r="G2972" s="520" t="s">
        <v>4222</v>
      </c>
      <c r="H2972" s="594"/>
      <c r="I2972" s="595"/>
      <c r="J2972" s="595">
        <f t="shared" si="93"/>
        <v>0</v>
      </c>
      <c r="K2972" s="533"/>
      <c r="L2972" s="533"/>
      <c r="M2972" s="533"/>
      <c r="N2972" s="268"/>
      <c r="O2972" s="533"/>
      <c r="P2972" s="533"/>
      <c r="Q2972" s="533"/>
      <c r="R2972" s="533"/>
      <c r="S2972" s="533"/>
      <c r="T2972" s="533"/>
      <c r="U2972" s="533"/>
      <c r="V2972" s="533"/>
      <c r="W2972" s="533"/>
      <c r="X2972" s="533"/>
      <c r="Y2972" s="533"/>
    </row>
    <row r="2973" spans="1:25" s="88" customFormat="1" hidden="1" x14ac:dyDescent="0.25">
      <c r="A2973" s="509"/>
      <c r="B2973" s="256"/>
      <c r="C2973" s="221"/>
      <c r="D2973" s="218"/>
      <c r="E2973" s="218"/>
      <c r="F2973" s="527">
        <v>542</v>
      </c>
      <c r="G2973" s="520" t="s">
        <v>4223</v>
      </c>
      <c r="H2973" s="594"/>
      <c r="I2973" s="595"/>
      <c r="J2973" s="595">
        <f t="shared" si="93"/>
        <v>0</v>
      </c>
      <c r="K2973" s="533"/>
      <c r="L2973" s="533"/>
      <c r="M2973" s="533"/>
      <c r="N2973" s="268"/>
      <c r="O2973" s="533"/>
      <c r="P2973" s="533"/>
      <c r="Q2973" s="533"/>
      <c r="R2973" s="533"/>
      <c r="S2973" s="533"/>
      <c r="T2973" s="533"/>
      <c r="U2973" s="533"/>
      <c r="V2973" s="533"/>
      <c r="W2973" s="533"/>
      <c r="X2973" s="533"/>
      <c r="Y2973" s="533"/>
    </row>
    <row r="2974" spans="1:25" s="88" customFormat="1" hidden="1" x14ac:dyDescent="0.25">
      <c r="A2974" s="509"/>
      <c r="B2974" s="256"/>
      <c r="C2974" s="221"/>
      <c r="D2974" s="218"/>
      <c r="E2974" s="218"/>
      <c r="F2974" s="527">
        <v>543</v>
      </c>
      <c r="G2974" s="520" t="s">
        <v>3862</v>
      </c>
      <c r="H2974" s="594"/>
      <c r="I2974" s="595"/>
      <c r="J2974" s="595">
        <f t="shared" si="93"/>
        <v>0</v>
      </c>
      <c r="K2974" s="533"/>
      <c r="L2974" s="533"/>
      <c r="M2974" s="533"/>
      <c r="N2974" s="268"/>
      <c r="O2974" s="533"/>
      <c r="P2974" s="533"/>
      <c r="Q2974" s="533"/>
      <c r="R2974" s="533"/>
      <c r="S2974" s="533"/>
      <c r="T2974" s="533"/>
      <c r="U2974" s="533"/>
      <c r="V2974" s="533"/>
      <c r="W2974" s="533"/>
      <c r="X2974" s="533"/>
      <c r="Y2974" s="533"/>
    </row>
    <row r="2975" spans="1:25" s="88" customFormat="1" ht="30" hidden="1" x14ac:dyDescent="0.25">
      <c r="A2975" s="509"/>
      <c r="B2975" s="256"/>
      <c r="C2975" s="221"/>
      <c r="D2975" s="218"/>
      <c r="E2975" s="218"/>
      <c r="F2975" s="527">
        <v>551</v>
      </c>
      <c r="G2975" s="520" t="s">
        <v>4198</v>
      </c>
      <c r="H2975" s="594"/>
      <c r="I2975" s="595"/>
      <c r="J2975" s="595">
        <f t="shared" si="93"/>
        <v>0</v>
      </c>
      <c r="K2975" s="533"/>
      <c r="L2975" s="533"/>
      <c r="M2975" s="533"/>
      <c r="N2975" s="268"/>
      <c r="O2975" s="533"/>
      <c r="P2975" s="533"/>
      <c r="Q2975" s="533"/>
      <c r="R2975" s="533"/>
      <c r="S2975" s="533"/>
      <c r="T2975" s="533"/>
      <c r="U2975" s="533"/>
      <c r="V2975" s="533"/>
      <c r="W2975" s="533"/>
      <c r="X2975" s="533"/>
      <c r="Y2975" s="533"/>
    </row>
    <row r="2976" spans="1:25" s="88" customFormat="1" hidden="1" x14ac:dyDescent="0.25">
      <c r="A2976" s="509"/>
      <c r="B2976" s="256"/>
      <c r="C2976" s="221"/>
      <c r="D2976" s="218"/>
      <c r="E2976" s="218"/>
      <c r="F2976" s="528">
        <v>611</v>
      </c>
      <c r="G2976" s="526" t="s">
        <v>3868</v>
      </c>
      <c r="H2976" s="594"/>
      <c r="I2976" s="595"/>
      <c r="J2976" s="595">
        <f t="shared" si="93"/>
        <v>0</v>
      </c>
      <c r="K2976" s="533"/>
      <c r="L2976" s="533"/>
      <c r="M2976" s="533"/>
      <c r="N2976" s="268"/>
      <c r="O2976" s="533"/>
      <c r="P2976" s="533"/>
      <c r="Q2976" s="533"/>
      <c r="R2976" s="533"/>
      <c r="S2976" s="533"/>
      <c r="T2976" s="533"/>
      <c r="U2976" s="533"/>
      <c r="V2976" s="533"/>
      <c r="W2976" s="533"/>
      <c r="X2976" s="533"/>
      <c r="Y2976" s="533"/>
    </row>
    <row r="2977" spans="1:25" s="88" customFormat="1" ht="15.75" hidden="1" thickBot="1" x14ac:dyDescent="0.3">
      <c r="A2977" s="509"/>
      <c r="B2977" s="256"/>
      <c r="C2977" s="221"/>
      <c r="D2977" s="218"/>
      <c r="E2977" s="218"/>
      <c r="F2977" s="528">
        <v>620</v>
      </c>
      <c r="G2977" s="526" t="s">
        <v>88</v>
      </c>
      <c r="H2977" s="594"/>
      <c r="I2977" s="595"/>
      <c r="J2977" s="595">
        <f t="shared" si="93"/>
        <v>0</v>
      </c>
      <c r="K2977" s="533"/>
      <c r="L2977" s="533"/>
      <c r="M2977" s="533"/>
      <c r="N2977" s="268"/>
      <c r="O2977" s="533"/>
      <c r="P2977" s="533"/>
      <c r="Q2977" s="533"/>
      <c r="R2977" s="533"/>
      <c r="S2977" s="533"/>
      <c r="T2977" s="533"/>
      <c r="U2977" s="533"/>
      <c r="V2977" s="533"/>
      <c r="W2977" s="533"/>
      <c r="X2977" s="533"/>
      <c r="Y2977" s="533"/>
    </row>
    <row r="2978" spans="1:25" s="88" customFormat="1" x14ac:dyDescent="0.25">
      <c r="A2978" s="509"/>
      <c r="B2978" s="256"/>
      <c r="C2978" s="221"/>
      <c r="D2978" s="218"/>
      <c r="E2978" s="517"/>
      <c r="F2978" s="528"/>
      <c r="G2978" s="327" t="s">
        <v>4368</v>
      </c>
      <c r="H2978" s="596"/>
      <c r="I2978" s="622"/>
      <c r="J2978" s="597"/>
      <c r="K2978" s="533"/>
      <c r="L2978" s="533"/>
      <c r="M2978" s="533"/>
      <c r="N2978" s="268"/>
      <c r="O2978" s="533"/>
      <c r="P2978" s="533"/>
      <c r="Q2978" s="533"/>
      <c r="R2978" s="533"/>
      <c r="S2978" s="533"/>
      <c r="T2978" s="533"/>
      <c r="U2978" s="533"/>
      <c r="V2978" s="533"/>
      <c r="W2978" s="533"/>
      <c r="X2978" s="533"/>
      <c r="Y2978" s="533"/>
    </row>
    <row r="2979" spans="1:25" s="88" customFormat="1" ht="15.75" thickBot="1" x14ac:dyDescent="0.3">
      <c r="A2979" s="509"/>
      <c r="B2979" s="256"/>
      <c r="C2979" s="221"/>
      <c r="D2979" s="218"/>
      <c r="E2979" s="222"/>
      <c r="F2979" s="642" t="s">
        <v>234</v>
      </c>
      <c r="G2979" s="643" t="s">
        <v>235</v>
      </c>
      <c r="H2979" s="598">
        <f>SUM(H2918:H2977)</f>
        <v>6000000</v>
      </c>
      <c r="I2979" s="599"/>
      <c r="J2979" s="599">
        <f t="shared" ref="J2979:J2994" si="94">SUM(H2979:I2979)</f>
        <v>6000000</v>
      </c>
      <c r="K2979" s="533"/>
      <c r="L2979" s="533"/>
      <c r="M2979" s="533"/>
      <c r="N2979" s="268"/>
      <c r="O2979" s="533"/>
      <c r="P2979" s="533"/>
      <c r="Q2979" s="533"/>
      <c r="R2979" s="533"/>
      <c r="S2979" s="533"/>
      <c r="T2979" s="533"/>
      <c r="U2979" s="533"/>
      <c r="V2979" s="533"/>
      <c r="W2979" s="533"/>
      <c r="X2979" s="533"/>
      <c r="Y2979" s="533"/>
    </row>
    <row r="2980" spans="1:25" s="88" customFormat="1" hidden="1" x14ac:dyDescent="0.25">
      <c r="A2980" s="509"/>
      <c r="B2980" s="256"/>
      <c r="C2980" s="221"/>
      <c r="D2980" s="218"/>
      <c r="E2980" s="218"/>
      <c r="F2980" s="642" t="s">
        <v>236</v>
      </c>
      <c r="G2980" s="643" t="s">
        <v>237</v>
      </c>
      <c r="H2980" s="594"/>
      <c r="I2980" s="595"/>
      <c r="J2980" s="599">
        <f t="shared" si="94"/>
        <v>0</v>
      </c>
      <c r="K2980" s="533"/>
      <c r="L2980" s="533"/>
      <c r="M2980" s="533"/>
      <c r="N2980" s="268"/>
      <c r="O2980" s="533"/>
      <c r="P2980" s="533"/>
      <c r="Q2980" s="533"/>
      <c r="R2980" s="533"/>
      <c r="S2980" s="533"/>
      <c r="T2980" s="533"/>
      <c r="U2980" s="533"/>
      <c r="V2980" s="533"/>
      <c r="W2980" s="533"/>
      <c r="X2980" s="533"/>
      <c r="Y2980" s="533"/>
    </row>
    <row r="2981" spans="1:25" s="88" customFormat="1" hidden="1" x14ac:dyDescent="0.25">
      <c r="A2981" s="509"/>
      <c r="B2981" s="256"/>
      <c r="C2981" s="221"/>
      <c r="D2981" s="218"/>
      <c r="E2981" s="218"/>
      <c r="F2981" s="642" t="s">
        <v>238</v>
      </c>
      <c r="G2981" s="643" t="s">
        <v>239</v>
      </c>
      <c r="H2981" s="594"/>
      <c r="I2981" s="595"/>
      <c r="J2981" s="599">
        <f t="shared" si="94"/>
        <v>0</v>
      </c>
      <c r="K2981" s="533"/>
      <c r="L2981" s="533"/>
      <c r="M2981" s="533"/>
      <c r="N2981" s="268"/>
      <c r="O2981" s="533"/>
      <c r="P2981" s="533"/>
      <c r="Q2981" s="533"/>
      <c r="R2981" s="533"/>
      <c r="S2981" s="533"/>
      <c r="T2981" s="533"/>
      <c r="U2981" s="533"/>
      <c r="V2981" s="533"/>
      <c r="W2981" s="533"/>
      <c r="X2981" s="533"/>
      <c r="Y2981" s="533"/>
    </row>
    <row r="2982" spans="1:25" s="88" customFormat="1" hidden="1" x14ac:dyDescent="0.25">
      <c r="A2982" s="509"/>
      <c r="B2982" s="256"/>
      <c r="C2982" s="221"/>
      <c r="D2982" s="218"/>
      <c r="E2982" s="218"/>
      <c r="F2982" s="642" t="s">
        <v>240</v>
      </c>
      <c r="G2982" s="643" t="s">
        <v>241</v>
      </c>
      <c r="H2982" s="594"/>
      <c r="I2982" s="595"/>
      <c r="J2982" s="599">
        <f t="shared" si="94"/>
        <v>0</v>
      </c>
      <c r="K2982" s="533"/>
      <c r="L2982" s="533"/>
      <c r="M2982" s="533"/>
      <c r="N2982" s="268"/>
      <c r="O2982" s="533"/>
      <c r="P2982" s="533"/>
      <c r="Q2982" s="533"/>
      <c r="R2982" s="533"/>
      <c r="S2982" s="533"/>
      <c r="T2982" s="533"/>
      <c r="U2982" s="533"/>
      <c r="V2982" s="533"/>
      <c r="W2982" s="533"/>
      <c r="X2982" s="533"/>
      <c r="Y2982" s="533"/>
    </row>
    <row r="2983" spans="1:25" s="88" customFormat="1" hidden="1" x14ac:dyDescent="0.25">
      <c r="A2983" s="509"/>
      <c r="B2983" s="256"/>
      <c r="C2983" s="221"/>
      <c r="D2983" s="218"/>
      <c r="E2983" s="218"/>
      <c r="F2983" s="642" t="s">
        <v>242</v>
      </c>
      <c r="G2983" s="643" t="s">
        <v>243</v>
      </c>
      <c r="H2983" s="594"/>
      <c r="I2983" s="595"/>
      <c r="J2983" s="599">
        <f t="shared" si="94"/>
        <v>0</v>
      </c>
      <c r="K2983" s="533"/>
      <c r="L2983" s="533"/>
      <c r="M2983" s="533"/>
      <c r="N2983" s="268"/>
      <c r="O2983" s="533"/>
      <c r="P2983" s="533"/>
      <c r="Q2983" s="533"/>
      <c r="R2983" s="533"/>
      <c r="S2983" s="533"/>
      <c r="T2983" s="533"/>
      <c r="U2983" s="533"/>
      <c r="V2983" s="533"/>
      <c r="W2983" s="533"/>
      <c r="X2983" s="533"/>
      <c r="Y2983" s="533"/>
    </row>
    <row r="2984" spans="1:25" s="88" customFormat="1" hidden="1" x14ac:dyDescent="0.25">
      <c r="A2984" s="509"/>
      <c r="B2984" s="256"/>
      <c r="C2984" s="221"/>
      <c r="D2984" s="218"/>
      <c r="E2984" s="218"/>
      <c r="F2984" s="642" t="s">
        <v>244</v>
      </c>
      <c r="G2984" s="643" t="s">
        <v>245</v>
      </c>
      <c r="H2984" s="594"/>
      <c r="I2984" s="595"/>
      <c r="J2984" s="599">
        <f t="shared" si="94"/>
        <v>0</v>
      </c>
      <c r="K2984" s="533"/>
      <c r="L2984" s="533"/>
      <c r="M2984" s="533"/>
      <c r="N2984" s="268"/>
      <c r="O2984" s="533"/>
      <c r="P2984" s="533"/>
      <c r="Q2984" s="533"/>
      <c r="R2984" s="533"/>
      <c r="S2984" s="533"/>
      <c r="T2984" s="533"/>
      <c r="U2984" s="533"/>
      <c r="V2984" s="533"/>
      <c r="W2984" s="533"/>
      <c r="X2984" s="533"/>
      <c r="Y2984" s="533"/>
    </row>
    <row r="2985" spans="1:25" s="88" customFormat="1" hidden="1" x14ac:dyDescent="0.25">
      <c r="A2985" s="509"/>
      <c r="B2985" s="256"/>
      <c r="C2985" s="221"/>
      <c r="D2985" s="218"/>
      <c r="E2985" s="218"/>
      <c r="F2985" s="642" t="s">
        <v>246</v>
      </c>
      <c r="G2985" s="643" t="s">
        <v>247</v>
      </c>
      <c r="H2985" s="594"/>
      <c r="I2985" s="595"/>
      <c r="J2985" s="599">
        <f t="shared" si="94"/>
        <v>0</v>
      </c>
      <c r="K2985" s="533"/>
      <c r="L2985" s="533"/>
      <c r="M2985" s="533"/>
      <c r="N2985" s="268"/>
      <c r="O2985" s="533"/>
      <c r="P2985" s="533"/>
      <c r="Q2985" s="533"/>
      <c r="R2985" s="533"/>
      <c r="S2985" s="533"/>
      <c r="T2985" s="533"/>
      <c r="U2985" s="533"/>
      <c r="V2985" s="533"/>
      <c r="W2985" s="533"/>
      <c r="X2985" s="533"/>
      <c r="Y2985" s="533"/>
    </row>
    <row r="2986" spans="1:25" s="88" customFormat="1" hidden="1" x14ac:dyDescent="0.25">
      <c r="A2986" s="509"/>
      <c r="B2986" s="256"/>
      <c r="C2986" s="221"/>
      <c r="D2986" s="218"/>
      <c r="E2986" s="218"/>
      <c r="F2986" s="642" t="s">
        <v>248</v>
      </c>
      <c r="G2986" s="643" t="s">
        <v>249</v>
      </c>
      <c r="H2986" s="594"/>
      <c r="I2986" s="595"/>
      <c r="J2986" s="599">
        <f t="shared" si="94"/>
        <v>0</v>
      </c>
      <c r="K2986" s="533"/>
      <c r="L2986" s="533"/>
      <c r="M2986" s="533"/>
      <c r="N2986" s="268"/>
      <c r="O2986" s="533"/>
      <c r="P2986" s="533"/>
      <c r="Q2986" s="533"/>
      <c r="R2986" s="533"/>
      <c r="S2986" s="533"/>
      <c r="T2986" s="533"/>
      <c r="U2986" s="533"/>
      <c r="V2986" s="533"/>
      <c r="W2986" s="533"/>
      <c r="X2986" s="533"/>
      <c r="Y2986" s="533"/>
    </row>
    <row r="2987" spans="1:25" s="88" customFormat="1" hidden="1" x14ac:dyDescent="0.25">
      <c r="A2987" s="218"/>
      <c r="B2987" s="218"/>
      <c r="C2987" s="221"/>
      <c r="D2987" s="218"/>
      <c r="E2987" s="218"/>
      <c r="F2987" s="642" t="s">
        <v>250</v>
      </c>
      <c r="G2987" s="643" t="s">
        <v>57</v>
      </c>
      <c r="H2987" s="594"/>
      <c r="I2987" s="595"/>
      <c r="J2987" s="599">
        <f t="shared" si="94"/>
        <v>0</v>
      </c>
      <c r="K2987" s="533"/>
      <c r="L2987" s="533"/>
      <c r="M2987" s="533"/>
      <c r="N2987" s="268"/>
      <c r="O2987" s="533"/>
      <c r="P2987" s="533"/>
      <c r="Q2987" s="533"/>
      <c r="R2987" s="533"/>
      <c r="S2987" s="533"/>
      <c r="T2987" s="533"/>
      <c r="U2987" s="533"/>
      <c r="V2987" s="533"/>
      <c r="W2987" s="533"/>
      <c r="X2987" s="533"/>
      <c r="Y2987" s="533"/>
    </row>
    <row r="2988" spans="1:25" s="88" customFormat="1" hidden="1" x14ac:dyDescent="0.25">
      <c r="A2988" s="218"/>
      <c r="B2988" s="218"/>
      <c r="C2988" s="221"/>
      <c r="D2988" s="218"/>
      <c r="E2988" s="218"/>
      <c r="F2988" s="642" t="s">
        <v>251</v>
      </c>
      <c r="G2988" s="643" t="s">
        <v>252</v>
      </c>
      <c r="H2988" s="594"/>
      <c r="I2988" s="595"/>
      <c r="J2988" s="599">
        <f t="shared" si="94"/>
        <v>0</v>
      </c>
      <c r="K2988" s="533"/>
      <c r="L2988" s="533"/>
      <c r="M2988" s="533"/>
      <c r="N2988" s="268"/>
      <c r="O2988" s="533"/>
      <c r="P2988" s="533"/>
      <c r="Q2988" s="533"/>
      <c r="R2988" s="533"/>
      <c r="S2988" s="533"/>
      <c r="T2988" s="533"/>
      <c r="U2988" s="533"/>
      <c r="V2988" s="533"/>
      <c r="W2988" s="533"/>
      <c r="X2988" s="533"/>
      <c r="Y2988" s="533"/>
    </row>
    <row r="2989" spans="1:25" s="88" customFormat="1" hidden="1" x14ac:dyDescent="0.25">
      <c r="A2989" s="218"/>
      <c r="B2989" s="218"/>
      <c r="C2989" s="221"/>
      <c r="D2989" s="218"/>
      <c r="E2989" s="218"/>
      <c r="F2989" s="642" t="s">
        <v>253</v>
      </c>
      <c r="G2989" s="643" t="s">
        <v>254</v>
      </c>
      <c r="H2989" s="594"/>
      <c r="I2989" s="595"/>
      <c r="J2989" s="599">
        <f t="shared" si="94"/>
        <v>0</v>
      </c>
      <c r="K2989" s="533"/>
      <c r="L2989" s="533"/>
      <c r="M2989" s="533"/>
      <c r="N2989" s="268"/>
      <c r="O2989" s="533"/>
      <c r="P2989" s="533"/>
      <c r="Q2989" s="533"/>
      <c r="R2989" s="533"/>
      <c r="S2989" s="533"/>
      <c r="T2989" s="533"/>
      <c r="U2989" s="533"/>
      <c r="V2989" s="533"/>
      <c r="W2989" s="533"/>
      <c r="X2989" s="533"/>
      <c r="Y2989" s="533"/>
    </row>
    <row r="2990" spans="1:25" s="88" customFormat="1" ht="30" hidden="1" x14ac:dyDescent="0.25">
      <c r="A2990" s="218"/>
      <c r="B2990" s="218"/>
      <c r="C2990" s="221"/>
      <c r="D2990" s="218"/>
      <c r="E2990" s="218"/>
      <c r="F2990" s="642" t="s">
        <v>255</v>
      </c>
      <c r="G2990" s="643" t="s">
        <v>256</v>
      </c>
      <c r="H2990" s="594"/>
      <c r="I2990" s="595"/>
      <c r="J2990" s="599">
        <f t="shared" si="94"/>
        <v>0</v>
      </c>
      <c r="K2990" s="533"/>
      <c r="L2990" s="533"/>
      <c r="M2990" s="533"/>
      <c r="N2990" s="268"/>
      <c r="O2990" s="533"/>
      <c r="P2990" s="533"/>
      <c r="Q2990" s="533"/>
      <c r="R2990" s="533"/>
      <c r="S2990" s="533"/>
      <c r="T2990" s="533"/>
      <c r="U2990" s="533"/>
      <c r="V2990" s="533"/>
      <c r="W2990" s="533"/>
      <c r="X2990" s="533"/>
      <c r="Y2990" s="533"/>
    </row>
    <row r="2991" spans="1:25" s="88" customFormat="1" hidden="1" x14ac:dyDescent="0.25">
      <c r="A2991" s="218"/>
      <c r="B2991" s="218"/>
      <c r="C2991" s="221"/>
      <c r="D2991" s="218"/>
      <c r="E2991" s="218"/>
      <c r="F2991" s="642" t="s">
        <v>257</v>
      </c>
      <c r="G2991" s="643" t="s">
        <v>258</v>
      </c>
      <c r="H2991" s="594"/>
      <c r="I2991" s="595"/>
      <c r="J2991" s="599">
        <f t="shared" si="94"/>
        <v>0</v>
      </c>
      <c r="K2991" s="533"/>
      <c r="L2991" s="533"/>
      <c r="M2991" s="533"/>
      <c r="N2991" s="268"/>
      <c r="O2991" s="533"/>
      <c r="P2991" s="533"/>
      <c r="Q2991" s="533"/>
      <c r="R2991" s="533"/>
      <c r="S2991" s="533"/>
      <c r="T2991" s="533"/>
      <c r="U2991" s="533"/>
      <c r="V2991" s="533"/>
      <c r="W2991" s="533"/>
      <c r="X2991" s="533"/>
      <c r="Y2991" s="533"/>
    </row>
    <row r="2992" spans="1:25" s="88" customFormat="1" ht="30" hidden="1" x14ac:dyDescent="0.25">
      <c r="A2992" s="218"/>
      <c r="B2992" s="218"/>
      <c r="C2992" s="221"/>
      <c r="D2992" s="218"/>
      <c r="E2992" s="218"/>
      <c r="F2992" s="642" t="s">
        <v>259</v>
      </c>
      <c r="G2992" s="643" t="s">
        <v>260</v>
      </c>
      <c r="H2992" s="594"/>
      <c r="I2992" s="595"/>
      <c r="J2992" s="599">
        <f t="shared" si="94"/>
        <v>0</v>
      </c>
      <c r="K2992" s="533"/>
      <c r="L2992" s="533"/>
      <c r="M2992" s="533"/>
      <c r="N2992" s="268"/>
      <c r="O2992" s="533"/>
      <c r="P2992" s="533"/>
      <c r="Q2992" s="533"/>
      <c r="R2992" s="533"/>
      <c r="S2992" s="533"/>
      <c r="T2992" s="533"/>
      <c r="U2992" s="533"/>
      <c r="V2992" s="533"/>
      <c r="W2992" s="533"/>
      <c r="X2992" s="533"/>
      <c r="Y2992" s="533"/>
    </row>
    <row r="2993" spans="1:25" s="88" customFormat="1" hidden="1" x14ac:dyDescent="0.25">
      <c r="A2993" s="218"/>
      <c r="B2993" s="218"/>
      <c r="C2993" s="221"/>
      <c r="D2993" s="218"/>
      <c r="E2993" s="218"/>
      <c r="F2993" s="642" t="s">
        <v>261</v>
      </c>
      <c r="G2993" s="643" t="s">
        <v>262</v>
      </c>
      <c r="H2993" s="594"/>
      <c r="I2993" s="595"/>
      <c r="J2993" s="599">
        <f t="shared" si="94"/>
        <v>0</v>
      </c>
      <c r="K2993" s="533"/>
      <c r="L2993" s="533"/>
      <c r="M2993" s="533"/>
      <c r="N2993" s="268"/>
      <c r="O2993" s="533"/>
      <c r="P2993" s="533"/>
      <c r="Q2993" s="533"/>
      <c r="R2993" s="533"/>
      <c r="S2993" s="533"/>
      <c r="T2993" s="533"/>
      <c r="U2993" s="533"/>
      <c r="V2993" s="533"/>
      <c r="W2993" s="533"/>
      <c r="X2993" s="533"/>
      <c r="Y2993" s="533"/>
    </row>
    <row r="2994" spans="1:25" s="88" customFormat="1" ht="15.75" hidden="1" thickBot="1" x14ac:dyDescent="0.3">
      <c r="A2994" s="218"/>
      <c r="B2994" s="218"/>
      <c r="C2994" s="221"/>
      <c r="D2994" s="218"/>
      <c r="E2994" s="218"/>
      <c r="F2994" s="642" t="s">
        <v>263</v>
      </c>
      <c r="G2994" s="643" t="s">
        <v>264</v>
      </c>
      <c r="H2994" s="598"/>
      <c r="I2994" s="599"/>
      <c r="J2994" s="599">
        <f t="shared" si="94"/>
        <v>0</v>
      </c>
      <c r="K2994" s="533"/>
      <c r="L2994" s="533"/>
      <c r="M2994" s="533"/>
      <c r="N2994" s="268"/>
      <c r="O2994" s="533"/>
      <c r="P2994" s="533"/>
      <c r="Q2994" s="533"/>
      <c r="R2994" s="533"/>
      <c r="S2994" s="533"/>
      <c r="T2994" s="533"/>
      <c r="U2994" s="533"/>
      <c r="V2994" s="533"/>
      <c r="W2994" s="533"/>
      <c r="X2994" s="533"/>
      <c r="Y2994" s="533"/>
    </row>
    <row r="2995" spans="1:25" s="88" customFormat="1" ht="15.75" thickBot="1" x14ac:dyDescent="0.3">
      <c r="A2995" s="218"/>
      <c r="B2995" s="218"/>
      <c r="C2995" s="221"/>
      <c r="D2995" s="218"/>
      <c r="E2995" s="218"/>
      <c r="F2995" s="218"/>
      <c r="G2995" s="229" t="s">
        <v>4369</v>
      </c>
      <c r="H2995" s="600">
        <f>SUM(H2979:H2994)</f>
        <v>6000000</v>
      </c>
      <c r="I2995" s="601">
        <f>SUM(I2980:I2994)</f>
        <v>0</v>
      </c>
      <c r="J2995" s="601">
        <f>SUM(J2979:J2994)</f>
        <v>6000000</v>
      </c>
      <c r="K2995" s="533"/>
      <c r="L2995" s="533"/>
      <c r="M2995" s="533"/>
      <c r="N2995" s="268"/>
      <c r="O2995" s="533"/>
      <c r="P2995" s="533"/>
      <c r="Q2995" s="533"/>
      <c r="R2995" s="533"/>
      <c r="S2995" s="533"/>
      <c r="T2995" s="533"/>
      <c r="U2995" s="533"/>
      <c r="V2995" s="533"/>
      <c r="W2995" s="533"/>
      <c r="X2995" s="533"/>
      <c r="Y2995" s="533"/>
    </row>
    <row r="2996" spans="1:25" s="88" customFormat="1" x14ac:dyDescent="0.25">
      <c r="A2996" s="218"/>
      <c r="B2996" s="218"/>
      <c r="C2996" s="221"/>
      <c r="D2996" s="218"/>
      <c r="E2996" s="218"/>
      <c r="F2996" s="218"/>
      <c r="G2996" s="286" t="s">
        <v>5253</v>
      </c>
      <c r="H2996" s="604"/>
      <c r="I2996" s="605"/>
      <c r="J2996" s="605"/>
      <c r="K2996" s="533"/>
      <c r="L2996" s="533"/>
      <c r="M2996" s="533"/>
      <c r="N2996" s="268"/>
      <c r="O2996" s="533"/>
      <c r="P2996" s="533"/>
      <c r="Q2996" s="533"/>
      <c r="R2996" s="533"/>
      <c r="S2996" s="533"/>
      <c r="T2996" s="533"/>
      <c r="U2996" s="533"/>
      <c r="V2996" s="533"/>
      <c r="W2996" s="533"/>
      <c r="X2996" s="533"/>
      <c r="Y2996" s="533"/>
    </row>
    <row r="2997" spans="1:25" s="88" customFormat="1" ht="15.75" thickBot="1" x14ac:dyDescent="0.3">
      <c r="A2997" s="218"/>
      <c r="B2997" s="218"/>
      <c r="C2997" s="221"/>
      <c r="D2997" s="218"/>
      <c r="E2997" s="218"/>
      <c r="F2997" s="218" t="s">
        <v>234</v>
      </c>
      <c r="G2997" s="723" t="s">
        <v>235</v>
      </c>
      <c r="H2997" s="725">
        <f>SUM(H2918:H2977)</f>
        <v>6000000</v>
      </c>
      <c r="I2997" s="726"/>
      <c r="J2997" s="729">
        <f t="shared" ref="J2997:J3012" si="95">SUM(H2997:I2997)</f>
        <v>6000000</v>
      </c>
      <c r="K2997" s="533"/>
      <c r="L2997" s="533"/>
      <c r="M2997" s="533"/>
      <c r="N2997" s="268"/>
      <c r="O2997" s="533"/>
      <c r="P2997" s="533"/>
      <c r="Q2997" s="533"/>
      <c r="R2997" s="533"/>
      <c r="S2997" s="533"/>
      <c r="T2997" s="533"/>
      <c r="U2997" s="533"/>
      <c r="V2997" s="533"/>
      <c r="W2997" s="533"/>
      <c r="X2997" s="533"/>
      <c r="Y2997" s="533"/>
    </row>
    <row r="2998" spans="1:25" s="88" customFormat="1" hidden="1" x14ac:dyDescent="0.25">
      <c r="A2998" s="218"/>
      <c r="B2998" s="218"/>
      <c r="C2998" s="221"/>
      <c r="D2998" s="218"/>
      <c r="E2998" s="218"/>
      <c r="F2998" s="218" t="s">
        <v>236</v>
      </c>
      <c r="G2998" s="286" t="s">
        <v>237</v>
      </c>
      <c r="H2998" s="604"/>
      <c r="I2998" s="605"/>
      <c r="J2998" s="605">
        <f t="shared" si="95"/>
        <v>0</v>
      </c>
      <c r="K2998" s="533"/>
      <c r="L2998" s="533"/>
      <c r="M2998" s="533"/>
      <c r="N2998" s="268"/>
      <c r="O2998" s="533"/>
      <c r="P2998" s="533"/>
      <c r="Q2998" s="533"/>
      <c r="R2998" s="533"/>
      <c r="S2998" s="533"/>
      <c r="T2998" s="533"/>
      <c r="U2998" s="533"/>
      <c r="V2998" s="533"/>
      <c r="W2998" s="533"/>
      <c r="X2998" s="533"/>
      <c r="Y2998" s="533"/>
    </row>
    <row r="2999" spans="1:25" s="88" customFormat="1" hidden="1" x14ac:dyDescent="0.25">
      <c r="A2999" s="218"/>
      <c r="B2999" s="218"/>
      <c r="C2999" s="221"/>
      <c r="D2999" s="218"/>
      <c r="E2999" s="218"/>
      <c r="F2999" s="218" t="s">
        <v>238</v>
      </c>
      <c r="G2999" s="286" t="s">
        <v>239</v>
      </c>
      <c r="H2999" s="604"/>
      <c r="I2999" s="605"/>
      <c r="J2999" s="605">
        <f t="shared" si="95"/>
        <v>0</v>
      </c>
      <c r="K2999" s="533"/>
      <c r="L2999" s="533"/>
      <c r="M2999" s="533"/>
      <c r="N2999" s="268"/>
      <c r="O2999" s="533"/>
      <c r="P2999" s="533"/>
      <c r="Q2999" s="533"/>
      <c r="R2999" s="533"/>
      <c r="S2999" s="533"/>
      <c r="T2999" s="533"/>
      <c r="U2999" s="533"/>
      <c r="V2999" s="533"/>
      <c r="W2999" s="533"/>
      <c r="X2999" s="533"/>
      <c r="Y2999" s="533"/>
    </row>
    <row r="3000" spans="1:25" s="88" customFormat="1" hidden="1" x14ac:dyDescent="0.25">
      <c r="A3000" s="218"/>
      <c r="B3000" s="218"/>
      <c r="C3000" s="221"/>
      <c r="D3000" s="218"/>
      <c r="E3000" s="218"/>
      <c r="F3000" s="218" t="s">
        <v>240</v>
      </c>
      <c r="G3000" s="286" t="s">
        <v>241</v>
      </c>
      <c r="H3000" s="604"/>
      <c r="I3000" s="605"/>
      <c r="J3000" s="605">
        <f t="shared" si="95"/>
        <v>0</v>
      </c>
      <c r="K3000" s="533"/>
      <c r="L3000" s="533"/>
      <c r="M3000" s="533"/>
      <c r="N3000" s="268"/>
      <c r="O3000" s="533"/>
      <c r="P3000" s="533"/>
      <c r="Q3000" s="533"/>
      <c r="R3000" s="533"/>
      <c r="S3000" s="533"/>
      <c r="T3000" s="533"/>
      <c r="U3000" s="533"/>
      <c r="V3000" s="533"/>
      <c r="W3000" s="533"/>
      <c r="X3000" s="533"/>
      <c r="Y3000" s="533"/>
    </row>
    <row r="3001" spans="1:25" s="88" customFormat="1" hidden="1" x14ac:dyDescent="0.25">
      <c r="A3001" s="218"/>
      <c r="B3001" s="218"/>
      <c r="C3001" s="221"/>
      <c r="D3001" s="218"/>
      <c r="E3001" s="218"/>
      <c r="F3001" s="218" t="s">
        <v>242</v>
      </c>
      <c r="G3001" s="286" t="s">
        <v>243</v>
      </c>
      <c r="H3001" s="604"/>
      <c r="I3001" s="605"/>
      <c r="J3001" s="605">
        <f t="shared" si="95"/>
        <v>0</v>
      </c>
      <c r="K3001" s="533"/>
      <c r="L3001" s="533"/>
      <c r="M3001" s="533"/>
      <c r="N3001" s="268"/>
      <c r="O3001" s="533"/>
      <c r="P3001" s="533"/>
      <c r="Q3001" s="533"/>
      <c r="R3001" s="533"/>
      <c r="S3001" s="533"/>
      <c r="T3001" s="533"/>
      <c r="U3001" s="533"/>
      <c r="V3001" s="533"/>
      <c r="W3001" s="533"/>
      <c r="X3001" s="533"/>
      <c r="Y3001" s="533"/>
    </row>
    <row r="3002" spans="1:25" s="88" customFormat="1" hidden="1" x14ac:dyDescent="0.25">
      <c r="A3002" s="218"/>
      <c r="B3002" s="218"/>
      <c r="C3002" s="221"/>
      <c r="D3002" s="218"/>
      <c r="E3002" s="218"/>
      <c r="F3002" s="218" t="s">
        <v>244</v>
      </c>
      <c r="G3002" s="286" t="s">
        <v>245</v>
      </c>
      <c r="H3002" s="604"/>
      <c r="I3002" s="605"/>
      <c r="J3002" s="605">
        <f t="shared" si="95"/>
        <v>0</v>
      </c>
      <c r="K3002" s="533"/>
      <c r="L3002" s="533"/>
      <c r="M3002" s="533"/>
      <c r="N3002" s="268"/>
      <c r="O3002" s="533"/>
      <c r="P3002" s="533"/>
      <c r="Q3002" s="533"/>
      <c r="R3002" s="533"/>
      <c r="S3002" s="533"/>
      <c r="T3002" s="533"/>
      <c r="U3002" s="533"/>
      <c r="V3002" s="533"/>
      <c r="W3002" s="533"/>
      <c r="X3002" s="533"/>
      <c r="Y3002" s="533"/>
    </row>
    <row r="3003" spans="1:25" s="88" customFormat="1" hidden="1" x14ac:dyDescent="0.25">
      <c r="A3003" s="218"/>
      <c r="B3003" s="218"/>
      <c r="C3003" s="221"/>
      <c r="D3003" s="218"/>
      <c r="E3003" s="218"/>
      <c r="F3003" s="218" t="s">
        <v>246</v>
      </c>
      <c r="G3003" s="286" t="s">
        <v>247</v>
      </c>
      <c r="H3003" s="604"/>
      <c r="I3003" s="605"/>
      <c r="J3003" s="605">
        <f t="shared" si="95"/>
        <v>0</v>
      </c>
      <c r="K3003" s="533"/>
      <c r="L3003" s="533"/>
      <c r="M3003" s="533"/>
      <c r="N3003" s="268"/>
      <c r="O3003" s="533"/>
      <c r="P3003" s="533"/>
      <c r="Q3003" s="533"/>
      <c r="R3003" s="533"/>
      <c r="S3003" s="533"/>
      <c r="T3003" s="533"/>
      <c r="U3003" s="533"/>
      <c r="V3003" s="533"/>
      <c r="W3003" s="533"/>
      <c r="X3003" s="533"/>
      <c r="Y3003" s="533"/>
    </row>
    <row r="3004" spans="1:25" s="88" customFormat="1" hidden="1" x14ac:dyDescent="0.25">
      <c r="A3004" s="218"/>
      <c r="B3004" s="218"/>
      <c r="C3004" s="221"/>
      <c r="D3004" s="218"/>
      <c r="E3004" s="218"/>
      <c r="F3004" s="218" t="s">
        <v>248</v>
      </c>
      <c r="G3004" s="286" t="s">
        <v>249</v>
      </c>
      <c r="H3004" s="604"/>
      <c r="I3004" s="605"/>
      <c r="J3004" s="605">
        <f t="shared" si="95"/>
        <v>0</v>
      </c>
      <c r="K3004" s="533"/>
      <c r="L3004" s="533"/>
      <c r="M3004" s="533"/>
      <c r="N3004" s="268"/>
      <c r="O3004" s="533"/>
      <c r="P3004" s="533"/>
      <c r="Q3004" s="533"/>
      <c r="R3004" s="533"/>
      <c r="S3004" s="533"/>
      <c r="T3004" s="533"/>
      <c r="U3004" s="533"/>
      <c r="V3004" s="533"/>
      <c r="W3004" s="533"/>
      <c r="X3004" s="533"/>
      <c r="Y3004" s="533"/>
    </row>
    <row r="3005" spans="1:25" s="88" customFormat="1" hidden="1" x14ac:dyDescent="0.25">
      <c r="A3005" s="218"/>
      <c r="B3005" s="218"/>
      <c r="C3005" s="221"/>
      <c r="D3005" s="218"/>
      <c r="E3005" s="218"/>
      <c r="F3005" s="218" t="s">
        <v>250</v>
      </c>
      <c r="G3005" s="286" t="s">
        <v>57</v>
      </c>
      <c r="H3005" s="604"/>
      <c r="I3005" s="605"/>
      <c r="J3005" s="605">
        <f t="shared" si="95"/>
        <v>0</v>
      </c>
      <c r="K3005" s="533"/>
      <c r="L3005" s="533"/>
      <c r="M3005" s="533"/>
      <c r="N3005" s="268"/>
      <c r="O3005" s="533"/>
      <c r="P3005" s="533"/>
      <c r="Q3005" s="533"/>
      <c r="R3005" s="533"/>
      <c r="S3005" s="533"/>
      <c r="T3005" s="533"/>
      <c r="U3005" s="533"/>
      <c r="V3005" s="533"/>
      <c r="W3005" s="533"/>
      <c r="X3005" s="533"/>
      <c r="Y3005" s="533"/>
    </row>
    <row r="3006" spans="1:25" s="88" customFormat="1" hidden="1" x14ac:dyDescent="0.25">
      <c r="A3006" s="218"/>
      <c r="B3006" s="218"/>
      <c r="C3006" s="221"/>
      <c r="D3006" s="218"/>
      <c r="E3006" s="218"/>
      <c r="F3006" s="218" t="s">
        <v>251</v>
      </c>
      <c r="G3006" s="286" t="s">
        <v>252</v>
      </c>
      <c r="H3006" s="604"/>
      <c r="I3006" s="605"/>
      <c r="J3006" s="605">
        <f t="shared" si="95"/>
        <v>0</v>
      </c>
      <c r="K3006" s="533"/>
      <c r="L3006" s="533"/>
      <c r="M3006" s="533"/>
      <c r="N3006" s="268"/>
      <c r="O3006" s="533"/>
      <c r="P3006" s="533"/>
      <c r="Q3006" s="533"/>
      <c r="R3006" s="533"/>
      <c r="S3006" s="533"/>
      <c r="T3006" s="533"/>
      <c r="U3006" s="533"/>
      <c r="V3006" s="533"/>
      <c r="W3006" s="533"/>
      <c r="X3006" s="533"/>
      <c r="Y3006" s="533"/>
    </row>
    <row r="3007" spans="1:25" s="88" customFormat="1" hidden="1" x14ac:dyDescent="0.25">
      <c r="A3007" s="218"/>
      <c r="B3007" s="218"/>
      <c r="C3007" s="221"/>
      <c r="D3007" s="218"/>
      <c r="E3007" s="218"/>
      <c r="F3007" s="218" t="s">
        <v>253</v>
      </c>
      <c r="G3007" s="286" t="s">
        <v>254</v>
      </c>
      <c r="H3007" s="604"/>
      <c r="I3007" s="605"/>
      <c r="J3007" s="605">
        <f t="shared" si="95"/>
        <v>0</v>
      </c>
      <c r="K3007" s="533"/>
      <c r="L3007" s="533"/>
      <c r="M3007" s="533"/>
      <c r="N3007" s="268"/>
      <c r="O3007" s="533"/>
      <c r="P3007" s="533"/>
      <c r="Q3007" s="533"/>
      <c r="R3007" s="533"/>
      <c r="S3007" s="533"/>
      <c r="T3007" s="533"/>
      <c r="U3007" s="533"/>
      <c r="V3007" s="533"/>
      <c r="W3007" s="533"/>
      <c r="X3007" s="533"/>
      <c r="Y3007" s="533"/>
    </row>
    <row r="3008" spans="1:25" s="88" customFormat="1" ht="28.5" hidden="1" x14ac:dyDescent="0.25">
      <c r="A3008" s="218"/>
      <c r="B3008" s="218"/>
      <c r="C3008" s="221"/>
      <c r="D3008" s="218"/>
      <c r="E3008" s="218"/>
      <c r="F3008" s="218" t="s">
        <v>255</v>
      </c>
      <c r="G3008" s="286" t="s">
        <v>256</v>
      </c>
      <c r="H3008" s="604"/>
      <c r="I3008" s="605"/>
      <c r="J3008" s="605">
        <f t="shared" si="95"/>
        <v>0</v>
      </c>
      <c r="K3008" s="533"/>
      <c r="L3008" s="533"/>
      <c r="M3008" s="533"/>
      <c r="N3008" s="268"/>
      <c r="O3008" s="533"/>
      <c r="P3008" s="533"/>
      <c r="Q3008" s="533"/>
      <c r="R3008" s="533"/>
      <c r="S3008" s="533"/>
      <c r="T3008" s="533"/>
      <c r="U3008" s="533"/>
      <c r="V3008" s="533"/>
      <c r="W3008" s="533"/>
      <c r="X3008" s="533"/>
      <c r="Y3008" s="533"/>
    </row>
    <row r="3009" spans="1:25" s="88" customFormat="1" hidden="1" x14ac:dyDescent="0.25">
      <c r="A3009" s="218"/>
      <c r="B3009" s="218"/>
      <c r="C3009" s="221"/>
      <c r="D3009" s="218"/>
      <c r="E3009" s="218"/>
      <c r="F3009" s="218" t="s">
        <v>257</v>
      </c>
      <c r="G3009" s="286" t="s">
        <v>258</v>
      </c>
      <c r="H3009" s="604"/>
      <c r="I3009" s="605"/>
      <c r="J3009" s="605">
        <f t="shared" si="95"/>
        <v>0</v>
      </c>
      <c r="K3009" s="533"/>
      <c r="L3009" s="533"/>
      <c r="M3009" s="533"/>
      <c r="N3009" s="268"/>
      <c r="O3009" s="533"/>
      <c r="P3009" s="533"/>
      <c r="Q3009" s="533"/>
      <c r="R3009" s="533"/>
      <c r="S3009" s="533"/>
      <c r="T3009" s="533"/>
      <c r="U3009" s="533"/>
      <c r="V3009" s="533"/>
      <c r="W3009" s="533"/>
      <c r="X3009" s="533"/>
      <c r="Y3009" s="533"/>
    </row>
    <row r="3010" spans="1:25" s="88" customFormat="1" ht="28.5" hidden="1" x14ac:dyDescent="0.25">
      <c r="A3010" s="218"/>
      <c r="B3010" s="218"/>
      <c r="C3010" s="221"/>
      <c r="D3010" s="218"/>
      <c r="E3010" s="218"/>
      <c r="F3010" s="218" t="s">
        <v>259</v>
      </c>
      <c r="G3010" s="286" t="s">
        <v>260</v>
      </c>
      <c r="H3010" s="604"/>
      <c r="I3010" s="605"/>
      <c r="J3010" s="605">
        <f t="shared" si="95"/>
        <v>0</v>
      </c>
      <c r="K3010" s="533"/>
      <c r="L3010" s="533"/>
      <c r="M3010" s="533"/>
      <c r="N3010" s="268"/>
      <c r="O3010" s="533"/>
      <c r="P3010" s="533"/>
      <c r="Q3010" s="533"/>
      <c r="R3010" s="533"/>
      <c r="S3010" s="533"/>
      <c r="T3010" s="533"/>
      <c r="U3010" s="533"/>
      <c r="V3010" s="533"/>
      <c r="W3010" s="533"/>
      <c r="X3010" s="533"/>
      <c r="Y3010" s="533"/>
    </row>
    <row r="3011" spans="1:25" s="88" customFormat="1" hidden="1" x14ac:dyDescent="0.25">
      <c r="A3011" s="218"/>
      <c r="B3011" s="218"/>
      <c r="C3011" s="221"/>
      <c r="D3011" s="218"/>
      <c r="E3011" s="218"/>
      <c r="F3011" s="218" t="s">
        <v>261</v>
      </c>
      <c r="G3011" s="286" t="s">
        <v>262</v>
      </c>
      <c r="H3011" s="604"/>
      <c r="I3011" s="605"/>
      <c r="J3011" s="605">
        <f t="shared" si="95"/>
        <v>0</v>
      </c>
      <c r="K3011" s="533"/>
      <c r="L3011" s="533"/>
      <c r="M3011" s="533"/>
      <c r="N3011" s="268"/>
      <c r="O3011" s="533"/>
      <c r="P3011" s="533"/>
      <c r="Q3011" s="533"/>
      <c r="R3011" s="533"/>
      <c r="S3011" s="533"/>
      <c r="T3011" s="533"/>
      <c r="U3011" s="533"/>
      <c r="V3011" s="533"/>
      <c r="W3011" s="533"/>
      <c r="X3011" s="533"/>
      <c r="Y3011" s="533"/>
    </row>
    <row r="3012" spans="1:25" s="88" customFormat="1" hidden="1" x14ac:dyDescent="0.25">
      <c r="A3012" s="218"/>
      <c r="B3012" s="218"/>
      <c r="C3012" s="221"/>
      <c r="D3012" s="218"/>
      <c r="E3012" s="218"/>
      <c r="F3012" s="218" t="s">
        <v>263</v>
      </c>
      <c r="G3012" s="286" t="s">
        <v>264</v>
      </c>
      <c r="H3012" s="604"/>
      <c r="I3012" s="605"/>
      <c r="J3012" s="605">
        <f t="shared" si="95"/>
        <v>0</v>
      </c>
      <c r="K3012" s="533"/>
      <c r="L3012" s="533"/>
      <c r="M3012" s="533"/>
      <c r="N3012" s="268"/>
      <c r="O3012" s="533"/>
      <c r="P3012" s="533"/>
      <c r="Q3012" s="533"/>
      <c r="R3012" s="533"/>
      <c r="S3012" s="533"/>
      <c r="T3012" s="533"/>
      <c r="U3012" s="533"/>
      <c r="V3012" s="533"/>
      <c r="W3012" s="533"/>
      <c r="X3012" s="533"/>
      <c r="Y3012" s="533"/>
    </row>
    <row r="3013" spans="1:25" s="88" customFormat="1" ht="15.75" thickBot="1" x14ac:dyDescent="0.3">
      <c r="A3013" s="218"/>
      <c r="B3013" s="218"/>
      <c r="C3013" s="221"/>
      <c r="D3013" s="218"/>
      <c r="E3013" s="218"/>
      <c r="F3013" s="218"/>
      <c r="G3013" s="727" t="s">
        <v>5254</v>
      </c>
      <c r="H3013" s="728">
        <f>SUM(H2997:H3012)</f>
        <v>6000000</v>
      </c>
      <c r="I3013" s="726">
        <f>SUM(I2998:I3012)</f>
        <v>0</v>
      </c>
      <c r="J3013" s="726">
        <f>SUM(J2997:J3012)</f>
        <v>6000000</v>
      </c>
      <c r="K3013" s="533"/>
      <c r="L3013" s="533"/>
      <c r="M3013" s="533"/>
      <c r="N3013" s="268"/>
      <c r="O3013" s="533"/>
      <c r="P3013" s="533"/>
      <c r="Q3013" s="533"/>
      <c r="R3013" s="533"/>
      <c r="S3013" s="533"/>
      <c r="T3013" s="533"/>
      <c r="U3013" s="533"/>
      <c r="V3013" s="533"/>
      <c r="W3013" s="533"/>
      <c r="X3013" s="533"/>
      <c r="Y3013" s="533"/>
    </row>
    <row r="3014" spans="1:25" s="88" customFormat="1" x14ac:dyDescent="0.25">
      <c r="A3014" s="509"/>
      <c r="B3014" s="256"/>
      <c r="C3014" s="221"/>
      <c r="D3014" s="218"/>
      <c r="E3014" s="218"/>
      <c r="F3014" s="218"/>
      <c r="G3014" s="286"/>
      <c r="H3014" s="604"/>
      <c r="I3014" s="605"/>
      <c r="J3014" s="605"/>
      <c r="K3014" s="533"/>
      <c r="L3014" s="533"/>
      <c r="M3014" s="533"/>
      <c r="N3014" s="268"/>
      <c r="O3014" s="533"/>
      <c r="P3014" s="533"/>
      <c r="Q3014" s="533"/>
      <c r="R3014" s="533"/>
      <c r="S3014" s="533"/>
      <c r="T3014" s="533"/>
      <c r="U3014" s="533"/>
      <c r="V3014" s="533"/>
      <c r="W3014" s="533"/>
      <c r="X3014" s="533"/>
      <c r="Y3014" s="533"/>
    </row>
    <row r="3015" spans="1:25" s="88" customFormat="1" x14ac:dyDescent="0.25">
      <c r="A3015" s="509"/>
      <c r="B3015" s="256"/>
      <c r="C3015" s="323" t="s">
        <v>4667</v>
      </c>
      <c r="D3015" s="285"/>
      <c r="E3015" s="285"/>
      <c r="F3015" s="222"/>
      <c r="G3015" s="286" t="s">
        <v>5255</v>
      </c>
      <c r="H3015" s="594"/>
      <c r="I3015" s="595"/>
      <c r="J3015" s="595"/>
      <c r="K3015" s="533"/>
      <c r="L3015" s="533"/>
      <c r="M3015" s="533"/>
      <c r="N3015" s="268"/>
      <c r="O3015" s="533"/>
      <c r="P3015" s="533"/>
      <c r="Q3015" s="533"/>
      <c r="R3015" s="533"/>
      <c r="S3015" s="533"/>
      <c r="T3015" s="533"/>
      <c r="U3015" s="533"/>
      <c r="V3015" s="533"/>
      <c r="W3015" s="533"/>
      <c r="X3015" s="533"/>
      <c r="Y3015" s="533"/>
    </row>
    <row r="3016" spans="1:25" s="88" customFormat="1" x14ac:dyDescent="0.25">
      <c r="A3016" s="509"/>
      <c r="B3016" s="256"/>
      <c r="C3016" s="228"/>
      <c r="D3016" s="312">
        <v>620</v>
      </c>
      <c r="E3016" s="312"/>
      <c r="F3016" s="312"/>
      <c r="G3016" s="314" t="s">
        <v>182</v>
      </c>
      <c r="H3016" s="594"/>
      <c r="I3016" s="595"/>
      <c r="J3016" s="595"/>
      <c r="K3016" s="533"/>
      <c r="L3016" s="533"/>
      <c r="M3016" s="533"/>
      <c r="N3016" s="268"/>
      <c r="O3016" s="533"/>
      <c r="P3016" s="533"/>
      <c r="Q3016" s="533"/>
      <c r="R3016" s="533"/>
      <c r="S3016" s="533"/>
      <c r="T3016" s="533"/>
      <c r="U3016" s="533"/>
      <c r="V3016" s="533"/>
      <c r="W3016" s="533"/>
      <c r="X3016" s="533"/>
      <c r="Y3016" s="533"/>
    </row>
    <row r="3017" spans="1:25" s="88" customFormat="1" hidden="1" x14ac:dyDescent="0.25">
      <c r="A3017" s="509"/>
      <c r="B3017" s="256"/>
      <c r="C3017" s="221"/>
      <c r="D3017" s="218"/>
      <c r="E3017" s="218"/>
      <c r="F3017" s="527">
        <v>411</v>
      </c>
      <c r="G3017" s="520" t="s">
        <v>4189</v>
      </c>
      <c r="H3017" s="594"/>
      <c r="I3017" s="595"/>
      <c r="J3017" s="595">
        <f>SUM(H3017:I3017)</f>
        <v>0</v>
      </c>
      <c r="K3017" s="533"/>
      <c r="L3017" s="533"/>
      <c r="M3017" s="533"/>
      <c r="N3017" s="268"/>
      <c r="O3017" s="533"/>
      <c r="P3017" s="533"/>
      <c r="Q3017" s="533"/>
      <c r="R3017" s="533"/>
      <c r="S3017" s="533"/>
      <c r="T3017" s="533"/>
      <c r="U3017" s="533"/>
      <c r="V3017" s="533"/>
      <c r="W3017" s="533"/>
      <c r="X3017" s="533"/>
      <c r="Y3017" s="533"/>
    </row>
    <row r="3018" spans="1:25" s="88" customFormat="1" hidden="1" x14ac:dyDescent="0.25">
      <c r="A3018" s="509"/>
      <c r="B3018" s="256"/>
      <c r="C3018" s="221"/>
      <c r="D3018" s="218"/>
      <c r="E3018" s="218"/>
      <c r="F3018" s="527">
        <v>412</v>
      </c>
      <c r="G3018" s="516" t="s">
        <v>3784</v>
      </c>
      <c r="H3018" s="594"/>
      <c r="I3018" s="595"/>
      <c r="J3018" s="595">
        <f t="shared" ref="J3018:J3076" si="96">SUM(H3018:I3018)</f>
        <v>0</v>
      </c>
      <c r="K3018" s="533"/>
      <c r="L3018" s="533"/>
      <c r="M3018" s="533"/>
      <c r="N3018" s="268"/>
      <c r="O3018" s="533"/>
      <c r="P3018" s="533"/>
      <c r="Q3018" s="533"/>
      <c r="R3018" s="533"/>
      <c r="S3018" s="533"/>
      <c r="T3018" s="533"/>
      <c r="U3018" s="533"/>
      <c r="V3018" s="533"/>
      <c r="W3018" s="533"/>
      <c r="X3018" s="533"/>
      <c r="Y3018" s="533"/>
    </row>
    <row r="3019" spans="1:25" s="88" customFormat="1" hidden="1" x14ac:dyDescent="0.25">
      <c r="A3019" s="509"/>
      <c r="B3019" s="256"/>
      <c r="C3019" s="221"/>
      <c r="D3019" s="218"/>
      <c r="E3019" s="218"/>
      <c r="F3019" s="527">
        <v>413</v>
      </c>
      <c r="G3019" s="520" t="s">
        <v>4190</v>
      </c>
      <c r="H3019" s="594"/>
      <c r="I3019" s="595"/>
      <c r="J3019" s="595">
        <f t="shared" si="96"/>
        <v>0</v>
      </c>
      <c r="K3019" s="533"/>
      <c r="L3019" s="533"/>
      <c r="M3019" s="533"/>
      <c r="N3019" s="268"/>
      <c r="O3019" s="533"/>
      <c r="P3019" s="533"/>
      <c r="Q3019" s="533"/>
      <c r="R3019" s="533"/>
      <c r="S3019" s="533"/>
      <c r="T3019" s="533"/>
      <c r="U3019" s="533"/>
      <c r="V3019" s="533"/>
      <c r="W3019" s="533"/>
      <c r="X3019" s="533"/>
      <c r="Y3019" s="533"/>
    </row>
    <row r="3020" spans="1:25" s="88" customFormat="1" hidden="1" x14ac:dyDescent="0.25">
      <c r="A3020" s="509"/>
      <c r="B3020" s="256"/>
      <c r="C3020" s="221"/>
      <c r="D3020" s="218"/>
      <c r="E3020" s="218"/>
      <c r="F3020" s="527">
        <v>414</v>
      </c>
      <c r="G3020" s="520" t="s">
        <v>3787</v>
      </c>
      <c r="H3020" s="594"/>
      <c r="I3020" s="595"/>
      <c r="J3020" s="595">
        <f t="shared" si="96"/>
        <v>0</v>
      </c>
      <c r="K3020" s="533"/>
      <c r="L3020" s="533"/>
      <c r="M3020" s="533"/>
      <c r="N3020" s="268"/>
      <c r="O3020" s="533"/>
      <c r="P3020" s="533"/>
      <c r="Q3020" s="533"/>
      <c r="R3020" s="533"/>
      <c r="S3020" s="533"/>
      <c r="T3020" s="533"/>
      <c r="U3020" s="533"/>
      <c r="V3020" s="533"/>
      <c r="W3020" s="533"/>
      <c r="X3020" s="533"/>
      <c r="Y3020" s="533"/>
    </row>
    <row r="3021" spans="1:25" s="88" customFormat="1" hidden="1" x14ac:dyDescent="0.25">
      <c r="A3021" s="509"/>
      <c r="B3021" s="256"/>
      <c r="C3021" s="221"/>
      <c r="D3021" s="218"/>
      <c r="E3021" s="218"/>
      <c r="F3021" s="527">
        <v>415</v>
      </c>
      <c r="G3021" s="520" t="s">
        <v>4199</v>
      </c>
      <c r="H3021" s="594"/>
      <c r="I3021" s="595"/>
      <c r="J3021" s="595">
        <f t="shared" si="96"/>
        <v>0</v>
      </c>
      <c r="K3021" s="533"/>
      <c r="L3021" s="533"/>
      <c r="M3021" s="533"/>
      <c r="N3021" s="268"/>
      <c r="O3021" s="533"/>
      <c r="P3021" s="533"/>
      <c r="Q3021" s="533"/>
      <c r="R3021" s="533"/>
      <c r="S3021" s="533"/>
      <c r="T3021" s="533"/>
      <c r="U3021" s="533"/>
      <c r="V3021" s="533"/>
      <c r="W3021" s="533"/>
      <c r="X3021" s="533"/>
      <c r="Y3021" s="533"/>
    </row>
    <row r="3022" spans="1:25" s="88" customFormat="1" hidden="1" x14ac:dyDescent="0.25">
      <c r="A3022" s="509"/>
      <c r="B3022" s="256"/>
      <c r="C3022" s="221"/>
      <c r="D3022" s="218"/>
      <c r="E3022" s="218"/>
      <c r="F3022" s="527">
        <v>416</v>
      </c>
      <c r="G3022" s="520" t="s">
        <v>4200</v>
      </c>
      <c r="H3022" s="594"/>
      <c r="I3022" s="595"/>
      <c r="J3022" s="595">
        <f t="shared" si="96"/>
        <v>0</v>
      </c>
      <c r="K3022" s="533"/>
      <c r="L3022" s="533"/>
      <c r="M3022" s="533"/>
      <c r="N3022" s="268"/>
      <c r="O3022" s="533"/>
      <c r="P3022" s="533"/>
      <c r="Q3022" s="533"/>
      <c r="R3022" s="533"/>
      <c r="S3022" s="533"/>
      <c r="T3022" s="533"/>
      <c r="U3022" s="533"/>
      <c r="V3022" s="533"/>
      <c r="W3022" s="533"/>
      <c r="X3022" s="533"/>
      <c r="Y3022" s="533"/>
    </row>
    <row r="3023" spans="1:25" s="88" customFormat="1" hidden="1" x14ac:dyDescent="0.25">
      <c r="A3023" s="509"/>
      <c r="B3023" s="256"/>
      <c r="C3023" s="221"/>
      <c r="D3023" s="218"/>
      <c r="E3023" s="218"/>
      <c r="F3023" s="527">
        <v>417</v>
      </c>
      <c r="G3023" s="520" t="s">
        <v>4201</v>
      </c>
      <c r="H3023" s="594"/>
      <c r="I3023" s="595"/>
      <c r="J3023" s="595">
        <f t="shared" si="96"/>
        <v>0</v>
      </c>
      <c r="K3023" s="533"/>
      <c r="L3023" s="533"/>
      <c r="M3023" s="533"/>
      <c r="N3023" s="268"/>
      <c r="O3023" s="533"/>
      <c r="P3023" s="533"/>
      <c r="Q3023" s="533"/>
      <c r="R3023" s="533"/>
      <c r="S3023" s="533"/>
      <c r="T3023" s="533"/>
      <c r="U3023" s="533"/>
      <c r="V3023" s="533"/>
      <c r="W3023" s="533"/>
      <c r="X3023" s="533"/>
      <c r="Y3023" s="533"/>
    </row>
    <row r="3024" spans="1:25" s="88" customFormat="1" hidden="1" x14ac:dyDescent="0.25">
      <c r="A3024" s="509"/>
      <c r="B3024" s="256"/>
      <c r="C3024" s="221"/>
      <c r="D3024" s="218"/>
      <c r="E3024" s="218"/>
      <c r="F3024" s="527">
        <v>418</v>
      </c>
      <c r="G3024" s="520" t="s">
        <v>3793</v>
      </c>
      <c r="H3024" s="594"/>
      <c r="I3024" s="595"/>
      <c r="J3024" s="595">
        <f t="shared" si="96"/>
        <v>0</v>
      </c>
      <c r="K3024" s="533"/>
      <c r="L3024" s="533"/>
      <c r="M3024" s="533"/>
      <c r="N3024" s="268"/>
      <c r="O3024" s="533"/>
      <c r="P3024" s="533"/>
      <c r="Q3024" s="533"/>
      <c r="R3024" s="533"/>
      <c r="S3024" s="533"/>
      <c r="T3024" s="533"/>
      <c r="U3024" s="533"/>
      <c r="V3024" s="533"/>
      <c r="W3024" s="533"/>
      <c r="X3024" s="533"/>
      <c r="Y3024" s="533"/>
    </row>
    <row r="3025" spans="1:25" s="88" customFormat="1" hidden="1" x14ac:dyDescent="0.25">
      <c r="A3025" s="509"/>
      <c r="B3025" s="256"/>
      <c r="C3025" s="221"/>
      <c r="D3025" s="218"/>
      <c r="E3025" s="218"/>
      <c r="F3025" s="527">
        <v>421</v>
      </c>
      <c r="G3025" s="520" t="s">
        <v>3797</v>
      </c>
      <c r="H3025" s="594"/>
      <c r="I3025" s="595"/>
      <c r="J3025" s="595">
        <f t="shared" si="96"/>
        <v>0</v>
      </c>
      <c r="K3025" s="533"/>
      <c r="L3025" s="533"/>
      <c r="M3025" s="533"/>
      <c r="N3025" s="268"/>
      <c r="O3025" s="533"/>
      <c r="P3025" s="533"/>
      <c r="Q3025" s="533"/>
      <c r="R3025" s="533"/>
      <c r="S3025" s="533"/>
      <c r="T3025" s="533"/>
      <c r="U3025" s="533"/>
      <c r="V3025" s="533"/>
      <c r="W3025" s="533"/>
      <c r="X3025" s="533"/>
      <c r="Y3025" s="533"/>
    </row>
    <row r="3026" spans="1:25" s="88" customFormat="1" hidden="1" x14ac:dyDescent="0.25">
      <c r="A3026" s="509"/>
      <c r="B3026" s="256"/>
      <c r="C3026" s="221"/>
      <c r="D3026" s="218"/>
      <c r="E3026" s="218"/>
      <c r="F3026" s="527">
        <v>422</v>
      </c>
      <c r="G3026" s="520" t="s">
        <v>3798</v>
      </c>
      <c r="H3026" s="594"/>
      <c r="I3026" s="595"/>
      <c r="J3026" s="595">
        <f t="shared" si="96"/>
        <v>0</v>
      </c>
      <c r="K3026" s="533"/>
      <c r="L3026" s="533"/>
      <c r="M3026" s="533"/>
      <c r="N3026" s="268"/>
      <c r="O3026" s="533"/>
      <c r="P3026" s="533"/>
      <c r="Q3026" s="533"/>
      <c r="R3026" s="533"/>
      <c r="S3026" s="533"/>
      <c r="T3026" s="533"/>
      <c r="U3026" s="533"/>
      <c r="V3026" s="533"/>
      <c r="W3026" s="533"/>
      <c r="X3026" s="533"/>
      <c r="Y3026" s="533"/>
    </row>
    <row r="3027" spans="1:25" s="88" customFormat="1" hidden="1" x14ac:dyDescent="0.25">
      <c r="A3027" s="509"/>
      <c r="B3027" s="256"/>
      <c r="C3027" s="221"/>
      <c r="D3027" s="218"/>
      <c r="E3027" s="218"/>
      <c r="F3027" s="527">
        <v>423</v>
      </c>
      <c r="G3027" s="520" t="s">
        <v>3799</v>
      </c>
      <c r="H3027" s="594"/>
      <c r="I3027" s="595"/>
      <c r="J3027" s="595">
        <f t="shared" si="96"/>
        <v>0</v>
      </c>
      <c r="K3027" s="533"/>
      <c r="L3027" s="533"/>
      <c r="M3027" s="533"/>
      <c r="N3027" s="268"/>
      <c r="O3027" s="533"/>
      <c r="P3027" s="533"/>
      <c r="Q3027" s="533"/>
      <c r="R3027" s="533"/>
      <c r="S3027" s="533"/>
      <c r="T3027" s="533"/>
      <c r="U3027" s="533"/>
      <c r="V3027" s="533"/>
      <c r="W3027" s="533"/>
      <c r="X3027" s="533"/>
      <c r="Y3027" s="533"/>
    </row>
    <row r="3028" spans="1:25" s="88" customFormat="1" hidden="1" x14ac:dyDescent="0.25">
      <c r="A3028" s="509"/>
      <c r="B3028" s="256"/>
      <c r="C3028" s="221"/>
      <c r="D3028" s="218"/>
      <c r="E3028" s="218"/>
      <c r="F3028" s="527">
        <v>424</v>
      </c>
      <c r="G3028" s="520" t="s">
        <v>3801</v>
      </c>
      <c r="H3028" s="594"/>
      <c r="I3028" s="595"/>
      <c r="J3028" s="595">
        <f t="shared" si="96"/>
        <v>0</v>
      </c>
      <c r="K3028" s="533"/>
      <c r="L3028" s="533"/>
      <c r="M3028" s="533"/>
      <c r="N3028" s="268"/>
      <c r="O3028" s="533"/>
      <c r="P3028" s="533"/>
      <c r="Q3028" s="533"/>
      <c r="R3028" s="533"/>
      <c r="S3028" s="533"/>
      <c r="T3028" s="533"/>
      <c r="U3028" s="533"/>
      <c r="V3028" s="533"/>
      <c r="W3028" s="533"/>
      <c r="X3028" s="533"/>
      <c r="Y3028" s="533"/>
    </row>
    <row r="3029" spans="1:25" s="88" customFormat="1" hidden="1" x14ac:dyDescent="0.25">
      <c r="A3029" s="509"/>
      <c r="B3029" s="256"/>
      <c r="C3029" s="221"/>
      <c r="D3029" s="218"/>
      <c r="E3029" s="218"/>
      <c r="F3029" s="527">
        <v>425</v>
      </c>
      <c r="G3029" s="520" t="s">
        <v>4202</v>
      </c>
      <c r="H3029" s="594"/>
      <c r="I3029" s="595"/>
      <c r="J3029" s="595">
        <f t="shared" si="96"/>
        <v>0</v>
      </c>
      <c r="K3029" s="533"/>
      <c r="L3029" s="533"/>
      <c r="M3029" s="533"/>
      <c r="N3029" s="268"/>
      <c r="O3029" s="533"/>
      <c r="P3029" s="533"/>
      <c r="Q3029" s="533"/>
      <c r="R3029" s="533"/>
      <c r="S3029" s="533"/>
      <c r="T3029" s="533"/>
      <c r="U3029" s="533"/>
      <c r="V3029" s="533"/>
      <c r="W3029" s="533"/>
      <c r="X3029" s="533"/>
      <c r="Y3029" s="533"/>
    </row>
    <row r="3030" spans="1:25" s="88" customFormat="1" hidden="1" x14ac:dyDescent="0.25">
      <c r="A3030" s="509"/>
      <c r="B3030" s="256"/>
      <c r="C3030" s="221"/>
      <c r="D3030" s="218"/>
      <c r="E3030" s="218"/>
      <c r="F3030" s="527">
        <v>426</v>
      </c>
      <c r="G3030" s="520" t="s">
        <v>3805</v>
      </c>
      <c r="H3030" s="594"/>
      <c r="I3030" s="595"/>
      <c r="J3030" s="595">
        <f t="shared" si="96"/>
        <v>0</v>
      </c>
      <c r="K3030" s="533"/>
      <c r="L3030" s="533"/>
      <c r="M3030" s="533"/>
      <c r="N3030" s="268"/>
      <c r="O3030" s="533"/>
      <c r="P3030" s="533"/>
      <c r="Q3030" s="533"/>
      <c r="R3030" s="533"/>
      <c r="S3030" s="533"/>
      <c r="T3030" s="533"/>
      <c r="U3030" s="533"/>
      <c r="V3030" s="533"/>
      <c r="W3030" s="533"/>
      <c r="X3030" s="533"/>
      <c r="Y3030" s="533"/>
    </row>
    <row r="3031" spans="1:25" s="88" customFormat="1" hidden="1" x14ac:dyDescent="0.25">
      <c r="A3031" s="509"/>
      <c r="B3031" s="256"/>
      <c r="C3031" s="221"/>
      <c r="D3031" s="218"/>
      <c r="E3031" s="218"/>
      <c r="F3031" s="527">
        <v>431</v>
      </c>
      <c r="G3031" s="520" t="s">
        <v>4203</v>
      </c>
      <c r="H3031" s="594"/>
      <c r="I3031" s="595"/>
      <c r="J3031" s="595">
        <f t="shared" si="96"/>
        <v>0</v>
      </c>
      <c r="K3031" s="533"/>
      <c r="L3031" s="533"/>
      <c r="M3031" s="533"/>
      <c r="N3031" s="268"/>
      <c r="O3031" s="533"/>
      <c r="P3031" s="533"/>
      <c r="Q3031" s="533"/>
      <c r="R3031" s="533"/>
      <c r="S3031" s="533"/>
      <c r="T3031" s="533"/>
      <c r="U3031" s="533"/>
      <c r="V3031" s="533"/>
      <c r="W3031" s="533"/>
      <c r="X3031" s="533"/>
      <c r="Y3031" s="533"/>
    </row>
    <row r="3032" spans="1:25" s="88" customFormat="1" hidden="1" x14ac:dyDescent="0.25">
      <c r="A3032" s="509"/>
      <c r="B3032" s="256"/>
      <c r="C3032" s="221"/>
      <c r="D3032" s="218"/>
      <c r="E3032" s="218"/>
      <c r="F3032" s="527">
        <v>432</v>
      </c>
      <c r="G3032" s="520" t="s">
        <v>4204</v>
      </c>
      <c r="H3032" s="594"/>
      <c r="I3032" s="595"/>
      <c r="J3032" s="595">
        <f t="shared" si="96"/>
        <v>0</v>
      </c>
      <c r="K3032" s="533"/>
      <c r="L3032" s="533"/>
      <c r="M3032" s="533"/>
      <c r="N3032" s="268"/>
      <c r="O3032" s="533"/>
      <c r="P3032" s="533"/>
      <c r="Q3032" s="533"/>
      <c r="R3032" s="533"/>
      <c r="S3032" s="533"/>
      <c r="T3032" s="533"/>
      <c r="U3032" s="533"/>
      <c r="V3032" s="533"/>
      <c r="W3032" s="533"/>
      <c r="X3032" s="533"/>
      <c r="Y3032" s="533"/>
    </row>
    <row r="3033" spans="1:25" s="88" customFormat="1" hidden="1" x14ac:dyDescent="0.25">
      <c r="A3033" s="509"/>
      <c r="B3033" s="256"/>
      <c r="C3033" s="221"/>
      <c r="D3033" s="218"/>
      <c r="E3033" s="218"/>
      <c r="F3033" s="527">
        <v>433</v>
      </c>
      <c r="G3033" s="520" t="s">
        <v>4205</v>
      </c>
      <c r="H3033" s="594"/>
      <c r="I3033" s="595"/>
      <c r="J3033" s="595">
        <f t="shared" si="96"/>
        <v>0</v>
      </c>
      <c r="K3033" s="533"/>
      <c r="L3033" s="533"/>
      <c r="M3033" s="533"/>
      <c r="N3033" s="268"/>
      <c r="O3033" s="533"/>
      <c r="P3033" s="533"/>
      <c r="Q3033" s="533"/>
      <c r="R3033" s="533"/>
      <c r="S3033" s="533"/>
      <c r="T3033" s="533"/>
      <c r="U3033" s="533"/>
      <c r="V3033" s="533"/>
      <c r="W3033" s="533"/>
      <c r="X3033" s="533"/>
      <c r="Y3033" s="533"/>
    </row>
    <row r="3034" spans="1:25" s="88" customFormat="1" hidden="1" x14ac:dyDescent="0.25">
      <c r="A3034" s="509"/>
      <c r="B3034" s="256"/>
      <c r="C3034" s="221"/>
      <c r="D3034" s="218"/>
      <c r="E3034" s="218"/>
      <c r="F3034" s="527">
        <v>434</v>
      </c>
      <c r="G3034" s="520" t="s">
        <v>4206</v>
      </c>
      <c r="H3034" s="594"/>
      <c r="I3034" s="595"/>
      <c r="J3034" s="595">
        <f t="shared" si="96"/>
        <v>0</v>
      </c>
      <c r="K3034" s="533"/>
      <c r="L3034" s="533"/>
      <c r="M3034" s="533"/>
      <c r="N3034" s="268"/>
      <c r="O3034" s="533"/>
      <c r="P3034" s="533"/>
      <c r="Q3034" s="533"/>
      <c r="R3034" s="533"/>
      <c r="S3034" s="533"/>
      <c r="T3034" s="533"/>
      <c r="U3034" s="533"/>
      <c r="V3034" s="533"/>
      <c r="W3034" s="533"/>
      <c r="X3034" s="533"/>
      <c r="Y3034" s="533"/>
    </row>
    <row r="3035" spans="1:25" s="88" customFormat="1" hidden="1" x14ac:dyDescent="0.25">
      <c r="A3035" s="509"/>
      <c r="B3035" s="256"/>
      <c r="C3035" s="221"/>
      <c r="D3035" s="218"/>
      <c r="E3035" s="218"/>
      <c r="F3035" s="527">
        <v>435</v>
      </c>
      <c r="G3035" s="520" t="s">
        <v>3812</v>
      </c>
      <c r="H3035" s="594"/>
      <c r="I3035" s="595"/>
      <c r="J3035" s="595">
        <f t="shared" si="96"/>
        <v>0</v>
      </c>
      <c r="K3035" s="533"/>
      <c r="L3035" s="533"/>
      <c r="M3035" s="533"/>
      <c r="N3035" s="268"/>
      <c r="O3035" s="533"/>
      <c r="P3035" s="533"/>
      <c r="Q3035" s="533"/>
      <c r="R3035" s="533"/>
      <c r="S3035" s="533"/>
      <c r="T3035" s="533"/>
      <c r="U3035" s="533"/>
      <c r="V3035" s="533"/>
      <c r="W3035" s="533"/>
      <c r="X3035" s="533"/>
      <c r="Y3035" s="533"/>
    </row>
    <row r="3036" spans="1:25" s="88" customFormat="1" hidden="1" x14ac:dyDescent="0.25">
      <c r="A3036" s="509"/>
      <c r="B3036" s="256"/>
      <c r="C3036" s="221"/>
      <c r="D3036" s="218"/>
      <c r="E3036" s="218"/>
      <c r="F3036" s="527">
        <v>441</v>
      </c>
      <c r="G3036" s="520" t="s">
        <v>4207</v>
      </c>
      <c r="H3036" s="594"/>
      <c r="I3036" s="595"/>
      <c r="J3036" s="595">
        <f t="shared" si="96"/>
        <v>0</v>
      </c>
      <c r="K3036" s="533"/>
      <c r="L3036" s="533"/>
      <c r="M3036" s="533"/>
      <c r="N3036" s="268"/>
      <c r="O3036" s="533"/>
      <c r="P3036" s="533"/>
      <c r="Q3036" s="533"/>
      <c r="R3036" s="533"/>
      <c r="S3036" s="533"/>
      <c r="T3036" s="533"/>
      <c r="U3036" s="533"/>
      <c r="V3036" s="533"/>
      <c r="W3036" s="533"/>
      <c r="X3036" s="533"/>
      <c r="Y3036" s="533"/>
    </row>
    <row r="3037" spans="1:25" s="88" customFormat="1" hidden="1" x14ac:dyDescent="0.25">
      <c r="A3037" s="509"/>
      <c r="B3037" s="256"/>
      <c r="C3037" s="221"/>
      <c r="D3037" s="218"/>
      <c r="E3037" s="218"/>
      <c r="F3037" s="527">
        <v>442</v>
      </c>
      <c r="G3037" s="520" t="s">
        <v>4208</v>
      </c>
      <c r="H3037" s="594"/>
      <c r="I3037" s="595"/>
      <c r="J3037" s="595">
        <f t="shared" si="96"/>
        <v>0</v>
      </c>
      <c r="K3037" s="533"/>
      <c r="L3037" s="533"/>
      <c r="M3037" s="533"/>
      <c r="N3037" s="268"/>
      <c r="O3037" s="533"/>
      <c r="P3037" s="533"/>
      <c r="Q3037" s="533"/>
      <c r="R3037" s="533"/>
      <c r="S3037" s="533"/>
      <c r="T3037" s="533"/>
      <c r="U3037" s="533"/>
      <c r="V3037" s="533"/>
      <c r="W3037" s="533"/>
      <c r="X3037" s="533"/>
      <c r="Y3037" s="533"/>
    </row>
    <row r="3038" spans="1:25" s="88" customFormat="1" hidden="1" x14ac:dyDescent="0.25">
      <c r="A3038" s="509"/>
      <c r="B3038" s="256"/>
      <c r="C3038" s="221"/>
      <c r="D3038" s="218"/>
      <c r="E3038" s="218"/>
      <c r="F3038" s="527">
        <v>443</v>
      </c>
      <c r="G3038" s="520" t="s">
        <v>3817</v>
      </c>
      <c r="H3038" s="594"/>
      <c r="I3038" s="595"/>
      <c r="J3038" s="595">
        <f t="shared" si="96"/>
        <v>0</v>
      </c>
      <c r="K3038" s="533"/>
      <c r="L3038" s="533"/>
      <c r="M3038" s="533"/>
      <c r="N3038" s="268"/>
      <c r="O3038" s="533"/>
      <c r="P3038" s="533"/>
      <c r="Q3038" s="533"/>
      <c r="R3038" s="533"/>
      <c r="S3038" s="533"/>
      <c r="T3038" s="533"/>
      <c r="U3038" s="533"/>
      <c r="V3038" s="533"/>
      <c r="W3038" s="533"/>
      <c r="X3038" s="533"/>
      <c r="Y3038" s="533"/>
    </row>
    <row r="3039" spans="1:25" s="88" customFormat="1" hidden="1" x14ac:dyDescent="0.25">
      <c r="A3039" s="509"/>
      <c r="B3039" s="256"/>
      <c r="C3039" s="221"/>
      <c r="D3039" s="218"/>
      <c r="E3039" s="218"/>
      <c r="F3039" s="527">
        <v>444</v>
      </c>
      <c r="G3039" s="520" t="s">
        <v>3818</v>
      </c>
      <c r="H3039" s="594"/>
      <c r="I3039" s="595"/>
      <c r="J3039" s="595">
        <f t="shared" si="96"/>
        <v>0</v>
      </c>
      <c r="K3039" s="533"/>
      <c r="L3039" s="533"/>
      <c r="M3039" s="533"/>
      <c r="N3039" s="268"/>
      <c r="O3039" s="533"/>
      <c r="P3039" s="533"/>
      <c r="Q3039" s="533"/>
      <c r="R3039" s="533"/>
      <c r="S3039" s="533"/>
      <c r="T3039" s="533"/>
      <c r="U3039" s="533"/>
      <c r="V3039" s="533"/>
      <c r="W3039" s="533"/>
      <c r="X3039" s="533"/>
      <c r="Y3039" s="533"/>
    </row>
    <row r="3040" spans="1:25" s="88" customFormat="1" ht="30" hidden="1" x14ac:dyDescent="0.25">
      <c r="A3040" s="509"/>
      <c r="B3040" s="256"/>
      <c r="C3040" s="221"/>
      <c r="D3040" s="218"/>
      <c r="E3040" s="218"/>
      <c r="F3040" s="527">
        <v>4511</v>
      </c>
      <c r="G3040" s="223" t="s">
        <v>1692</v>
      </c>
      <c r="H3040" s="594"/>
      <c r="I3040" s="595"/>
      <c r="J3040" s="595">
        <f t="shared" si="96"/>
        <v>0</v>
      </c>
      <c r="K3040" s="533"/>
      <c r="L3040" s="533"/>
      <c r="M3040" s="533"/>
      <c r="N3040" s="268"/>
      <c r="O3040" s="533"/>
      <c r="P3040" s="533"/>
      <c r="Q3040" s="533"/>
      <c r="R3040" s="533"/>
      <c r="S3040" s="533"/>
      <c r="T3040" s="533"/>
      <c r="U3040" s="533"/>
      <c r="V3040" s="533"/>
      <c r="W3040" s="533"/>
      <c r="X3040" s="533"/>
      <c r="Y3040" s="533"/>
    </row>
    <row r="3041" spans="1:25" s="88" customFormat="1" ht="30" hidden="1" x14ac:dyDescent="0.25">
      <c r="A3041" s="509"/>
      <c r="B3041" s="256"/>
      <c r="C3041" s="221"/>
      <c r="D3041" s="218"/>
      <c r="E3041" s="218"/>
      <c r="F3041" s="527">
        <v>4512</v>
      </c>
      <c r="G3041" s="223" t="s">
        <v>1701</v>
      </c>
      <c r="H3041" s="594"/>
      <c r="I3041" s="595"/>
      <c r="J3041" s="595">
        <f t="shared" si="96"/>
        <v>0</v>
      </c>
      <c r="K3041" s="533"/>
      <c r="L3041" s="533"/>
      <c r="M3041" s="533"/>
      <c r="N3041" s="268"/>
      <c r="O3041" s="533"/>
      <c r="P3041" s="533"/>
      <c r="Q3041" s="533"/>
      <c r="R3041" s="533"/>
      <c r="S3041" s="533"/>
      <c r="T3041" s="533"/>
      <c r="U3041" s="533"/>
      <c r="V3041" s="533"/>
      <c r="W3041" s="533"/>
      <c r="X3041" s="533"/>
      <c r="Y3041" s="533"/>
    </row>
    <row r="3042" spans="1:25" s="88" customFormat="1" hidden="1" x14ac:dyDescent="0.25">
      <c r="A3042" s="509"/>
      <c r="B3042" s="256"/>
      <c r="C3042" s="221"/>
      <c r="D3042" s="218"/>
      <c r="E3042" s="218"/>
      <c r="F3042" s="527">
        <v>452</v>
      </c>
      <c r="G3042" s="520" t="s">
        <v>4209</v>
      </c>
      <c r="H3042" s="594"/>
      <c r="I3042" s="595"/>
      <c r="J3042" s="595">
        <f t="shared" si="96"/>
        <v>0</v>
      </c>
      <c r="K3042" s="533"/>
      <c r="L3042" s="533"/>
      <c r="M3042" s="533"/>
      <c r="N3042" s="268"/>
      <c r="O3042" s="533"/>
      <c r="P3042" s="533"/>
      <c r="Q3042" s="533"/>
      <c r="R3042" s="533"/>
      <c r="S3042" s="533"/>
      <c r="T3042" s="533"/>
      <c r="U3042" s="533"/>
      <c r="V3042" s="533"/>
      <c r="W3042" s="533"/>
      <c r="X3042" s="533"/>
      <c r="Y3042" s="533"/>
    </row>
    <row r="3043" spans="1:25" s="88" customFormat="1" hidden="1" x14ac:dyDescent="0.25">
      <c r="A3043" s="509"/>
      <c r="B3043" s="256"/>
      <c r="C3043" s="221"/>
      <c r="D3043" s="218"/>
      <c r="E3043" s="218"/>
      <c r="F3043" s="527">
        <v>453</v>
      </c>
      <c r="G3043" s="520" t="s">
        <v>4210</v>
      </c>
      <c r="H3043" s="594"/>
      <c r="I3043" s="595"/>
      <c r="J3043" s="595">
        <f t="shared" si="96"/>
        <v>0</v>
      </c>
      <c r="K3043" s="533"/>
      <c r="L3043" s="533"/>
      <c r="M3043" s="533"/>
      <c r="N3043" s="268"/>
      <c r="O3043" s="533"/>
      <c r="P3043" s="533"/>
      <c r="Q3043" s="533"/>
      <c r="R3043" s="533"/>
      <c r="S3043" s="533"/>
      <c r="T3043" s="533"/>
      <c r="U3043" s="533"/>
      <c r="V3043" s="533"/>
      <c r="W3043" s="533"/>
      <c r="X3043" s="533"/>
      <c r="Y3043" s="533"/>
    </row>
    <row r="3044" spans="1:25" s="88" customFormat="1" hidden="1" x14ac:dyDescent="0.25">
      <c r="A3044" s="509"/>
      <c r="B3044" s="256"/>
      <c r="C3044" s="221"/>
      <c r="D3044" s="218"/>
      <c r="E3044" s="218"/>
      <c r="F3044" s="527">
        <v>454</v>
      </c>
      <c r="G3044" s="520" t="s">
        <v>3823</v>
      </c>
      <c r="H3044" s="594"/>
      <c r="I3044" s="595"/>
      <c r="J3044" s="595">
        <f t="shared" si="96"/>
        <v>0</v>
      </c>
      <c r="K3044" s="533"/>
      <c r="L3044" s="533"/>
      <c r="M3044" s="533"/>
      <c r="N3044" s="268"/>
      <c r="O3044" s="533"/>
      <c r="P3044" s="533"/>
      <c r="Q3044" s="533"/>
      <c r="R3044" s="533"/>
      <c r="S3044" s="533"/>
      <c r="T3044" s="533"/>
      <c r="U3044" s="533"/>
      <c r="V3044" s="533"/>
      <c r="W3044" s="533"/>
      <c r="X3044" s="533"/>
      <c r="Y3044" s="533"/>
    </row>
    <row r="3045" spans="1:25" s="88" customFormat="1" hidden="1" x14ac:dyDescent="0.25">
      <c r="A3045" s="509"/>
      <c r="B3045" s="256"/>
      <c r="C3045" s="221"/>
      <c r="D3045" s="218"/>
      <c r="E3045" s="218"/>
      <c r="F3045" s="527">
        <v>461</v>
      </c>
      <c r="G3045" s="520" t="s">
        <v>4191</v>
      </c>
      <c r="H3045" s="594"/>
      <c r="I3045" s="595"/>
      <c r="J3045" s="595">
        <f t="shared" si="96"/>
        <v>0</v>
      </c>
      <c r="K3045" s="533"/>
      <c r="L3045" s="533"/>
      <c r="M3045" s="533"/>
      <c r="N3045" s="268"/>
      <c r="O3045" s="533"/>
      <c r="P3045" s="533"/>
      <c r="Q3045" s="533"/>
      <c r="R3045" s="533"/>
      <c r="S3045" s="533"/>
      <c r="T3045" s="533"/>
      <c r="U3045" s="533"/>
      <c r="V3045" s="533"/>
      <c r="W3045" s="533"/>
      <c r="X3045" s="533"/>
      <c r="Y3045" s="533"/>
    </row>
    <row r="3046" spans="1:25" s="88" customFormat="1" hidden="1" x14ac:dyDescent="0.25">
      <c r="A3046" s="509"/>
      <c r="B3046" s="256"/>
      <c r="C3046" s="221"/>
      <c r="D3046" s="218"/>
      <c r="E3046" s="218"/>
      <c r="F3046" s="527">
        <v>462</v>
      </c>
      <c r="G3046" s="520" t="s">
        <v>3826</v>
      </c>
      <c r="H3046" s="594"/>
      <c r="I3046" s="595"/>
      <c r="J3046" s="595">
        <f t="shared" si="96"/>
        <v>0</v>
      </c>
      <c r="K3046" s="533"/>
      <c r="L3046" s="533"/>
      <c r="M3046" s="533"/>
      <c r="N3046" s="268"/>
      <c r="O3046" s="533"/>
      <c r="P3046" s="533"/>
      <c r="Q3046" s="533"/>
      <c r="R3046" s="533"/>
      <c r="S3046" s="533"/>
      <c r="T3046" s="533"/>
      <c r="U3046" s="533"/>
      <c r="V3046" s="533"/>
      <c r="W3046" s="533"/>
      <c r="X3046" s="533"/>
      <c r="Y3046" s="533"/>
    </row>
    <row r="3047" spans="1:25" s="88" customFormat="1" hidden="1" x14ac:dyDescent="0.25">
      <c r="A3047" s="509"/>
      <c r="B3047" s="256"/>
      <c r="C3047" s="221"/>
      <c r="D3047" s="218"/>
      <c r="E3047" s="218"/>
      <c r="F3047" s="527">
        <v>4631</v>
      </c>
      <c r="G3047" s="520" t="s">
        <v>3827</v>
      </c>
      <c r="H3047" s="594"/>
      <c r="I3047" s="595"/>
      <c r="J3047" s="595">
        <f t="shared" si="96"/>
        <v>0</v>
      </c>
      <c r="K3047" s="533"/>
      <c r="L3047" s="533"/>
      <c r="M3047" s="533"/>
      <c r="N3047" s="268"/>
      <c r="O3047" s="533"/>
      <c r="P3047" s="533"/>
      <c r="Q3047" s="533"/>
      <c r="R3047" s="533"/>
      <c r="S3047" s="533"/>
      <c r="T3047" s="533"/>
      <c r="U3047" s="533"/>
      <c r="V3047" s="533"/>
      <c r="W3047" s="533"/>
      <c r="X3047" s="533"/>
      <c r="Y3047" s="533"/>
    </row>
    <row r="3048" spans="1:25" s="88" customFormat="1" hidden="1" x14ac:dyDescent="0.25">
      <c r="A3048" s="509"/>
      <c r="B3048" s="256"/>
      <c r="C3048" s="221"/>
      <c r="D3048" s="218"/>
      <c r="E3048" s="218"/>
      <c r="F3048" s="527">
        <v>4632</v>
      </c>
      <c r="G3048" s="520" t="s">
        <v>3828</v>
      </c>
      <c r="H3048" s="594"/>
      <c r="I3048" s="595"/>
      <c r="J3048" s="595">
        <f t="shared" si="96"/>
        <v>0</v>
      </c>
      <c r="K3048" s="533"/>
      <c r="L3048" s="533"/>
      <c r="M3048" s="533"/>
      <c r="N3048" s="268"/>
      <c r="O3048" s="533"/>
      <c r="P3048" s="533"/>
      <c r="Q3048" s="533"/>
      <c r="R3048" s="533"/>
      <c r="S3048" s="533"/>
      <c r="T3048" s="533"/>
      <c r="U3048" s="533"/>
      <c r="V3048" s="533"/>
      <c r="W3048" s="533"/>
      <c r="X3048" s="533"/>
      <c r="Y3048" s="533"/>
    </row>
    <row r="3049" spans="1:25" s="88" customFormat="1" hidden="1" x14ac:dyDescent="0.25">
      <c r="A3049" s="509"/>
      <c r="B3049" s="256"/>
      <c r="C3049" s="221"/>
      <c r="D3049" s="218"/>
      <c r="E3049" s="218"/>
      <c r="F3049" s="527">
        <v>464</v>
      </c>
      <c r="G3049" s="520" t="s">
        <v>3829</v>
      </c>
      <c r="H3049" s="594"/>
      <c r="I3049" s="595"/>
      <c r="J3049" s="595">
        <f t="shared" si="96"/>
        <v>0</v>
      </c>
      <c r="K3049" s="533"/>
      <c r="L3049" s="533"/>
      <c r="M3049" s="533"/>
      <c r="N3049" s="268"/>
      <c r="O3049" s="533"/>
      <c r="P3049" s="533"/>
      <c r="Q3049" s="533"/>
      <c r="R3049" s="533"/>
      <c r="S3049" s="533"/>
      <c r="T3049" s="533"/>
      <c r="U3049" s="533"/>
      <c r="V3049" s="533"/>
      <c r="W3049" s="533"/>
      <c r="X3049" s="533"/>
      <c r="Y3049" s="533"/>
    </row>
    <row r="3050" spans="1:25" s="88" customFormat="1" hidden="1" x14ac:dyDescent="0.25">
      <c r="A3050" s="509"/>
      <c r="B3050" s="256"/>
      <c r="C3050" s="221"/>
      <c r="D3050" s="218"/>
      <c r="E3050" s="218"/>
      <c r="F3050" s="527">
        <v>465</v>
      </c>
      <c r="G3050" s="520" t="s">
        <v>4192</v>
      </c>
      <c r="H3050" s="594"/>
      <c r="I3050" s="595"/>
      <c r="J3050" s="595">
        <f t="shared" si="96"/>
        <v>0</v>
      </c>
      <c r="K3050" s="533"/>
      <c r="L3050" s="533"/>
      <c r="M3050" s="533"/>
      <c r="N3050" s="268"/>
      <c r="O3050" s="533"/>
      <c r="P3050" s="533"/>
      <c r="Q3050" s="533"/>
      <c r="R3050" s="533"/>
      <c r="S3050" s="533"/>
      <c r="T3050" s="533"/>
      <c r="U3050" s="533"/>
      <c r="V3050" s="533"/>
      <c r="W3050" s="533"/>
      <c r="X3050" s="533"/>
      <c r="Y3050" s="533"/>
    </row>
    <row r="3051" spans="1:25" s="88" customFormat="1" hidden="1" x14ac:dyDescent="0.25">
      <c r="A3051" s="509"/>
      <c r="B3051" s="256"/>
      <c r="C3051" s="221"/>
      <c r="D3051" s="218"/>
      <c r="E3051" s="218"/>
      <c r="F3051" s="527">
        <v>472</v>
      </c>
      <c r="G3051" s="520" t="s">
        <v>3833</v>
      </c>
      <c r="H3051" s="594"/>
      <c r="I3051" s="595"/>
      <c r="J3051" s="595">
        <f t="shared" si="96"/>
        <v>0</v>
      </c>
      <c r="K3051" s="533"/>
      <c r="L3051" s="533"/>
      <c r="M3051" s="533"/>
      <c r="N3051" s="268"/>
      <c r="O3051" s="533"/>
      <c r="P3051" s="533"/>
      <c r="Q3051" s="533"/>
      <c r="R3051" s="533"/>
      <c r="S3051" s="533"/>
      <c r="T3051" s="533"/>
      <c r="U3051" s="533"/>
      <c r="V3051" s="533"/>
      <c r="W3051" s="533"/>
      <c r="X3051" s="533"/>
      <c r="Y3051" s="533"/>
    </row>
    <row r="3052" spans="1:25" s="88" customFormat="1" hidden="1" x14ac:dyDescent="0.25">
      <c r="A3052" s="509"/>
      <c r="B3052" s="256"/>
      <c r="C3052" s="221"/>
      <c r="D3052" s="218"/>
      <c r="E3052" s="218"/>
      <c r="F3052" s="527">
        <v>481</v>
      </c>
      <c r="G3052" s="520" t="s">
        <v>4211</v>
      </c>
      <c r="H3052" s="594"/>
      <c r="I3052" s="595"/>
      <c r="J3052" s="595">
        <f t="shared" si="96"/>
        <v>0</v>
      </c>
      <c r="K3052" s="533"/>
      <c r="L3052" s="533"/>
      <c r="M3052" s="533"/>
      <c r="N3052" s="268"/>
      <c r="O3052" s="533"/>
      <c r="P3052" s="533"/>
      <c r="Q3052" s="533"/>
      <c r="R3052" s="533"/>
      <c r="S3052" s="533"/>
      <c r="T3052" s="533"/>
      <c r="U3052" s="533"/>
      <c r="V3052" s="533"/>
      <c r="W3052" s="533"/>
      <c r="X3052" s="533"/>
      <c r="Y3052" s="533"/>
    </row>
    <row r="3053" spans="1:25" s="88" customFormat="1" hidden="1" x14ac:dyDescent="0.25">
      <c r="A3053" s="509"/>
      <c r="B3053" s="256"/>
      <c r="C3053" s="221"/>
      <c r="D3053" s="218"/>
      <c r="E3053" s="218"/>
      <c r="F3053" s="527">
        <v>482</v>
      </c>
      <c r="G3053" s="520" t="s">
        <v>4212</v>
      </c>
      <c r="H3053" s="594"/>
      <c r="I3053" s="595"/>
      <c r="J3053" s="595">
        <f t="shared" si="96"/>
        <v>0</v>
      </c>
      <c r="K3053" s="533"/>
      <c r="L3053" s="533"/>
      <c r="M3053" s="533"/>
      <c r="N3053" s="268"/>
      <c r="O3053" s="533"/>
      <c r="P3053" s="533"/>
      <c r="Q3053" s="533"/>
      <c r="R3053" s="533"/>
      <c r="S3053" s="533"/>
      <c r="T3053" s="533"/>
      <c r="U3053" s="533"/>
      <c r="V3053" s="533"/>
      <c r="W3053" s="533"/>
      <c r="X3053" s="533"/>
      <c r="Y3053" s="533"/>
    </row>
    <row r="3054" spans="1:25" s="88" customFormat="1" hidden="1" x14ac:dyDescent="0.25">
      <c r="A3054" s="509"/>
      <c r="B3054" s="256"/>
      <c r="C3054" s="221"/>
      <c r="D3054" s="218"/>
      <c r="E3054" s="218"/>
      <c r="F3054" s="527">
        <v>483</v>
      </c>
      <c r="G3054" s="524" t="s">
        <v>4213</v>
      </c>
      <c r="H3054" s="594"/>
      <c r="I3054" s="595"/>
      <c r="J3054" s="595">
        <f t="shared" si="96"/>
        <v>0</v>
      </c>
      <c r="K3054" s="533"/>
      <c r="L3054" s="533"/>
      <c r="M3054" s="533"/>
      <c r="N3054" s="268"/>
      <c r="O3054" s="533"/>
      <c r="P3054" s="533"/>
      <c r="Q3054" s="533"/>
      <c r="R3054" s="533"/>
      <c r="S3054" s="533"/>
      <c r="T3054" s="533"/>
      <c r="U3054" s="533"/>
      <c r="V3054" s="533"/>
      <c r="W3054" s="533"/>
      <c r="X3054" s="533"/>
      <c r="Y3054" s="533"/>
    </row>
    <row r="3055" spans="1:25" s="88" customFormat="1" ht="30" hidden="1" x14ac:dyDescent="0.25">
      <c r="A3055" s="509"/>
      <c r="B3055" s="256"/>
      <c r="C3055" s="221"/>
      <c r="D3055" s="218"/>
      <c r="E3055" s="218"/>
      <c r="F3055" s="527">
        <v>484</v>
      </c>
      <c r="G3055" s="520" t="s">
        <v>4214</v>
      </c>
      <c r="H3055" s="594"/>
      <c r="I3055" s="595"/>
      <c r="J3055" s="595">
        <f t="shared" si="96"/>
        <v>0</v>
      </c>
      <c r="K3055" s="533"/>
      <c r="L3055" s="533"/>
      <c r="M3055" s="533"/>
      <c r="N3055" s="268"/>
      <c r="O3055" s="533"/>
      <c r="P3055" s="533"/>
      <c r="Q3055" s="533"/>
      <c r="R3055" s="533"/>
      <c r="S3055" s="533"/>
      <c r="T3055" s="533"/>
      <c r="U3055" s="533"/>
      <c r="V3055" s="533"/>
      <c r="W3055" s="533"/>
      <c r="X3055" s="533"/>
      <c r="Y3055" s="533"/>
    </row>
    <row r="3056" spans="1:25" s="88" customFormat="1" ht="30" hidden="1" x14ac:dyDescent="0.25">
      <c r="A3056" s="509"/>
      <c r="B3056" s="256"/>
      <c r="C3056" s="221"/>
      <c r="D3056" s="218"/>
      <c r="E3056" s="218"/>
      <c r="F3056" s="527">
        <v>485</v>
      </c>
      <c r="G3056" s="520" t="s">
        <v>4215</v>
      </c>
      <c r="H3056" s="594"/>
      <c r="I3056" s="595"/>
      <c r="J3056" s="595">
        <f t="shared" si="96"/>
        <v>0</v>
      </c>
      <c r="K3056" s="533"/>
      <c r="L3056" s="533"/>
      <c r="M3056" s="533"/>
      <c r="N3056" s="268"/>
      <c r="O3056" s="533"/>
      <c r="P3056" s="533"/>
      <c r="Q3056" s="533"/>
      <c r="R3056" s="533"/>
      <c r="S3056" s="533"/>
      <c r="T3056" s="533"/>
      <c r="U3056" s="533"/>
      <c r="V3056" s="533"/>
      <c r="W3056" s="533"/>
      <c r="X3056" s="533"/>
      <c r="Y3056" s="533"/>
    </row>
    <row r="3057" spans="1:25" s="88" customFormat="1" ht="30" hidden="1" x14ac:dyDescent="0.25">
      <c r="A3057" s="509"/>
      <c r="B3057" s="256"/>
      <c r="C3057" s="221"/>
      <c r="D3057" s="218"/>
      <c r="E3057" s="218"/>
      <c r="F3057" s="527">
        <v>489</v>
      </c>
      <c r="G3057" s="520" t="s">
        <v>3841</v>
      </c>
      <c r="H3057" s="594"/>
      <c r="I3057" s="595"/>
      <c r="J3057" s="595">
        <f t="shared" si="96"/>
        <v>0</v>
      </c>
      <c r="K3057" s="533"/>
      <c r="L3057" s="533"/>
      <c r="M3057" s="533"/>
      <c r="N3057" s="268"/>
      <c r="O3057" s="533"/>
      <c r="P3057" s="533"/>
      <c r="Q3057" s="533"/>
      <c r="R3057" s="533"/>
      <c r="S3057" s="533"/>
      <c r="T3057" s="533"/>
      <c r="U3057" s="533"/>
      <c r="V3057" s="533"/>
      <c r="W3057" s="533"/>
      <c r="X3057" s="533"/>
      <c r="Y3057" s="533"/>
    </row>
    <row r="3058" spans="1:25" s="88" customFormat="1" hidden="1" x14ac:dyDescent="0.25">
      <c r="A3058" s="509"/>
      <c r="B3058" s="256"/>
      <c r="C3058" s="221"/>
      <c r="D3058" s="218"/>
      <c r="E3058" s="218"/>
      <c r="F3058" s="527">
        <v>494</v>
      </c>
      <c r="G3058" s="520" t="s">
        <v>4193</v>
      </c>
      <c r="H3058" s="594"/>
      <c r="I3058" s="595"/>
      <c r="J3058" s="595">
        <f t="shared" si="96"/>
        <v>0</v>
      </c>
      <c r="K3058" s="533"/>
      <c r="L3058" s="533"/>
      <c r="M3058" s="533"/>
      <c r="N3058" s="268"/>
      <c r="O3058" s="533"/>
      <c r="P3058" s="533"/>
      <c r="Q3058" s="533"/>
      <c r="R3058" s="533"/>
      <c r="S3058" s="533"/>
      <c r="T3058" s="533"/>
      <c r="U3058" s="533"/>
      <c r="V3058" s="533"/>
      <c r="W3058" s="533"/>
      <c r="X3058" s="533"/>
      <c r="Y3058" s="533"/>
    </row>
    <row r="3059" spans="1:25" s="88" customFormat="1" ht="30" hidden="1" x14ac:dyDescent="0.25">
      <c r="A3059" s="509"/>
      <c r="B3059" s="256"/>
      <c r="C3059" s="221"/>
      <c r="D3059" s="218"/>
      <c r="E3059" s="218"/>
      <c r="F3059" s="527">
        <v>495</v>
      </c>
      <c r="G3059" s="520" t="s">
        <v>4194</v>
      </c>
      <c r="H3059" s="594"/>
      <c r="I3059" s="595"/>
      <c r="J3059" s="595">
        <f t="shared" si="96"/>
        <v>0</v>
      </c>
      <c r="K3059" s="533"/>
      <c r="L3059" s="533"/>
      <c r="M3059" s="533"/>
      <c r="N3059" s="268"/>
      <c r="O3059" s="533"/>
      <c r="P3059" s="533"/>
      <c r="Q3059" s="533"/>
      <c r="R3059" s="533"/>
      <c r="S3059" s="533"/>
      <c r="T3059" s="533"/>
      <c r="U3059" s="533"/>
      <c r="V3059" s="533"/>
      <c r="W3059" s="533"/>
      <c r="X3059" s="533"/>
      <c r="Y3059" s="533"/>
    </row>
    <row r="3060" spans="1:25" s="88" customFormat="1" ht="30" hidden="1" x14ac:dyDescent="0.25">
      <c r="A3060" s="509"/>
      <c r="B3060" s="256"/>
      <c r="C3060" s="221"/>
      <c r="D3060" s="218"/>
      <c r="E3060" s="218"/>
      <c r="F3060" s="527">
        <v>496</v>
      </c>
      <c r="G3060" s="520" t="s">
        <v>4195</v>
      </c>
      <c r="H3060" s="594"/>
      <c r="I3060" s="595"/>
      <c r="J3060" s="595">
        <f t="shared" si="96"/>
        <v>0</v>
      </c>
      <c r="K3060" s="533"/>
      <c r="L3060" s="533"/>
      <c r="M3060" s="533"/>
      <c r="N3060" s="268"/>
      <c r="O3060" s="533"/>
      <c r="P3060" s="533"/>
      <c r="Q3060" s="533"/>
      <c r="R3060" s="533"/>
      <c r="S3060" s="533"/>
      <c r="T3060" s="533"/>
      <c r="U3060" s="533"/>
      <c r="V3060" s="533"/>
      <c r="W3060" s="533"/>
      <c r="X3060" s="533"/>
      <c r="Y3060" s="533"/>
    </row>
    <row r="3061" spans="1:25" s="88" customFormat="1" hidden="1" x14ac:dyDescent="0.25">
      <c r="A3061" s="509"/>
      <c r="B3061" s="256"/>
      <c r="C3061" s="221"/>
      <c r="D3061" s="218"/>
      <c r="E3061" s="218"/>
      <c r="F3061" s="527">
        <v>499</v>
      </c>
      <c r="G3061" s="520" t="s">
        <v>4196</v>
      </c>
      <c r="H3061" s="594"/>
      <c r="I3061" s="595"/>
      <c r="J3061" s="595">
        <f t="shared" si="96"/>
        <v>0</v>
      </c>
      <c r="K3061" s="533"/>
      <c r="L3061" s="533"/>
      <c r="M3061" s="533"/>
      <c r="N3061" s="268"/>
      <c r="O3061" s="533"/>
      <c r="P3061" s="533"/>
      <c r="Q3061" s="533"/>
      <c r="R3061" s="533"/>
      <c r="S3061" s="533"/>
      <c r="T3061" s="533"/>
      <c r="U3061" s="533"/>
      <c r="V3061" s="533"/>
      <c r="W3061" s="533"/>
      <c r="X3061" s="533"/>
      <c r="Y3061" s="533"/>
    </row>
    <row r="3062" spans="1:25" s="88" customFormat="1" ht="15.75" thickBot="1" x14ac:dyDescent="0.3">
      <c r="A3062" s="509"/>
      <c r="B3062" s="256"/>
      <c r="C3062" s="221"/>
      <c r="D3062" s="218"/>
      <c r="E3062" s="218">
        <v>44</v>
      </c>
      <c r="F3062" s="527">
        <v>511</v>
      </c>
      <c r="G3062" s="524" t="s">
        <v>4216</v>
      </c>
      <c r="H3062" s="594">
        <v>3400000</v>
      </c>
      <c r="I3062" s="595"/>
      <c r="J3062" s="595">
        <f t="shared" si="96"/>
        <v>3400000</v>
      </c>
      <c r="K3062" s="533"/>
      <c r="L3062" s="533"/>
      <c r="M3062" s="533"/>
      <c r="N3062" s="268"/>
      <c r="O3062" s="533"/>
      <c r="P3062" s="533"/>
      <c r="Q3062" s="533"/>
      <c r="R3062" s="533"/>
      <c r="S3062" s="533"/>
      <c r="T3062" s="533"/>
      <c r="U3062" s="533"/>
      <c r="V3062" s="533"/>
      <c r="W3062" s="533"/>
      <c r="X3062" s="533"/>
      <c r="Y3062" s="533"/>
    </row>
    <row r="3063" spans="1:25" s="88" customFormat="1" hidden="1" x14ac:dyDescent="0.25">
      <c r="A3063" s="509"/>
      <c r="B3063" s="256"/>
      <c r="C3063" s="221"/>
      <c r="D3063" s="218"/>
      <c r="E3063" s="218"/>
      <c r="F3063" s="527">
        <v>512</v>
      </c>
      <c r="G3063" s="524" t="s">
        <v>4217</v>
      </c>
      <c r="H3063" s="594"/>
      <c r="I3063" s="595"/>
      <c r="J3063" s="595">
        <f t="shared" si="96"/>
        <v>0</v>
      </c>
      <c r="K3063" s="533"/>
      <c r="L3063" s="533"/>
      <c r="M3063" s="533"/>
      <c r="N3063" s="268"/>
      <c r="O3063" s="533"/>
      <c r="P3063" s="533"/>
      <c r="Q3063" s="533"/>
      <c r="R3063" s="533"/>
      <c r="S3063" s="533"/>
      <c r="T3063" s="533"/>
      <c r="U3063" s="533"/>
      <c r="V3063" s="533"/>
      <c r="W3063" s="533"/>
      <c r="X3063" s="533"/>
      <c r="Y3063" s="533"/>
    </row>
    <row r="3064" spans="1:25" s="88" customFormat="1" hidden="1" x14ac:dyDescent="0.25">
      <c r="A3064" s="509"/>
      <c r="B3064" s="256"/>
      <c r="C3064" s="221"/>
      <c r="D3064" s="218"/>
      <c r="E3064" s="218"/>
      <c r="F3064" s="527">
        <v>513</v>
      </c>
      <c r="G3064" s="524" t="s">
        <v>4218</v>
      </c>
      <c r="H3064" s="594"/>
      <c r="I3064" s="595"/>
      <c r="J3064" s="595">
        <f t="shared" si="96"/>
        <v>0</v>
      </c>
      <c r="K3064" s="533"/>
      <c r="L3064" s="533"/>
      <c r="M3064" s="533"/>
      <c r="N3064" s="268"/>
      <c r="O3064" s="533"/>
      <c r="P3064" s="533"/>
      <c r="Q3064" s="533"/>
      <c r="R3064" s="533"/>
      <c r="S3064" s="533"/>
      <c r="T3064" s="533"/>
      <c r="U3064" s="533"/>
      <c r="V3064" s="533"/>
      <c r="W3064" s="533"/>
      <c r="X3064" s="533"/>
      <c r="Y3064" s="533"/>
    </row>
    <row r="3065" spans="1:25" s="88" customFormat="1" hidden="1" x14ac:dyDescent="0.25">
      <c r="A3065" s="509"/>
      <c r="B3065" s="256"/>
      <c r="C3065" s="221"/>
      <c r="D3065" s="218"/>
      <c r="E3065" s="218"/>
      <c r="F3065" s="527">
        <v>514</v>
      </c>
      <c r="G3065" s="520" t="s">
        <v>4219</v>
      </c>
      <c r="H3065" s="594"/>
      <c r="I3065" s="595"/>
      <c r="J3065" s="595">
        <f t="shared" si="96"/>
        <v>0</v>
      </c>
      <c r="K3065" s="533"/>
      <c r="L3065" s="533"/>
      <c r="M3065" s="533"/>
      <c r="N3065" s="268"/>
      <c r="O3065" s="533"/>
      <c r="P3065" s="533"/>
      <c r="Q3065" s="533"/>
      <c r="R3065" s="533"/>
      <c r="S3065" s="533"/>
      <c r="T3065" s="533"/>
      <c r="U3065" s="533"/>
      <c r="V3065" s="533"/>
      <c r="W3065" s="533"/>
      <c r="X3065" s="533"/>
      <c r="Y3065" s="533"/>
    </row>
    <row r="3066" spans="1:25" s="88" customFormat="1" hidden="1" x14ac:dyDescent="0.25">
      <c r="A3066" s="509"/>
      <c r="B3066" s="256"/>
      <c r="C3066" s="221"/>
      <c r="D3066" s="218"/>
      <c r="E3066" s="218"/>
      <c r="F3066" s="527">
        <v>515</v>
      </c>
      <c r="G3066" s="520" t="s">
        <v>3852</v>
      </c>
      <c r="H3066" s="594"/>
      <c r="I3066" s="595"/>
      <c r="J3066" s="595">
        <f t="shared" si="96"/>
        <v>0</v>
      </c>
      <c r="K3066" s="533"/>
      <c r="L3066" s="533"/>
      <c r="M3066" s="533"/>
      <c r="N3066" s="268"/>
      <c r="O3066" s="533"/>
      <c r="P3066" s="533"/>
      <c r="Q3066" s="533"/>
      <c r="R3066" s="533"/>
      <c r="S3066" s="533"/>
      <c r="T3066" s="533"/>
      <c r="U3066" s="533"/>
      <c r="V3066" s="533"/>
      <c r="W3066" s="533"/>
      <c r="X3066" s="533"/>
      <c r="Y3066" s="533"/>
    </row>
    <row r="3067" spans="1:25" s="88" customFormat="1" hidden="1" x14ac:dyDescent="0.25">
      <c r="A3067" s="509"/>
      <c r="B3067" s="256"/>
      <c r="C3067" s="221"/>
      <c r="D3067" s="218"/>
      <c r="E3067" s="218"/>
      <c r="F3067" s="527">
        <v>521</v>
      </c>
      <c r="G3067" s="520" t="s">
        <v>4220</v>
      </c>
      <c r="H3067" s="594"/>
      <c r="I3067" s="595"/>
      <c r="J3067" s="595">
        <f t="shared" si="96"/>
        <v>0</v>
      </c>
      <c r="K3067" s="533"/>
      <c r="L3067" s="533"/>
      <c r="M3067" s="533"/>
      <c r="N3067" s="268"/>
      <c r="O3067" s="533"/>
      <c r="P3067" s="533"/>
      <c r="Q3067" s="533"/>
      <c r="R3067" s="533"/>
      <c r="S3067" s="533"/>
      <c r="T3067" s="533"/>
      <c r="U3067" s="533"/>
      <c r="V3067" s="533"/>
      <c r="W3067" s="533"/>
      <c r="X3067" s="533"/>
      <c r="Y3067" s="533"/>
    </row>
    <row r="3068" spans="1:25" s="88" customFormat="1" hidden="1" x14ac:dyDescent="0.25">
      <c r="A3068" s="509"/>
      <c r="B3068" s="256"/>
      <c r="C3068" s="221"/>
      <c r="D3068" s="218"/>
      <c r="E3068" s="218"/>
      <c r="F3068" s="527">
        <v>522</v>
      </c>
      <c r="G3068" s="520" t="s">
        <v>4221</v>
      </c>
      <c r="H3068" s="594"/>
      <c r="I3068" s="595"/>
      <c r="J3068" s="595">
        <f t="shared" si="96"/>
        <v>0</v>
      </c>
      <c r="K3068" s="533"/>
      <c r="L3068" s="533"/>
      <c r="M3068" s="533"/>
      <c r="N3068" s="268"/>
      <c r="O3068" s="533"/>
      <c r="P3068" s="533"/>
      <c r="Q3068" s="533"/>
      <c r="R3068" s="533"/>
      <c r="S3068" s="533"/>
      <c r="T3068" s="533"/>
      <c r="U3068" s="533"/>
      <c r="V3068" s="533"/>
      <c r="W3068" s="533"/>
      <c r="X3068" s="533"/>
      <c r="Y3068" s="533"/>
    </row>
    <row r="3069" spans="1:25" s="88" customFormat="1" hidden="1" x14ac:dyDescent="0.25">
      <c r="A3069" s="509"/>
      <c r="B3069" s="256"/>
      <c r="C3069" s="221"/>
      <c r="D3069" s="218"/>
      <c r="E3069" s="218"/>
      <c r="F3069" s="527">
        <v>523</v>
      </c>
      <c r="G3069" s="520" t="s">
        <v>3857</v>
      </c>
      <c r="H3069" s="594"/>
      <c r="I3069" s="595"/>
      <c r="J3069" s="595">
        <f t="shared" si="96"/>
        <v>0</v>
      </c>
      <c r="K3069" s="533"/>
      <c r="L3069" s="533"/>
      <c r="M3069" s="533"/>
      <c r="N3069" s="268"/>
      <c r="O3069" s="533"/>
      <c r="P3069" s="533"/>
      <c r="Q3069" s="533"/>
      <c r="R3069" s="533"/>
      <c r="S3069" s="533"/>
      <c r="T3069" s="533"/>
      <c r="U3069" s="533"/>
      <c r="V3069" s="533"/>
      <c r="W3069" s="533"/>
      <c r="X3069" s="533"/>
      <c r="Y3069" s="533"/>
    </row>
    <row r="3070" spans="1:25" s="88" customFormat="1" hidden="1" x14ac:dyDescent="0.25">
      <c r="A3070" s="509"/>
      <c r="B3070" s="256"/>
      <c r="C3070" s="221"/>
      <c r="D3070" s="218"/>
      <c r="E3070" s="218"/>
      <c r="F3070" s="527">
        <v>531</v>
      </c>
      <c r="G3070" s="516" t="s">
        <v>4197</v>
      </c>
      <c r="H3070" s="594"/>
      <c r="I3070" s="595"/>
      <c r="J3070" s="595">
        <f t="shared" si="96"/>
        <v>0</v>
      </c>
      <c r="K3070" s="533"/>
      <c r="L3070" s="533"/>
      <c r="M3070" s="533"/>
      <c r="N3070" s="268"/>
      <c r="O3070" s="533"/>
      <c r="P3070" s="533"/>
      <c r="Q3070" s="533"/>
      <c r="R3070" s="533"/>
      <c r="S3070" s="533"/>
      <c r="T3070" s="533"/>
      <c r="U3070" s="533"/>
      <c r="V3070" s="533"/>
      <c r="W3070" s="533"/>
      <c r="X3070" s="533"/>
      <c r="Y3070" s="533"/>
    </row>
    <row r="3071" spans="1:25" s="88" customFormat="1" hidden="1" x14ac:dyDescent="0.25">
      <c r="A3071" s="509"/>
      <c r="B3071" s="256"/>
      <c r="C3071" s="221"/>
      <c r="D3071" s="218"/>
      <c r="E3071" s="218"/>
      <c r="F3071" s="527">
        <v>541</v>
      </c>
      <c r="G3071" s="520" t="s">
        <v>4222</v>
      </c>
      <c r="H3071" s="594"/>
      <c r="I3071" s="595"/>
      <c r="J3071" s="595">
        <f t="shared" si="96"/>
        <v>0</v>
      </c>
      <c r="K3071" s="533"/>
      <c r="L3071" s="533"/>
      <c r="M3071" s="533"/>
      <c r="N3071" s="268"/>
      <c r="O3071" s="533"/>
      <c r="P3071" s="533"/>
      <c r="Q3071" s="533"/>
      <c r="R3071" s="533"/>
      <c r="S3071" s="533"/>
      <c r="T3071" s="533"/>
      <c r="U3071" s="533"/>
      <c r="V3071" s="533"/>
      <c r="W3071" s="533"/>
      <c r="X3071" s="533"/>
      <c r="Y3071" s="533"/>
    </row>
    <row r="3072" spans="1:25" s="88" customFormat="1" hidden="1" x14ac:dyDescent="0.25">
      <c r="A3072" s="509"/>
      <c r="B3072" s="256"/>
      <c r="C3072" s="221"/>
      <c r="D3072" s="218"/>
      <c r="E3072" s="218"/>
      <c r="F3072" s="527">
        <v>542</v>
      </c>
      <c r="G3072" s="520" t="s">
        <v>4223</v>
      </c>
      <c r="H3072" s="594"/>
      <c r="I3072" s="595"/>
      <c r="J3072" s="595">
        <f t="shared" si="96"/>
        <v>0</v>
      </c>
      <c r="K3072" s="533"/>
      <c r="L3072" s="533"/>
      <c r="M3072" s="533"/>
      <c r="N3072" s="268"/>
      <c r="O3072" s="533"/>
      <c r="P3072" s="533"/>
      <c r="Q3072" s="533"/>
      <c r="R3072" s="533"/>
      <c r="S3072" s="533"/>
      <c r="T3072" s="533"/>
      <c r="U3072" s="533"/>
      <c r="V3072" s="533"/>
      <c r="W3072" s="533"/>
      <c r="X3072" s="533"/>
      <c r="Y3072" s="533"/>
    </row>
    <row r="3073" spans="1:25" s="88" customFormat="1" hidden="1" x14ac:dyDescent="0.25">
      <c r="A3073" s="509"/>
      <c r="B3073" s="256"/>
      <c r="C3073" s="221"/>
      <c r="D3073" s="218"/>
      <c r="E3073" s="218"/>
      <c r="F3073" s="527">
        <v>543</v>
      </c>
      <c r="G3073" s="520" t="s">
        <v>3862</v>
      </c>
      <c r="H3073" s="594"/>
      <c r="I3073" s="595"/>
      <c r="J3073" s="595">
        <f t="shared" si="96"/>
        <v>0</v>
      </c>
      <c r="K3073" s="533"/>
      <c r="L3073" s="533"/>
      <c r="M3073" s="533"/>
      <c r="N3073" s="268"/>
      <c r="O3073" s="533"/>
      <c r="P3073" s="533"/>
      <c r="Q3073" s="533"/>
      <c r="R3073" s="533"/>
      <c r="S3073" s="533"/>
      <c r="T3073" s="533"/>
      <c r="U3073" s="533"/>
      <c r="V3073" s="533"/>
      <c r="W3073" s="533"/>
      <c r="X3073" s="533"/>
      <c r="Y3073" s="533"/>
    </row>
    <row r="3074" spans="1:25" s="88" customFormat="1" ht="30" hidden="1" x14ac:dyDescent="0.25">
      <c r="A3074" s="509"/>
      <c r="B3074" s="256"/>
      <c r="C3074" s="221"/>
      <c r="D3074" s="218"/>
      <c r="E3074" s="218"/>
      <c r="F3074" s="527">
        <v>551</v>
      </c>
      <c r="G3074" s="520" t="s">
        <v>4198</v>
      </c>
      <c r="H3074" s="594"/>
      <c r="I3074" s="595"/>
      <c r="J3074" s="595">
        <f t="shared" si="96"/>
        <v>0</v>
      </c>
      <c r="K3074" s="533"/>
      <c r="L3074" s="533"/>
      <c r="M3074" s="533"/>
      <c r="N3074" s="268"/>
      <c r="O3074" s="533"/>
      <c r="P3074" s="533"/>
      <c r="Q3074" s="533"/>
      <c r="R3074" s="533"/>
      <c r="S3074" s="533"/>
      <c r="T3074" s="533"/>
      <c r="U3074" s="533"/>
      <c r="V3074" s="533"/>
      <c r="W3074" s="533"/>
      <c r="X3074" s="533"/>
      <c r="Y3074" s="533"/>
    </row>
    <row r="3075" spans="1:25" s="88" customFormat="1" hidden="1" x14ac:dyDescent="0.25">
      <c r="A3075" s="509"/>
      <c r="B3075" s="256"/>
      <c r="C3075" s="221"/>
      <c r="D3075" s="218"/>
      <c r="E3075" s="218"/>
      <c r="F3075" s="528">
        <v>611</v>
      </c>
      <c r="G3075" s="526" t="s">
        <v>3868</v>
      </c>
      <c r="H3075" s="594"/>
      <c r="I3075" s="595"/>
      <c r="J3075" s="595">
        <f t="shared" si="96"/>
        <v>0</v>
      </c>
      <c r="K3075" s="533"/>
      <c r="L3075" s="533"/>
      <c r="M3075" s="533"/>
      <c r="N3075" s="268"/>
      <c r="O3075" s="533"/>
      <c r="P3075" s="533"/>
      <c r="Q3075" s="533"/>
      <c r="R3075" s="533"/>
      <c r="S3075" s="533"/>
      <c r="T3075" s="533"/>
      <c r="U3075" s="533"/>
      <c r="V3075" s="533"/>
      <c r="W3075" s="533"/>
      <c r="X3075" s="533"/>
      <c r="Y3075" s="533"/>
    </row>
    <row r="3076" spans="1:25" s="88" customFormat="1" ht="15.75" hidden="1" thickBot="1" x14ac:dyDescent="0.3">
      <c r="A3076" s="509"/>
      <c r="B3076" s="256"/>
      <c r="C3076" s="221"/>
      <c r="D3076" s="218"/>
      <c r="E3076" s="218"/>
      <c r="F3076" s="528">
        <v>620</v>
      </c>
      <c r="G3076" s="526" t="s">
        <v>88</v>
      </c>
      <c r="H3076" s="594"/>
      <c r="I3076" s="595"/>
      <c r="J3076" s="595">
        <f t="shared" si="96"/>
        <v>0</v>
      </c>
      <c r="K3076" s="533"/>
      <c r="L3076" s="533"/>
      <c r="M3076" s="533"/>
      <c r="N3076" s="268"/>
      <c r="O3076" s="533"/>
      <c r="P3076" s="533"/>
      <c r="Q3076" s="533"/>
      <c r="R3076" s="533"/>
      <c r="S3076" s="533"/>
      <c r="T3076" s="533"/>
      <c r="U3076" s="533"/>
      <c r="V3076" s="533"/>
      <c r="W3076" s="533"/>
      <c r="X3076" s="533"/>
      <c r="Y3076" s="533"/>
    </row>
    <row r="3077" spans="1:25" s="88" customFormat="1" x14ac:dyDescent="0.25">
      <c r="A3077" s="509"/>
      <c r="B3077" s="256"/>
      <c r="C3077" s="221"/>
      <c r="D3077" s="218"/>
      <c r="E3077" s="517"/>
      <c r="F3077" s="528"/>
      <c r="G3077" s="327" t="s">
        <v>4368</v>
      </c>
      <c r="H3077" s="596"/>
      <c r="I3077" s="622"/>
      <c r="J3077" s="597"/>
      <c r="K3077" s="533"/>
      <c r="L3077" s="533"/>
      <c r="M3077" s="533"/>
      <c r="N3077" s="268"/>
      <c r="O3077" s="533"/>
      <c r="P3077" s="533"/>
      <c r="Q3077" s="533"/>
      <c r="R3077" s="533"/>
      <c r="S3077" s="533"/>
      <c r="T3077" s="533"/>
      <c r="U3077" s="533"/>
      <c r="V3077" s="533"/>
      <c r="W3077" s="533"/>
      <c r="X3077" s="533"/>
      <c r="Y3077" s="533"/>
    </row>
    <row r="3078" spans="1:25" s="88" customFormat="1" ht="15.75" thickBot="1" x14ac:dyDescent="0.3">
      <c r="A3078" s="509"/>
      <c r="B3078" s="256"/>
      <c r="C3078" s="221"/>
      <c r="D3078" s="218"/>
      <c r="E3078" s="222"/>
      <c r="F3078" s="642" t="s">
        <v>234</v>
      </c>
      <c r="G3078" s="643" t="s">
        <v>235</v>
      </c>
      <c r="H3078" s="598">
        <f>SUM(H3017:H3076)</f>
        <v>3400000</v>
      </c>
      <c r="I3078" s="599"/>
      <c r="J3078" s="599">
        <f t="shared" ref="J3078:J3093" si="97">SUM(H3078:I3078)</f>
        <v>3400000</v>
      </c>
      <c r="K3078" s="533"/>
      <c r="L3078" s="533"/>
      <c r="M3078" s="533"/>
      <c r="N3078" s="268"/>
      <c r="O3078" s="533"/>
      <c r="P3078" s="533"/>
      <c r="Q3078" s="533"/>
      <c r="R3078" s="533"/>
      <c r="S3078" s="533"/>
      <c r="T3078" s="533"/>
      <c r="U3078" s="533"/>
      <c r="V3078" s="533"/>
      <c r="W3078" s="533"/>
      <c r="X3078" s="533"/>
      <c r="Y3078" s="533"/>
    </row>
    <row r="3079" spans="1:25" s="88" customFormat="1" hidden="1" x14ac:dyDescent="0.25">
      <c r="A3079" s="509"/>
      <c r="B3079" s="256"/>
      <c r="C3079" s="221"/>
      <c r="D3079" s="218"/>
      <c r="E3079" s="218"/>
      <c r="F3079" s="642" t="s">
        <v>236</v>
      </c>
      <c r="G3079" s="643" t="s">
        <v>237</v>
      </c>
      <c r="H3079" s="594"/>
      <c r="I3079" s="595"/>
      <c r="J3079" s="599">
        <f t="shared" si="97"/>
        <v>0</v>
      </c>
      <c r="K3079" s="533"/>
      <c r="L3079" s="533"/>
      <c r="M3079" s="533"/>
      <c r="N3079" s="268"/>
      <c r="O3079" s="533"/>
      <c r="P3079" s="533"/>
      <c r="Q3079" s="533"/>
      <c r="R3079" s="533"/>
      <c r="S3079" s="533"/>
      <c r="T3079" s="533"/>
      <c r="U3079" s="533"/>
      <c r="V3079" s="533"/>
      <c r="W3079" s="533"/>
      <c r="X3079" s="533"/>
      <c r="Y3079" s="533"/>
    </row>
    <row r="3080" spans="1:25" s="88" customFormat="1" hidden="1" x14ac:dyDescent="0.25">
      <c r="A3080" s="509"/>
      <c r="B3080" s="256"/>
      <c r="C3080" s="221"/>
      <c r="D3080" s="218"/>
      <c r="E3080" s="218"/>
      <c r="F3080" s="642" t="s">
        <v>238</v>
      </c>
      <c r="G3080" s="643" t="s">
        <v>239</v>
      </c>
      <c r="H3080" s="594"/>
      <c r="I3080" s="595"/>
      <c r="J3080" s="599">
        <f t="shared" si="97"/>
        <v>0</v>
      </c>
      <c r="K3080" s="533"/>
      <c r="L3080" s="533"/>
      <c r="M3080" s="533"/>
      <c r="N3080" s="268"/>
      <c r="O3080" s="533"/>
      <c r="P3080" s="533"/>
      <c r="Q3080" s="533"/>
      <c r="R3080" s="533"/>
      <c r="S3080" s="533"/>
      <c r="T3080" s="533"/>
      <c r="U3080" s="533"/>
      <c r="V3080" s="533"/>
      <c r="W3080" s="533"/>
      <c r="X3080" s="533"/>
      <c r="Y3080" s="533"/>
    </row>
    <row r="3081" spans="1:25" s="88" customFormat="1" hidden="1" x14ac:dyDescent="0.25">
      <c r="A3081" s="509"/>
      <c r="B3081" s="256"/>
      <c r="C3081" s="221"/>
      <c r="D3081" s="218"/>
      <c r="E3081" s="218"/>
      <c r="F3081" s="642" t="s">
        <v>240</v>
      </c>
      <c r="G3081" s="643" t="s">
        <v>241</v>
      </c>
      <c r="H3081" s="594"/>
      <c r="I3081" s="595"/>
      <c r="J3081" s="599">
        <f t="shared" si="97"/>
        <v>0</v>
      </c>
      <c r="K3081" s="533"/>
      <c r="L3081" s="533"/>
      <c r="M3081" s="533"/>
      <c r="N3081" s="268"/>
      <c r="O3081" s="533"/>
      <c r="P3081" s="533"/>
      <c r="Q3081" s="533"/>
      <c r="R3081" s="533"/>
      <c r="S3081" s="533"/>
      <c r="T3081" s="533"/>
      <c r="U3081" s="533"/>
      <c r="V3081" s="533"/>
      <c r="W3081" s="533"/>
      <c r="X3081" s="533"/>
      <c r="Y3081" s="533"/>
    </row>
    <row r="3082" spans="1:25" s="88" customFormat="1" hidden="1" x14ac:dyDescent="0.25">
      <c r="A3082" s="509"/>
      <c r="B3082" s="256"/>
      <c r="C3082" s="221"/>
      <c r="D3082" s="218"/>
      <c r="E3082" s="218"/>
      <c r="F3082" s="642" t="s">
        <v>242</v>
      </c>
      <c r="G3082" s="643" t="s">
        <v>243</v>
      </c>
      <c r="H3082" s="594"/>
      <c r="I3082" s="595"/>
      <c r="J3082" s="599">
        <f t="shared" si="97"/>
        <v>0</v>
      </c>
      <c r="K3082" s="533"/>
      <c r="L3082" s="533"/>
      <c r="M3082" s="533"/>
      <c r="N3082" s="268"/>
      <c r="O3082" s="533"/>
      <c r="P3082" s="533"/>
      <c r="Q3082" s="533"/>
      <c r="R3082" s="533"/>
      <c r="S3082" s="533"/>
      <c r="T3082" s="533"/>
      <c r="U3082" s="533"/>
      <c r="V3082" s="533"/>
      <c r="W3082" s="533"/>
      <c r="X3082" s="533"/>
      <c r="Y3082" s="533"/>
    </row>
    <row r="3083" spans="1:25" s="88" customFormat="1" hidden="1" x14ac:dyDescent="0.25">
      <c r="A3083" s="509"/>
      <c r="B3083" s="256"/>
      <c r="C3083" s="221"/>
      <c r="D3083" s="218"/>
      <c r="E3083" s="218"/>
      <c r="F3083" s="642" t="s">
        <v>244</v>
      </c>
      <c r="G3083" s="643" t="s">
        <v>245</v>
      </c>
      <c r="H3083" s="594"/>
      <c r="I3083" s="595"/>
      <c r="J3083" s="599">
        <f t="shared" si="97"/>
        <v>0</v>
      </c>
      <c r="K3083" s="533"/>
      <c r="L3083" s="533"/>
      <c r="M3083" s="533"/>
      <c r="N3083" s="268"/>
      <c r="O3083" s="533"/>
      <c r="P3083" s="533"/>
      <c r="Q3083" s="533"/>
      <c r="R3083" s="533"/>
      <c r="S3083" s="533"/>
      <c r="T3083" s="533"/>
      <c r="U3083" s="533"/>
      <c r="V3083" s="533"/>
      <c r="W3083" s="533"/>
      <c r="X3083" s="533"/>
      <c r="Y3083" s="533"/>
    </row>
    <row r="3084" spans="1:25" s="88" customFormat="1" hidden="1" x14ac:dyDescent="0.25">
      <c r="A3084" s="509"/>
      <c r="B3084" s="256"/>
      <c r="C3084" s="221"/>
      <c r="D3084" s="218"/>
      <c r="E3084" s="218"/>
      <c r="F3084" s="642" t="s">
        <v>246</v>
      </c>
      <c r="G3084" s="643" t="s">
        <v>247</v>
      </c>
      <c r="H3084" s="594"/>
      <c r="I3084" s="595"/>
      <c r="J3084" s="599">
        <f t="shared" si="97"/>
        <v>0</v>
      </c>
      <c r="K3084" s="533"/>
      <c r="L3084" s="533"/>
      <c r="M3084" s="533"/>
      <c r="N3084" s="268"/>
      <c r="O3084" s="533"/>
      <c r="P3084" s="533"/>
      <c r="Q3084" s="533"/>
      <c r="R3084" s="533"/>
      <c r="S3084" s="533"/>
      <c r="T3084" s="533"/>
      <c r="U3084" s="533"/>
      <c r="V3084" s="533"/>
      <c r="W3084" s="533"/>
      <c r="X3084" s="533"/>
      <c r="Y3084" s="533"/>
    </row>
    <row r="3085" spans="1:25" s="88" customFormat="1" hidden="1" x14ac:dyDescent="0.25">
      <c r="A3085" s="509"/>
      <c r="B3085" s="256"/>
      <c r="C3085" s="221"/>
      <c r="D3085" s="218"/>
      <c r="E3085" s="218"/>
      <c r="F3085" s="642" t="s">
        <v>248</v>
      </c>
      <c r="G3085" s="643" t="s">
        <v>249</v>
      </c>
      <c r="H3085" s="594"/>
      <c r="I3085" s="595"/>
      <c r="J3085" s="599">
        <f t="shared" si="97"/>
        <v>0</v>
      </c>
      <c r="K3085" s="533"/>
      <c r="L3085" s="533"/>
      <c r="M3085" s="533"/>
      <c r="N3085" s="268"/>
      <c r="O3085" s="533"/>
      <c r="P3085" s="533"/>
      <c r="Q3085" s="533"/>
      <c r="R3085" s="533"/>
      <c r="S3085" s="533"/>
      <c r="T3085" s="533"/>
      <c r="U3085" s="533"/>
      <c r="V3085" s="533"/>
      <c r="W3085" s="533"/>
      <c r="X3085" s="533"/>
      <c r="Y3085" s="533"/>
    </row>
    <row r="3086" spans="1:25" s="88" customFormat="1" hidden="1" x14ac:dyDescent="0.25">
      <c r="A3086" s="218"/>
      <c r="B3086" s="218"/>
      <c r="C3086" s="221"/>
      <c r="D3086" s="218"/>
      <c r="E3086" s="218"/>
      <c r="F3086" s="642" t="s">
        <v>250</v>
      </c>
      <c r="G3086" s="643" t="s">
        <v>57</v>
      </c>
      <c r="H3086" s="594"/>
      <c r="I3086" s="595"/>
      <c r="J3086" s="599">
        <f t="shared" si="97"/>
        <v>0</v>
      </c>
      <c r="K3086" s="533"/>
      <c r="L3086" s="533"/>
      <c r="M3086" s="533"/>
      <c r="N3086" s="268"/>
      <c r="O3086" s="533"/>
      <c r="P3086" s="533"/>
      <c r="Q3086" s="533"/>
      <c r="R3086" s="533"/>
      <c r="S3086" s="533"/>
      <c r="T3086" s="533"/>
      <c r="U3086" s="533"/>
      <c r="V3086" s="533"/>
      <c r="W3086" s="533"/>
      <c r="X3086" s="533"/>
      <c r="Y3086" s="533"/>
    </row>
    <row r="3087" spans="1:25" s="88" customFormat="1" hidden="1" x14ac:dyDescent="0.25">
      <c r="A3087" s="218"/>
      <c r="B3087" s="218"/>
      <c r="C3087" s="221"/>
      <c r="D3087" s="218"/>
      <c r="E3087" s="218"/>
      <c r="F3087" s="642" t="s">
        <v>251</v>
      </c>
      <c r="G3087" s="643" t="s">
        <v>252</v>
      </c>
      <c r="H3087" s="594"/>
      <c r="I3087" s="595"/>
      <c r="J3087" s="599">
        <f t="shared" si="97"/>
        <v>0</v>
      </c>
      <c r="K3087" s="533"/>
      <c r="L3087" s="533"/>
      <c r="M3087" s="533"/>
      <c r="N3087" s="268"/>
      <c r="O3087" s="533"/>
      <c r="P3087" s="533"/>
      <c r="Q3087" s="533"/>
      <c r="R3087" s="533"/>
      <c r="S3087" s="533"/>
      <c r="T3087" s="533"/>
      <c r="U3087" s="533"/>
      <c r="V3087" s="533"/>
      <c r="W3087" s="533"/>
      <c r="X3087" s="533"/>
      <c r="Y3087" s="533"/>
    </row>
    <row r="3088" spans="1:25" s="88" customFormat="1" hidden="1" x14ac:dyDescent="0.25">
      <c r="A3088" s="218"/>
      <c r="B3088" s="218"/>
      <c r="C3088" s="221"/>
      <c r="D3088" s="218"/>
      <c r="E3088" s="218"/>
      <c r="F3088" s="642" t="s">
        <v>253</v>
      </c>
      <c r="G3088" s="643" t="s">
        <v>254</v>
      </c>
      <c r="H3088" s="594"/>
      <c r="I3088" s="595"/>
      <c r="J3088" s="599">
        <f t="shared" si="97"/>
        <v>0</v>
      </c>
      <c r="K3088" s="533"/>
      <c r="L3088" s="533"/>
      <c r="M3088" s="533"/>
      <c r="N3088" s="268"/>
      <c r="O3088" s="533"/>
      <c r="P3088" s="533"/>
      <c r="Q3088" s="533"/>
      <c r="R3088" s="533"/>
      <c r="S3088" s="533"/>
      <c r="T3088" s="533"/>
      <c r="U3088" s="533"/>
      <c r="V3088" s="533"/>
      <c r="W3088" s="533"/>
      <c r="X3088" s="533"/>
      <c r="Y3088" s="533"/>
    </row>
    <row r="3089" spans="1:25" s="88" customFormat="1" ht="30" hidden="1" x14ac:dyDescent="0.25">
      <c r="A3089" s="218"/>
      <c r="B3089" s="218"/>
      <c r="C3089" s="221"/>
      <c r="D3089" s="218"/>
      <c r="E3089" s="218"/>
      <c r="F3089" s="642" t="s">
        <v>255</v>
      </c>
      <c r="G3089" s="643" t="s">
        <v>256</v>
      </c>
      <c r="H3089" s="594"/>
      <c r="I3089" s="595"/>
      <c r="J3089" s="599">
        <f t="shared" si="97"/>
        <v>0</v>
      </c>
      <c r="K3089" s="533"/>
      <c r="L3089" s="533"/>
      <c r="M3089" s="533"/>
      <c r="N3089" s="268"/>
      <c r="O3089" s="533"/>
      <c r="P3089" s="533"/>
      <c r="Q3089" s="533"/>
      <c r="R3089" s="533"/>
      <c r="S3089" s="533"/>
      <c r="T3089" s="533"/>
      <c r="U3089" s="533"/>
      <c r="V3089" s="533"/>
      <c r="W3089" s="533"/>
      <c r="X3089" s="533"/>
      <c r="Y3089" s="533"/>
    </row>
    <row r="3090" spans="1:25" s="88" customFormat="1" hidden="1" x14ac:dyDescent="0.25">
      <c r="A3090" s="218"/>
      <c r="B3090" s="218"/>
      <c r="C3090" s="221"/>
      <c r="D3090" s="218"/>
      <c r="E3090" s="218"/>
      <c r="F3090" s="642" t="s">
        <v>257</v>
      </c>
      <c r="G3090" s="643" t="s">
        <v>258</v>
      </c>
      <c r="H3090" s="594"/>
      <c r="I3090" s="595"/>
      <c r="J3090" s="599">
        <f t="shared" si="97"/>
        <v>0</v>
      </c>
      <c r="K3090" s="533"/>
      <c r="L3090" s="533"/>
      <c r="M3090" s="533"/>
      <c r="N3090" s="268"/>
      <c r="O3090" s="533"/>
      <c r="P3090" s="533"/>
      <c r="Q3090" s="533"/>
      <c r="R3090" s="533"/>
      <c r="S3090" s="533"/>
      <c r="T3090" s="533"/>
      <c r="U3090" s="533"/>
      <c r="V3090" s="533"/>
      <c r="W3090" s="533"/>
      <c r="X3090" s="533"/>
      <c r="Y3090" s="533"/>
    </row>
    <row r="3091" spans="1:25" s="88" customFormat="1" ht="30" hidden="1" x14ac:dyDescent="0.25">
      <c r="A3091" s="218"/>
      <c r="B3091" s="218"/>
      <c r="C3091" s="221"/>
      <c r="D3091" s="218"/>
      <c r="E3091" s="218"/>
      <c r="F3091" s="642" t="s">
        <v>259</v>
      </c>
      <c r="G3091" s="643" t="s">
        <v>260</v>
      </c>
      <c r="H3091" s="594"/>
      <c r="I3091" s="595"/>
      <c r="J3091" s="599">
        <f t="shared" si="97"/>
        <v>0</v>
      </c>
      <c r="K3091" s="533"/>
      <c r="L3091" s="533"/>
      <c r="M3091" s="533"/>
      <c r="N3091" s="268"/>
      <c r="O3091" s="533"/>
      <c r="P3091" s="533"/>
      <c r="Q3091" s="533"/>
      <c r="R3091" s="533"/>
      <c r="S3091" s="533"/>
      <c r="T3091" s="533"/>
      <c r="U3091" s="533"/>
      <c r="V3091" s="533"/>
      <c r="W3091" s="533"/>
      <c r="X3091" s="533"/>
      <c r="Y3091" s="533"/>
    </row>
    <row r="3092" spans="1:25" s="88" customFormat="1" hidden="1" x14ac:dyDescent="0.25">
      <c r="A3092" s="218"/>
      <c r="B3092" s="218"/>
      <c r="C3092" s="221"/>
      <c r="D3092" s="218"/>
      <c r="E3092" s="218"/>
      <c r="F3092" s="642" t="s">
        <v>261</v>
      </c>
      <c r="G3092" s="643" t="s">
        <v>262</v>
      </c>
      <c r="H3092" s="594"/>
      <c r="I3092" s="595"/>
      <c r="J3092" s="599">
        <f t="shared" si="97"/>
        <v>0</v>
      </c>
      <c r="K3092" s="533"/>
      <c r="L3092" s="533"/>
      <c r="M3092" s="533"/>
      <c r="N3092" s="268"/>
      <c r="O3092" s="533"/>
      <c r="P3092" s="533"/>
      <c r="Q3092" s="533"/>
      <c r="R3092" s="533"/>
      <c r="S3092" s="533"/>
      <c r="T3092" s="533"/>
      <c r="U3092" s="533"/>
      <c r="V3092" s="533"/>
      <c r="W3092" s="533"/>
      <c r="X3092" s="533"/>
      <c r="Y3092" s="533"/>
    </row>
    <row r="3093" spans="1:25" s="88" customFormat="1" ht="15.75" hidden="1" thickBot="1" x14ac:dyDescent="0.3">
      <c r="A3093" s="218"/>
      <c r="B3093" s="218"/>
      <c r="C3093" s="221"/>
      <c r="D3093" s="218"/>
      <c r="E3093" s="218"/>
      <c r="F3093" s="642" t="s">
        <v>263</v>
      </c>
      <c r="G3093" s="643" t="s">
        <v>264</v>
      </c>
      <c r="H3093" s="598"/>
      <c r="I3093" s="599"/>
      <c r="J3093" s="599">
        <f t="shared" si="97"/>
        <v>0</v>
      </c>
      <c r="K3093" s="533"/>
      <c r="L3093" s="533"/>
      <c r="M3093" s="533"/>
      <c r="N3093" s="268"/>
      <c r="O3093" s="533"/>
      <c r="P3093" s="533"/>
      <c r="Q3093" s="533"/>
      <c r="R3093" s="533"/>
      <c r="S3093" s="533"/>
      <c r="T3093" s="533"/>
      <c r="U3093" s="533"/>
      <c r="V3093" s="533"/>
      <c r="W3093" s="533"/>
      <c r="X3093" s="533"/>
      <c r="Y3093" s="533"/>
    </row>
    <row r="3094" spans="1:25" s="88" customFormat="1" ht="15.75" thickBot="1" x14ac:dyDescent="0.3">
      <c r="A3094" s="218"/>
      <c r="B3094" s="218"/>
      <c r="C3094" s="221"/>
      <c r="D3094" s="218"/>
      <c r="E3094" s="218"/>
      <c r="F3094" s="218"/>
      <c r="G3094" s="229" t="s">
        <v>4369</v>
      </c>
      <c r="H3094" s="600">
        <f>SUM(H3078:H3093)</f>
        <v>3400000</v>
      </c>
      <c r="I3094" s="601">
        <f>SUM(I3079:I3093)</f>
        <v>0</v>
      </c>
      <c r="J3094" s="601">
        <f>SUM(J3078:J3093)</f>
        <v>3400000</v>
      </c>
      <c r="K3094" s="533"/>
      <c r="L3094" s="533"/>
      <c r="M3094" s="533"/>
      <c r="N3094" s="268"/>
      <c r="O3094" s="533"/>
      <c r="P3094" s="533"/>
      <c r="Q3094" s="533"/>
      <c r="R3094" s="533"/>
      <c r="S3094" s="533"/>
      <c r="T3094" s="533"/>
      <c r="U3094" s="533"/>
      <c r="V3094" s="533"/>
      <c r="W3094" s="533"/>
      <c r="X3094" s="533"/>
      <c r="Y3094" s="533"/>
    </row>
    <row r="3095" spans="1:25" s="88" customFormat="1" x14ac:dyDescent="0.25">
      <c r="A3095" s="218"/>
      <c r="B3095" s="218"/>
      <c r="C3095" s="221"/>
      <c r="D3095" s="218"/>
      <c r="E3095" s="218"/>
      <c r="F3095" s="218"/>
      <c r="G3095" s="286" t="s">
        <v>5256</v>
      </c>
      <c r="H3095" s="604"/>
      <c r="I3095" s="605"/>
      <c r="J3095" s="605"/>
      <c r="K3095" s="533"/>
      <c r="L3095" s="533"/>
      <c r="M3095" s="533"/>
      <c r="N3095" s="268"/>
      <c r="O3095" s="533"/>
      <c r="P3095" s="533"/>
      <c r="Q3095" s="533"/>
      <c r="R3095" s="533"/>
      <c r="S3095" s="533"/>
      <c r="T3095" s="533"/>
      <c r="U3095" s="533"/>
      <c r="V3095" s="533"/>
      <c r="W3095" s="533"/>
      <c r="X3095" s="533"/>
      <c r="Y3095" s="533"/>
    </row>
    <row r="3096" spans="1:25" s="88" customFormat="1" ht="15.75" thickBot="1" x14ac:dyDescent="0.3">
      <c r="A3096" s="218"/>
      <c r="B3096" s="218"/>
      <c r="C3096" s="221"/>
      <c r="D3096" s="218"/>
      <c r="E3096" s="218"/>
      <c r="F3096" s="218" t="s">
        <v>234</v>
      </c>
      <c r="G3096" s="723" t="s">
        <v>235</v>
      </c>
      <c r="H3096" s="725">
        <f>SUM(H3017:H3076)</f>
        <v>3400000</v>
      </c>
      <c r="I3096" s="726"/>
      <c r="J3096" s="729">
        <f t="shared" ref="J3096:J3111" si="98">SUM(H3096:I3096)</f>
        <v>3400000</v>
      </c>
      <c r="K3096" s="533"/>
      <c r="L3096" s="533"/>
      <c r="M3096" s="533"/>
      <c r="N3096" s="268"/>
      <c r="O3096" s="533"/>
      <c r="P3096" s="533"/>
      <c r="Q3096" s="533"/>
      <c r="R3096" s="533"/>
      <c r="S3096" s="533"/>
      <c r="T3096" s="533"/>
      <c r="U3096" s="533"/>
      <c r="V3096" s="533"/>
      <c r="W3096" s="533"/>
      <c r="X3096" s="533"/>
      <c r="Y3096" s="533"/>
    </row>
    <row r="3097" spans="1:25" s="88" customFormat="1" hidden="1" x14ac:dyDescent="0.25">
      <c r="A3097" s="218"/>
      <c r="B3097" s="218"/>
      <c r="C3097" s="221"/>
      <c r="D3097" s="218"/>
      <c r="E3097" s="218"/>
      <c r="F3097" s="218" t="s">
        <v>236</v>
      </c>
      <c r="G3097" s="286" t="s">
        <v>237</v>
      </c>
      <c r="H3097" s="604"/>
      <c r="I3097" s="605"/>
      <c r="J3097" s="605">
        <f t="shared" si="98"/>
        <v>0</v>
      </c>
      <c r="K3097" s="533"/>
      <c r="L3097" s="533"/>
      <c r="M3097" s="533"/>
      <c r="N3097" s="268"/>
      <c r="O3097" s="533"/>
      <c r="P3097" s="533"/>
      <c r="Q3097" s="533"/>
      <c r="R3097" s="533"/>
      <c r="S3097" s="533"/>
      <c r="T3097" s="533"/>
      <c r="U3097" s="533"/>
      <c r="V3097" s="533"/>
      <c r="W3097" s="533"/>
      <c r="X3097" s="533"/>
      <c r="Y3097" s="533"/>
    </row>
    <row r="3098" spans="1:25" s="88" customFormat="1" hidden="1" x14ac:dyDescent="0.25">
      <c r="A3098" s="218"/>
      <c r="B3098" s="218"/>
      <c r="C3098" s="221"/>
      <c r="D3098" s="218"/>
      <c r="E3098" s="218"/>
      <c r="F3098" s="218" t="s">
        <v>238</v>
      </c>
      <c r="G3098" s="286" t="s">
        <v>239</v>
      </c>
      <c r="H3098" s="604"/>
      <c r="I3098" s="605"/>
      <c r="J3098" s="605">
        <f t="shared" si="98"/>
        <v>0</v>
      </c>
      <c r="K3098" s="533"/>
      <c r="L3098" s="533"/>
      <c r="M3098" s="533"/>
      <c r="N3098" s="268"/>
      <c r="O3098" s="533"/>
      <c r="P3098" s="533"/>
      <c r="Q3098" s="533"/>
      <c r="R3098" s="533"/>
      <c r="S3098" s="533"/>
      <c r="T3098" s="533"/>
      <c r="U3098" s="533"/>
      <c r="V3098" s="533"/>
      <c r="W3098" s="533"/>
      <c r="X3098" s="533"/>
      <c r="Y3098" s="533"/>
    </row>
    <row r="3099" spans="1:25" s="88" customFormat="1" hidden="1" x14ac:dyDescent="0.25">
      <c r="A3099" s="218"/>
      <c r="B3099" s="218"/>
      <c r="C3099" s="221"/>
      <c r="D3099" s="218"/>
      <c r="E3099" s="218"/>
      <c r="F3099" s="218" t="s">
        <v>240</v>
      </c>
      <c r="G3099" s="286" t="s">
        <v>241</v>
      </c>
      <c r="H3099" s="604"/>
      <c r="I3099" s="605"/>
      <c r="J3099" s="605">
        <f t="shared" si="98"/>
        <v>0</v>
      </c>
      <c r="K3099" s="533"/>
      <c r="L3099" s="533"/>
      <c r="M3099" s="533"/>
      <c r="N3099" s="268"/>
      <c r="O3099" s="533"/>
      <c r="P3099" s="533"/>
      <c r="Q3099" s="533"/>
      <c r="R3099" s="533"/>
      <c r="S3099" s="533"/>
      <c r="T3099" s="533"/>
      <c r="U3099" s="533"/>
      <c r="V3099" s="533"/>
      <c r="W3099" s="533"/>
      <c r="X3099" s="533"/>
      <c r="Y3099" s="533"/>
    </row>
    <row r="3100" spans="1:25" s="88" customFormat="1" hidden="1" x14ac:dyDescent="0.25">
      <c r="A3100" s="218"/>
      <c r="B3100" s="218"/>
      <c r="C3100" s="221"/>
      <c r="D3100" s="218"/>
      <c r="E3100" s="218"/>
      <c r="F3100" s="218" t="s">
        <v>242</v>
      </c>
      <c r="G3100" s="286" t="s">
        <v>243</v>
      </c>
      <c r="H3100" s="604"/>
      <c r="I3100" s="605"/>
      <c r="J3100" s="605">
        <f t="shared" si="98"/>
        <v>0</v>
      </c>
      <c r="K3100" s="533"/>
      <c r="L3100" s="533"/>
      <c r="M3100" s="533"/>
      <c r="N3100" s="268"/>
      <c r="O3100" s="533"/>
      <c r="P3100" s="533"/>
      <c r="Q3100" s="533"/>
      <c r="R3100" s="533"/>
      <c r="S3100" s="533"/>
      <c r="T3100" s="533"/>
      <c r="U3100" s="533"/>
      <c r="V3100" s="533"/>
      <c r="W3100" s="533"/>
      <c r="X3100" s="533"/>
      <c r="Y3100" s="533"/>
    </row>
    <row r="3101" spans="1:25" s="88" customFormat="1" hidden="1" x14ac:dyDescent="0.25">
      <c r="A3101" s="218"/>
      <c r="B3101" s="218"/>
      <c r="C3101" s="221"/>
      <c r="D3101" s="218"/>
      <c r="E3101" s="218"/>
      <c r="F3101" s="218" t="s">
        <v>244</v>
      </c>
      <c r="G3101" s="286" t="s">
        <v>245</v>
      </c>
      <c r="H3101" s="604"/>
      <c r="I3101" s="605"/>
      <c r="J3101" s="605">
        <f t="shared" si="98"/>
        <v>0</v>
      </c>
      <c r="K3101" s="533"/>
      <c r="L3101" s="533"/>
      <c r="M3101" s="533"/>
      <c r="N3101" s="268"/>
      <c r="O3101" s="533"/>
      <c r="P3101" s="533"/>
      <c r="Q3101" s="533"/>
      <c r="R3101" s="533"/>
      <c r="S3101" s="533"/>
      <c r="T3101" s="533"/>
      <c r="U3101" s="533"/>
      <c r="V3101" s="533"/>
      <c r="W3101" s="533"/>
      <c r="X3101" s="533"/>
      <c r="Y3101" s="533"/>
    </row>
    <row r="3102" spans="1:25" s="88" customFormat="1" hidden="1" x14ac:dyDescent="0.25">
      <c r="A3102" s="218"/>
      <c r="B3102" s="218"/>
      <c r="C3102" s="221"/>
      <c r="D3102" s="218"/>
      <c r="E3102" s="218"/>
      <c r="F3102" s="218" t="s">
        <v>246</v>
      </c>
      <c r="G3102" s="286" t="s">
        <v>247</v>
      </c>
      <c r="H3102" s="604"/>
      <c r="I3102" s="605"/>
      <c r="J3102" s="605">
        <f t="shared" si="98"/>
        <v>0</v>
      </c>
      <c r="K3102" s="533"/>
      <c r="L3102" s="533"/>
      <c r="M3102" s="533"/>
      <c r="N3102" s="268"/>
      <c r="O3102" s="533"/>
      <c r="P3102" s="533"/>
      <c r="Q3102" s="533"/>
      <c r="R3102" s="533"/>
      <c r="S3102" s="533"/>
      <c r="T3102" s="533"/>
      <c r="U3102" s="533"/>
      <c r="V3102" s="533"/>
      <c r="W3102" s="533"/>
      <c r="X3102" s="533"/>
      <c r="Y3102" s="533"/>
    </row>
    <row r="3103" spans="1:25" s="88" customFormat="1" hidden="1" x14ac:dyDescent="0.25">
      <c r="A3103" s="218"/>
      <c r="B3103" s="218"/>
      <c r="C3103" s="221"/>
      <c r="D3103" s="218"/>
      <c r="E3103" s="218"/>
      <c r="F3103" s="218" t="s">
        <v>248</v>
      </c>
      <c r="G3103" s="286" t="s">
        <v>249</v>
      </c>
      <c r="H3103" s="604"/>
      <c r="I3103" s="605"/>
      <c r="J3103" s="605">
        <f t="shared" si="98"/>
        <v>0</v>
      </c>
      <c r="K3103" s="533"/>
      <c r="L3103" s="533"/>
      <c r="M3103" s="533"/>
      <c r="N3103" s="268"/>
      <c r="O3103" s="533"/>
      <c r="P3103" s="533"/>
      <c r="Q3103" s="533"/>
      <c r="R3103" s="533"/>
      <c r="S3103" s="533"/>
      <c r="T3103" s="533"/>
      <c r="U3103" s="533"/>
      <c r="V3103" s="533"/>
      <c r="W3103" s="533"/>
      <c r="X3103" s="533"/>
      <c r="Y3103" s="533"/>
    </row>
    <row r="3104" spans="1:25" s="88" customFormat="1" hidden="1" x14ac:dyDescent="0.25">
      <c r="A3104" s="218"/>
      <c r="B3104" s="218"/>
      <c r="C3104" s="221"/>
      <c r="D3104" s="218"/>
      <c r="E3104" s="218"/>
      <c r="F3104" s="218" t="s">
        <v>250</v>
      </c>
      <c r="G3104" s="286" t="s">
        <v>57</v>
      </c>
      <c r="H3104" s="604"/>
      <c r="I3104" s="605"/>
      <c r="J3104" s="605">
        <f t="shared" si="98"/>
        <v>0</v>
      </c>
      <c r="K3104" s="533"/>
      <c r="L3104" s="533"/>
      <c r="M3104" s="533"/>
      <c r="N3104" s="268"/>
      <c r="O3104" s="533"/>
      <c r="P3104" s="533"/>
      <c r="Q3104" s="533"/>
      <c r="R3104" s="533"/>
      <c r="S3104" s="533"/>
      <c r="T3104" s="533"/>
      <c r="U3104" s="533"/>
      <c r="V3104" s="533"/>
      <c r="W3104" s="533"/>
      <c r="X3104" s="533"/>
      <c r="Y3104" s="533"/>
    </row>
    <row r="3105" spans="1:25" s="88" customFormat="1" hidden="1" x14ac:dyDescent="0.25">
      <c r="A3105" s="218"/>
      <c r="B3105" s="218"/>
      <c r="C3105" s="221"/>
      <c r="D3105" s="218"/>
      <c r="E3105" s="218"/>
      <c r="F3105" s="218" t="s">
        <v>251</v>
      </c>
      <c r="G3105" s="286" t="s">
        <v>252</v>
      </c>
      <c r="H3105" s="604"/>
      <c r="I3105" s="605"/>
      <c r="J3105" s="605">
        <f t="shared" si="98"/>
        <v>0</v>
      </c>
      <c r="K3105" s="533"/>
      <c r="L3105" s="533"/>
      <c r="M3105" s="533"/>
      <c r="N3105" s="268"/>
      <c r="O3105" s="533"/>
      <c r="P3105" s="533"/>
      <c r="Q3105" s="533"/>
      <c r="R3105" s="533"/>
      <c r="S3105" s="533"/>
      <c r="T3105" s="533"/>
      <c r="U3105" s="533"/>
      <c r="V3105" s="533"/>
      <c r="W3105" s="533"/>
      <c r="X3105" s="533"/>
      <c r="Y3105" s="533"/>
    </row>
    <row r="3106" spans="1:25" s="88" customFormat="1" hidden="1" x14ac:dyDescent="0.25">
      <c r="A3106" s="218"/>
      <c r="B3106" s="218"/>
      <c r="C3106" s="221"/>
      <c r="D3106" s="218"/>
      <c r="E3106" s="218"/>
      <c r="F3106" s="218" t="s">
        <v>253</v>
      </c>
      <c r="G3106" s="286" t="s">
        <v>254</v>
      </c>
      <c r="H3106" s="604"/>
      <c r="I3106" s="605"/>
      <c r="J3106" s="605">
        <f t="shared" si="98"/>
        <v>0</v>
      </c>
      <c r="K3106" s="533"/>
      <c r="L3106" s="533"/>
      <c r="M3106" s="533"/>
      <c r="N3106" s="268"/>
      <c r="O3106" s="533"/>
      <c r="P3106" s="533"/>
      <c r="Q3106" s="533"/>
      <c r="R3106" s="533"/>
      <c r="S3106" s="533"/>
      <c r="T3106" s="533"/>
      <c r="U3106" s="533"/>
      <c r="V3106" s="533"/>
      <c r="W3106" s="533"/>
      <c r="X3106" s="533"/>
      <c r="Y3106" s="533"/>
    </row>
    <row r="3107" spans="1:25" s="88" customFormat="1" ht="28.5" hidden="1" x14ac:dyDescent="0.25">
      <c r="A3107" s="218"/>
      <c r="B3107" s="218"/>
      <c r="C3107" s="221"/>
      <c r="D3107" s="218"/>
      <c r="E3107" s="218"/>
      <c r="F3107" s="218" t="s">
        <v>255</v>
      </c>
      <c r="G3107" s="286" t="s">
        <v>256</v>
      </c>
      <c r="H3107" s="604"/>
      <c r="I3107" s="605"/>
      <c r="J3107" s="605">
        <f t="shared" si="98"/>
        <v>0</v>
      </c>
      <c r="K3107" s="533"/>
      <c r="L3107" s="533"/>
      <c r="M3107" s="533"/>
      <c r="N3107" s="268"/>
      <c r="O3107" s="533"/>
      <c r="P3107" s="533"/>
      <c r="Q3107" s="533"/>
      <c r="R3107" s="533"/>
      <c r="S3107" s="533"/>
      <c r="T3107" s="533"/>
      <c r="U3107" s="533"/>
      <c r="V3107" s="533"/>
      <c r="W3107" s="533"/>
      <c r="X3107" s="533"/>
      <c r="Y3107" s="533"/>
    </row>
    <row r="3108" spans="1:25" s="88" customFormat="1" hidden="1" x14ac:dyDescent="0.25">
      <c r="A3108" s="218"/>
      <c r="B3108" s="218"/>
      <c r="C3108" s="221"/>
      <c r="D3108" s="218"/>
      <c r="E3108" s="218"/>
      <c r="F3108" s="218" t="s">
        <v>257</v>
      </c>
      <c r="G3108" s="286" t="s">
        <v>258</v>
      </c>
      <c r="H3108" s="604"/>
      <c r="I3108" s="605"/>
      <c r="J3108" s="605">
        <f t="shared" si="98"/>
        <v>0</v>
      </c>
      <c r="K3108" s="533"/>
      <c r="L3108" s="533"/>
      <c r="M3108" s="533"/>
      <c r="N3108" s="268"/>
      <c r="O3108" s="533"/>
      <c r="P3108" s="533"/>
      <c r="Q3108" s="533"/>
      <c r="R3108" s="533"/>
      <c r="S3108" s="533"/>
      <c r="T3108" s="533"/>
      <c r="U3108" s="533"/>
      <c r="V3108" s="533"/>
      <c r="W3108" s="533"/>
      <c r="X3108" s="533"/>
      <c r="Y3108" s="533"/>
    </row>
    <row r="3109" spans="1:25" s="88" customFormat="1" ht="28.5" hidden="1" x14ac:dyDescent="0.25">
      <c r="A3109" s="218"/>
      <c r="B3109" s="218"/>
      <c r="C3109" s="221"/>
      <c r="D3109" s="218"/>
      <c r="E3109" s="218"/>
      <c r="F3109" s="218" t="s">
        <v>259</v>
      </c>
      <c r="G3109" s="286" t="s">
        <v>260</v>
      </c>
      <c r="H3109" s="604"/>
      <c r="I3109" s="605"/>
      <c r="J3109" s="605">
        <f t="shared" si="98"/>
        <v>0</v>
      </c>
      <c r="K3109" s="533"/>
      <c r="L3109" s="533"/>
      <c r="M3109" s="533"/>
      <c r="N3109" s="268"/>
      <c r="O3109" s="533"/>
      <c r="P3109" s="533"/>
      <c r="Q3109" s="533"/>
      <c r="R3109" s="533"/>
      <c r="S3109" s="533"/>
      <c r="T3109" s="533"/>
      <c r="U3109" s="533"/>
      <c r="V3109" s="533"/>
      <c r="W3109" s="533"/>
      <c r="X3109" s="533"/>
      <c r="Y3109" s="533"/>
    </row>
    <row r="3110" spans="1:25" s="88" customFormat="1" hidden="1" x14ac:dyDescent="0.25">
      <c r="A3110" s="218"/>
      <c r="B3110" s="218"/>
      <c r="C3110" s="221"/>
      <c r="D3110" s="218"/>
      <c r="E3110" s="218"/>
      <c r="F3110" s="218" t="s">
        <v>261</v>
      </c>
      <c r="G3110" s="286" t="s">
        <v>262</v>
      </c>
      <c r="H3110" s="604"/>
      <c r="I3110" s="605"/>
      <c r="J3110" s="605">
        <f t="shared" si="98"/>
        <v>0</v>
      </c>
      <c r="K3110" s="533"/>
      <c r="L3110" s="533"/>
      <c r="M3110" s="533"/>
      <c r="N3110" s="268"/>
      <c r="O3110" s="533"/>
      <c r="P3110" s="533"/>
      <c r="Q3110" s="533"/>
      <c r="R3110" s="533"/>
      <c r="S3110" s="533"/>
      <c r="T3110" s="533"/>
      <c r="U3110" s="533"/>
      <c r="V3110" s="533"/>
      <c r="W3110" s="533"/>
      <c r="X3110" s="533"/>
      <c r="Y3110" s="533"/>
    </row>
    <row r="3111" spans="1:25" s="88" customFormat="1" hidden="1" x14ac:dyDescent="0.25">
      <c r="A3111" s="218"/>
      <c r="B3111" s="218"/>
      <c r="C3111" s="221"/>
      <c r="D3111" s="218"/>
      <c r="E3111" s="218"/>
      <c r="F3111" s="218" t="s">
        <v>263</v>
      </c>
      <c r="G3111" s="286" t="s">
        <v>264</v>
      </c>
      <c r="H3111" s="604"/>
      <c r="I3111" s="605"/>
      <c r="J3111" s="605">
        <f t="shared" si="98"/>
        <v>0</v>
      </c>
      <c r="K3111" s="533"/>
      <c r="L3111" s="533"/>
      <c r="M3111" s="533"/>
      <c r="N3111" s="268"/>
      <c r="O3111" s="533"/>
      <c r="P3111" s="533"/>
      <c r="Q3111" s="533"/>
      <c r="R3111" s="533"/>
      <c r="S3111" s="533"/>
      <c r="T3111" s="533"/>
      <c r="U3111" s="533"/>
      <c r="V3111" s="533"/>
      <c r="W3111" s="533"/>
      <c r="X3111" s="533"/>
      <c r="Y3111" s="533"/>
    </row>
    <row r="3112" spans="1:25" s="88" customFormat="1" ht="15.75" thickBot="1" x14ac:dyDescent="0.3">
      <c r="A3112" s="218"/>
      <c r="B3112" s="218"/>
      <c r="C3112" s="221"/>
      <c r="D3112" s="218"/>
      <c r="E3112" s="218"/>
      <c r="F3112" s="218"/>
      <c r="G3112" s="727" t="s">
        <v>5257</v>
      </c>
      <c r="H3112" s="728">
        <f>SUM(H3096:H3111)</f>
        <v>3400000</v>
      </c>
      <c r="I3112" s="726">
        <f>SUM(I3097:I3111)</f>
        <v>0</v>
      </c>
      <c r="J3112" s="726">
        <f>SUM(J3096:J3111)</f>
        <v>3400000</v>
      </c>
      <c r="K3112" s="533"/>
      <c r="L3112" s="533"/>
      <c r="M3112" s="533"/>
      <c r="N3112" s="268"/>
      <c r="O3112" s="533"/>
      <c r="P3112" s="533"/>
      <c r="Q3112" s="533"/>
      <c r="R3112" s="533"/>
      <c r="S3112" s="533"/>
      <c r="T3112" s="533"/>
      <c r="U3112" s="533"/>
      <c r="V3112" s="533"/>
      <c r="W3112" s="533"/>
      <c r="X3112" s="533"/>
      <c r="Y3112" s="533"/>
    </row>
    <row r="3113" spans="1:25" s="88" customFormat="1" x14ac:dyDescent="0.25">
      <c r="A3113" s="509"/>
      <c r="B3113" s="256"/>
      <c r="C3113" s="221"/>
      <c r="D3113" s="218"/>
      <c r="E3113" s="218"/>
      <c r="F3113" s="218"/>
      <c r="G3113" s="286"/>
      <c r="H3113" s="604"/>
      <c r="I3113" s="605"/>
      <c r="J3113" s="605"/>
      <c r="K3113" s="533"/>
      <c r="L3113" s="533"/>
      <c r="M3113" s="533"/>
      <c r="N3113" s="268"/>
      <c r="O3113" s="533"/>
      <c r="P3113" s="533"/>
      <c r="Q3113" s="533"/>
      <c r="R3113" s="533"/>
      <c r="S3113" s="533"/>
      <c r="T3113" s="533"/>
      <c r="U3113" s="533"/>
      <c r="V3113" s="533"/>
      <c r="W3113" s="533"/>
      <c r="X3113" s="533"/>
      <c r="Y3113" s="533"/>
    </row>
    <row r="3114" spans="1:25" s="88" customFormat="1" hidden="1" x14ac:dyDescent="0.25">
      <c r="A3114" s="509"/>
      <c r="B3114" s="256"/>
      <c r="C3114" s="221"/>
      <c r="D3114" s="218"/>
      <c r="E3114" s="218"/>
      <c r="F3114" s="218"/>
      <c r="G3114" s="286"/>
      <c r="H3114" s="604"/>
      <c r="I3114" s="605"/>
      <c r="J3114" s="605"/>
      <c r="K3114" s="533"/>
      <c r="L3114" s="533"/>
      <c r="M3114" s="533"/>
      <c r="N3114" s="268"/>
      <c r="O3114" s="533"/>
      <c r="P3114" s="533"/>
      <c r="Q3114" s="533"/>
      <c r="R3114" s="533"/>
      <c r="S3114" s="533"/>
      <c r="T3114" s="533"/>
      <c r="U3114" s="533"/>
      <c r="V3114" s="533"/>
      <c r="W3114" s="533"/>
      <c r="X3114" s="533"/>
      <c r="Y3114" s="533"/>
    </row>
    <row r="3115" spans="1:25" s="88" customFormat="1" x14ac:dyDescent="0.25">
      <c r="A3115" s="509"/>
      <c r="B3115" s="256"/>
      <c r="C3115" s="323" t="s">
        <v>4668</v>
      </c>
      <c r="D3115" s="285"/>
      <c r="E3115" s="285"/>
      <c r="F3115" s="222"/>
      <c r="G3115" s="286" t="s">
        <v>5258</v>
      </c>
      <c r="H3115" s="594"/>
      <c r="I3115" s="595"/>
      <c r="J3115" s="595"/>
      <c r="K3115" s="533"/>
      <c r="L3115" s="533"/>
      <c r="M3115" s="533"/>
      <c r="N3115" s="268"/>
      <c r="O3115" s="533"/>
      <c r="P3115" s="533"/>
      <c r="Q3115" s="533"/>
      <c r="R3115" s="533"/>
      <c r="S3115" s="533"/>
      <c r="T3115" s="533"/>
      <c r="U3115" s="533"/>
      <c r="V3115" s="533"/>
      <c r="W3115" s="533"/>
      <c r="X3115" s="533"/>
      <c r="Y3115" s="533"/>
    </row>
    <row r="3116" spans="1:25" s="88" customFormat="1" x14ac:dyDescent="0.25">
      <c r="A3116" s="509"/>
      <c r="B3116" s="256"/>
      <c r="C3116" s="228"/>
      <c r="D3116" s="312">
        <v>620</v>
      </c>
      <c r="E3116" s="312"/>
      <c r="F3116" s="312"/>
      <c r="G3116" s="314" t="s">
        <v>182</v>
      </c>
      <c r="H3116" s="594"/>
      <c r="I3116" s="595"/>
      <c r="J3116" s="595"/>
      <c r="K3116" s="533"/>
      <c r="L3116" s="533"/>
      <c r="M3116" s="533"/>
      <c r="N3116" s="268"/>
      <c r="O3116" s="533"/>
      <c r="P3116" s="533"/>
      <c r="Q3116" s="533"/>
      <c r="R3116" s="533"/>
      <c r="S3116" s="533"/>
      <c r="T3116" s="533"/>
      <c r="U3116" s="533"/>
      <c r="V3116" s="533"/>
      <c r="W3116" s="533"/>
      <c r="X3116" s="533"/>
      <c r="Y3116" s="533"/>
    </row>
    <row r="3117" spans="1:25" s="88" customFormat="1" hidden="1" x14ac:dyDescent="0.25">
      <c r="A3117" s="509"/>
      <c r="B3117" s="256"/>
      <c r="C3117" s="221"/>
      <c r="D3117" s="218"/>
      <c r="E3117" s="218"/>
      <c r="F3117" s="527">
        <v>411</v>
      </c>
      <c r="G3117" s="520" t="s">
        <v>4189</v>
      </c>
      <c r="H3117" s="594"/>
      <c r="I3117" s="595"/>
      <c r="J3117" s="595">
        <f>SUM(H3117:I3117)</f>
        <v>0</v>
      </c>
      <c r="K3117" s="533"/>
      <c r="L3117" s="533"/>
      <c r="M3117" s="533"/>
      <c r="N3117" s="268"/>
      <c r="O3117" s="533"/>
      <c r="P3117" s="533"/>
      <c r="Q3117" s="533"/>
      <c r="R3117" s="533"/>
      <c r="S3117" s="533"/>
      <c r="T3117" s="533"/>
      <c r="U3117" s="533"/>
      <c r="V3117" s="533"/>
      <c r="W3117" s="533"/>
      <c r="X3117" s="533"/>
      <c r="Y3117" s="533"/>
    </row>
    <row r="3118" spans="1:25" s="88" customFormat="1" hidden="1" x14ac:dyDescent="0.25">
      <c r="A3118" s="509"/>
      <c r="B3118" s="256"/>
      <c r="C3118" s="221"/>
      <c r="D3118" s="218"/>
      <c r="E3118" s="218"/>
      <c r="F3118" s="527">
        <v>412</v>
      </c>
      <c r="G3118" s="516" t="s">
        <v>3784</v>
      </c>
      <c r="H3118" s="594"/>
      <c r="I3118" s="595"/>
      <c r="J3118" s="595">
        <f t="shared" ref="J3118:J3176" si="99">SUM(H3118:I3118)</f>
        <v>0</v>
      </c>
      <c r="K3118" s="533"/>
      <c r="L3118" s="533"/>
      <c r="M3118" s="533"/>
      <c r="N3118" s="268"/>
      <c r="O3118" s="533"/>
      <c r="P3118" s="533"/>
      <c r="Q3118" s="533"/>
      <c r="R3118" s="533"/>
      <c r="S3118" s="533"/>
      <c r="T3118" s="533"/>
      <c r="U3118" s="533"/>
      <c r="V3118" s="533"/>
      <c r="W3118" s="533"/>
      <c r="X3118" s="533"/>
      <c r="Y3118" s="533"/>
    </row>
    <row r="3119" spans="1:25" s="88" customFormat="1" hidden="1" x14ac:dyDescent="0.25">
      <c r="A3119" s="509"/>
      <c r="B3119" s="256"/>
      <c r="C3119" s="221"/>
      <c r="D3119" s="218"/>
      <c r="E3119" s="218"/>
      <c r="F3119" s="527">
        <v>413</v>
      </c>
      <c r="G3119" s="520" t="s">
        <v>4190</v>
      </c>
      <c r="H3119" s="594"/>
      <c r="I3119" s="595"/>
      <c r="J3119" s="595">
        <f t="shared" si="99"/>
        <v>0</v>
      </c>
      <c r="K3119" s="533"/>
      <c r="L3119" s="533"/>
      <c r="M3119" s="533"/>
      <c r="N3119" s="268"/>
      <c r="O3119" s="533"/>
      <c r="P3119" s="533"/>
      <c r="Q3119" s="533"/>
      <c r="R3119" s="533"/>
      <c r="S3119" s="533"/>
      <c r="T3119" s="533"/>
      <c r="U3119" s="533"/>
      <c r="V3119" s="533"/>
      <c r="W3119" s="533"/>
      <c r="X3119" s="533"/>
      <c r="Y3119" s="533"/>
    </row>
    <row r="3120" spans="1:25" s="88" customFormat="1" hidden="1" x14ac:dyDescent="0.25">
      <c r="A3120" s="509"/>
      <c r="B3120" s="256"/>
      <c r="C3120" s="221"/>
      <c r="D3120" s="218"/>
      <c r="E3120" s="218"/>
      <c r="F3120" s="527">
        <v>414</v>
      </c>
      <c r="G3120" s="520" t="s">
        <v>3787</v>
      </c>
      <c r="H3120" s="594"/>
      <c r="I3120" s="595"/>
      <c r="J3120" s="595">
        <f t="shared" si="99"/>
        <v>0</v>
      </c>
      <c r="K3120" s="533"/>
      <c r="L3120" s="533"/>
      <c r="M3120" s="533"/>
      <c r="N3120" s="268"/>
      <c r="O3120" s="533"/>
      <c r="P3120" s="533"/>
      <c r="Q3120" s="533"/>
      <c r="R3120" s="533"/>
      <c r="S3120" s="533"/>
      <c r="T3120" s="533"/>
      <c r="U3120" s="533"/>
      <c r="V3120" s="533"/>
      <c r="W3120" s="533"/>
      <c r="X3120" s="533"/>
      <c r="Y3120" s="533"/>
    </row>
    <row r="3121" spans="1:25" s="88" customFormat="1" hidden="1" x14ac:dyDescent="0.25">
      <c r="A3121" s="509"/>
      <c r="B3121" s="256"/>
      <c r="C3121" s="221"/>
      <c r="D3121" s="218"/>
      <c r="E3121" s="218"/>
      <c r="F3121" s="527">
        <v>415</v>
      </c>
      <c r="G3121" s="520" t="s">
        <v>4199</v>
      </c>
      <c r="H3121" s="594"/>
      <c r="I3121" s="595"/>
      <c r="J3121" s="595">
        <f t="shared" si="99"/>
        <v>0</v>
      </c>
      <c r="K3121" s="533"/>
      <c r="L3121" s="533"/>
      <c r="M3121" s="533"/>
      <c r="N3121" s="268"/>
      <c r="O3121" s="533"/>
      <c r="P3121" s="533"/>
      <c r="Q3121" s="533"/>
      <c r="R3121" s="533"/>
      <c r="S3121" s="533"/>
      <c r="T3121" s="533"/>
      <c r="U3121" s="533"/>
      <c r="V3121" s="533"/>
      <c r="W3121" s="533"/>
      <c r="X3121" s="533"/>
      <c r="Y3121" s="533"/>
    </row>
    <row r="3122" spans="1:25" s="88" customFormat="1" hidden="1" x14ac:dyDescent="0.25">
      <c r="A3122" s="509"/>
      <c r="B3122" s="256"/>
      <c r="C3122" s="221"/>
      <c r="D3122" s="218"/>
      <c r="E3122" s="218"/>
      <c r="F3122" s="527">
        <v>416</v>
      </c>
      <c r="G3122" s="520" t="s">
        <v>4200</v>
      </c>
      <c r="H3122" s="594"/>
      <c r="I3122" s="595"/>
      <c r="J3122" s="595">
        <f t="shared" si="99"/>
        <v>0</v>
      </c>
      <c r="K3122" s="533"/>
      <c r="L3122" s="533"/>
      <c r="M3122" s="533"/>
      <c r="N3122" s="268"/>
      <c r="O3122" s="533"/>
      <c r="P3122" s="533"/>
      <c r="Q3122" s="533"/>
      <c r="R3122" s="533"/>
      <c r="S3122" s="533"/>
      <c r="T3122" s="533"/>
      <c r="U3122" s="533"/>
      <c r="V3122" s="533"/>
      <c r="W3122" s="533"/>
      <c r="X3122" s="533"/>
      <c r="Y3122" s="533"/>
    </row>
    <row r="3123" spans="1:25" s="88" customFormat="1" hidden="1" x14ac:dyDescent="0.25">
      <c r="A3123" s="509"/>
      <c r="B3123" s="256"/>
      <c r="C3123" s="221"/>
      <c r="D3123" s="218"/>
      <c r="E3123" s="218"/>
      <c r="F3123" s="527">
        <v>417</v>
      </c>
      <c r="G3123" s="520" t="s">
        <v>4201</v>
      </c>
      <c r="H3123" s="594"/>
      <c r="I3123" s="595"/>
      <c r="J3123" s="595">
        <f t="shared" si="99"/>
        <v>0</v>
      </c>
      <c r="K3123" s="533"/>
      <c r="L3123" s="533"/>
      <c r="M3123" s="533"/>
      <c r="N3123" s="268"/>
      <c r="O3123" s="533"/>
      <c r="P3123" s="533"/>
      <c r="Q3123" s="533"/>
      <c r="R3123" s="533"/>
      <c r="S3123" s="533"/>
      <c r="T3123" s="533"/>
      <c r="U3123" s="533"/>
      <c r="V3123" s="533"/>
      <c r="W3123" s="533"/>
      <c r="X3123" s="533"/>
      <c r="Y3123" s="533"/>
    </row>
    <row r="3124" spans="1:25" s="88" customFormat="1" hidden="1" x14ac:dyDescent="0.25">
      <c r="A3124" s="509"/>
      <c r="B3124" s="256"/>
      <c r="C3124" s="221"/>
      <c r="D3124" s="218"/>
      <c r="E3124" s="218"/>
      <c r="F3124" s="527">
        <v>418</v>
      </c>
      <c r="G3124" s="520" t="s">
        <v>3793</v>
      </c>
      <c r="H3124" s="594"/>
      <c r="I3124" s="595"/>
      <c r="J3124" s="595">
        <f t="shared" si="99"/>
        <v>0</v>
      </c>
      <c r="K3124" s="533"/>
      <c r="L3124" s="533"/>
      <c r="M3124" s="533"/>
      <c r="N3124" s="268"/>
      <c r="O3124" s="533"/>
      <c r="P3124" s="533"/>
      <c r="Q3124" s="533"/>
      <c r="R3124" s="533"/>
      <c r="S3124" s="533"/>
      <c r="T3124" s="533"/>
      <c r="U3124" s="533"/>
      <c r="V3124" s="533"/>
      <c r="W3124" s="533"/>
      <c r="X3124" s="533"/>
      <c r="Y3124" s="533"/>
    </row>
    <row r="3125" spans="1:25" s="88" customFormat="1" hidden="1" x14ac:dyDescent="0.25">
      <c r="A3125" s="509"/>
      <c r="B3125" s="256"/>
      <c r="C3125" s="221"/>
      <c r="D3125" s="218"/>
      <c r="E3125" s="218"/>
      <c r="F3125" s="527">
        <v>421</v>
      </c>
      <c r="G3125" s="520" t="s">
        <v>3797</v>
      </c>
      <c r="H3125" s="594"/>
      <c r="I3125" s="595"/>
      <c r="J3125" s="595">
        <f t="shared" si="99"/>
        <v>0</v>
      </c>
      <c r="K3125" s="533"/>
      <c r="L3125" s="533"/>
      <c r="M3125" s="533"/>
      <c r="N3125" s="268"/>
      <c r="O3125" s="533"/>
      <c r="P3125" s="533"/>
      <c r="Q3125" s="533"/>
      <c r="R3125" s="533"/>
      <c r="S3125" s="533"/>
      <c r="T3125" s="533"/>
      <c r="U3125" s="533"/>
      <c r="V3125" s="533"/>
      <c r="W3125" s="533"/>
      <c r="X3125" s="533"/>
      <c r="Y3125" s="533"/>
    </row>
    <row r="3126" spans="1:25" s="88" customFormat="1" hidden="1" x14ac:dyDescent="0.25">
      <c r="A3126" s="509"/>
      <c r="B3126" s="256"/>
      <c r="C3126" s="221"/>
      <c r="D3126" s="218"/>
      <c r="E3126" s="218"/>
      <c r="F3126" s="527">
        <v>422</v>
      </c>
      <c r="G3126" s="520" t="s">
        <v>3798</v>
      </c>
      <c r="H3126" s="594"/>
      <c r="I3126" s="595"/>
      <c r="J3126" s="595">
        <f t="shared" si="99"/>
        <v>0</v>
      </c>
      <c r="K3126" s="533"/>
      <c r="L3126" s="533"/>
      <c r="M3126" s="533"/>
      <c r="N3126" s="268"/>
      <c r="O3126" s="533"/>
      <c r="P3126" s="533"/>
      <c r="Q3126" s="533"/>
      <c r="R3126" s="533"/>
      <c r="S3126" s="533"/>
      <c r="T3126" s="533"/>
      <c r="U3126" s="533"/>
      <c r="V3126" s="533"/>
      <c r="W3126" s="533"/>
      <c r="X3126" s="533"/>
      <c r="Y3126" s="533"/>
    </row>
    <row r="3127" spans="1:25" s="88" customFormat="1" hidden="1" x14ac:dyDescent="0.25">
      <c r="A3127" s="509"/>
      <c r="B3127" s="256"/>
      <c r="C3127" s="221"/>
      <c r="D3127" s="218"/>
      <c r="E3127" s="218"/>
      <c r="F3127" s="527">
        <v>423</v>
      </c>
      <c r="G3127" s="520" t="s">
        <v>3799</v>
      </c>
      <c r="H3127" s="594"/>
      <c r="I3127" s="595"/>
      <c r="J3127" s="595">
        <f t="shared" si="99"/>
        <v>0</v>
      </c>
      <c r="K3127" s="533"/>
      <c r="L3127" s="533"/>
      <c r="M3127" s="533"/>
      <c r="N3127" s="268"/>
      <c r="O3127" s="533"/>
      <c r="P3127" s="533"/>
      <c r="Q3127" s="533"/>
      <c r="R3127" s="533"/>
      <c r="S3127" s="533"/>
      <c r="T3127" s="533"/>
      <c r="U3127" s="533"/>
      <c r="V3127" s="533"/>
      <c r="W3127" s="533"/>
      <c r="X3127" s="533"/>
      <c r="Y3127" s="533"/>
    </row>
    <row r="3128" spans="1:25" s="88" customFormat="1" hidden="1" x14ac:dyDescent="0.25">
      <c r="A3128" s="509"/>
      <c r="B3128" s="256"/>
      <c r="C3128" s="221"/>
      <c r="D3128" s="218"/>
      <c r="E3128" s="218"/>
      <c r="F3128" s="527">
        <v>424</v>
      </c>
      <c r="G3128" s="520" t="s">
        <v>3801</v>
      </c>
      <c r="H3128" s="594"/>
      <c r="I3128" s="595"/>
      <c r="J3128" s="595">
        <f t="shared" si="99"/>
        <v>0</v>
      </c>
      <c r="K3128" s="533"/>
      <c r="L3128" s="533"/>
      <c r="M3128" s="533"/>
      <c r="N3128" s="268"/>
      <c r="O3128" s="533"/>
      <c r="P3128" s="533"/>
      <c r="Q3128" s="533"/>
      <c r="R3128" s="533"/>
      <c r="S3128" s="533"/>
      <c r="T3128" s="533"/>
      <c r="U3128" s="533"/>
      <c r="V3128" s="533"/>
      <c r="W3128" s="533"/>
      <c r="X3128" s="533"/>
      <c r="Y3128" s="533"/>
    </row>
    <row r="3129" spans="1:25" s="88" customFormat="1" hidden="1" x14ac:dyDescent="0.25">
      <c r="A3129" s="509"/>
      <c r="B3129" s="256"/>
      <c r="C3129" s="221"/>
      <c r="D3129" s="218"/>
      <c r="E3129" s="218"/>
      <c r="F3129" s="527">
        <v>425</v>
      </c>
      <c r="G3129" s="520" t="s">
        <v>4202</v>
      </c>
      <c r="H3129" s="594"/>
      <c r="I3129" s="595"/>
      <c r="J3129" s="595">
        <f t="shared" si="99"/>
        <v>0</v>
      </c>
      <c r="K3129" s="533"/>
      <c r="L3129" s="533"/>
      <c r="M3129" s="533"/>
      <c r="N3129" s="268"/>
      <c r="O3129" s="533"/>
      <c r="P3129" s="533"/>
      <c r="Q3129" s="533"/>
      <c r="R3129" s="533"/>
      <c r="S3129" s="533"/>
      <c r="T3129" s="533"/>
      <c r="U3129" s="533"/>
      <c r="V3129" s="533"/>
      <c r="W3129" s="533"/>
      <c r="X3129" s="533"/>
      <c r="Y3129" s="533"/>
    </row>
    <row r="3130" spans="1:25" s="88" customFormat="1" hidden="1" x14ac:dyDescent="0.25">
      <c r="A3130" s="509"/>
      <c r="B3130" s="256"/>
      <c r="C3130" s="221"/>
      <c r="D3130" s="218"/>
      <c r="E3130" s="218"/>
      <c r="F3130" s="527">
        <v>426</v>
      </c>
      <c r="G3130" s="520" t="s">
        <v>3805</v>
      </c>
      <c r="H3130" s="594"/>
      <c r="I3130" s="595"/>
      <c r="J3130" s="595">
        <f t="shared" si="99"/>
        <v>0</v>
      </c>
      <c r="K3130" s="533"/>
      <c r="L3130" s="533"/>
      <c r="M3130" s="533"/>
      <c r="N3130" s="268"/>
      <c r="O3130" s="533"/>
      <c r="P3130" s="533"/>
      <c r="Q3130" s="533"/>
      <c r="R3130" s="533"/>
      <c r="S3130" s="533"/>
      <c r="T3130" s="533"/>
      <c r="U3130" s="533"/>
      <c r="V3130" s="533"/>
      <c r="W3130" s="533"/>
      <c r="X3130" s="533"/>
      <c r="Y3130" s="533"/>
    </row>
    <row r="3131" spans="1:25" s="88" customFormat="1" hidden="1" x14ac:dyDescent="0.25">
      <c r="A3131" s="509"/>
      <c r="B3131" s="256"/>
      <c r="C3131" s="221"/>
      <c r="D3131" s="218"/>
      <c r="E3131" s="218"/>
      <c r="F3131" s="527">
        <v>431</v>
      </c>
      <c r="G3131" s="520" t="s">
        <v>4203</v>
      </c>
      <c r="H3131" s="594"/>
      <c r="I3131" s="595"/>
      <c r="J3131" s="595">
        <f t="shared" si="99"/>
        <v>0</v>
      </c>
      <c r="K3131" s="533"/>
      <c r="L3131" s="533"/>
      <c r="M3131" s="533"/>
      <c r="N3131" s="268"/>
      <c r="O3131" s="533"/>
      <c r="P3131" s="533"/>
      <c r="Q3131" s="533"/>
      <c r="R3131" s="533"/>
      <c r="S3131" s="533"/>
      <c r="T3131" s="533"/>
      <c r="U3131" s="533"/>
      <c r="V3131" s="533"/>
      <c r="W3131" s="533"/>
      <c r="X3131" s="533"/>
      <c r="Y3131" s="533"/>
    </row>
    <row r="3132" spans="1:25" s="88" customFormat="1" hidden="1" x14ac:dyDescent="0.25">
      <c r="A3132" s="509"/>
      <c r="B3132" s="256"/>
      <c r="C3132" s="221"/>
      <c r="D3132" s="218"/>
      <c r="E3132" s="218"/>
      <c r="F3132" s="527">
        <v>432</v>
      </c>
      <c r="G3132" s="520" t="s">
        <v>4204</v>
      </c>
      <c r="H3132" s="594"/>
      <c r="I3132" s="595"/>
      <c r="J3132" s="595">
        <f t="shared" si="99"/>
        <v>0</v>
      </c>
      <c r="K3132" s="533"/>
      <c r="L3132" s="533"/>
      <c r="M3132" s="533"/>
      <c r="N3132" s="268"/>
      <c r="O3132" s="533"/>
      <c r="P3132" s="533"/>
      <c r="Q3132" s="533"/>
      <c r="R3132" s="533"/>
      <c r="S3132" s="533"/>
      <c r="T3132" s="533"/>
      <c r="U3132" s="533"/>
      <c r="V3132" s="533"/>
      <c r="W3132" s="533"/>
      <c r="X3132" s="533"/>
      <c r="Y3132" s="533"/>
    </row>
    <row r="3133" spans="1:25" s="88" customFormat="1" hidden="1" x14ac:dyDescent="0.25">
      <c r="A3133" s="509"/>
      <c r="B3133" s="256"/>
      <c r="C3133" s="221"/>
      <c r="D3133" s="218"/>
      <c r="E3133" s="218"/>
      <c r="F3133" s="527">
        <v>433</v>
      </c>
      <c r="G3133" s="520" t="s">
        <v>4205</v>
      </c>
      <c r="H3133" s="594"/>
      <c r="I3133" s="595"/>
      <c r="J3133" s="595">
        <f t="shared" si="99"/>
        <v>0</v>
      </c>
      <c r="K3133" s="533"/>
      <c r="L3133" s="533"/>
      <c r="M3133" s="533"/>
      <c r="N3133" s="268"/>
      <c r="O3133" s="533"/>
      <c r="P3133" s="533"/>
      <c r="Q3133" s="533"/>
      <c r="R3133" s="533"/>
      <c r="S3133" s="533"/>
      <c r="T3133" s="533"/>
      <c r="U3133" s="533"/>
      <c r="V3133" s="533"/>
      <c r="W3133" s="533"/>
      <c r="X3133" s="533"/>
      <c r="Y3133" s="533"/>
    </row>
    <row r="3134" spans="1:25" s="88" customFormat="1" hidden="1" x14ac:dyDescent="0.25">
      <c r="A3134" s="509"/>
      <c r="B3134" s="256"/>
      <c r="C3134" s="221"/>
      <c r="D3134" s="218"/>
      <c r="E3134" s="218"/>
      <c r="F3134" s="527">
        <v>434</v>
      </c>
      <c r="G3134" s="520" t="s">
        <v>4206</v>
      </c>
      <c r="H3134" s="594"/>
      <c r="I3134" s="595"/>
      <c r="J3134" s="595">
        <f t="shared" si="99"/>
        <v>0</v>
      </c>
      <c r="K3134" s="533"/>
      <c r="L3134" s="533"/>
      <c r="M3134" s="533"/>
      <c r="N3134" s="268"/>
      <c r="O3134" s="533"/>
      <c r="P3134" s="533"/>
      <c r="Q3134" s="533"/>
      <c r="R3134" s="533"/>
      <c r="S3134" s="533"/>
      <c r="T3134" s="533"/>
      <c r="U3134" s="533"/>
      <c r="V3134" s="533"/>
      <c r="W3134" s="533"/>
      <c r="X3134" s="533"/>
      <c r="Y3134" s="533"/>
    </row>
    <row r="3135" spans="1:25" s="88" customFormat="1" hidden="1" x14ac:dyDescent="0.25">
      <c r="A3135" s="509"/>
      <c r="B3135" s="256"/>
      <c r="C3135" s="221"/>
      <c r="D3135" s="218"/>
      <c r="E3135" s="218"/>
      <c r="F3135" s="527">
        <v>435</v>
      </c>
      <c r="G3135" s="520" t="s">
        <v>3812</v>
      </c>
      <c r="H3135" s="594"/>
      <c r="I3135" s="595"/>
      <c r="J3135" s="595">
        <f t="shared" si="99"/>
        <v>0</v>
      </c>
      <c r="K3135" s="533"/>
      <c r="L3135" s="533"/>
      <c r="M3135" s="533"/>
      <c r="N3135" s="268"/>
      <c r="O3135" s="533"/>
      <c r="P3135" s="533"/>
      <c r="Q3135" s="533"/>
      <c r="R3135" s="533"/>
      <c r="S3135" s="533"/>
      <c r="T3135" s="533"/>
      <c r="U3135" s="533"/>
      <c r="V3135" s="533"/>
      <c r="W3135" s="533"/>
      <c r="X3135" s="533"/>
      <c r="Y3135" s="533"/>
    </row>
    <row r="3136" spans="1:25" s="88" customFormat="1" hidden="1" x14ac:dyDescent="0.25">
      <c r="A3136" s="509"/>
      <c r="B3136" s="256"/>
      <c r="C3136" s="221"/>
      <c r="D3136" s="218"/>
      <c r="E3136" s="218"/>
      <c r="F3136" s="527">
        <v>441</v>
      </c>
      <c r="G3136" s="520" t="s">
        <v>4207</v>
      </c>
      <c r="H3136" s="594"/>
      <c r="I3136" s="595"/>
      <c r="J3136" s="595">
        <f t="shared" si="99"/>
        <v>0</v>
      </c>
      <c r="K3136" s="533"/>
      <c r="L3136" s="533"/>
      <c r="M3136" s="533"/>
      <c r="N3136" s="268"/>
      <c r="O3136" s="533"/>
      <c r="P3136" s="533"/>
      <c r="Q3136" s="533"/>
      <c r="R3136" s="533"/>
      <c r="S3136" s="533"/>
      <c r="T3136" s="533"/>
      <c r="U3136" s="533"/>
      <c r="V3136" s="533"/>
      <c r="W3136" s="533"/>
      <c r="X3136" s="533"/>
      <c r="Y3136" s="533"/>
    </row>
    <row r="3137" spans="1:25" s="88" customFormat="1" hidden="1" x14ac:dyDescent="0.25">
      <c r="A3137" s="509"/>
      <c r="B3137" s="256"/>
      <c r="C3137" s="221"/>
      <c r="D3137" s="218"/>
      <c r="E3137" s="218"/>
      <c r="F3137" s="527">
        <v>442</v>
      </c>
      <c r="G3137" s="520" t="s">
        <v>4208</v>
      </c>
      <c r="H3137" s="594"/>
      <c r="I3137" s="595"/>
      <c r="J3137" s="595">
        <f t="shared" si="99"/>
        <v>0</v>
      </c>
      <c r="K3137" s="533"/>
      <c r="L3137" s="533"/>
      <c r="M3137" s="533"/>
      <c r="N3137" s="268"/>
      <c r="O3137" s="533"/>
      <c r="P3137" s="533"/>
      <c r="Q3137" s="533"/>
      <c r="R3137" s="533"/>
      <c r="S3137" s="533"/>
      <c r="T3137" s="533"/>
      <c r="U3137" s="533"/>
      <c r="V3137" s="533"/>
      <c r="W3137" s="533"/>
      <c r="X3137" s="533"/>
      <c r="Y3137" s="533"/>
    </row>
    <row r="3138" spans="1:25" s="88" customFormat="1" hidden="1" x14ac:dyDescent="0.25">
      <c r="A3138" s="509"/>
      <c r="B3138" s="256"/>
      <c r="C3138" s="221"/>
      <c r="D3138" s="218"/>
      <c r="E3138" s="218"/>
      <c r="F3138" s="527">
        <v>443</v>
      </c>
      <c r="G3138" s="520" t="s">
        <v>3817</v>
      </c>
      <c r="H3138" s="594"/>
      <c r="I3138" s="595"/>
      <c r="J3138" s="595">
        <f t="shared" si="99"/>
        <v>0</v>
      </c>
      <c r="K3138" s="533"/>
      <c r="L3138" s="533"/>
      <c r="M3138" s="533"/>
      <c r="N3138" s="268"/>
      <c r="O3138" s="533"/>
      <c r="P3138" s="533"/>
      <c r="Q3138" s="533"/>
      <c r="R3138" s="533"/>
      <c r="S3138" s="533"/>
      <c r="T3138" s="533"/>
      <c r="U3138" s="533"/>
      <c r="V3138" s="533"/>
      <c r="W3138" s="533"/>
      <c r="X3138" s="533"/>
      <c r="Y3138" s="533"/>
    </row>
    <row r="3139" spans="1:25" s="88" customFormat="1" hidden="1" x14ac:dyDescent="0.25">
      <c r="A3139" s="509"/>
      <c r="B3139" s="256"/>
      <c r="C3139" s="221"/>
      <c r="D3139" s="218"/>
      <c r="E3139" s="218"/>
      <c r="F3139" s="527">
        <v>444</v>
      </c>
      <c r="G3139" s="520" t="s">
        <v>3818</v>
      </c>
      <c r="H3139" s="594"/>
      <c r="I3139" s="595"/>
      <c r="J3139" s="595">
        <f t="shared" si="99"/>
        <v>0</v>
      </c>
      <c r="K3139" s="533"/>
      <c r="L3139" s="533"/>
      <c r="M3139" s="533"/>
      <c r="N3139" s="268"/>
      <c r="O3139" s="533"/>
      <c r="P3139" s="533"/>
      <c r="Q3139" s="533"/>
      <c r="R3139" s="533"/>
      <c r="S3139" s="533"/>
      <c r="T3139" s="533"/>
      <c r="U3139" s="533"/>
      <c r="V3139" s="533"/>
      <c r="W3139" s="533"/>
      <c r="X3139" s="533"/>
      <c r="Y3139" s="533"/>
    </row>
    <row r="3140" spans="1:25" s="88" customFormat="1" ht="30" hidden="1" x14ac:dyDescent="0.25">
      <c r="A3140" s="509"/>
      <c r="B3140" s="256"/>
      <c r="C3140" s="221"/>
      <c r="D3140" s="218"/>
      <c r="E3140" s="218"/>
      <c r="F3140" s="527">
        <v>4511</v>
      </c>
      <c r="G3140" s="223" t="s">
        <v>1692</v>
      </c>
      <c r="H3140" s="594"/>
      <c r="I3140" s="595"/>
      <c r="J3140" s="595">
        <f t="shared" si="99"/>
        <v>0</v>
      </c>
      <c r="K3140" s="533"/>
      <c r="L3140" s="533"/>
      <c r="M3140" s="533"/>
      <c r="N3140" s="268"/>
      <c r="O3140" s="533"/>
      <c r="P3140" s="533"/>
      <c r="Q3140" s="533"/>
      <c r="R3140" s="533"/>
      <c r="S3140" s="533"/>
      <c r="T3140" s="533"/>
      <c r="U3140" s="533"/>
      <c r="V3140" s="533"/>
      <c r="W3140" s="533"/>
      <c r="X3140" s="533"/>
      <c r="Y3140" s="533"/>
    </row>
    <row r="3141" spans="1:25" s="88" customFormat="1" ht="30" hidden="1" x14ac:dyDescent="0.25">
      <c r="A3141" s="509"/>
      <c r="B3141" s="256"/>
      <c r="C3141" s="221"/>
      <c r="D3141" s="218"/>
      <c r="E3141" s="218"/>
      <c r="F3141" s="527">
        <v>4512</v>
      </c>
      <c r="G3141" s="223" t="s">
        <v>1701</v>
      </c>
      <c r="H3141" s="594"/>
      <c r="I3141" s="595"/>
      <c r="J3141" s="595">
        <f t="shared" si="99"/>
        <v>0</v>
      </c>
      <c r="K3141" s="533"/>
      <c r="L3141" s="533"/>
      <c r="M3141" s="533"/>
      <c r="N3141" s="268"/>
      <c r="O3141" s="533"/>
      <c r="P3141" s="533"/>
      <c r="Q3141" s="533"/>
      <c r="R3141" s="533"/>
      <c r="S3141" s="533"/>
      <c r="T3141" s="533"/>
      <c r="U3141" s="533"/>
      <c r="V3141" s="533"/>
      <c r="W3141" s="533"/>
      <c r="X3141" s="533"/>
      <c r="Y3141" s="533"/>
    </row>
    <row r="3142" spans="1:25" s="88" customFormat="1" hidden="1" x14ac:dyDescent="0.25">
      <c r="A3142" s="509"/>
      <c r="B3142" s="256"/>
      <c r="C3142" s="221"/>
      <c r="D3142" s="218"/>
      <c r="E3142" s="218"/>
      <c r="F3142" s="527">
        <v>452</v>
      </c>
      <c r="G3142" s="520" t="s">
        <v>4209</v>
      </c>
      <c r="H3142" s="594"/>
      <c r="I3142" s="595"/>
      <c r="J3142" s="595">
        <f t="shared" si="99"/>
        <v>0</v>
      </c>
      <c r="K3142" s="533"/>
      <c r="L3142" s="533"/>
      <c r="M3142" s="533"/>
      <c r="N3142" s="268"/>
      <c r="O3142" s="533"/>
      <c r="P3142" s="533"/>
      <c r="Q3142" s="533"/>
      <c r="R3142" s="533"/>
      <c r="S3142" s="533"/>
      <c r="T3142" s="533"/>
      <c r="U3142" s="533"/>
      <c r="V3142" s="533"/>
      <c r="W3142" s="533"/>
      <c r="X3142" s="533"/>
      <c r="Y3142" s="533"/>
    </row>
    <row r="3143" spans="1:25" s="88" customFormat="1" hidden="1" x14ac:dyDescent="0.25">
      <c r="A3143" s="509"/>
      <c r="B3143" s="256"/>
      <c r="C3143" s="221"/>
      <c r="D3143" s="218"/>
      <c r="E3143" s="218"/>
      <c r="F3143" s="527">
        <v>453</v>
      </c>
      <c r="G3143" s="520" t="s">
        <v>4210</v>
      </c>
      <c r="H3143" s="594"/>
      <c r="I3143" s="595"/>
      <c r="J3143" s="595">
        <f t="shared" si="99"/>
        <v>0</v>
      </c>
      <c r="K3143" s="533"/>
      <c r="L3143" s="533"/>
      <c r="M3143" s="533"/>
      <c r="N3143" s="268"/>
      <c r="O3143" s="533"/>
      <c r="P3143" s="533"/>
      <c r="Q3143" s="533"/>
      <c r="R3143" s="533"/>
      <c r="S3143" s="533"/>
      <c r="T3143" s="533"/>
      <c r="U3143" s="533"/>
      <c r="V3143" s="533"/>
      <c r="W3143" s="533"/>
      <c r="X3143" s="533"/>
      <c r="Y3143" s="533"/>
    </row>
    <row r="3144" spans="1:25" s="88" customFormat="1" hidden="1" x14ac:dyDescent="0.25">
      <c r="A3144" s="509"/>
      <c r="B3144" s="256"/>
      <c r="C3144" s="221"/>
      <c r="D3144" s="218"/>
      <c r="E3144" s="218"/>
      <c r="F3144" s="527">
        <v>454</v>
      </c>
      <c r="G3144" s="520" t="s">
        <v>3823</v>
      </c>
      <c r="H3144" s="594"/>
      <c r="I3144" s="595"/>
      <c r="J3144" s="595">
        <f t="shared" si="99"/>
        <v>0</v>
      </c>
      <c r="K3144" s="533"/>
      <c r="L3144" s="533"/>
      <c r="M3144" s="533"/>
      <c r="N3144" s="268"/>
      <c r="O3144" s="533"/>
      <c r="P3144" s="533"/>
      <c r="Q3144" s="533"/>
      <c r="R3144" s="533"/>
      <c r="S3144" s="533"/>
      <c r="T3144" s="533"/>
      <c r="U3144" s="533"/>
      <c r="V3144" s="533"/>
      <c r="W3144" s="533"/>
      <c r="X3144" s="533"/>
      <c r="Y3144" s="533"/>
    </row>
    <row r="3145" spans="1:25" s="88" customFormat="1" hidden="1" x14ac:dyDescent="0.25">
      <c r="A3145" s="509"/>
      <c r="B3145" s="256"/>
      <c r="C3145" s="221"/>
      <c r="D3145" s="218"/>
      <c r="E3145" s="218"/>
      <c r="F3145" s="527">
        <v>461</v>
      </c>
      <c r="G3145" s="520" t="s">
        <v>4191</v>
      </c>
      <c r="H3145" s="594"/>
      <c r="I3145" s="595"/>
      <c r="J3145" s="595">
        <f t="shared" si="99"/>
        <v>0</v>
      </c>
      <c r="K3145" s="533"/>
      <c r="L3145" s="533"/>
      <c r="M3145" s="533"/>
      <c r="N3145" s="268"/>
      <c r="O3145" s="533"/>
      <c r="P3145" s="533"/>
      <c r="Q3145" s="533"/>
      <c r="R3145" s="533"/>
      <c r="S3145" s="533"/>
      <c r="T3145" s="533"/>
      <c r="U3145" s="533"/>
      <c r="V3145" s="533"/>
      <c r="W3145" s="533"/>
      <c r="X3145" s="533"/>
      <c r="Y3145" s="533"/>
    </row>
    <row r="3146" spans="1:25" s="88" customFormat="1" hidden="1" x14ac:dyDescent="0.25">
      <c r="A3146" s="509"/>
      <c r="B3146" s="256"/>
      <c r="C3146" s="221"/>
      <c r="D3146" s="218"/>
      <c r="E3146" s="218"/>
      <c r="F3146" s="527">
        <v>462</v>
      </c>
      <c r="G3146" s="520" t="s">
        <v>3826</v>
      </c>
      <c r="H3146" s="594"/>
      <c r="I3146" s="595"/>
      <c r="J3146" s="595">
        <f t="shared" si="99"/>
        <v>0</v>
      </c>
      <c r="K3146" s="533"/>
      <c r="L3146" s="533"/>
      <c r="M3146" s="533"/>
      <c r="N3146" s="268"/>
      <c r="O3146" s="533"/>
      <c r="P3146" s="533"/>
      <c r="Q3146" s="533"/>
      <c r="R3146" s="533"/>
      <c r="S3146" s="533"/>
      <c r="T3146" s="533"/>
      <c r="U3146" s="533"/>
      <c r="V3146" s="533"/>
      <c r="W3146" s="533"/>
      <c r="X3146" s="533"/>
      <c r="Y3146" s="533"/>
    </row>
    <row r="3147" spans="1:25" s="88" customFormat="1" hidden="1" x14ac:dyDescent="0.25">
      <c r="A3147" s="509"/>
      <c r="B3147" s="256"/>
      <c r="C3147" s="221"/>
      <c r="D3147" s="218"/>
      <c r="E3147" s="218"/>
      <c r="F3147" s="527">
        <v>4631</v>
      </c>
      <c r="G3147" s="520" t="s">
        <v>3827</v>
      </c>
      <c r="H3147" s="594"/>
      <c r="I3147" s="595"/>
      <c r="J3147" s="595">
        <f t="shared" si="99"/>
        <v>0</v>
      </c>
      <c r="K3147" s="533"/>
      <c r="L3147" s="533"/>
      <c r="M3147" s="533"/>
      <c r="N3147" s="268"/>
      <c r="O3147" s="533"/>
      <c r="P3147" s="533"/>
      <c r="Q3147" s="533"/>
      <c r="R3147" s="533"/>
      <c r="S3147" s="533"/>
      <c r="T3147" s="533"/>
      <c r="U3147" s="533"/>
      <c r="V3147" s="533"/>
      <c r="W3147" s="533"/>
      <c r="X3147" s="533"/>
      <c r="Y3147" s="533"/>
    </row>
    <row r="3148" spans="1:25" s="88" customFormat="1" hidden="1" x14ac:dyDescent="0.25">
      <c r="A3148" s="509"/>
      <c r="B3148" s="256"/>
      <c r="C3148" s="221"/>
      <c r="D3148" s="218"/>
      <c r="E3148" s="218"/>
      <c r="F3148" s="527">
        <v>4632</v>
      </c>
      <c r="G3148" s="520" t="s">
        <v>3828</v>
      </c>
      <c r="H3148" s="594"/>
      <c r="I3148" s="595"/>
      <c r="J3148" s="595">
        <f t="shared" si="99"/>
        <v>0</v>
      </c>
      <c r="K3148" s="533"/>
      <c r="L3148" s="533"/>
      <c r="M3148" s="533"/>
      <c r="N3148" s="268"/>
      <c r="O3148" s="533"/>
      <c r="P3148" s="533"/>
      <c r="Q3148" s="533"/>
      <c r="R3148" s="533"/>
      <c r="S3148" s="533"/>
      <c r="T3148" s="533"/>
      <c r="U3148" s="533"/>
      <c r="V3148" s="533"/>
      <c r="W3148" s="533"/>
      <c r="X3148" s="533"/>
      <c r="Y3148" s="533"/>
    </row>
    <row r="3149" spans="1:25" s="88" customFormat="1" hidden="1" x14ac:dyDescent="0.25">
      <c r="A3149" s="509"/>
      <c r="B3149" s="256"/>
      <c r="C3149" s="221"/>
      <c r="D3149" s="218"/>
      <c r="E3149" s="218"/>
      <c r="F3149" s="527">
        <v>464</v>
      </c>
      <c r="G3149" s="520" t="s">
        <v>3829</v>
      </c>
      <c r="H3149" s="594"/>
      <c r="I3149" s="595"/>
      <c r="J3149" s="595">
        <f t="shared" si="99"/>
        <v>0</v>
      </c>
      <c r="K3149" s="533"/>
      <c r="L3149" s="533"/>
      <c r="M3149" s="533"/>
      <c r="N3149" s="268"/>
      <c r="O3149" s="533"/>
      <c r="P3149" s="533"/>
      <c r="Q3149" s="533"/>
      <c r="R3149" s="533"/>
      <c r="S3149" s="533"/>
      <c r="T3149" s="533"/>
      <c r="U3149" s="533"/>
      <c r="V3149" s="533"/>
      <c r="W3149" s="533"/>
      <c r="X3149" s="533"/>
      <c r="Y3149" s="533"/>
    </row>
    <row r="3150" spans="1:25" s="88" customFormat="1" hidden="1" x14ac:dyDescent="0.25">
      <c r="A3150" s="509"/>
      <c r="B3150" s="256"/>
      <c r="C3150" s="221"/>
      <c r="D3150" s="218"/>
      <c r="E3150" s="218"/>
      <c r="F3150" s="527">
        <v>465</v>
      </c>
      <c r="G3150" s="520" t="s">
        <v>4192</v>
      </c>
      <c r="H3150" s="594"/>
      <c r="I3150" s="595"/>
      <c r="J3150" s="595">
        <f t="shared" si="99"/>
        <v>0</v>
      </c>
      <c r="K3150" s="533"/>
      <c r="L3150" s="533"/>
      <c r="M3150" s="533"/>
      <c r="N3150" s="268"/>
      <c r="O3150" s="533"/>
      <c r="P3150" s="533"/>
      <c r="Q3150" s="533"/>
      <c r="R3150" s="533"/>
      <c r="S3150" s="533"/>
      <c r="T3150" s="533"/>
      <c r="U3150" s="533"/>
      <c r="V3150" s="533"/>
      <c r="W3150" s="533"/>
      <c r="X3150" s="533"/>
      <c r="Y3150" s="533"/>
    </row>
    <row r="3151" spans="1:25" s="88" customFormat="1" hidden="1" x14ac:dyDescent="0.25">
      <c r="A3151" s="509"/>
      <c r="B3151" s="256"/>
      <c r="C3151" s="221"/>
      <c r="D3151" s="218"/>
      <c r="E3151" s="218"/>
      <c r="F3151" s="527">
        <v>472</v>
      </c>
      <c r="G3151" s="520" t="s">
        <v>3833</v>
      </c>
      <c r="H3151" s="594"/>
      <c r="I3151" s="595"/>
      <c r="J3151" s="595">
        <f t="shared" si="99"/>
        <v>0</v>
      </c>
      <c r="K3151" s="533"/>
      <c r="L3151" s="533"/>
      <c r="M3151" s="533"/>
      <c r="N3151" s="268"/>
      <c r="O3151" s="533"/>
      <c r="P3151" s="533"/>
      <c r="Q3151" s="533"/>
      <c r="R3151" s="533"/>
      <c r="S3151" s="533"/>
      <c r="T3151" s="533"/>
      <c r="U3151" s="533"/>
      <c r="V3151" s="533"/>
      <c r="W3151" s="533"/>
      <c r="X3151" s="533"/>
      <c r="Y3151" s="533"/>
    </row>
    <row r="3152" spans="1:25" s="88" customFormat="1" hidden="1" x14ac:dyDescent="0.25">
      <c r="A3152" s="509"/>
      <c r="B3152" s="256"/>
      <c r="C3152" s="221"/>
      <c r="D3152" s="218"/>
      <c r="E3152" s="218"/>
      <c r="F3152" s="527">
        <v>481</v>
      </c>
      <c r="G3152" s="520" t="s">
        <v>4211</v>
      </c>
      <c r="H3152" s="594"/>
      <c r="I3152" s="595"/>
      <c r="J3152" s="595">
        <f t="shared" si="99"/>
        <v>0</v>
      </c>
      <c r="K3152" s="533"/>
      <c r="L3152" s="533"/>
      <c r="M3152" s="533"/>
      <c r="N3152" s="268"/>
      <c r="O3152" s="533"/>
      <c r="P3152" s="533"/>
      <c r="Q3152" s="533"/>
      <c r="R3152" s="533"/>
      <c r="S3152" s="533"/>
      <c r="T3152" s="533"/>
      <c r="U3152" s="533"/>
      <c r="V3152" s="533"/>
      <c r="W3152" s="533"/>
      <c r="X3152" s="533"/>
      <c r="Y3152" s="533"/>
    </row>
    <row r="3153" spans="1:25" s="88" customFormat="1" hidden="1" x14ac:dyDescent="0.25">
      <c r="A3153" s="509"/>
      <c r="B3153" s="256"/>
      <c r="C3153" s="221"/>
      <c r="D3153" s="218"/>
      <c r="E3153" s="218"/>
      <c r="F3153" s="527">
        <v>482</v>
      </c>
      <c r="G3153" s="520" t="s">
        <v>4212</v>
      </c>
      <c r="H3153" s="594"/>
      <c r="I3153" s="595"/>
      <c r="J3153" s="595">
        <f t="shared" si="99"/>
        <v>0</v>
      </c>
      <c r="K3153" s="533"/>
      <c r="L3153" s="533"/>
      <c r="M3153" s="533"/>
      <c r="N3153" s="268"/>
      <c r="O3153" s="533"/>
      <c r="P3153" s="533"/>
      <c r="Q3153" s="533"/>
      <c r="R3153" s="533"/>
      <c r="S3153" s="533"/>
      <c r="T3153" s="533"/>
      <c r="U3153" s="533"/>
      <c r="V3153" s="533"/>
      <c r="W3153" s="533"/>
      <c r="X3153" s="533"/>
      <c r="Y3153" s="533"/>
    </row>
    <row r="3154" spans="1:25" s="88" customFormat="1" hidden="1" x14ac:dyDescent="0.25">
      <c r="A3154" s="509"/>
      <c r="B3154" s="256"/>
      <c r="C3154" s="221"/>
      <c r="D3154" s="218"/>
      <c r="E3154" s="218"/>
      <c r="F3154" s="527">
        <v>483</v>
      </c>
      <c r="G3154" s="524" t="s">
        <v>4213</v>
      </c>
      <c r="H3154" s="594"/>
      <c r="I3154" s="595"/>
      <c r="J3154" s="595">
        <f t="shared" si="99"/>
        <v>0</v>
      </c>
      <c r="K3154" s="533"/>
      <c r="L3154" s="533"/>
      <c r="M3154" s="533"/>
      <c r="N3154" s="268"/>
      <c r="O3154" s="533"/>
      <c r="P3154" s="533"/>
      <c r="Q3154" s="533"/>
      <c r="R3154" s="533"/>
      <c r="S3154" s="533"/>
      <c r="T3154" s="533"/>
      <c r="U3154" s="533"/>
      <c r="V3154" s="533"/>
      <c r="W3154" s="533"/>
      <c r="X3154" s="533"/>
      <c r="Y3154" s="533"/>
    </row>
    <row r="3155" spans="1:25" s="88" customFormat="1" ht="30" hidden="1" x14ac:dyDescent="0.25">
      <c r="A3155" s="509"/>
      <c r="B3155" s="256"/>
      <c r="C3155" s="221"/>
      <c r="D3155" s="218"/>
      <c r="E3155" s="218"/>
      <c r="F3155" s="527">
        <v>484</v>
      </c>
      <c r="G3155" s="520" t="s">
        <v>4214</v>
      </c>
      <c r="H3155" s="594"/>
      <c r="I3155" s="595"/>
      <c r="J3155" s="595">
        <f t="shared" si="99"/>
        <v>0</v>
      </c>
      <c r="K3155" s="533"/>
      <c r="L3155" s="533"/>
      <c r="M3155" s="533"/>
      <c r="N3155" s="268"/>
      <c r="O3155" s="533"/>
      <c r="P3155" s="533"/>
      <c r="Q3155" s="533"/>
      <c r="R3155" s="533"/>
      <c r="S3155" s="533"/>
      <c r="T3155" s="533"/>
      <c r="U3155" s="533"/>
      <c r="V3155" s="533"/>
      <c r="W3155" s="533"/>
      <c r="X3155" s="533"/>
      <c r="Y3155" s="533"/>
    </row>
    <row r="3156" spans="1:25" s="88" customFormat="1" ht="30" hidden="1" x14ac:dyDescent="0.25">
      <c r="A3156" s="509"/>
      <c r="B3156" s="256"/>
      <c r="C3156" s="221"/>
      <c r="D3156" s="218"/>
      <c r="E3156" s="218"/>
      <c r="F3156" s="527">
        <v>485</v>
      </c>
      <c r="G3156" s="520" t="s">
        <v>4215</v>
      </c>
      <c r="H3156" s="594"/>
      <c r="I3156" s="595"/>
      <c r="J3156" s="595">
        <f t="shared" si="99"/>
        <v>0</v>
      </c>
      <c r="K3156" s="533"/>
      <c r="L3156" s="533"/>
      <c r="M3156" s="533"/>
      <c r="N3156" s="268"/>
      <c r="O3156" s="533"/>
      <c r="P3156" s="533"/>
      <c r="Q3156" s="533"/>
      <c r="R3156" s="533"/>
      <c r="S3156" s="533"/>
      <c r="T3156" s="533"/>
      <c r="U3156" s="533"/>
      <c r="V3156" s="533"/>
      <c r="W3156" s="533"/>
      <c r="X3156" s="533"/>
      <c r="Y3156" s="533"/>
    </row>
    <row r="3157" spans="1:25" s="88" customFormat="1" ht="30" hidden="1" x14ac:dyDescent="0.25">
      <c r="A3157" s="509"/>
      <c r="B3157" s="256"/>
      <c r="C3157" s="221"/>
      <c r="D3157" s="218"/>
      <c r="E3157" s="218"/>
      <c r="F3157" s="527">
        <v>489</v>
      </c>
      <c r="G3157" s="520" t="s">
        <v>3841</v>
      </c>
      <c r="H3157" s="594"/>
      <c r="I3157" s="595"/>
      <c r="J3157" s="595">
        <f t="shared" si="99"/>
        <v>0</v>
      </c>
      <c r="K3157" s="533"/>
      <c r="L3157" s="533"/>
      <c r="M3157" s="533"/>
      <c r="N3157" s="268"/>
      <c r="O3157" s="533"/>
      <c r="P3157" s="533"/>
      <c r="Q3157" s="533"/>
      <c r="R3157" s="533"/>
      <c r="S3157" s="533"/>
      <c r="T3157" s="533"/>
      <c r="U3157" s="533"/>
      <c r="V3157" s="533"/>
      <c r="W3157" s="533"/>
      <c r="X3157" s="533"/>
      <c r="Y3157" s="533"/>
    </row>
    <row r="3158" spans="1:25" s="88" customFormat="1" hidden="1" x14ac:dyDescent="0.25">
      <c r="A3158" s="509"/>
      <c r="B3158" s="256"/>
      <c r="C3158" s="221"/>
      <c r="D3158" s="218"/>
      <c r="E3158" s="218"/>
      <c r="F3158" s="527">
        <v>494</v>
      </c>
      <c r="G3158" s="520" t="s">
        <v>4193</v>
      </c>
      <c r="H3158" s="594"/>
      <c r="I3158" s="595"/>
      <c r="J3158" s="595">
        <f t="shared" si="99"/>
        <v>0</v>
      </c>
      <c r="K3158" s="533"/>
      <c r="L3158" s="533"/>
      <c r="M3158" s="533"/>
      <c r="N3158" s="268"/>
      <c r="O3158" s="533"/>
      <c r="P3158" s="533"/>
      <c r="Q3158" s="533"/>
      <c r="R3158" s="533"/>
      <c r="S3158" s="533"/>
      <c r="T3158" s="533"/>
      <c r="U3158" s="533"/>
      <c r="V3158" s="533"/>
      <c r="W3158" s="533"/>
      <c r="X3158" s="533"/>
      <c r="Y3158" s="533"/>
    </row>
    <row r="3159" spans="1:25" s="88" customFormat="1" ht="30" hidden="1" x14ac:dyDescent="0.25">
      <c r="A3159" s="509"/>
      <c r="B3159" s="256"/>
      <c r="C3159" s="221"/>
      <c r="D3159" s="218"/>
      <c r="E3159" s="218"/>
      <c r="F3159" s="527">
        <v>495</v>
      </c>
      <c r="G3159" s="520" t="s">
        <v>4194</v>
      </c>
      <c r="H3159" s="594"/>
      <c r="I3159" s="595"/>
      <c r="J3159" s="595">
        <f t="shared" si="99"/>
        <v>0</v>
      </c>
      <c r="K3159" s="533"/>
      <c r="L3159" s="533"/>
      <c r="M3159" s="533"/>
      <c r="N3159" s="268"/>
      <c r="O3159" s="533"/>
      <c r="P3159" s="533"/>
      <c r="Q3159" s="533"/>
      <c r="R3159" s="533"/>
      <c r="S3159" s="533"/>
      <c r="T3159" s="533"/>
      <c r="U3159" s="533"/>
      <c r="V3159" s="533"/>
      <c r="W3159" s="533"/>
      <c r="X3159" s="533"/>
      <c r="Y3159" s="533"/>
    </row>
    <row r="3160" spans="1:25" s="88" customFormat="1" ht="30" hidden="1" x14ac:dyDescent="0.25">
      <c r="A3160" s="509"/>
      <c r="B3160" s="256"/>
      <c r="C3160" s="221"/>
      <c r="D3160" s="218"/>
      <c r="E3160" s="218"/>
      <c r="F3160" s="527">
        <v>496</v>
      </c>
      <c r="G3160" s="520" t="s">
        <v>4195</v>
      </c>
      <c r="H3160" s="594"/>
      <c r="I3160" s="595"/>
      <c r="J3160" s="595">
        <f t="shared" si="99"/>
        <v>0</v>
      </c>
      <c r="K3160" s="533"/>
      <c r="L3160" s="533"/>
      <c r="M3160" s="533"/>
      <c r="N3160" s="268"/>
      <c r="O3160" s="533"/>
      <c r="P3160" s="533"/>
      <c r="Q3160" s="533"/>
      <c r="R3160" s="533"/>
      <c r="S3160" s="533"/>
      <c r="T3160" s="533"/>
      <c r="U3160" s="533"/>
      <c r="V3160" s="533"/>
      <c r="W3160" s="533"/>
      <c r="X3160" s="533"/>
      <c r="Y3160" s="533"/>
    </row>
    <row r="3161" spans="1:25" s="88" customFormat="1" hidden="1" x14ac:dyDescent="0.25">
      <c r="A3161" s="509"/>
      <c r="B3161" s="256"/>
      <c r="C3161" s="221"/>
      <c r="D3161" s="218"/>
      <c r="E3161" s="218"/>
      <c r="F3161" s="527">
        <v>499</v>
      </c>
      <c r="G3161" s="520" t="s">
        <v>4196</v>
      </c>
      <c r="H3161" s="594"/>
      <c r="I3161" s="595"/>
      <c r="J3161" s="595">
        <f t="shared" si="99"/>
        <v>0</v>
      </c>
      <c r="K3161" s="533"/>
      <c r="L3161" s="533"/>
      <c r="M3161" s="533"/>
      <c r="N3161" s="268"/>
      <c r="O3161" s="533"/>
      <c r="P3161" s="533"/>
      <c r="Q3161" s="533"/>
      <c r="R3161" s="533"/>
      <c r="S3161" s="533"/>
      <c r="T3161" s="533"/>
      <c r="U3161" s="533"/>
      <c r="V3161" s="533"/>
      <c r="W3161" s="533"/>
      <c r="X3161" s="533"/>
      <c r="Y3161" s="533"/>
    </row>
    <row r="3162" spans="1:25" s="88" customFormat="1" ht="15.75" thickBot="1" x14ac:dyDescent="0.3">
      <c r="A3162" s="509"/>
      <c r="B3162" s="256"/>
      <c r="C3162" s="221"/>
      <c r="D3162" s="218"/>
      <c r="E3162" s="218">
        <v>45</v>
      </c>
      <c r="F3162" s="527">
        <v>511</v>
      </c>
      <c r="G3162" s="524" t="s">
        <v>4216</v>
      </c>
      <c r="H3162" s="594">
        <v>5000000</v>
      </c>
      <c r="I3162" s="595"/>
      <c r="J3162" s="595">
        <f t="shared" si="99"/>
        <v>5000000</v>
      </c>
      <c r="K3162" s="533"/>
      <c r="L3162" s="533"/>
      <c r="M3162" s="533"/>
      <c r="N3162" s="268"/>
      <c r="O3162" s="533"/>
      <c r="P3162" s="533"/>
      <c r="Q3162" s="533"/>
      <c r="R3162" s="533"/>
      <c r="S3162" s="533"/>
      <c r="T3162" s="533"/>
      <c r="U3162" s="533"/>
      <c r="V3162" s="533"/>
      <c r="W3162" s="533"/>
      <c r="X3162" s="533"/>
      <c r="Y3162" s="533"/>
    </row>
    <row r="3163" spans="1:25" s="88" customFormat="1" hidden="1" x14ac:dyDescent="0.25">
      <c r="A3163" s="509"/>
      <c r="B3163" s="256"/>
      <c r="C3163" s="221"/>
      <c r="D3163" s="218"/>
      <c r="E3163" s="218"/>
      <c r="F3163" s="527">
        <v>512</v>
      </c>
      <c r="G3163" s="524" t="s">
        <v>4217</v>
      </c>
      <c r="H3163" s="594"/>
      <c r="I3163" s="595"/>
      <c r="J3163" s="595">
        <f t="shared" si="99"/>
        <v>0</v>
      </c>
      <c r="K3163" s="533"/>
      <c r="L3163" s="533"/>
      <c r="M3163" s="533"/>
      <c r="N3163" s="268"/>
      <c r="O3163" s="533"/>
      <c r="P3163" s="533"/>
      <c r="Q3163" s="533"/>
      <c r="R3163" s="533"/>
      <c r="S3163" s="533"/>
      <c r="T3163" s="533"/>
      <c r="U3163" s="533"/>
      <c r="V3163" s="533"/>
      <c r="W3163" s="533"/>
      <c r="X3163" s="533"/>
      <c r="Y3163" s="533"/>
    </row>
    <row r="3164" spans="1:25" s="88" customFormat="1" hidden="1" x14ac:dyDescent="0.25">
      <c r="A3164" s="509"/>
      <c r="B3164" s="256"/>
      <c r="C3164" s="221"/>
      <c r="D3164" s="218"/>
      <c r="E3164" s="218"/>
      <c r="F3164" s="527">
        <v>513</v>
      </c>
      <c r="G3164" s="524" t="s">
        <v>4218</v>
      </c>
      <c r="H3164" s="594"/>
      <c r="I3164" s="595"/>
      <c r="J3164" s="595">
        <f t="shared" si="99"/>
        <v>0</v>
      </c>
      <c r="K3164" s="533"/>
      <c r="L3164" s="533"/>
      <c r="M3164" s="533"/>
      <c r="N3164" s="268"/>
      <c r="O3164" s="533"/>
      <c r="P3164" s="533"/>
      <c r="Q3164" s="533"/>
      <c r="R3164" s="533"/>
      <c r="S3164" s="533"/>
      <c r="T3164" s="533"/>
      <c r="U3164" s="533"/>
      <c r="V3164" s="533"/>
      <c r="W3164" s="533"/>
      <c r="X3164" s="533"/>
      <c r="Y3164" s="533"/>
    </row>
    <row r="3165" spans="1:25" s="88" customFormat="1" hidden="1" x14ac:dyDescent="0.25">
      <c r="A3165" s="509"/>
      <c r="B3165" s="256"/>
      <c r="C3165" s="221"/>
      <c r="D3165" s="218"/>
      <c r="E3165" s="218"/>
      <c r="F3165" s="527">
        <v>514</v>
      </c>
      <c r="G3165" s="520" t="s">
        <v>4219</v>
      </c>
      <c r="H3165" s="594"/>
      <c r="I3165" s="595"/>
      <c r="J3165" s="595">
        <f t="shared" si="99"/>
        <v>0</v>
      </c>
      <c r="K3165" s="533"/>
      <c r="L3165" s="533"/>
      <c r="M3165" s="533"/>
      <c r="N3165" s="268"/>
      <c r="O3165" s="533"/>
      <c r="P3165" s="533"/>
      <c r="Q3165" s="533"/>
      <c r="R3165" s="533"/>
      <c r="S3165" s="533"/>
      <c r="T3165" s="533"/>
      <c r="U3165" s="533"/>
      <c r="V3165" s="533"/>
      <c r="W3165" s="533"/>
      <c r="X3165" s="533"/>
      <c r="Y3165" s="533"/>
    </row>
    <row r="3166" spans="1:25" s="88" customFormat="1" hidden="1" x14ac:dyDescent="0.25">
      <c r="A3166" s="509"/>
      <c r="B3166" s="256"/>
      <c r="C3166" s="221"/>
      <c r="D3166" s="218"/>
      <c r="E3166" s="218"/>
      <c r="F3166" s="527">
        <v>515</v>
      </c>
      <c r="G3166" s="520" t="s">
        <v>3852</v>
      </c>
      <c r="H3166" s="594"/>
      <c r="I3166" s="595"/>
      <c r="J3166" s="595">
        <f t="shared" si="99"/>
        <v>0</v>
      </c>
      <c r="K3166" s="533"/>
      <c r="L3166" s="533"/>
      <c r="M3166" s="533"/>
      <c r="N3166" s="268"/>
      <c r="O3166" s="533"/>
      <c r="P3166" s="533"/>
      <c r="Q3166" s="533"/>
      <c r="R3166" s="533"/>
      <c r="S3166" s="533"/>
      <c r="T3166" s="533"/>
      <c r="U3166" s="533"/>
      <c r="V3166" s="533"/>
      <c r="W3166" s="533"/>
      <c r="X3166" s="533"/>
      <c r="Y3166" s="533"/>
    </row>
    <row r="3167" spans="1:25" s="88" customFormat="1" hidden="1" x14ac:dyDescent="0.25">
      <c r="A3167" s="509"/>
      <c r="B3167" s="256"/>
      <c r="C3167" s="221"/>
      <c r="D3167" s="218"/>
      <c r="E3167" s="218"/>
      <c r="F3167" s="527">
        <v>521</v>
      </c>
      <c r="G3167" s="520" t="s">
        <v>4220</v>
      </c>
      <c r="H3167" s="594"/>
      <c r="I3167" s="595"/>
      <c r="J3167" s="595">
        <f t="shared" si="99"/>
        <v>0</v>
      </c>
      <c r="K3167" s="533"/>
      <c r="L3167" s="533"/>
      <c r="M3167" s="533"/>
      <c r="N3167" s="268"/>
      <c r="O3167" s="533"/>
      <c r="P3167" s="533"/>
      <c r="Q3167" s="533"/>
      <c r="R3167" s="533"/>
      <c r="S3167" s="533"/>
      <c r="T3167" s="533"/>
      <c r="U3167" s="533"/>
      <c r="V3167" s="533"/>
      <c r="W3167" s="533"/>
      <c r="X3167" s="533"/>
      <c r="Y3167" s="533"/>
    </row>
    <row r="3168" spans="1:25" s="88" customFormat="1" hidden="1" x14ac:dyDescent="0.25">
      <c r="A3168" s="509"/>
      <c r="B3168" s="256"/>
      <c r="C3168" s="221"/>
      <c r="D3168" s="218"/>
      <c r="E3168" s="218"/>
      <c r="F3168" s="527">
        <v>522</v>
      </c>
      <c r="G3168" s="520" t="s">
        <v>4221</v>
      </c>
      <c r="H3168" s="594"/>
      <c r="I3168" s="595"/>
      <c r="J3168" s="595">
        <f t="shared" si="99"/>
        <v>0</v>
      </c>
      <c r="K3168" s="533"/>
      <c r="L3168" s="533"/>
      <c r="M3168" s="533"/>
      <c r="N3168" s="268"/>
      <c r="O3168" s="533"/>
      <c r="P3168" s="533"/>
      <c r="Q3168" s="533"/>
      <c r="R3168" s="533"/>
      <c r="S3168" s="533"/>
      <c r="T3168" s="533"/>
      <c r="U3168" s="533"/>
      <c r="V3168" s="533"/>
      <c r="W3168" s="533"/>
      <c r="X3168" s="533"/>
      <c r="Y3168" s="533"/>
    </row>
    <row r="3169" spans="1:25" s="88" customFormat="1" hidden="1" x14ac:dyDescent="0.25">
      <c r="A3169" s="509"/>
      <c r="B3169" s="256"/>
      <c r="C3169" s="221"/>
      <c r="D3169" s="218"/>
      <c r="E3169" s="218"/>
      <c r="F3169" s="527">
        <v>523</v>
      </c>
      <c r="G3169" s="520" t="s">
        <v>3857</v>
      </c>
      <c r="H3169" s="594"/>
      <c r="I3169" s="595"/>
      <c r="J3169" s="595">
        <f t="shared" si="99"/>
        <v>0</v>
      </c>
      <c r="K3169" s="533"/>
      <c r="L3169" s="533"/>
      <c r="M3169" s="533"/>
      <c r="N3169" s="268"/>
      <c r="O3169" s="533"/>
      <c r="P3169" s="533"/>
      <c r="Q3169" s="533"/>
      <c r="R3169" s="533"/>
      <c r="S3169" s="533"/>
      <c r="T3169" s="533"/>
      <c r="U3169" s="533"/>
      <c r="V3169" s="533"/>
      <c r="W3169" s="533"/>
      <c r="X3169" s="533"/>
      <c r="Y3169" s="533"/>
    </row>
    <row r="3170" spans="1:25" s="88" customFormat="1" hidden="1" x14ac:dyDescent="0.25">
      <c r="A3170" s="509"/>
      <c r="B3170" s="256"/>
      <c r="C3170" s="221"/>
      <c r="D3170" s="218"/>
      <c r="E3170" s="218"/>
      <c r="F3170" s="527">
        <v>531</v>
      </c>
      <c r="G3170" s="516" t="s">
        <v>4197</v>
      </c>
      <c r="H3170" s="594"/>
      <c r="I3170" s="595"/>
      <c r="J3170" s="595">
        <f t="shared" si="99"/>
        <v>0</v>
      </c>
      <c r="K3170" s="533"/>
      <c r="L3170" s="533"/>
      <c r="M3170" s="533"/>
      <c r="N3170" s="268"/>
      <c r="O3170" s="533"/>
      <c r="P3170" s="533"/>
      <c r="Q3170" s="533"/>
      <c r="R3170" s="533"/>
      <c r="S3170" s="533"/>
      <c r="T3170" s="533"/>
      <c r="U3170" s="533"/>
      <c r="V3170" s="533"/>
      <c r="W3170" s="533"/>
      <c r="X3170" s="533"/>
      <c r="Y3170" s="533"/>
    </row>
    <row r="3171" spans="1:25" s="88" customFormat="1" hidden="1" x14ac:dyDescent="0.25">
      <c r="A3171" s="509"/>
      <c r="B3171" s="256"/>
      <c r="C3171" s="221"/>
      <c r="D3171" s="218"/>
      <c r="E3171" s="218"/>
      <c r="F3171" s="527">
        <v>541</v>
      </c>
      <c r="G3171" s="520" t="s">
        <v>4222</v>
      </c>
      <c r="H3171" s="594"/>
      <c r="I3171" s="595"/>
      <c r="J3171" s="595">
        <f t="shared" si="99"/>
        <v>0</v>
      </c>
      <c r="K3171" s="533"/>
      <c r="L3171" s="533"/>
      <c r="M3171" s="533"/>
      <c r="N3171" s="268"/>
      <c r="O3171" s="533"/>
      <c r="P3171" s="533"/>
      <c r="Q3171" s="533"/>
      <c r="R3171" s="533"/>
      <c r="S3171" s="533"/>
      <c r="T3171" s="533"/>
      <c r="U3171" s="533"/>
      <c r="V3171" s="533"/>
      <c r="W3171" s="533"/>
      <c r="X3171" s="533"/>
      <c r="Y3171" s="533"/>
    </row>
    <row r="3172" spans="1:25" s="88" customFormat="1" hidden="1" x14ac:dyDescent="0.25">
      <c r="A3172" s="509"/>
      <c r="B3172" s="256"/>
      <c r="C3172" s="221"/>
      <c r="D3172" s="218"/>
      <c r="E3172" s="218"/>
      <c r="F3172" s="527">
        <v>542</v>
      </c>
      <c r="G3172" s="520" t="s">
        <v>4223</v>
      </c>
      <c r="H3172" s="594"/>
      <c r="I3172" s="595"/>
      <c r="J3172" s="595">
        <f t="shared" si="99"/>
        <v>0</v>
      </c>
      <c r="K3172" s="533"/>
      <c r="L3172" s="533"/>
      <c r="M3172" s="533"/>
      <c r="N3172" s="268"/>
      <c r="O3172" s="533"/>
      <c r="P3172" s="533"/>
      <c r="Q3172" s="533"/>
      <c r="R3172" s="533"/>
      <c r="S3172" s="533"/>
      <c r="T3172" s="533"/>
      <c r="U3172" s="533"/>
      <c r="V3172" s="533"/>
      <c r="W3172" s="533"/>
      <c r="X3172" s="533"/>
      <c r="Y3172" s="533"/>
    </row>
    <row r="3173" spans="1:25" s="88" customFormat="1" hidden="1" x14ac:dyDescent="0.25">
      <c r="A3173" s="509"/>
      <c r="B3173" s="256"/>
      <c r="C3173" s="221"/>
      <c r="D3173" s="218"/>
      <c r="E3173" s="218"/>
      <c r="F3173" s="527">
        <v>543</v>
      </c>
      <c r="G3173" s="520" t="s">
        <v>3862</v>
      </c>
      <c r="H3173" s="594"/>
      <c r="I3173" s="595"/>
      <c r="J3173" s="595">
        <f t="shared" si="99"/>
        <v>0</v>
      </c>
      <c r="K3173" s="533"/>
      <c r="L3173" s="533"/>
      <c r="M3173" s="533"/>
      <c r="N3173" s="268"/>
      <c r="O3173" s="533"/>
      <c r="P3173" s="533"/>
      <c r="Q3173" s="533"/>
      <c r="R3173" s="533"/>
      <c r="S3173" s="533"/>
      <c r="T3173" s="533"/>
      <c r="U3173" s="533"/>
      <c r="V3173" s="533"/>
      <c r="W3173" s="533"/>
      <c r="X3173" s="533"/>
      <c r="Y3173" s="533"/>
    </row>
    <row r="3174" spans="1:25" s="88" customFormat="1" ht="30" hidden="1" x14ac:dyDescent="0.25">
      <c r="A3174" s="509"/>
      <c r="B3174" s="256"/>
      <c r="C3174" s="221"/>
      <c r="D3174" s="218"/>
      <c r="E3174" s="218"/>
      <c r="F3174" s="527">
        <v>551</v>
      </c>
      <c r="G3174" s="520" t="s">
        <v>4198</v>
      </c>
      <c r="H3174" s="594"/>
      <c r="I3174" s="595"/>
      <c r="J3174" s="595">
        <f t="shared" si="99"/>
        <v>0</v>
      </c>
      <c r="K3174" s="533"/>
      <c r="L3174" s="533"/>
      <c r="M3174" s="533"/>
      <c r="N3174" s="268"/>
      <c r="O3174" s="533"/>
      <c r="P3174" s="533"/>
      <c r="Q3174" s="533"/>
      <c r="R3174" s="533"/>
      <c r="S3174" s="533"/>
      <c r="T3174" s="533"/>
      <c r="U3174" s="533"/>
      <c r="V3174" s="533"/>
      <c r="W3174" s="533"/>
      <c r="X3174" s="533"/>
      <c r="Y3174" s="533"/>
    </row>
    <row r="3175" spans="1:25" s="88" customFormat="1" hidden="1" x14ac:dyDescent="0.25">
      <c r="A3175" s="509"/>
      <c r="B3175" s="256"/>
      <c r="C3175" s="221"/>
      <c r="D3175" s="218"/>
      <c r="E3175" s="218"/>
      <c r="F3175" s="528">
        <v>611</v>
      </c>
      <c r="G3175" s="526" t="s">
        <v>3868</v>
      </c>
      <c r="H3175" s="594"/>
      <c r="I3175" s="595"/>
      <c r="J3175" s="595">
        <f t="shared" si="99"/>
        <v>0</v>
      </c>
      <c r="K3175" s="533"/>
      <c r="L3175" s="533"/>
      <c r="M3175" s="533"/>
      <c r="N3175" s="268"/>
      <c r="O3175" s="533"/>
      <c r="P3175" s="533"/>
      <c r="Q3175" s="533"/>
      <c r="R3175" s="533"/>
      <c r="S3175" s="533"/>
      <c r="T3175" s="533"/>
      <c r="U3175" s="533"/>
      <c r="V3175" s="533"/>
      <c r="W3175" s="533"/>
      <c r="X3175" s="533"/>
      <c r="Y3175" s="533"/>
    </row>
    <row r="3176" spans="1:25" s="88" customFormat="1" ht="15.75" hidden="1" thickBot="1" x14ac:dyDescent="0.3">
      <c r="A3176" s="509"/>
      <c r="B3176" s="256"/>
      <c r="C3176" s="221"/>
      <c r="D3176" s="218"/>
      <c r="E3176" s="218"/>
      <c r="F3176" s="528">
        <v>620</v>
      </c>
      <c r="G3176" s="526" t="s">
        <v>88</v>
      </c>
      <c r="H3176" s="594"/>
      <c r="I3176" s="595"/>
      <c r="J3176" s="595">
        <f t="shared" si="99"/>
        <v>0</v>
      </c>
      <c r="K3176" s="533"/>
      <c r="L3176" s="533"/>
      <c r="M3176" s="533"/>
      <c r="N3176" s="268"/>
      <c r="O3176" s="533"/>
      <c r="P3176" s="533"/>
      <c r="Q3176" s="533"/>
      <c r="R3176" s="533"/>
      <c r="S3176" s="533"/>
      <c r="T3176" s="533"/>
      <c r="U3176" s="533"/>
      <c r="V3176" s="533"/>
      <c r="W3176" s="533"/>
      <c r="X3176" s="533"/>
      <c r="Y3176" s="533"/>
    </row>
    <row r="3177" spans="1:25" s="88" customFormat="1" x14ac:dyDescent="0.25">
      <c r="A3177" s="509"/>
      <c r="B3177" s="256"/>
      <c r="C3177" s="221"/>
      <c r="D3177" s="218"/>
      <c r="E3177" s="517"/>
      <c r="F3177" s="528"/>
      <c r="G3177" s="327" t="s">
        <v>4368</v>
      </c>
      <c r="H3177" s="596"/>
      <c r="I3177" s="622"/>
      <c r="J3177" s="597"/>
      <c r="K3177" s="533"/>
      <c r="L3177" s="533"/>
      <c r="M3177" s="533"/>
      <c r="N3177" s="268"/>
      <c r="O3177" s="533"/>
      <c r="P3177" s="533"/>
      <c r="Q3177" s="533"/>
      <c r="R3177" s="533"/>
      <c r="S3177" s="533"/>
      <c r="T3177" s="533"/>
      <c r="U3177" s="533"/>
      <c r="V3177" s="533"/>
      <c r="W3177" s="533"/>
      <c r="X3177" s="533"/>
      <c r="Y3177" s="533"/>
    </row>
    <row r="3178" spans="1:25" s="88" customFormat="1" ht="15.75" thickBot="1" x14ac:dyDescent="0.3">
      <c r="A3178" s="509"/>
      <c r="B3178" s="256"/>
      <c r="C3178" s="221"/>
      <c r="D3178" s="218"/>
      <c r="E3178" s="222"/>
      <c r="F3178" s="642" t="s">
        <v>234</v>
      </c>
      <c r="G3178" s="643" t="s">
        <v>235</v>
      </c>
      <c r="H3178" s="598">
        <f>SUM(H3117:H3176)</f>
        <v>5000000</v>
      </c>
      <c r="I3178" s="599"/>
      <c r="J3178" s="599">
        <f t="shared" ref="J3178:J3193" si="100">SUM(H3178:I3178)</f>
        <v>5000000</v>
      </c>
      <c r="K3178" s="533"/>
      <c r="L3178" s="533"/>
      <c r="M3178" s="533"/>
      <c r="N3178" s="268"/>
      <c r="O3178" s="533"/>
      <c r="P3178" s="533"/>
      <c r="Q3178" s="533"/>
      <c r="R3178" s="533"/>
      <c r="S3178" s="533"/>
      <c r="T3178" s="533"/>
      <c r="U3178" s="533"/>
      <c r="V3178" s="533"/>
      <c r="W3178" s="533"/>
      <c r="X3178" s="533"/>
      <c r="Y3178" s="533"/>
    </row>
    <row r="3179" spans="1:25" s="88" customFormat="1" hidden="1" x14ac:dyDescent="0.25">
      <c r="A3179" s="509"/>
      <c r="B3179" s="256"/>
      <c r="C3179" s="221"/>
      <c r="D3179" s="218"/>
      <c r="E3179" s="218"/>
      <c r="F3179" s="642" t="s">
        <v>236</v>
      </c>
      <c r="G3179" s="643" t="s">
        <v>237</v>
      </c>
      <c r="H3179" s="594"/>
      <c r="I3179" s="595"/>
      <c r="J3179" s="599">
        <f t="shared" si="100"/>
        <v>0</v>
      </c>
      <c r="K3179" s="533"/>
      <c r="L3179" s="533"/>
      <c r="M3179" s="533"/>
      <c r="N3179" s="268"/>
      <c r="O3179" s="533"/>
      <c r="P3179" s="533"/>
      <c r="Q3179" s="533"/>
      <c r="R3179" s="533"/>
      <c r="S3179" s="533"/>
      <c r="T3179" s="533"/>
      <c r="U3179" s="533"/>
      <c r="V3179" s="533"/>
      <c r="W3179" s="533"/>
      <c r="X3179" s="533"/>
      <c r="Y3179" s="533"/>
    </row>
    <row r="3180" spans="1:25" s="88" customFormat="1" hidden="1" x14ac:dyDescent="0.25">
      <c r="A3180" s="509"/>
      <c r="B3180" s="256"/>
      <c r="C3180" s="221"/>
      <c r="D3180" s="218"/>
      <c r="E3180" s="218"/>
      <c r="F3180" s="642" t="s">
        <v>238</v>
      </c>
      <c r="G3180" s="643" t="s">
        <v>239</v>
      </c>
      <c r="H3180" s="594"/>
      <c r="I3180" s="595"/>
      <c r="J3180" s="599">
        <f t="shared" si="100"/>
        <v>0</v>
      </c>
      <c r="K3180" s="533"/>
      <c r="L3180" s="533"/>
      <c r="M3180" s="533"/>
      <c r="N3180" s="268"/>
      <c r="O3180" s="533"/>
      <c r="P3180" s="533"/>
      <c r="Q3180" s="533"/>
      <c r="R3180" s="533"/>
      <c r="S3180" s="533"/>
      <c r="T3180" s="533"/>
      <c r="U3180" s="533"/>
      <c r="V3180" s="533"/>
      <c r="W3180" s="533"/>
      <c r="X3180" s="533"/>
      <c r="Y3180" s="533"/>
    </row>
    <row r="3181" spans="1:25" s="88" customFormat="1" hidden="1" x14ac:dyDescent="0.25">
      <c r="A3181" s="509"/>
      <c r="B3181" s="256"/>
      <c r="C3181" s="221"/>
      <c r="D3181" s="218"/>
      <c r="E3181" s="218"/>
      <c r="F3181" s="642" t="s">
        <v>240</v>
      </c>
      <c r="G3181" s="643" t="s">
        <v>241</v>
      </c>
      <c r="H3181" s="594"/>
      <c r="I3181" s="595"/>
      <c r="J3181" s="599">
        <f t="shared" si="100"/>
        <v>0</v>
      </c>
      <c r="K3181" s="533"/>
      <c r="L3181" s="533"/>
      <c r="M3181" s="533"/>
      <c r="N3181" s="268"/>
      <c r="O3181" s="533"/>
      <c r="P3181" s="533"/>
      <c r="Q3181" s="533"/>
      <c r="R3181" s="533"/>
      <c r="S3181" s="533"/>
      <c r="T3181" s="533"/>
      <c r="U3181" s="533"/>
      <c r="V3181" s="533"/>
      <c r="W3181" s="533"/>
      <c r="X3181" s="533"/>
      <c r="Y3181" s="533"/>
    </row>
    <row r="3182" spans="1:25" s="88" customFormat="1" hidden="1" x14ac:dyDescent="0.25">
      <c r="A3182" s="509"/>
      <c r="B3182" s="256"/>
      <c r="C3182" s="221"/>
      <c r="D3182" s="218"/>
      <c r="E3182" s="218"/>
      <c r="F3182" s="642" t="s">
        <v>242</v>
      </c>
      <c r="G3182" s="643" t="s">
        <v>243</v>
      </c>
      <c r="H3182" s="594"/>
      <c r="I3182" s="595"/>
      <c r="J3182" s="599">
        <f t="shared" si="100"/>
        <v>0</v>
      </c>
      <c r="K3182" s="533"/>
      <c r="L3182" s="533"/>
      <c r="M3182" s="533"/>
      <c r="N3182" s="268"/>
      <c r="O3182" s="533"/>
      <c r="P3182" s="533"/>
      <c r="Q3182" s="533"/>
      <c r="R3182" s="533"/>
      <c r="S3182" s="533"/>
      <c r="T3182" s="533"/>
      <c r="U3182" s="533"/>
      <c r="V3182" s="533"/>
      <c r="W3182" s="533"/>
      <c r="X3182" s="533"/>
      <c r="Y3182" s="533"/>
    </row>
    <row r="3183" spans="1:25" s="88" customFormat="1" hidden="1" x14ac:dyDescent="0.25">
      <c r="A3183" s="509"/>
      <c r="B3183" s="256"/>
      <c r="C3183" s="221"/>
      <c r="D3183" s="218"/>
      <c r="E3183" s="218"/>
      <c r="F3183" s="642" t="s">
        <v>244</v>
      </c>
      <c r="G3183" s="643" t="s">
        <v>245</v>
      </c>
      <c r="H3183" s="594"/>
      <c r="I3183" s="595"/>
      <c r="J3183" s="599">
        <f t="shared" si="100"/>
        <v>0</v>
      </c>
      <c r="K3183" s="533"/>
      <c r="L3183" s="533"/>
      <c r="M3183" s="533"/>
      <c r="N3183" s="268"/>
      <c r="O3183" s="533"/>
      <c r="P3183" s="533"/>
      <c r="Q3183" s="533"/>
      <c r="R3183" s="533"/>
      <c r="S3183" s="533"/>
      <c r="T3183" s="533"/>
      <c r="U3183" s="533"/>
      <c r="V3183" s="533"/>
      <c r="W3183" s="533"/>
      <c r="X3183" s="533"/>
      <c r="Y3183" s="533"/>
    </row>
    <row r="3184" spans="1:25" s="88" customFormat="1" hidden="1" x14ac:dyDescent="0.25">
      <c r="A3184" s="509"/>
      <c r="B3184" s="256"/>
      <c r="C3184" s="221"/>
      <c r="D3184" s="218"/>
      <c r="E3184" s="218"/>
      <c r="F3184" s="642" t="s">
        <v>246</v>
      </c>
      <c r="G3184" s="643" t="s">
        <v>247</v>
      </c>
      <c r="H3184" s="594"/>
      <c r="I3184" s="595"/>
      <c r="J3184" s="599">
        <f t="shared" si="100"/>
        <v>0</v>
      </c>
      <c r="K3184" s="533"/>
      <c r="L3184" s="533"/>
      <c r="M3184" s="533"/>
      <c r="N3184" s="268"/>
      <c r="O3184" s="533"/>
      <c r="P3184" s="533"/>
      <c r="Q3184" s="533"/>
      <c r="R3184" s="533"/>
      <c r="S3184" s="533"/>
      <c r="T3184" s="533"/>
      <c r="U3184" s="533"/>
      <c r="V3184" s="533"/>
      <c r="W3184" s="533"/>
      <c r="X3184" s="533"/>
      <c r="Y3184" s="533"/>
    </row>
    <row r="3185" spans="1:25" s="88" customFormat="1" hidden="1" x14ac:dyDescent="0.25">
      <c r="A3185" s="509"/>
      <c r="B3185" s="256"/>
      <c r="C3185" s="221"/>
      <c r="D3185" s="218"/>
      <c r="E3185" s="218"/>
      <c r="F3185" s="642" t="s">
        <v>248</v>
      </c>
      <c r="G3185" s="643" t="s">
        <v>249</v>
      </c>
      <c r="H3185" s="594"/>
      <c r="I3185" s="595"/>
      <c r="J3185" s="599">
        <f t="shared" si="100"/>
        <v>0</v>
      </c>
      <c r="K3185" s="533"/>
      <c r="L3185" s="533"/>
      <c r="M3185" s="533"/>
      <c r="N3185" s="268"/>
      <c r="O3185" s="533"/>
      <c r="P3185" s="533"/>
      <c r="Q3185" s="533"/>
      <c r="R3185" s="533"/>
      <c r="S3185" s="533"/>
      <c r="T3185" s="533"/>
      <c r="U3185" s="533"/>
      <c r="V3185" s="533"/>
      <c r="W3185" s="533"/>
      <c r="X3185" s="533"/>
      <c r="Y3185" s="533"/>
    </row>
    <row r="3186" spans="1:25" s="88" customFormat="1" hidden="1" x14ac:dyDescent="0.25">
      <c r="A3186" s="218"/>
      <c r="B3186" s="218"/>
      <c r="C3186" s="221"/>
      <c r="D3186" s="218"/>
      <c r="E3186" s="218"/>
      <c r="F3186" s="642" t="s">
        <v>250</v>
      </c>
      <c r="G3186" s="643" t="s">
        <v>57</v>
      </c>
      <c r="H3186" s="594"/>
      <c r="I3186" s="595"/>
      <c r="J3186" s="599">
        <f t="shared" si="100"/>
        <v>0</v>
      </c>
      <c r="K3186" s="533"/>
      <c r="L3186" s="533"/>
      <c r="M3186" s="533"/>
      <c r="N3186" s="268"/>
      <c r="O3186" s="533"/>
      <c r="P3186" s="533"/>
      <c r="Q3186" s="533"/>
      <c r="R3186" s="533"/>
      <c r="S3186" s="533"/>
      <c r="T3186" s="533"/>
      <c r="U3186" s="533"/>
      <c r="V3186" s="533"/>
      <c r="W3186" s="533"/>
      <c r="X3186" s="533"/>
      <c r="Y3186" s="533"/>
    </row>
    <row r="3187" spans="1:25" s="88" customFormat="1" hidden="1" x14ac:dyDescent="0.25">
      <c r="A3187" s="218"/>
      <c r="B3187" s="218"/>
      <c r="C3187" s="221"/>
      <c r="D3187" s="218"/>
      <c r="E3187" s="218"/>
      <c r="F3187" s="642" t="s">
        <v>251</v>
      </c>
      <c r="G3187" s="643" t="s">
        <v>252</v>
      </c>
      <c r="H3187" s="594"/>
      <c r="I3187" s="595"/>
      <c r="J3187" s="599">
        <f t="shared" si="100"/>
        <v>0</v>
      </c>
      <c r="K3187" s="533"/>
      <c r="L3187" s="533"/>
      <c r="M3187" s="533"/>
      <c r="N3187" s="268"/>
      <c r="O3187" s="533"/>
      <c r="P3187" s="533"/>
      <c r="Q3187" s="533"/>
      <c r="R3187" s="533"/>
      <c r="S3187" s="533"/>
      <c r="T3187" s="533"/>
      <c r="U3187" s="533"/>
      <c r="V3187" s="533"/>
      <c r="W3187" s="533"/>
      <c r="X3187" s="533"/>
      <c r="Y3187" s="533"/>
    </row>
    <row r="3188" spans="1:25" s="88" customFormat="1" hidden="1" x14ac:dyDescent="0.25">
      <c r="A3188" s="218"/>
      <c r="B3188" s="218"/>
      <c r="C3188" s="221"/>
      <c r="D3188" s="218"/>
      <c r="E3188" s="218"/>
      <c r="F3188" s="642" t="s">
        <v>253</v>
      </c>
      <c r="G3188" s="643" t="s">
        <v>254</v>
      </c>
      <c r="H3188" s="594"/>
      <c r="I3188" s="595"/>
      <c r="J3188" s="599">
        <f t="shared" si="100"/>
        <v>0</v>
      </c>
      <c r="K3188" s="533"/>
      <c r="L3188" s="533"/>
      <c r="M3188" s="533"/>
      <c r="N3188" s="268"/>
      <c r="O3188" s="533"/>
      <c r="P3188" s="533"/>
      <c r="Q3188" s="533"/>
      <c r="R3188" s="533"/>
      <c r="S3188" s="533"/>
      <c r="T3188" s="533"/>
      <c r="U3188" s="533"/>
      <c r="V3188" s="533"/>
      <c r="W3188" s="533"/>
      <c r="X3188" s="533"/>
      <c r="Y3188" s="533"/>
    </row>
    <row r="3189" spans="1:25" s="88" customFormat="1" ht="30" hidden="1" x14ac:dyDescent="0.25">
      <c r="A3189" s="218"/>
      <c r="B3189" s="218"/>
      <c r="C3189" s="221"/>
      <c r="D3189" s="218"/>
      <c r="E3189" s="218"/>
      <c r="F3189" s="642" t="s">
        <v>255</v>
      </c>
      <c r="G3189" s="643" t="s">
        <v>256</v>
      </c>
      <c r="H3189" s="594"/>
      <c r="I3189" s="595"/>
      <c r="J3189" s="599">
        <f t="shared" si="100"/>
        <v>0</v>
      </c>
      <c r="K3189" s="533"/>
      <c r="L3189" s="533"/>
      <c r="M3189" s="533"/>
      <c r="N3189" s="268"/>
      <c r="O3189" s="533"/>
      <c r="P3189" s="533"/>
      <c r="Q3189" s="533"/>
      <c r="R3189" s="533"/>
      <c r="S3189" s="533"/>
      <c r="T3189" s="533"/>
      <c r="U3189" s="533"/>
      <c r="V3189" s="533"/>
      <c r="W3189" s="533"/>
      <c r="X3189" s="533"/>
      <c r="Y3189" s="533"/>
    </row>
    <row r="3190" spans="1:25" s="88" customFormat="1" hidden="1" x14ac:dyDescent="0.25">
      <c r="A3190" s="218"/>
      <c r="B3190" s="218"/>
      <c r="C3190" s="221"/>
      <c r="D3190" s="218"/>
      <c r="E3190" s="218"/>
      <c r="F3190" s="642" t="s">
        <v>257</v>
      </c>
      <c r="G3190" s="643" t="s">
        <v>258</v>
      </c>
      <c r="H3190" s="594"/>
      <c r="I3190" s="595"/>
      <c r="J3190" s="599">
        <f t="shared" si="100"/>
        <v>0</v>
      </c>
      <c r="K3190" s="533"/>
      <c r="L3190" s="533"/>
      <c r="M3190" s="533"/>
      <c r="N3190" s="268"/>
      <c r="O3190" s="533"/>
      <c r="P3190" s="533"/>
      <c r="Q3190" s="533"/>
      <c r="R3190" s="533"/>
      <c r="S3190" s="533"/>
      <c r="T3190" s="533"/>
      <c r="U3190" s="533"/>
      <c r="V3190" s="533"/>
      <c r="W3190" s="533"/>
      <c r="X3190" s="533"/>
      <c r="Y3190" s="533"/>
    </row>
    <row r="3191" spans="1:25" s="88" customFormat="1" ht="30" hidden="1" x14ac:dyDescent="0.25">
      <c r="A3191" s="218"/>
      <c r="B3191" s="218"/>
      <c r="C3191" s="221"/>
      <c r="D3191" s="218"/>
      <c r="E3191" s="218"/>
      <c r="F3191" s="642" t="s">
        <v>259</v>
      </c>
      <c r="G3191" s="643" t="s">
        <v>260</v>
      </c>
      <c r="H3191" s="594"/>
      <c r="I3191" s="595"/>
      <c r="J3191" s="599">
        <f t="shared" si="100"/>
        <v>0</v>
      </c>
      <c r="K3191" s="533"/>
      <c r="L3191" s="533"/>
      <c r="M3191" s="533"/>
      <c r="N3191" s="268"/>
      <c r="O3191" s="533"/>
      <c r="P3191" s="533"/>
      <c r="Q3191" s="533"/>
      <c r="R3191" s="533"/>
      <c r="S3191" s="533"/>
      <c r="T3191" s="533"/>
      <c r="U3191" s="533"/>
      <c r="V3191" s="533"/>
      <c r="W3191" s="533"/>
      <c r="X3191" s="533"/>
      <c r="Y3191" s="533"/>
    </row>
    <row r="3192" spans="1:25" s="88" customFormat="1" hidden="1" x14ac:dyDescent="0.25">
      <c r="A3192" s="218"/>
      <c r="B3192" s="218"/>
      <c r="C3192" s="221"/>
      <c r="D3192" s="218"/>
      <c r="E3192" s="218"/>
      <c r="F3192" s="642" t="s">
        <v>261</v>
      </c>
      <c r="G3192" s="643" t="s">
        <v>262</v>
      </c>
      <c r="H3192" s="594"/>
      <c r="I3192" s="595"/>
      <c r="J3192" s="599">
        <f t="shared" si="100"/>
        <v>0</v>
      </c>
      <c r="K3192" s="533"/>
      <c r="L3192" s="533"/>
      <c r="M3192" s="533"/>
      <c r="N3192" s="268"/>
      <c r="O3192" s="533"/>
      <c r="P3192" s="533"/>
      <c r="Q3192" s="533"/>
      <c r="R3192" s="533"/>
      <c r="S3192" s="533"/>
      <c r="T3192" s="533"/>
      <c r="U3192" s="533"/>
      <c r="V3192" s="533"/>
      <c r="W3192" s="533"/>
      <c r="X3192" s="533"/>
      <c r="Y3192" s="533"/>
    </row>
    <row r="3193" spans="1:25" s="88" customFormat="1" ht="15.75" hidden="1" thickBot="1" x14ac:dyDescent="0.3">
      <c r="A3193" s="218"/>
      <c r="B3193" s="218"/>
      <c r="C3193" s="221"/>
      <c r="D3193" s="218"/>
      <c r="E3193" s="218"/>
      <c r="F3193" s="642" t="s">
        <v>263</v>
      </c>
      <c r="G3193" s="643" t="s">
        <v>264</v>
      </c>
      <c r="H3193" s="598"/>
      <c r="I3193" s="599"/>
      <c r="J3193" s="599">
        <f t="shared" si="100"/>
        <v>0</v>
      </c>
      <c r="K3193" s="533"/>
      <c r="L3193" s="533"/>
      <c r="M3193" s="533"/>
      <c r="N3193" s="268"/>
      <c r="O3193" s="533"/>
      <c r="P3193" s="533"/>
      <c r="Q3193" s="533"/>
      <c r="R3193" s="533"/>
      <c r="S3193" s="533"/>
      <c r="T3193" s="533"/>
      <c r="U3193" s="533"/>
      <c r="V3193" s="533"/>
      <c r="W3193" s="533"/>
      <c r="X3193" s="533"/>
      <c r="Y3193" s="533"/>
    </row>
    <row r="3194" spans="1:25" s="88" customFormat="1" ht="15.75" thickBot="1" x14ac:dyDescent="0.3">
      <c r="A3194" s="218"/>
      <c r="B3194" s="218"/>
      <c r="C3194" s="221"/>
      <c r="D3194" s="218"/>
      <c r="E3194" s="218"/>
      <c r="F3194" s="218"/>
      <c r="G3194" s="229" t="s">
        <v>4369</v>
      </c>
      <c r="H3194" s="600">
        <f>SUM(H3178:H3193)</f>
        <v>5000000</v>
      </c>
      <c r="I3194" s="601">
        <f>SUM(I3179:I3193)</f>
        <v>0</v>
      </c>
      <c r="J3194" s="601">
        <f>SUM(J3178:J3193)</f>
        <v>5000000</v>
      </c>
      <c r="K3194" s="533"/>
      <c r="L3194" s="533"/>
      <c r="M3194" s="533"/>
      <c r="N3194" s="268"/>
      <c r="O3194" s="533"/>
      <c r="P3194" s="533"/>
      <c r="Q3194" s="533"/>
      <c r="R3194" s="533"/>
      <c r="S3194" s="533"/>
      <c r="T3194" s="533"/>
      <c r="U3194" s="533"/>
      <c r="V3194" s="533"/>
      <c r="W3194" s="533"/>
      <c r="X3194" s="533"/>
      <c r="Y3194" s="533"/>
    </row>
    <row r="3195" spans="1:25" s="88" customFormat="1" x14ac:dyDescent="0.25">
      <c r="A3195" s="218"/>
      <c r="B3195" s="218"/>
      <c r="C3195" s="221"/>
      <c r="D3195" s="218"/>
      <c r="E3195" s="218"/>
      <c r="F3195" s="218"/>
      <c r="G3195" s="286" t="s">
        <v>5259</v>
      </c>
      <c r="H3195" s="604"/>
      <c r="I3195" s="605"/>
      <c r="J3195" s="605"/>
      <c r="K3195" s="533"/>
      <c r="L3195" s="533"/>
      <c r="M3195" s="533"/>
      <c r="N3195" s="268"/>
      <c r="O3195" s="533"/>
      <c r="P3195" s="533"/>
      <c r="Q3195" s="533"/>
      <c r="R3195" s="533"/>
      <c r="S3195" s="533"/>
      <c r="T3195" s="533"/>
      <c r="U3195" s="533"/>
      <c r="V3195" s="533"/>
      <c r="W3195" s="533"/>
      <c r="X3195" s="533"/>
      <c r="Y3195" s="533"/>
    </row>
    <row r="3196" spans="1:25" s="88" customFormat="1" ht="15.75" thickBot="1" x14ac:dyDescent="0.3">
      <c r="A3196" s="218"/>
      <c r="B3196" s="218"/>
      <c r="C3196" s="221"/>
      <c r="D3196" s="218"/>
      <c r="E3196" s="218"/>
      <c r="F3196" s="218" t="s">
        <v>234</v>
      </c>
      <c r="G3196" s="723" t="s">
        <v>235</v>
      </c>
      <c r="H3196" s="725">
        <f>SUM(H3117:H3176)</f>
        <v>5000000</v>
      </c>
      <c r="I3196" s="726"/>
      <c r="J3196" s="729">
        <f t="shared" ref="J3196:J3211" si="101">SUM(H3196:I3196)</f>
        <v>5000000</v>
      </c>
      <c r="K3196" s="533"/>
      <c r="L3196" s="533"/>
      <c r="M3196" s="533"/>
      <c r="N3196" s="268"/>
      <c r="O3196" s="533"/>
      <c r="P3196" s="533"/>
      <c r="Q3196" s="533"/>
      <c r="R3196" s="533"/>
      <c r="S3196" s="533"/>
      <c r="T3196" s="533"/>
      <c r="U3196" s="533"/>
      <c r="V3196" s="533"/>
      <c r="W3196" s="533"/>
      <c r="X3196" s="533"/>
      <c r="Y3196" s="533"/>
    </row>
    <row r="3197" spans="1:25" s="88" customFormat="1" hidden="1" x14ac:dyDescent="0.25">
      <c r="A3197" s="218"/>
      <c r="B3197" s="218"/>
      <c r="C3197" s="221"/>
      <c r="D3197" s="218"/>
      <c r="E3197" s="218"/>
      <c r="F3197" s="218" t="s">
        <v>236</v>
      </c>
      <c r="G3197" s="286" t="s">
        <v>237</v>
      </c>
      <c r="H3197" s="604"/>
      <c r="I3197" s="605"/>
      <c r="J3197" s="605">
        <f t="shared" si="101"/>
        <v>0</v>
      </c>
      <c r="K3197" s="533"/>
      <c r="L3197" s="533"/>
      <c r="M3197" s="533"/>
      <c r="N3197" s="268"/>
      <c r="O3197" s="533"/>
      <c r="P3197" s="533"/>
      <c r="Q3197" s="533"/>
      <c r="R3197" s="533"/>
      <c r="S3197" s="533"/>
      <c r="T3197" s="533"/>
      <c r="U3197" s="533"/>
      <c r="V3197" s="533"/>
      <c r="W3197" s="533"/>
      <c r="X3197" s="533"/>
      <c r="Y3197" s="533"/>
    </row>
    <row r="3198" spans="1:25" s="88" customFormat="1" hidden="1" x14ac:dyDescent="0.25">
      <c r="A3198" s="218"/>
      <c r="B3198" s="218"/>
      <c r="C3198" s="221"/>
      <c r="D3198" s="218"/>
      <c r="E3198" s="218"/>
      <c r="F3198" s="218" t="s">
        <v>238</v>
      </c>
      <c r="G3198" s="286" t="s">
        <v>239</v>
      </c>
      <c r="H3198" s="604"/>
      <c r="I3198" s="605"/>
      <c r="J3198" s="605">
        <f t="shared" si="101"/>
        <v>0</v>
      </c>
      <c r="K3198" s="533"/>
      <c r="L3198" s="533"/>
      <c r="M3198" s="533"/>
      <c r="N3198" s="268"/>
      <c r="O3198" s="533"/>
      <c r="P3198" s="533"/>
      <c r="Q3198" s="533"/>
      <c r="R3198" s="533"/>
      <c r="S3198" s="533"/>
      <c r="T3198" s="533"/>
      <c r="U3198" s="533"/>
      <c r="V3198" s="533"/>
      <c r="W3198" s="533"/>
      <c r="X3198" s="533"/>
      <c r="Y3198" s="533"/>
    </row>
    <row r="3199" spans="1:25" s="88" customFormat="1" hidden="1" x14ac:dyDescent="0.25">
      <c r="A3199" s="218"/>
      <c r="B3199" s="218"/>
      <c r="C3199" s="221"/>
      <c r="D3199" s="218"/>
      <c r="E3199" s="218"/>
      <c r="F3199" s="218" t="s">
        <v>240</v>
      </c>
      <c r="G3199" s="286" t="s">
        <v>241</v>
      </c>
      <c r="H3199" s="604"/>
      <c r="I3199" s="605"/>
      <c r="J3199" s="605">
        <f t="shared" si="101"/>
        <v>0</v>
      </c>
      <c r="K3199" s="533"/>
      <c r="L3199" s="533"/>
      <c r="M3199" s="533"/>
      <c r="N3199" s="268"/>
      <c r="O3199" s="533"/>
      <c r="P3199" s="533"/>
      <c r="Q3199" s="533"/>
      <c r="R3199" s="533"/>
      <c r="S3199" s="533"/>
      <c r="T3199" s="533"/>
      <c r="U3199" s="533"/>
      <c r="V3199" s="533"/>
      <c r="W3199" s="533"/>
      <c r="X3199" s="533"/>
      <c r="Y3199" s="533"/>
    </row>
    <row r="3200" spans="1:25" s="88" customFormat="1" hidden="1" x14ac:dyDescent="0.25">
      <c r="A3200" s="218"/>
      <c r="B3200" s="218"/>
      <c r="C3200" s="221"/>
      <c r="D3200" s="218"/>
      <c r="E3200" s="218"/>
      <c r="F3200" s="218" t="s">
        <v>242</v>
      </c>
      <c r="G3200" s="286" t="s">
        <v>243</v>
      </c>
      <c r="H3200" s="604"/>
      <c r="I3200" s="605"/>
      <c r="J3200" s="605">
        <f t="shared" si="101"/>
        <v>0</v>
      </c>
      <c r="K3200" s="533"/>
      <c r="L3200" s="533"/>
      <c r="M3200" s="533"/>
      <c r="N3200" s="268"/>
      <c r="O3200" s="533"/>
      <c r="P3200" s="533"/>
      <c r="Q3200" s="533"/>
      <c r="R3200" s="533"/>
      <c r="S3200" s="533"/>
      <c r="T3200" s="533"/>
      <c r="U3200" s="533"/>
      <c r="V3200" s="533"/>
      <c r="W3200" s="533"/>
      <c r="X3200" s="533"/>
      <c r="Y3200" s="533"/>
    </row>
    <row r="3201" spans="1:25" s="88" customFormat="1" hidden="1" x14ac:dyDescent="0.25">
      <c r="A3201" s="218"/>
      <c r="B3201" s="218"/>
      <c r="C3201" s="221"/>
      <c r="D3201" s="218"/>
      <c r="E3201" s="218"/>
      <c r="F3201" s="218" t="s">
        <v>244</v>
      </c>
      <c r="G3201" s="286" t="s">
        <v>245</v>
      </c>
      <c r="H3201" s="604"/>
      <c r="I3201" s="605"/>
      <c r="J3201" s="605">
        <f t="shared" si="101"/>
        <v>0</v>
      </c>
      <c r="K3201" s="533"/>
      <c r="L3201" s="533"/>
      <c r="M3201" s="533"/>
      <c r="N3201" s="268"/>
      <c r="O3201" s="533"/>
      <c r="P3201" s="533"/>
      <c r="Q3201" s="533"/>
      <c r="R3201" s="533"/>
      <c r="S3201" s="533"/>
      <c r="T3201" s="533"/>
      <c r="U3201" s="533"/>
      <c r="V3201" s="533"/>
      <c r="W3201" s="533"/>
      <c r="X3201" s="533"/>
      <c r="Y3201" s="533"/>
    </row>
    <row r="3202" spans="1:25" s="88" customFormat="1" hidden="1" x14ac:dyDescent="0.25">
      <c r="A3202" s="218"/>
      <c r="B3202" s="218"/>
      <c r="C3202" s="221"/>
      <c r="D3202" s="218"/>
      <c r="E3202" s="218"/>
      <c r="F3202" s="218" t="s">
        <v>246</v>
      </c>
      <c r="G3202" s="286" t="s">
        <v>247</v>
      </c>
      <c r="H3202" s="604"/>
      <c r="I3202" s="605"/>
      <c r="J3202" s="605">
        <f t="shared" si="101"/>
        <v>0</v>
      </c>
      <c r="K3202" s="533"/>
      <c r="L3202" s="533"/>
      <c r="M3202" s="533"/>
      <c r="N3202" s="268"/>
      <c r="O3202" s="533"/>
      <c r="P3202" s="533"/>
      <c r="Q3202" s="533"/>
      <c r="R3202" s="533"/>
      <c r="S3202" s="533"/>
      <c r="T3202" s="533"/>
      <c r="U3202" s="533"/>
      <c r="V3202" s="533"/>
      <c r="W3202" s="533"/>
      <c r="X3202" s="533"/>
      <c r="Y3202" s="533"/>
    </row>
    <row r="3203" spans="1:25" s="88" customFormat="1" hidden="1" x14ac:dyDescent="0.25">
      <c r="A3203" s="218"/>
      <c r="B3203" s="218"/>
      <c r="C3203" s="221"/>
      <c r="D3203" s="218"/>
      <c r="E3203" s="218"/>
      <c r="F3203" s="218" t="s">
        <v>248</v>
      </c>
      <c r="G3203" s="286" t="s">
        <v>249</v>
      </c>
      <c r="H3203" s="604"/>
      <c r="I3203" s="605"/>
      <c r="J3203" s="605">
        <f t="shared" si="101"/>
        <v>0</v>
      </c>
      <c r="K3203" s="533"/>
      <c r="L3203" s="533"/>
      <c r="M3203" s="533"/>
      <c r="N3203" s="268"/>
      <c r="O3203" s="533"/>
      <c r="P3203" s="533"/>
      <c r="Q3203" s="533"/>
      <c r="R3203" s="533"/>
      <c r="S3203" s="533"/>
      <c r="T3203" s="533"/>
      <c r="U3203" s="533"/>
      <c r="V3203" s="533"/>
      <c r="W3203" s="533"/>
      <c r="X3203" s="533"/>
      <c r="Y3203" s="533"/>
    </row>
    <row r="3204" spans="1:25" s="88" customFormat="1" hidden="1" x14ac:dyDescent="0.25">
      <c r="A3204" s="218"/>
      <c r="B3204" s="218"/>
      <c r="C3204" s="221"/>
      <c r="D3204" s="218"/>
      <c r="E3204" s="218"/>
      <c r="F3204" s="218" t="s">
        <v>250</v>
      </c>
      <c r="G3204" s="286" t="s">
        <v>57</v>
      </c>
      <c r="H3204" s="604"/>
      <c r="I3204" s="605"/>
      <c r="J3204" s="605">
        <f t="shared" si="101"/>
        <v>0</v>
      </c>
      <c r="K3204" s="533"/>
      <c r="L3204" s="533"/>
      <c r="M3204" s="533"/>
      <c r="N3204" s="268"/>
      <c r="O3204" s="533"/>
      <c r="P3204" s="533"/>
      <c r="Q3204" s="533"/>
      <c r="R3204" s="533"/>
      <c r="S3204" s="533"/>
      <c r="T3204" s="533"/>
      <c r="U3204" s="533"/>
      <c r="V3204" s="533"/>
      <c r="W3204" s="533"/>
      <c r="X3204" s="533"/>
      <c r="Y3204" s="533"/>
    </row>
    <row r="3205" spans="1:25" s="88" customFormat="1" hidden="1" x14ac:dyDescent="0.25">
      <c r="A3205" s="218"/>
      <c r="B3205" s="218"/>
      <c r="C3205" s="221"/>
      <c r="D3205" s="218"/>
      <c r="E3205" s="218"/>
      <c r="F3205" s="218" t="s">
        <v>251</v>
      </c>
      <c r="G3205" s="286" t="s">
        <v>252</v>
      </c>
      <c r="H3205" s="604"/>
      <c r="I3205" s="605"/>
      <c r="J3205" s="605">
        <f t="shared" si="101"/>
        <v>0</v>
      </c>
      <c r="K3205" s="533"/>
      <c r="L3205" s="533"/>
      <c r="M3205" s="533"/>
      <c r="N3205" s="268"/>
      <c r="O3205" s="533"/>
      <c r="P3205" s="533"/>
      <c r="Q3205" s="533"/>
      <c r="R3205" s="533"/>
      <c r="S3205" s="533"/>
      <c r="T3205" s="533"/>
      <c r="U3205" s="533"/>
      <c r="V3205" s="533"/>
      <c r="W3205" s="533"/>
      <c r="X3205" s="533"/>
      <c r="Y3205" s="533"/>
    </row>
    <row r="3206" spans="1:25" s="88" customFormat="1" hidden="1" x14ac:dyDescent="0.25">
      <c r="A3206" s="218"/>
      <c r="B3206" s="218"/>
      <c r="C3206" s="221"/>
      <c r="D3206" s="218"/>
      <c r="E3206" s="218"/>
      <c r="F3206" s="218" t="s">
        <v>253</v>
      </c>
      <c r="G3206" s="286" t="s">
        <v>254</v>
      </c>
      <c r="H3206" s="604"/>
      <c r="I3206" s="605"/>
      <c r="J3206" s="605">
        <f t="shared" si="101"/>
        <v>0</v>
      </c>
      <c r="K3206" s="533"/>
      <c r="L3206" s="533"/>
      <c r="M3206" s="533"/>
      <c r="N3206" s="268"/>
      <c r="O3206" s="533"/>
      <c r="P3206" s="533"/>
      <c r="Q3206" s="533"/>
      <c r="R3206" s="533"/>
      <c r="S3206" s="533"/>
      <c r="T3206" s="533"/>
      <c r="U3206" s="533"/>
      <c r="V3206" s="533"/>
      <c r="W3206" s="533"/>
      <c r="X3206" s="533"/>
      <c r="Y3206" s="533"/>
    </row>
    <row r="3207" spans="1:25" s="88" customFormat="1" ht="28.5" hidden="1" x14ac:dyDescent="0.25">
      <c r="A3207" s="218"/>
      <c r="B3207" s="218"/>
      <c r="C3207" s="221"/>
      <c r="D3207" s="218"/>
      <c r="E3207" s="218"/>
      <c r="F3207" s="218" t="s">
        <v>255</v>
      </c>
      <c r="G3207" s="286" t="s">
        <v>256</v>
      </c>
      <c r="H3207" s="604"/>
      <c r="I3207" s="605"/>
      <c r="J3207" s="605">
        <f t="shared" si="101"/>
        <v>0</v>
      </c>
      <c r="K3207" s="533"/>
      <c r="L3207" s="533"/>
      <c r="M3207" s="533"/>
      <c r="N3207" s="268"/>
      <c r="O3207" s="533"/>
      <c r="P3207" s="533"/>
      <c r="Q3207" s="533"/>
      <c r="R3207" s="533"/>
      <c r="S3207" s="533"/>
      <c r="T3207" s="533"/>
      <c r="U3207" s="533"/>
      <c r="V3207" s="533"/>
      <c r="W3207" s="533"/>
      <c r="X3207" s="533"/>
      <c r="Y3207" s="533"/>
    </row>
    <row r="3208" spans="1:25" s="88" customFormat="1" hidden="1" x14ac:dyDescent="0.25">
      <c r="A3208" s="218"/>
      <c r="B3208" s="218"/>
      <c r="C3208" s="221"/>
      <c r="D3208" s="218"/>
      <c r="E3208" s="218"/>
      <c r="F3208" s="218" t="s">
        <v>257</v>
      </c>
      <c r="G3208" s="286" t="s">
        <v>258</v>
      </c>
      <c r="H3208" s="604"/>
      <c r="I3208" s="605"/>
      <c r="J3208" s="605">
        <f t="shared" si="101"/>
        <v>0</v>
      </c>
      <c r="K3208" s="533"/>
      <c r="L3208" s="533"/>
      <c r="M3208" s="533"/>
      <c r="N3208" s="268"/>
      <c r="O3208" s="533"/>
      <c r="P3208" s="533"/>
      <c r="Q3208" s="533"/>
      <c r="R3208" s="533"/>
      <c r="S3208" s="533"/>
      <c r="T3208" s="533"/>
      <c r="U3208" s="533"/>
      <c r="V3208" s="533"/>
      <c r="W3208" s="533"/>
      <c r="X3208" s="533"/>
      <c r="Y3208" s="533"/>
    </row>
    <row r="3209" spans="1:25" s="88" customFormat="1" ht="28.5" hidden="1" x14ac:dyDescent="0.25">
      <c r="A3209" s="218"/>
      <c r="B3209" s="218"/>
      <c r="C3209" s="221"/>
      <c r="D3209" s="218"/>
      <c r="E3209" s="218"/>
      <c r="F3209" s="218" t="s">
        <v>259</v>
      </c>
      <c r="G3209" s="286" t="s">
        <v>260</v>
      </c>
      <c r="H3209" s="604"/>
      <c r="I3209" s="605"/>
      <c r="J3209" s="605">
        <f t="shared" si="101"/>
        <v>0</v>
      </c>
      <c r="K3209" s="533"/>
      <c r="L3209" s="533"/>
      <c r="M3209" s="533"/>
      <c r="N3209" s="268"/>
      <c r="O3209" s="533"/>
      <c r="P3209" s="533"/>
      <c r="Q3209" s="533"/>
      <c r="R3209" s="533"/>
      <c r="S3209" s="533"/>
      <c r="T3209" s="533"/>
      <c r="U3209" s="533"/>
      <c r="V3209" s="533"/>
      <c r="W3209" s="533"/>
      <c r="X3209" s="533"/>
      <c r="Y3209" s="533"/>
    </row>
    <row r="3210" spans="1:25" s="88" customFormat="1" hidden="1" x14ac:dyDescent="0.25">
      <c r="A3210" s="218"/>
      <c r="B3210" s="218"/>
      <c r="C3210" s="221"/>
      <c r="D3210" s="218"/>
      <c r="E3210" s="218"/>
      <c r="F3210" s="218" t="s">
        <v>261</v>
      </c>
      <c r="G3210" s="286" t="s">
        <v>262</v>
      </c>
      <c r="H3210" s="604"/>
      <c r="I3210" s="605"/>
      <c r="J3210" s="605">
        <f t="shared" si="101"/>
        <v>0</v>
      </c>
      <c r="K3210" s="533"/>
      <c r="L3210" s="533"/>
      <c r="M3210" s="533"/>
      <c r="N3210" s="268"/>
      <c r="O3210" s="533"/>
      <c r="P3210" s="533"/>
      <c r="Q3210" s="533"/>
      <c r="R3210" s="533"/>
      <c r="S3210" s="533"/>
      <c r="T3210" s="533"/>
      <c r="U3210" s="533"/>
      <c r="V3210" s="533"/>
      <c r="W3210" s="533"/>
      <c r="X3210" s="533"/>
      <c r="Y3210" s="533"/>
    </row>
    <row r="3211" spans="1:25" s="88" customFormat="1" hidden="1" x14ac:dyDescent="0.25">
      <c r="A3211" s="218"/>
      <c r="B3211" s="218"/>
      <c r="C3211" s="221"/>
      <c r="D3211" s="218"/>
      <c r="E3211" s="218"/>
      <c r="F3211" s="218" t="s">
        <v>263</v>
      </c>
      <c r="G3211" s="286" t="s">
        <v>264</v>
      </c>
      <c r="H3211" s="604"/>
      <c r="I3211" s="605"/>
      <c r="J3211" s="605">
        <f t="shared" si="101"/>
        <v>0</v>
      </c>
      <c r="K3211" s="533"/>
      <c r="L3211" s="533"/>
      <c r="M3211" s="533"/>
      <c r="N3211" s="268"/>
      <c r="O3211" s="533"/>
      <c r="P3211" s="533"/>
      <c r="Q3211" s="533"/>
      <c r="R3211" s="533"/>
      <c r="S3211" s="533"/>
      <c r="T3211" s="533"/>
      <c r="U3211" s="533"/>
      <c r="V3211" s="533"/>
      <c r="W3211" s="533"/>
      <c r="X3211" s="533"/>
      <c r="Y3211" s="533"/>
    </row>
    <row r="3212" spans="1:25" s="88" customFormat="1" ht="15.75" thickBot="1" x14ac:dyDescent="0.3">
      <c r="A3212" s="218"/>
      <c r="B3212" s="218"/>
      <c r="C3212" s="221"/>
      <c r="D3212" s="218"/>
      <c r="E3212" s="218"/>
      <c r="F3212" s="218"/>
      <c r="G3212" s="727" t="s">
        <v>5260</v>
      </c>
      <c r="H3212" s="728">
        <f>SUM(H3196:H3211)</f>
        <v>5000000</v>
      </c>
      <c r="I3212" s="726">
        <f>SUM(I3197:I3211)</f>
        <v>0</v>
      </c>
      <c r="J3212" s="726">
        <f>SUM(J3196:J3211)</f>
        <v>5000000</v>
      </c>
      <c r="K3212" s="533"/>
      <c r="L3212" s="533"/>
      <c r="M3212" s="533"/>
      <c r="N3212" s="268"/>
      <c r="O3212" s="533"/>
      <c r="P3212" s="533"/>
      <c r="Q3212" s="533"/>
      <c r="R3212" s="533"/>
      <c r="S3212" s="533"/>
      <c r="T3212" s="533"/>
      <c r="U3212" s="533"/>
      <c r="V3212" s="533"/>
      <c r="W3212" s="533"/>
      <c r="X3212" s="533"/>
      <c r="Y3212" s="533"/>
    </row>
    <row r="3213" spans="1:25" s="88" customFormat="1" x14ac:dyDescent="0.25">
      <c r="A3213" s="509"/>
      <c r="B3213" s="256"/>
      <c r="C3213" s="221"/>
      <c r="D3213" s="218"/>
      <c r="E3213" s="218"/>
      <c r="F3213" s="218"/>
      <c r="G3213" s="286"/>
      <c r="H3213" s="604"/>
      <c r="I3213" s="605"/>
      <c r="J3213" s="605"/>
      <c r="K3213" s="533"/>
      <c r="L3213" s="533"/>
      <c r="M3213" s="533"/>
      <c r="N3213" s="268"/>
      <c r="O3213" s="533"/>
      <c r="P3213" s="533"/>
      <c r="Q3213" s="533"/>
      <c r="R3213" s="533"/>
      <c r="S3213" s="533"/>
      <c r="T3213" s="533"/>
      <c r="U3213" s="533"/>
      <c r="V3213" s="533"/>
      <c r="W3213" s="533"/>
      <c r="X3213" s="533"/>
      <c r="Y3213" s="533"/>
    </row>
    <row r="3214" spans="1:25" s="88" customFormat="1" ht="28.5" x14ac:dyDescent="0.25">
      <c r="A3214" s="509"/>
      <c r="B3214" s="256"/>
      <c r="C3214" s="323" t="s">
        <v>4669</v>
      </c>
      <c r="D3214" s="285"/>
      <c r="E3214" s="285"/>
      <c r="F3214" s="222"/>
      <c r="G3214" s="286" t="s">
        <v>5261</v>
      </c>
      <c r="H3214" s="594"/>
      <c r="I3214" s="595"/>
      <c r="J3214" s="595"/>
      <c r="K3214" s="533"/>
      <c r="L3214" s="533"/>
      <c r="M3214" s="533"/>
      <c r="N3214" s="268"/>
      <c r="O3214" s="533"/>
      <c r="P3214" s="533"/>
      <c r="Q3214" s="533"/>
      <c r="R3214" s="533"/>
      <c r="S3214" s="533"/>
      <c r="T3214" s="533"/>
      <c r="U3214" s="533"/>
      <c r="V3214" s="533"/>
      <c r="W3214" s="533"/>
      <c r="X3214" s="533"/>
      <c r="Y3214" s="533"/>
    </row>
    <row r="3215" spans="1:25" s="88" customFormat="1" x14ac:dyDescent="0.25">
      <c r="A3215" s="509"/>
      <c r="B3215" s="256"/>
      <c r="C3215" s="228"/>
      <c r="D3215" s="312">
        <v>620</v>
      </c>
      <c r="E3215" s="312"/>
      <c r="F3215" s="312"/>
      <c r="G3215" s="314" t="s">
        <v>182</v>
      </c>
      <c r="H3215" s="594"/>
      <c r="I3215" s="595"/>
      <c r="J3215" s="595"/>
      <c r="K3215" s="533"/>
      <c r="L3215" s="533"/>
      <c r="M3215" s="533"/>
      <c r="N3215" s="268"/>
      <c r="O3215" s="533"/>
      <c r="P3215" s="533"/>
      <c r="Q3215" s="533"/>
      <c r="R3215" s="533"/>
      <c r="S3215" s="533"/>
      <c r="T3215" s="533"/>
      <c r="U3215" s="533"/>
      <c r="V3215" s="533"/>
      <c r="W3215" s="533"/>
      <c r="X3215" s="533"/>
      <c r="Y3215" s="533"/>
    </row>
    <row r="3216" spans="1:25" s="88" customFormat="1" hidden="1" x14ac:dyDescent="0.25">
      <c r="A3216" s="509"/>
      <c r="B3216" s="256"/>
      <c r="C3216" s="221"/>
      <c r="D3216" s="218"/>
      <c r="E3216" s="218"/>
      <c r="F3216" s="527">
        <v>411</v>
      </c>
      <c r="G3216" s="520" t="s">
        <v>4189</v>
      </c>
      <c r="H3216" s="594"/>
      <c r="I3216" s="595"/>
      <c r="J3216" s="595">
        <f>SUM(H3216:I3216)</f>
        <v>0</v>
      </c>
      <c r="K3216" s="533"/>
      <c r="L3216" s="533"/>
      <c r="M3216" s="533"/>
      <c r="N3216" s="268"/>
      <c r="O3216" s="533"/>
      <c r="P3216" s="533"/>
      <c r="Q3216" s="533"/>
      <c r="R3216" s="533"/>
      <c r="S3216" s="533"/>
      <c r="T3216" s="533"/>
      <c r="U3216" s="533"/>
      <c r="V3216" s="533"/>
      <c r="W3216" s="533"/>
      <c r="X3216" s="533"/>
      <c r="Y3216" s="533"/>
    </row>
    <row r="3217" spans="1:25" s="88" customFormat="1" hidden="1" x14ac:dyDescent="0.25">
      <c r="A3217" s="509"/>
      <c r="B3217" s="256"/>
      <c r="C3217" s="221"/>
      <c r="D3217" s="218"/>
      <c r="E3217" s="218"/>
      <c r="F3217" s="527">
        <v>412</v>
      </c>
      <c r="G3217" s="516" t="s">
        <v>3784</v>
      </c>
      <c r="H3217" s="594"/>
      <c r="I3217" s="595"/>
      <c r="J3217" s="595">
        <f t="shared" ref="J3217:J3275" si="102">SUM(H3217:I3217)</f>
        <v>0</v>
      </c>
      <c r="K3217" s="533"/>
      <c r="L3217" s="533"/>
      <c r="M3217" s="533"/>
      <c r="N3217" s="268"/>
      <c r="O3217" s="533"/>
      <c r="P3217" s="533"/>
      <c r="Q3217" s="533"/>
      <c r="R3217" s="533"/>
      <c r="S3217" s="533"/>
      <c r="T3217" s="533"/>
      <c r="U3217" s="533"/>
      <c r="V3217" s="533"/>
      <c r="W3217" s="533"/>
      <c r="X3217" s="533"/>
      <c r="Y3217" s="533"/>
    </row>
    <row r="3218" spans="1:25" s="88" customFormat="1" hidden="1" x14ac:dyDescent="0.25">
      <c r="A3218" s="509"/>
      <c r="B3218" s="256"/>
      <c r="C3218" s="221"/>
      <c r="D3218" s="218"/>
      <c r="E3218" s="218"/>
      <c r="F3218" s="527">
        <v>413</v>
      </c>
      <c r="G3218" s="520" t="s">
        <v>4190</v>
      </c>
      <c r="H3218" s="594"/>
      <c r="I3218" s="595"/>
      <c r="J3218" s="595">
        <f t="shared" si="102"/>
        <v>0</v>
      </c>
      <c r="K3218" s="533"/>
      <c r="L3218" s="533"/>
      <c r="M3218" s="533"/>
      <c r="N3218" s="268"/>
      <c r="O3218" s="533"/>
      <c r="P3218" s="533"/>
      <c r="Q3218" s="533"/>
      <c r="R3218" s="533"/>
      <c r="S3218" s="533"/>
      <c r="T3218" s="533"/>
      <c r="U3218" s="533"/>
      <c r="V3218" s="533"/>
      <c r="W3218" s="533"/>
      <c r="X3218" s="533"/>
      <c r="Y3218" s="533"/>
    </row>
    <row r="3219" spans="1:25" s="88" customFormat="1" hidden="1" x14ac:dyDescent="0.25">
      <c r="A3219" s="509"/>
      <c r="B3219" s="256"/>
      <c r="C3219" s="221"/>
      <c r="D3219" s="218"/>
      <c r="E3219" s="218"/>
      <c r="F3219" s="527">
        <v>414</v>
      </c>
      <c r="G3219" s="520" t="s">
        <v>3787</v>
      </c>
      <c r="H3219" s="594"/>
      <c r="I3219" s="595"/>
      <c r="J3219" s="595">
        <f t="shared" si="102"/>
        <v>0</v>
      </c>
      <c r="K3219" s="533"/>
      <c r="L3219" s="533"/>
      <c r="M3219" s="533"/>
      <c r="N3219" s="268"/>
      <c r="O3219" s="533"/>
      <c r="P3219" s="533"/>
      <c r="Q3219" s="533"/>
      <c r="R3219" s="533"/>
      <c r="S3219" s="533"/>
      <c r="T3219" s="533"/>
      <c r="U3219" s="533"/>
      <c r="V3219" s="533"/>
      <c r="W3219" s="533"/>
      <c r="X3219" s="533"/>
      <c r="Y3219" s="533"/>
    </row>
    <row r="3220" spans="1:25" s="88" customFormat="1" hidden="1" x14ac:dyDescent="0.25">
      <c r="A3220" s="509"/>
      <c r="B3220" s="256"/>
      <c r="C3220" s="221"/>
      <c r="D3220" s="218"/>
      <c r="E3220" s="218"/>
      <c r="F3220" s="527">
        <v>415</v>
      </c>
      <c r="G3220" s="520" t="s">
        <v>4199</v>
      </c>
      <c r="H3220" s="594"/>
      <c r="I3220" s="595"/>
      <c r="J3220" s="595">
        <f t="shared" si="102"/>
        <v>0</v>
      </c>
      <c r="K3220" s="533"/>
      <c r="L3220" s="533"/>
      <c r="M3220" s="533"/>
      <c r="N3220" s="268"/>
      <c r="O3220" s="533"/>
      <c r="P3220" s="533"/>
      <c r="Q3220" s="533"/>
      <c r="R3220" s="533"/>
      <c r="S3220" s="533"/>
      <c r="T3220" s="533"/>
      <c r="U3220" s="533"/>
      <c r="V3220" s="533"/>
      <c r="W3220" s="533"/>
      <c r="X3220" s="533"/>
      <c r="Y3220" s="533"/>
    </row>
    <row r="3221" spans="1:25" s="88" customFormat="1" hidden="1" x14ac:dyDescent="0.25">
      <c r="A3221" s="509"/>
      <c r="B3221" s="256"/>
      <c r="C3221" s="221"/>
      <c r="D3221" s="218"/>
      <c r="E3221" s="218"/>
      <c r="F3221" s="527">
        <v>416</v>
      </c>
      <c r="G3221" s="520" t="s">
        <v>4200</v>
      </c>
      <c r="H3221" s="594"/>
      <c r="I3221" s="595"/>
      <c r="J3221" s="595">
        <f t="shared" si="102"/>
        <v>0</v>
      </c>
      <c r="K3221" s="533"/>
      <c r="L3221" s="533"/>
      <c r="M3221" s="533"/>
      <c r="N3221" s="268"/>
      <c r="O3221" s="533"/>
      <c r="P3221" s="533"/>
      <c r="Q3221" s="533"/>
      <c r="R3221" s="533"/>
      <c r="S3221" s="533"/>
      <c r="T3221" s="533"/>
      <c r="U3221" s="533"/>
      <c r="V3221" s="533"/>
      <c r="W3221" s="533"/>
      <c r="X3221" s="533"/>
      <c r="Y3221" s="533"/>
    </row>
    <row r="3222" spans="1:25" s="88" customFormat="1" hidden="1" x14ac:dyDescent="0.25">
      <c r="A3222" s="509"/>
      <c r="B3222" s="256"/>
      <c r="C3222" s="221"/>
      <c r="D3222" s="218"/>
      <c r="E3222" s="218"/>
      <c r="F3222" s="527">
        <v>417</v>
      </c>
      <c r="G3222" s="520" t="s">
        <v>4201</v>
      </c>
      <c r="H3222" s="594"/>
      <c r="I3222" s="595"/>
      <c r="J3222" s="595">
        <f t="shared" si="102"/>
        <v>0</v>
      </c>
      <c r="K3222" s="533"/>
      <c r="L3222" s="533"/>
      <c r="M3222" s="533"/>
      <c r="N3222" s="268"/>
      <c r="O3222" s="533"/>
      <c r="P3222" s="533"/>
      <c r="Q3222" s="533"/>
      <c r="R3222" s="533"/>
      <c r="S3222" s="533"/>
      <c r="T3222" s="533"/>
      <c r="U3222" s="533"/>
      <c r="V3222" s="533"/>
      <c r="W3222" s="533"/>
      <c r="X3222" s="533"/>
      <c r="Y3222" s="533"/>
    </row>
    <row r="3223" spans="1:25" s="88" customFormat="1" hidden="1" x14ac:dyDescent="0.25">
      <c r="A3223" s="509"/>
      <c r="B3223" s="256"/>
      <c r="C3223" s="221"/>
      <c r="D3223" s="218"/>
      <c r="E3223" s="218"/>
      <c r="F3223" s="527">
        <v>418</v>
      </c>
      <c r="G3223" s="520" t="s">
        <v>3793</v>
      </c>
      <c r="H3223" s="594"/>
      <c r="I3223" s="595"/>
      <c r="J3223" s="595">
        <f t="shared" si="102"/>
        <v>0</v>
      </c>
      <c r="K3223" s="533"/>
      <c r="L3223" s="533"/>
      <c r="M3223" s="533"/>
      <c r="N3223" s="268"/>
      <c r="O3223" s="533"/>
      <c r="P3223" s="533"/>
      <c r="Q3223" s="533"/>
      <c r="R3223" s="533"/>
      <c r="S3223" s="533"/>
      <c r="T3223" s="533"/>
      <c r="U3223" s="533"/>
      <c r="V3223" s="533"/>
      <c r="W3223" s="533"/>
      <c r="X3223" s="533"/>
      <c r="Y3223" s="533"/>
    </row>
    <row r="3224" spans="1:25" s="88" customFormat="1" hidden="1" x14ac:dyDescent="0.25">
      <c r="A3224" s="509"/>
      <c r="B3224" s="256"/>
      <c r="C3224" s="221"/>
      <c r="D3224" s="218"/>
      <c r="E3224" s="218"/>
      <c r="F3224" s="527">
        <v>421</v>
      </c>
      <c r="G3224" s="520" t="s">
        <v>3797</v>
      </c>
      <c r="H3224" s="594"/>
      <c r="I3224" s="595"/>
      <c r="J3224" s="595">
        <f t="shared" si="102"/>
        <v>0</v>
      </c>
      <c r="K3224" s="533"/>
      <c r="L3224" s="533"/>
      <c r="M3224" s="533"/>
      <c r="N3224" s="268"/>
      <c r="O3224" s="533"/>
      <c r="P3224" s="533"/>
      <c r="Q3224" s="533"/>
      <c r="R3224" s="533"/>
      <c r="S3224" s="533"/>
      <c r="T3224" s="533"/>
      <c r="U3224" s="533"/>
      <c r="V3224" s="533"/>
      <c r="W3224" s="533"/>
      <c r="X3224" s="533"/>
      <c r="Y3224" s="533"/>
    </row>
    <row r="3225" spans="1:25" s="88" customFormat="1" hidden="1" x14ac:dyDescent="0.25">
      <c r="A3225" s="509"/>
      <c r="B3225" s="256"/>
      <c r="C3225" s="221"/>
      <c r="D3225" s="218"/>
      <c r="E3225" s="218"/>
      <c r="F3225" s="527">
        <v>422</v>
      </c>
      <c r="G3225" s="520" t="s">
        <v>3798</v>
      </c>
      <c r="H3225" s="594"/>
      <c r="I3225" s="595"/>
      <c r="J3225" s="595">
        <f t="shared" si="102"/>
        <v>0</v>
      </c>
      <c r="K3225" s="533"/>
      <c r="L3225" s="533"/>
      <c r="M3225" s="533"/>
      <c r="N3225" s="268"/>
      <c r="O3225" s="533"/>
      <c r="P3225" s="533"/>
      <c r="Q3225" s="533"/>
      <c r="R3225" s="533"/>
      <c r="S3225" s="533"/>
      <c r="T3225" s="533"/>
      <c r="U3225" s="533"/>
      <c r="V3225" s="533"/>
      <c r="W3225" s="533"/>
      <c r="X3225" s="533"/>
      <c r="Y3225" s="533"/>
    </row>
    <row r="3226" spans="1:25" s="88" customFormat="1" hidden="1" x14ac:dyDescent="0.25">
      <c r="A3226" s="509"/>
      <c r="B3226" s="256"/>
      <c r="C3226" s="221"/>
      <c r="D3226" s="218"/>
      <c r="E3226" s="218"/>
      <c r="F3226" s="527">
        <v>423</v>
      </c>
      <c r="G3226" s="520" t="s">
        <v>3799</v>
      </c>
      <c r="H3226" s="594"/>
      <c r="I3226" s="595"/>
      <c r="J3226" s="595">
        <f t="shared" si="102"/>
        <v>0</v>
      </c>
      <c r="K3226" s="533"/>
      <c r="L3226" s="533"/>
      <c r="M3226" s="533"/>
      <c r="N3226" s="268"/>
      <c r="O3226" s="533"/>
      <c r="P3226" s="533"/>
      <c r="Q3226" s="533"/>
      <c r="R3226" s="533"/>
      <c r="S3226" s="533"/>
      <c r="T3226" s="533"/>
      <c r="U3226" s="533"/>
      <c r="V3226" s="533"/>
      <c r="W3226" s="533"/>
      <c r="X3226" s="533"/>
      <c r="Y3226" s="533"/>
    </row>
    <row r="3227" spans="1:25" s="88" customFormat="1" hidden="1" x14ac:dyDescent="0.25">
      <c r="A3227" s="509"/>
      <c r="B3227" s="256"/>
      <c r="C3227" s="221"/>
      <c r="D3227" s="218"/>
      <c r="E3227" s="218"/>
      <c r="F3227" s="527">
        <v>424</v>
      </c>
      <c r="G3227" s="520" t="s">
        <v>3801</v>
      </c>
      <c r="H3227" s="594"/>
      <c r="I3227" s="595"/>
      <c r="J3227" s="595">
        <f t="shared" si="102"/>
        <v>0</v>
      </c>
      <c r="K3227" s="533"/>
      <c r="L3227" s="533"/>
      <c r="M3227" s="533"/>
      <c r="N3227" s="268"/>
      <c r="O3227" s="533"/>
      <c r="P3227" s="533"/>
      <c r="Q3227" s="533"/>
      <c r="R3227" s="533"/>
      <c r="S3227" s="533"/>
      <c r="T3227" s="533"/>
      <c r="U3227" s="533"/>
      <c r="V3227" s="533"/>
      <c r="W3227" s="533"/>
      <c r="X3227" s="533"/>
      <c r="Y3227" s="533"/>
    </row>
    <row r="3228" spans="1:25" s="88" customFormat="1" hidden="1" x14ac:dyDescent="0.25">
      <c r="A3228" s="509"/>
      <c r="B3228" s="256"/>
      <c r="C3228" s="221"/>
      <c r="D3228" s="218"/>
      <c r="E3228" s="218"/>
      <c r="F3228" s="527">
        <v>425</v>
      </c>
      <c r="G3228" s="520" t="s">
        <v>4202</v>
      </c>
      <c r="H3228" s="594"/>
      <c r="I3228" s="595"/>
      <c r="J3228" s="595">
        <f t="shared" si="102"/>
        <v>0</v>
      </c>
      <c r="K3228" s="533"/>
      <c r="L3228" s="533"/>
      <c r="M3228" s="533"/>
      <c r="N3228" s="268"/>
      <c r="O3228" s="533"/>
      <c r="P3228" s="533"/>
      <c r="Q3228" s="533"/>
      <c r="R3228" s="533"/>
      <c r="S3228" s="533"/>
      <c r="T3228" s="533"/>
      <c r="U3228" s="533"/>
      <c r="V3228" s="533"/>
      <c r="W3228" s="533"/>
      <c r="X3228" s="533"/>
      <c r="Y3228" s="533"/>
    </row>
    <row r="3229" spans="1:25" s="88" customFormat="1" hidden="1" x14ac:dyDescent="0.25">
      <c r="A3229" s="509"/>
      <c r="B3229" s="256"/>
      <c r="C3229" s="221"/>
      <c r="D3229" s="218"/>
      <c r="E3229" s="218"/>
      <c r="F3229" s="527">
        <v>426</v>
      </c>
      <c r="G3229" s="520" t="s">
        <v>3805</v>
      </c>
      <c r="H3229" s="594"/>
      <c r="I3229" s="595"/>
      <c r="J3229" s="595">
        <f t="shared" si="102"/>
        <v>0</v>
      </c>
      <c r="K3229" s="533"/>
      <c r="L3229" s="533"/>
      <c r="M3229" s="533"/>
      <c r="N3229" s="268"/>
      <c r="O3229" s="533"/>
      <c r="P3229" s="533"/>
      <c r="Q3229" s="533"/>
      <c r="R3229" s="533"/>
      <c r="S3229" s="533"/>
      <c r="T3229" s="533"/>
      <c r="U3229" s="533"/>
      <c r="V3229" s="533"/>
      <c r="W3229" s="533"/>
      <c r="X3229" s="533"/>
      <c r="Y3229" s="533"/>
    </row>
    <row r="3230" spans="1:25" s="88" customFormat="1" hidden="1" x14ac:dyDescent="0.25">
      <c r="A3230" s="509"/>
      <c r="B3230" s="256"/>
      <c r="C3230" s="221"/>
      <c r="D3230" s="218"/>
      <c r="E3230" s="218"/>
      <c r="F3230" s="527">
        <v>431</v>
      </c>
      <c r="G3230" s="520" t="s">
        <v>4203</v>
      </c>
      <c r="H3230" s="594"/>
      <c r="I3230" s="595"/>
      <c r="J3230" s="595">
        <f t="shared" si="102"/>
        <v>0</v>
      </c>
      <c r="K3230" s="533"/>
      <c r="L3230" s="533"/>
      <c r="M3230" s="533"/>
      <c r="N3230" s="268"/>
      <c r="O3230" s="533"/>
      <c r="P3230" s="533"/>
      <c r="Q3230" s="533"/>
      <c r="R3230" s="533"/>
      <c r="S3230" s="533"/>
      <c r="T3230" s="533"/>
      <c r="U3230" s="533"/>
      <c r="V3230" s="533"/>
      <c r="W3230" s="533"/>
      <c r="X3230" s="533"/>
      <c r="Y3230" s="533"/>
    </row>
    <row r="3231" spans="1:25" s="88" customFormat="1" hidden="1" x14ac:dyDescent="0.25">
      <c r="A3231" s="509"/>
      <c r="B3231" s="256"/>
      <c r="C3231" s="221"/>
      <c r="D3231" s="218"/>
      <c r="E3231" s="218"/>
      <c r="F3231" s="527">
        <v>432</v>
      </c>
      <c r="G3231" s="520" t="s">
        <v>4204</v>
      </c>
      <c r="H3231" s="594"/>
      <c r="I3231" s="595"/>
      <c r="J3231" s="595">
        <f t="shared" si="102"/>
        <v>0</v>
      </c>
      <c r="K3231" s="533"/>
      <c r="L3231" s="533"/>
      <c r="M3231" s="533"/>
      <c r="N3231" s="268"/>
      <c r="O3231" s="533"/>
      <c r="P3231" s="533"/>
      <c r="Q3231" s="533"/>
      <c r="R3231" s="533"/>
      <c r="S3231" s="533"/>
      <c r="T3231" s="533"/>
      <c r="U3231" s="533"/>
      <c r="V3231" s="533"/>
      <c r="W3231" s="533"/>
      <c r="X3231" s="533"/>
      <c r="Y3231" s="533"/>
    </row>
    <row r="3232" spans="1:25" s="88" customFormat="1" hidden="1" x14ac:dyDescent="0.25">
      <c r="A3232" s="509"/>
      <c r="B3232" s="256"/>
      <c r="C3232" s="221"/>
      <c r="D3232" s="218"/>
      <c r="E3232" s="218"/>
      <c r="F3232" s="527">
        <v>433</v>
      </c>
      <c r="G3232" s="520" t="s">
        <v>4205</v>
      </c>
      <c r="H3232" s="594"/>
      <c r="I3232" s="595"/>
      <c r="J3232" s="595">
        <f t="shared" si="102"/>
        <v>0</v>
      </c>
      <c r="K3232" s="533"/>
      <c r="L3232" s="533"/>
      <c r="M3232" s="533"/>
      <c r="N3232" s="268"/>
      <c r="O3232" s="533"/>
      <c r="P3232" s="533"/>
      <c r="Q3232" s="533"/>
      <c r="R3232" s="533"/>
      <c r="S3232" s="533"/>
      <c r="T3232" s="533"/>
      <c r="U3232" s="533"/>
      <c r="V3232" s="533"/>
      <c r="W3232" s="533"/>
      <c r="X3232" s="533"/>
      <c r="Y3232" s="533"/>
    </row>
    <row r="3233" spans="1:25" s="88" customFormat="1" hidden="1" x14ac:dyDescent="0.25">
      <c r="A3233" s="509"/>
      <c r="B3233" s="256"/>
      <c r="C3233" s="221"/>
      <c r="D3233" s="218"/>
      <c r="E3233" s="218"/>
      <c r="F3233" s="527">
        <v>434</v>
      </c>
      <c r="G3233" s="520" t="s">
        <v>4206</v>
      </c>
      <c r="H3233" s="594"/>
      <c r="I3233" s="595"/>
      <c r="J3233" s="595">
        <f t="shared" si="102"/>
        <v>0</v>
      </c>
      <c r="K3233" s="533"/>
      <c r="L3233" s="533"/>
      <c r="M3233" s="533"/>
      <c r="N3233" s="268"/>
      <c r="O3233" s="533"/>
      <c r="P3233" s="533"/>
      <c r="Q3233" s="533"/>
      <c r="R3233" s="533"/>
      <c r="S3233" s="533"/>
      <c r="T3233" s="533"/>
      <c r="U3233" s="533"/>
      <c r="V3233" s="533"/>
      <c r="W3233" s="533"/>
      <c r="X3233" s="533"/>
      <c r="Y3233" s="533"/>
    </row>
    <row r="3234" spans="1:25" s="88" customFormat="1" hidden="1" x14ac:dyDescent="0.25">
      <c r="A3234" s="509"/>
      <c r="B3234" s="256"/>
      <c r="C3234" s="221"/>
      <c r="D3234" s="218"/>
      <c r="E3234" s="218"/>
      <c r="F3234" s="527">
        <v>435</v>
      </c>
      <c r="G3234" s="520" t="s">
        <v>3812</v>
      </c>
      <c r="H3234" s="594"/>
      <c r="I3234" s="595"/>
      <c r="J3234" s="595">
        <f t="shared" si="102"/>
        <v>0</v>
      </c>
      <c r="K3234" s="533"/>
      <c r="L3234" s="533"/>
      <c r="M3234" s="533"/>
      <c r="N3234" s="268"/>
      <c r="O3234" s="533"/>
      <c r="P3234" s="533"/>
      <c r="Q3234" s="533"/>
      <c r="R3234" s="533"/>
      <c r="S3234" s="533"/>
      <c r="T3234" s="533"/>
      <c r="U3234" s="533"/>
      <c r="V3234" s="533"/>
      <c r="W3234" s="533"/>
      <c r="X3234" s="533"/>
      <c r="Y3234" s="533"/>
    </row>
    <row r="3235" spans="1:25" s="88" customFormat="1" hidden="1" x14ac:dyDescent="0.25">
      <c r="A3235" s="509"/>
      <c r="B3235" s="256"/>
      <c r="C3235" s="221"/>
      <c r="D3235" s="218"/>
      <c r="E3235" s="218"/>
      <c r="F3235" s="527">
        <v>441</v>
      </c>
      <c r="G3235" s="520" t="s">
        <v>4207</v>
      </c>
      <c r="H3235" s="594"/>
      <c r="I3235" s="595"/>
      <c r="J3235" s="595">
        <f t="shared" si="102"/>
        <v>0</v>
      </c>
      <c r="K3235" s="533"/>
      <c r="L3235" s="533"/>
      <c r="M3235" s="533"/>
      <c r="N3235" s="268"/>
      <c r="O3235" s="533"/>
      <c r="P3235" s="533"/>
      <c r="Q3235" s="533"/>
      <c r="R3235" s="533"/>
      <c r="S3235" s="533"/>
      <c r="T3235" s="533"/>
      <c r="U3235" s="533"/>
      <c r="V3235" s="533"/>
      <c r="W3235" s="533"/>
      <c r="X3235" s="533"/>
      <c r="Y3235" s="533"/>
    </row>
    <row r="3236" spans="1:25" s="88" customFormat="1" hidden="1" x14ac:dyDescent="0.25">
      <c r="A3236" s="509"/>
      <c r="B3236" s="256"/>
      <c r="C3236" s="221"/>
      <c r="D3236" s="218"/>
      <c r="E3236" s="218"/>
      <c r="F3236" s="527">
        <v>442</v>
      </c>
      <c r="G3236" s="520" t="s">
        <v>4208</v>
      </c>
      <c r="H3236" s="594"/>
      <c r="I3236" s="595"/>
      <c r="J3236" s="595">
        <f t="shared" si="102"/>
        <v>0</v>
      </c>
      <c r="K3236" s="533"/>
      <c r="L3236" s="533"/>
      <c r="M3236" s="533"/>
      <c r="N3236" s="268"/>
      <c r="O3236" s="533"/>
      <c r="P3236" s="533"/>
      <c r="Q3236" s="533"/>
      <c r="R3236" s="533"/>
      <c r="S3236" s="533"/>
      <c r="T3236" s="533"/>
      <c r="U3236" s="533"/>
      <c r="V3236" s="533"/>
      <c r="W3236" s="533"/>
      <c r="X3236" s="533"/>
      <c r="Y3236" s="533"/>
    </row>
    <row r="3237" spans="1:25" s="88" customFormat="1" hidden="1" x14ac:dyDescent="0.25">
      <c r="A3237" s="509"/>
      <c r="B3237" s="256"/>
      <c r="C3237" s="221"/>
      <c r="D3237" s="218"/>
      <c r="E3237" s="218"/>
      <c r="F3237" s="527">
        <v>443</v>
      </c>
      <c r="G3237" s="520" t="s">
        <v>3817</v>
      </c>
      <c r="H3237" s="594"/>
      <c r="I3237" s="595"/>
      <c r="J3237" s="595">
        <f t="shared" si="102"/>
        <v>0</v>
      </c>
      <c r="K3237" s="533"/>
      <c r="L3237" s="533"/>
      <c r="M3237" s="533"/>
      <c r="N3237" s="268"/>
      <c r="O3237" s="533"/>
      <c r="P3237" s="533"/>
      <c r="Q3237" s="533"/>
      <c r="R3237" s="533"/>
      <c r="S3237" s="533"/>
      <c r="T3237" s="533"/>
      <c r="U3237" s="533"/>
      <c r="V3237" s="533"/>
      <c r="W3237" s="533"/>
      <c r="X3237" s="533"/>
      <c r="Y3237" s="533"/>
    </row>
    <row r="3238" spans="1:25" s="88" customFormat="1" hidden="1" x14ac:dyDescent="0.25">
      <c r="A3238" s="509"/>
      <c r="B3238" s="256"/>
      <c r="C3238" s="221"/>
      <c r="D3238" s="218"/>
      <c r="E3238" s="218"/>
      <c r="F3238" s="527">
        <v>444</v>
      </c>
      <c r="G3238" s="520" t="s">
        <v>3818</v>
      </c>
      <c r="H3238" s="594"/>
      <c r="I3238" s="595"/>
      <c r="J3238" s="595">
        <f t="shared" si="102"/>
        <v>0</v>
      </c>
      <c r="K3238" s="533"/>
      <c r="L3238" s="533"/>
      <c r="M3238" s="533"/>
      <c r="N3238" s="268"/>
      <c r="O3238" s="533"/>
      <c r="P3238" s="533"/>
      <c r="Q3238" s="533"/>
      <c r="R3238" s="533"/>
      <c r="S3238" s="533"/>
      <c r="T3238" s="533"/>
      <c r="U3238" s="533"/>
      <c r="V3238" s="533"/>
      <c r="W3238" s="533"/>
      <c r="X3238" s="533"/>
      <c r="Y3238" s="533"/>
    </row>
    <row r="3239" spans="1:25" s="88" customFormat="1" ht="30" hidden="1" x14ac:dyDescent="0.25">
      <c r="A3239" s="509"/>
      <c r="B3239" s="256"/>
      <c r="C3239" s="221"/>
      <c r="D3239" s="218"/>
      <c r="E3239" s="218"/>
      <c r="F3239" s="527">
        <v>4511</v>
      </c>
      <c r="G3239" s="223" t="s">
        <v>1692</v>
      </c>
      <c r="H3239" s="594"/>
      <c r="I3239" s="595"/>
      <c r="J3239" s="595">
        <f t="shared" si="102"/>
        <v>0</v>
      </c>
      <c r="K3239" s="533"/>
      <c r="L3239" s="533"/>
      <c r="M3239" s="533"/>
      <c r="N3239" s="268"/>
      <c r="O3239" s="533"/>
      <c r="P3239" s="533"/>
      <c r="Q3239" s="533"/>
      <c r="R3239" s="533"/>
      <c r="S3239" s="533"/>
      <c r="T3239" s="533"/>
      <c r="U3239" s="533"/>
      <c r="V3239" s="533"/>
      <c r="W3239" s="533"/>
      <c r="X3239" s="533"/>
      <c r="Y3239" s="533"/>
    </row>
    <row r="3240" spans="1:25" s="88" customFormat="1" ht="30" hidden="1" x14ac:dyDescent="0.25">
      <c r="A3240" s="509"/>
      <c r="B3240" s="256"/>
      <c r="C3240" s="221"/>
      <c r="D3240" s="218"/>
      <c r="E3240" s="218"/>
      <c r="F3240" s="527">
        <v>4512</v>
      </c>
      <c r="G3240" s="223" t="s">
        <v>1701</v>
      </c>
      <c r="H3240" s="594"/>
      <c r="I3240" s="595"/>
      <c r="J3240" s="595">
        <f t="shared" si="102"/>
        <v>0</v>
      </c>
      <c r="K3240" s="533"/>
      <c r="L3240" s="533"/>
      <c r="M3240" s="533"/>
      <c r="N3240" s="268"/>
      <c r="O3240" s="533"/>
      <c r="P3240" s="533"/>
      <c r="Q3240" s="533"/>
      <c r="R3240" s="533"/>
      <c r="S3240" s="533"/>
      <c r="T3240" s="533"/>
      <c r="U3240" s="533"/>
      <c r="V3240" s="533"/>
      <c r="W3240" s="533"/>
      <c r="X3240" s="533"/>
      <c r="Y3240" s="533"/>
    </row>
    <row r="3241" spans="1:25" s="88" customFormat="1" hidden="1" x14ac:dyDescent="0.25">
      <c r="A3241" s="509"/>
      <c r="B3241" s="256"/>
      <c r="C3241" s="221"/>
      <c r="D3241" s="218"/>
      <c r="E3241" s="218"/>
      <c r="F3241" s="527">
        <v>452</v>
      </c>
      <c r="G3241" s="520" t="s">
        <v>4209</v>
      </c>
      <c r="H3241" s="594"/>
      <c r="I3241" s="595"/>
      <c r="J3241" s="595">
        <f t="shared" si="102"/>
        <v>0</v>
      </c>
      <c r="K3241" s="533"/>
      <c r="L3241" s="533"/>
      <c r="M3241" s="533"/>
      <c r="N3241" s="268"/>
      <c r="O3241" s="533"/>
      <c r="P3241" s="533"/>
      <c r="Q3241" s="533"/>
      <c r="R3241" s="533"/>
      <c r="S3241" s="533"/>
      <c r="T3241" s="533"/>
      <c r="U3241" s="533"/>
      <c r="V3241" s="533"/>
      <c r="W3241" s="533"/>
      <c r="X3241" s="533"/>
      <c r="Y3241" s="533"/>
    </row>
    <row r="3242" spans="1:25" s="88" customFormat="1" hidden="1" x14ac:dyDescent="0.25">
      <c r="A3242" s="509"/>
      <c r="B3242" s="256"/>
      <c r="C3242" s="221"/>
      <c r="D3242" s="218"/>
      <c r="E3242" s="218"/>
      <c r="F3242" s="527">
        <v>453</v>
      </c>
      <c r="G3242" s="520" t="s">
        <v>4210</v>
      </c>
      <c r="H3242" s="594"/>
      <c r="I3242" s="595"/>
      <c r="J3242" s="595">
        <f t="shared" si="102"/>
        <v>0</v>
      </c>
      <c r="K3242" s="533"/>
      <c r="L3242" s="533"/>
      <c r="M3242" s="533"/>
      <c r="N3242" s="268"/>
      <c r="O3242" s="533"/>
      <c r="P3242" s="533"/>
      <c r="Q3242" s="533"/>
      <c r="R3242" s="533"/>
      <c r="S3242" s="533"/>
      <c r="T3242" s="533"/>
      <c r="U3242" s="533"/>
      <c r="V3242" s="533"/>
      <c r="W3242" s="533"/>
      <c r="X3242" s="533"/>
      <c r="Y3242" s="533"/>
    </row>
    <row r="3243" spans="1:25" s="88" customFormat="1" hidden="1" x14ac:dyDescent="0.25">
      <c r="A3243" s="509"/>
      <c r="B3243" s="256"/>
      <c r="C3243" s="221"/>
      <c r="D3243" s="218"/>
      <c r="E3243" s="218"/>
      <c r="F3243" s="527">
        <v>454</v>
      </c>
      <c r="G3243" s="520" t="s">
        <v>3823</v>
      </c>
      <c r="H3243" s="594"/>
      <c r="I3243" s="595"/>
      <c r="J3243" s="595">
        <f t="shared" si="102"/>
        <v>0</v>
      </c>
      <c r="K3243" s="533"/>
      <c r="L3243" s="533"/>
      <c r="M3243" s="533"/>
      <c r="N3243" s="268"/>
      <c r="O3243" s="533"/>
      <c r="P3243" s="533"/>
      <c r="Q3243" s="533"/>
      <c r="R3243" s="533"/>
      <c r="S3243" s="533"/>
      <c r="T3243" s="533"/>
      <c r="U3243" s="533"/>
      <c r="V3243" s="533"/>
      <c r="W3243" s="533"/>
      <c r="X3243" s="533"/>
      <c r="Y3243" s="533"/>
    </row>
    <row r="3244" spans="1:25" s="88" customFormat="1" hidden="1" x14ac:dyDescent="0.25">
      <c r="A3244" s="509"/>
      <c r="B3244" s="256"/>
      <c r="C3244" s="221"/>
      <c r="D3244" s="218"/>
      <c r="E3244" s="218"/>
      <c r="F3244" s="527">
        <v>461</v>
      </c>
      <c r="G3244" s="520" t="s">
        <v>4191</v>
      </c>
      <c r="H3244" s="594"/>
      <c r="I3244" s="595"/>
      <c r="J3244" s="595">
        <f t="shared" si="102"/>
        <v>0</v>
      </c>
      <c r="K3244" s="533"/>
      <c r="L3244" s="533"/>
      <c r="M3244" s="533"/>
      <c r="N3244" s="268"/>
      <c r="O3244" s="533"/>
      <c r="P3244" s="533"/>
      <c r="Q3244" s="533"/>
      <c r="R3244" s="533"/>
      <c r="S3244" s="533"/>
      <c r="T3244" s="533"/>
      <c r="U3244" s="533"/>
      <c r="V3244" s="533"/>
      <c r="W3244" s="533"/>
      <c r="X3244" s="533"/>
      <c r="Y3244" s="533"/>
    </row>
    <row r="3245" spans="1:25" s="88" customFormat="1" hidden="1" x14ac:dyDescent="0.25">
      <c r="A3245" s="509"/>
      <c r="B3245" s="256"/>
      <c r="C3245" s="221"/>
      <c r="D3245" s="218"/>
      <c r="E3245" s="218"/>
      <c r="F3245" s="527">
        <v>462</v>
      </c>
      <c r="G3245" s="520" t="s">
        <v>3826</v>
      </c>
      <c r="H3245" s="594"/>
      <c r="I3245" s="595"/>
      <c r="J3245" s="595">
        <f t="shared" si="102"/>
        <v>0</v>
      </c>
      <c r="K3245" s="533"/>
      <c r="L3245" s="533"/>
      <c r="M3245" s="533"/>
      <c r="N3245" s="268"/>
      <c r="O3245" s="533"/>
      <c r="P3245" s="533"/>
      <c r="Q3245" s="533"/>
      <c r="R3245" s="533"/>
      <c r="S3245" s="533"/>
      <c r="T3245" s="533"/>
      <c r="U3245" s="533"/>
      <c r="V3245" s="533"/>
      <c r="W3245" s="533"/>
      <c r="X3245" s="533"/>
      <c r="Y3245" s="533"/>
    </row>
    <row r="3246" spans="1:25" s="88" customFormat="1" hidden="1" x14ac:dyDescent="0.25">
      <c r="A3246" s="509"/>
      <c r="B3246" s="256"/>
      <c r="C3246" s="221"/>
      <c r="D3246" s="218"/>
      <c r="E3246" s="218"/>
      <c r="F3246" s="527">
        <v>4631</v>
      </c>
      <c r="G3246" s="520" t="s">
        <v>3827</v>
      </c>
      <c r="H3246" s="594"/>
      <c r="I3246" s="595"/>
      <c r="J3246" s="595">
        <f t="shared" si="102"/>
        <v>0</v>
      </c>
      <c r="K3246" s="533"/>
      <c r="L3246" s="533"/>
      <c r="M3246" s="533"/>
      <c r="N3246" s="268"/>
      <c r="O3246" s="533"/>
      <c r="P3246" s="533"/>
      <c r="Q3246" s="533"/>
      <c r="R3246" s="533"/>
      <c r="S3246" s="533"/>
      <c r="T3246" s="533"/>
      <c r="U3246" s="533"/>
      <c r="V3246" s="533"/>
      <c r="W3246" s="533"/>
      <c r="X3246" s="533"/>
      <c r="Y3246" s="533"/>
    </row>
    <row r="3247" spans="1:25" s="88" customFormat="1" hidden="1" x14ac:dyDescent="0.25">
      <c r="A3247" s="509"/>
      <c r="B3247" s="256"/>
      <c r="C3247" s="221"/>
      <c r="D3247" s="218"/>
      <c r="E3247" s="218"/>
      <c r="F3247" s="527">
        <v>4632</v>
      </c>
      <c r="G3247" s="520" t="s">
        <v>3828</v>
      </c>
      <c r="H3247" s="594"/>
      <c r="I3247" s="595"/>
      <c r="J3247" s="595">
        <f t="shared" si="102"/>
        <v>0</v>
      </c>
      <c r="K3247" s="533"/>
      <c r="L3247" s="533"/>
      <c r="M3247" s="533"/>
      <c r="N3247" s="268"/>
      <c r="O3247" s="533"/>
      <c r="P3247" s="533"/>
      <c r="Q3247" s="533"/>
      <c r="R3247" s="533"/>
      <c r="S3247" s="533"/>
      <c r="T3247" s="533"/>
      <c r="U3247" s="533"/>
      <c r="V3247" s="533"/>
      <c r="W3247" s="533"/>
      <c r="X3247" s="533"/>
      <c r="Y3247" s="533"/>
    </row>
    <row r="3248" spans="1:25" s="88" customFormat="1" hidden="1" x14ac:dyDescent="0.25">
      <c r="A3248" s="509"/>
      <c r="B3248" s="256"/>
      <c r="C3248" s="221"/>
      <c r="D3248" s="218"/>
      <c r="E3248" s="218"/>
      <c r="F3248" s="527">
        <v>464</v>
      </c>
      <c r="G3248" s="520" t="s">
        <v>3829</v>
      </c>
      <c r="H3248" s="594"/>
      <c r="I3248" s="595"/>
      <c r="J3248" s="595">
        <f t="shared" si="102"/>
        <v>0</v>
      </c>
      <c r="K3248" s="533"/>
      <c r="L3248" s="533"/>
      <c r="M3248" s="533"/>
      <c r="N3248" s="268"/>
      <c r="O3248" s="533"/>
      <c r="P3248" s="533"/>
      <c r="Q3248" s="533"/>
      <c r="R3248" s="533"/>
      <c r="S3248" s="533"/>
      <c r="T3248" s="533"/>
      <c r="U3248" s="533"/>
      <c r="V3248" s="533"/>
      <c r="W3248" s="533"/>
      <c r="X3248" s="533"/>
      <c r="Y3248" s="533"/>
    </row>
    <row r="3249" spans="1:25" s="88" customFormat="1" hidden="1" x14ac:dyDescent="0.25">
      <c r="A3249" s="509"/>
      <c r="B3249" s="256"/>
      <c r="C3249" s="221"/>
      <c r="D3249" s="218"/>
      <c r="E3249" s="218"/>
      <c r="F3249" s="527">
        <v>465</v>
      </c>
      <c r="G3249" s="520" t="s">
        <v>4192</v>
      </c>
      <c r="H3249" s="594"/>
      <c r="I3249" s="595"/>
      <c r="J3249" s="595">
        <f t="shared" si="102"/>
        <v>0</v>
      </c>
      <c r="K3249" s="533"/>
      <c r="L3249" s="533"/>
      <c r="M3249" s="533"/>
      <c r="N3249" s="268"/>
      <c r="O3249" s="533"/>
      <c r="P3249" s="533"/>
      <c r="Q3249" s="533"/>
      <c r="R3249" s="533"/>
      <c r="S3249" s="533"/>
      <c r="T3249" s="533"/>
      <c r="U3249" s="533"/>
      <c r="V3249" s="533"/>
      <c r="W3249" s="533"/>
      <c r="X3249" s="533"/>
      <c r="Y3249" s="533"/>
    </row>
    <row r="3250" spans="1:25" s="88" customFormat="1" hidden="1" x14ac:dyDescent="0.25">
      <c r="A3250" s="509"/>
      <c r="B3250" s="256"/>
      <c r="C3250" s="221"/>
      <c r="D3250" s="218"/>
      <c r="E3250" s="218"/>
      <c r="F3250" s="527">
        <v>472</v>
      </c>
      <c r="G3250" s="520" t="s">
        <v>3833</v>
      </c>
      <c r="H3250" s="594"/>
      <c r="I3250" s="595"/>
      <c r="J3250" s="595">
        <f t="shared" si="102"/>
        <v>0</v>
      </c>
      <c r="K3250" s="533"/>
      <c r="L3250" s="533"/>
      <c r="M3250" s="533"/>
      <c r="N3250" s="268"/>
      <c r="O3250" s="533"/>
      <c r="P3250" s="533"/>
      <c r="Q3250" s="533"/>
      <c r="R3250" s="533"/>
      <c r="S3250" s="533"/>
      <c r="T3250" s="533"/>
      <c r="U3250" s="533"/>
      <c r="V3250" s="533"/>
      <c r="W3250" s="533"/>
      <c r="X3250" s="533"/>
      <c r="Y3250" s="533"/>
    </row>
    <row r="3251" spans="1:25" s="88" customFormat="1" hidden="1" x14ac:dyDescent="0.25">
      <c r="A3251" s="509"/>
      <c r="B3251" s="256"/>
      <c r="C3251" s="221"/>
      <c r="D3251" s="218"/>
      <c r="E3251" s="218"/>
      <c r="F3251" s="527">
        <v>481</v>
      </c>
      <c r="G3251" s="520" t="s">
        <v>4211</v>
      </c>
      <c r="H3251" s="594"/>
      <c r="I3251" s="595"/>
      <c r="J3251" s="595">
        <f t="shared" si="102"/>
        <v>0</v>
      </c>
      <c r="K3251" s="533"/>
      <c r="L3251" s="533"/>
      <c r="M3251" s="533"/>
      <c r="N3251" s="268"/>
      <c r="O3251" s="533"/>
      <c r="P3251" s="533"/>
      <c r="Q3251" s="533"/>
      <c r="R3251" s="533"/>
      <c r="S3251" s="533"/>
      <c r="T3251" s="533"/>
      <c r="U3251" s="533"/>
      <c r="V3251" s="533"/>
      <c r="W3251" s="533"/>
      <c r="X3251" s="533"/>
      <c r="Y3251" s="533"/>
    </row>
    <row r="3252" spans="1:25" s="88" customFormat="1" hidden="1" x14ac:dyDescent="0.25">
      <c r="A3252" s="509"/>
      <c r="B3252" s="256"/>
      <c r="C3252" s="221"/>
      <c r="D3252" s="218"/>
      <c r="E3252" s="218"/>
      <c r="F3252" s="527">
        <v>482</v>
      </c>
      <c r="G3252" s="520" t="s">
        <v>4212</v>
      </c>
      <c r="H3252" s="594"/>
      <c r="I3252" s="595"/>
      <c r="J3252" s="595">
        <f t="shared" si="102"/>
        <v>0</v>
      </c>
      <c r="K3252" s="533"/>
      <c r="L3252" s="533"/>
      <c r="M3252" s="533"/>
      <c r="N3252" s="268"/>
      <c r="O3252" s="533"/>
      <c r="P3252" s="533"/>
      <c r="Q3252" s="533"/>
      <c r="R3252" s="533"/>
      <c r="S3252" s="533"/>
      <c r="T3252" s="533"/>
      <c r="U3252" s="533"/>
      <c r="V3252" s="533"/>
      <c r="W3252" s="533"/>
      <c r="X3252" s="533"/>
      <c r="Y3252" s="533"/>
    </row>
    <row r="3253" spans="1:25" s="88" customFormat="1" hidden="1" x14ac:dyDescent="0.25">
      <c r="A3253" s="509"/>
      <c r="B3253" s="256"/>
      <c r="C3253" s="221"/>
      <c r="D3253" s="218"/>
      <c r="E3253" s="218"/>
      <c r="F3253" s="527">
        <v>483</v>
      </c>
      <c r="G3253" s="524" t="s">
        <v>4213</v>
      </c>
      <c r="H3253" s="594"/>
      <c r="I3253" s="595"/>
      <c r="J3253" s="595">
        <f t="shared" si="102"/>
        <v>0</v>
      </c>
      <c r="K3253" s="533"/>
      <c r="L3253" s="533"/>
      <c r="M3253" s="533"/>
      <c r="N3253" s="268"/>
      <c r="O3253" s="533"/>
      <c r="P3253" s="533"/>
      <c r="Q3253" s="533"/>
      <c r="R3253" s="533"/>
      <c r="S3253" s="533"/>
      <c r="T3253" s="533"/>
      <c r="U3253" s="533"/>
      <c r="V3253" s="533"/>
      <c r="W3253" s="533"/>
      <c r="X3253" s="533"/>
      <c r="Y3253" s="533"/>
    </row>
    <row r="3254" spans="1:25" s="88" customFormat="1" ht="30" hidden="1" x14ac:dyDescent="0.25">
      <c r="A3254" s="509"/>
      <c r="B3254" s="256"/>
      <c r="C3254" s="221"/>
      <c r="D3254" s="218"/>
      <c r="E3254" s="218"/>
      <c r="F3254" s="527">
        <v>484</v>
      </c>
      <c r="G3254" s="520" t="s">
        <v>4214</v>
      </c>
      <c r="H3254" s="594"/>
      <c r="I3254" s="595"/>
      <c r="J3254" s="595">
        <f t="shared" si="102"/>
        <v>0</v>
      </c>
      <c r="K3254" s="533"/>
      <c r="L3254" s="533"/>
      <c r="M3254" s="533"/>
      <c r="N3254" s="268"/>
      <c r="O3254" s="533"/>
      <c r="P3254" s="533"/>
      <c r="Q3254" s="533"/>
      <c r="R3254" s="533"/>
      <c r="S3254" s="533"/>
      <c r="T3254" s="533"/>
      <c r="U3254" s="533"/>
      <c r="V3254" s="533"/>
      <c r="W3254" s="533"/>
      <c r="X3254" s="533"/>
      <c r="Y3254" s="533"/>
    </row>
    <row r="3255" spans="1:25" s="88" customFormat="1" ht="30" hidden="1" x14ac:dyDescent="0.25">
      <c r="A3255" s="509"/>
      <c r="B3255" s="256"/>
      <c r="C3255" s="221"/>
      <c r="D3255" s="218"/>
      <c r="E3255" s="218"/>
      <c r="F3255" s="527">
        <v>485</v>
      </c>
      <c r="G3255" s="520" t="s">
        <v>4215</v>
      </c>
      <c r="H3255" s="594"/>
      <c r="I3255" s="595"/>
      <c r="J3255" s="595">
        <f t="shared" si="102"/>
        <v>0</v>
      </c>
      <c r="K3255" s="533"/>
      <c r="L3255" s="533"/>
      <c r="M3255" s="533"/>
      <c r="N3255" s="268"/>
      <c r="O3255" s="533"/>
      <c r="P3255" s="533"/>
      <c r="Q3255" s="533"/>
      <c r="R3255" s="533"/>
      <c r="S3255" s="533"/>
      <c r="T3255" s="533"/>
      <c r="U3255" s="533"/>
      <c r="V3255" s="533"/>
      <c r="W3255" s="533"/>
      <c r="X3255" s="533"/>
      <c r="Y3255" s="533"/>
    </row>
    <row r="3256" spans="1:25" s="88" customFormat="1" ht="30" hidden="1" x14ac:dyDescent="0.25">
      <c r="A3256" s="509"/>
      <c r="B3256" s="256"/>
      <c r="C3256" s="221"/>
      <c r="D3256" s="218"/>
      <c r="E3256" s="218"/>
      <c r="F3256" s="527">
        <v>489</v>
      </c>
      <c r="G3256" s="520" t="s">
        <v>3841</v>
      </c>
      <c r="H3256" s="594"/>
      <c r="I3256" s="595"/>
      <c r="J3256" s="595">
        <f t="shared" si="102"/>
        <v>0</v>
      </c>
      <c r="K3256" s="533"/>
      <c r="L3256" s="533"/>
      <c r="M3256" s="533"/>
      <c r="N3256" s="268"/>
      <c r="O3256" s="533"/>
      <c r="P3256" s="533"/>
      <c r="Q3256" s="533"/>
      <c r="R3256" s="533"/>
      <c r="S3256" s="533"/>
      <c r="T3256" s="533"/>
      <c r="U3256" s="533"/>
      <c r="V3256" s="533"/>
      <c r="W3256" s="533"/>
      <c r="X3256" s="533"/>
      <c r="Y3256" s="533"/>
    </row>
    <row r="3257" spans="1:25" s="88" customFormat="1" hidden="1" x14ac:dyDescent="0.25">
      <c r="A3257" s="509"/>
      <c r="B3257" s="256"/>
      <c r="C3257" s="221"/>
      <c r="D3257" s="218"/>
      <c r="E3257" s="218"/>
      <c r="F3257" s="527">
        <v>494</v>
      </c>
      <c r="G3257" s="520" t="s">
        <v>4193</v>
      </c>
      <c r="H3257" s="594"/>
      <c r="I3257" s="595"/>
      <c r="J3257" s="595">
        <f t="shared" si="102"/>
        <v>0</v>
      </c>
      <c r="K3257" s="533"/>
      <c r="L3257" s="533"/>
      <c r="M3257" s="533"/>
      <c r="N3257" s="268"/>
      <c r="O3257" s="533"/>
      <c r="P3257" s="533"/>
      <c r="Q3257" s="533"/>
      <c r="R3257" s="533"/>
      <c r="S3257" s="533"/>
      <c r="T3257" s="533"/>
      <c r="U3257" s="533"/>
      <c r="V3257" s="533"/>
      <c r="W3257" s="533"/>
      <c r="X3257" s="533"/>
      <c r="Y3257" s="533"/>
    </row>
    <row r="3258" spans="1:25" s="88" customFormat="1" ht="30" hidden="1" x14ac:dyDescent="0.25">
      <c r="A3258" s="509"/>
      <c r="B3258" s="256"/>
      <c r="C3258" s="221"/>
      <c r="D3258" s="218"/>
      <c r="E3258" s="218"/>
      <c r="F3258" s="527">
        <v>495</v>
      </c>
      <c r="G3258" s="520" t="s">
        <v>4194</v>
      </c>
      <c r="H3258" s="594"/>
      <c r="I3258" s="595"/>
      <c r="J3258" s="595">
        <f t="shared" si="102"/>
        <v>0</v>
      </c>
      <c r="K3258" s="533"/>
      <c r="L3258" s="533"/>
      <c r="M3258" s="533"/>
      <c r="N3258" s="268"/>
      <c r="O3258" s="533"/>
      <c r="P3258" s="533"/>
      <c r="Q3258" s="533"/>
      <c r="R3258" s="533"/>
      <c r="S3258" s="533"/>
      <c r="T3258" s="533"/>
      <c r="U3258" s="533"/>
      <c r="V3258" s="533"/>
      <c r="W3258" s="533"/>
      <c r="X3258" s="533"/>
      <c r="Y3258" s="533"/>
    </row>
    <row r="3259" spans="1:25" s="88" customFormat="1" ht="30" hidden="1" x14ac:dyDescent="0.25">
      <c r="A3259" s="509"/>
      <c r="B3259" s="256"/>
      <c r="C3259" s="221"/>
      <c r="D3259" s="218"/>
      <c r="E3259" s="218"/>
      <c r="F3259" s="527">
        <v>496</v>
      </c>
      <c r="G3259" s="520" t="s">
        <v>4195</v>
      </c>
      <c r="H3259" s="594"/>
      <c r="I3259" s="595"/>
      <c r="J3259" s="595">
        <f t="shared" si="102"/>
        <v>0</v>
      </c>
      <c r="K3259" s="533"/>
      <c r="L3259" s="533"/>
      <c r="M3259" s="533"/>
      <c r="N3259" s="268"/>
      <c r="O3259" s="533"/>
      <c r="P3259" s="533"/>
      <c r="Q3259" s="533"/>
      <c r="R3259" s="533"/>
      <c r="S3259" s="533"/>
      <c r="T3259" s="533"/>
      <c r="U3259" s="533"/>
      <c r="V3259" s="533"/>
      <c r="W3259" s="533"/>
      <c r="X3259" s="533"/>
      <c r="Y3259" s="533"/>
    </row>
    <row r="3260" spans="1:25" s="88" customFormat="1" hidden="1" x14ac:dyDescent="0.25">
      <c r="A3260" s="509"/>
      <c r="B3260" s="256"/>
      <c r="C3260" s="221"/>
      <c r="D3260" s="218"/>
      <c r="E3260" s="218"/>
      <c r="F3260" s="527">
        <v>499</v>
      </c>
      <c r="G3260" s="520" t="s">
        <v>4196</v>
      </c>
      <c r="H3260" s="594"/>
      <c r="I3260" s="595"/>
      <c r="J3260" s="595">
        <f t="shared" si="102"/>
        <v>0</v>
      </c>
      <c r="K3260" s="533"/>
      <c r="L3260" s="533"/>
      <c r="M3260" s="533"/>
      <c r="N3260" s="268"/>
      <c r="O3260" s="533"/>
      <c r="P3260" s="533"/>
      <c r="Q3260" s="533"/>
      <c r="R3260" s="533"/>
      <c r="S3260" s="533"/>
      <c r="T3260" s="533"/>
      <c r="U3260" s="533"/>
      <c r="V3260" s="533"/>
      <c r="W3260" s="533"/>
      <c r="X3260" s="533"/>
      <c r="Y3260" s="533"/>
    </row>
    <row r="3261" spans="1:25" s="88" customFormat="1" ht="15.75" thickBot="1" x14ac:dyDescent="0.3">
      <c r="A3261" s="509"/>
      <c r="B3261" s="256"/>
      <c r="C3261" s="221"/>
      <c r="D3261" s="218"/>
      <c r="E3261" s="218">
        <v>46</v>
      </c>
      <c r="F3261" s="527">
        <v>511</v>
      </c>
      <c r="G3261" s="524" t="s">
        <v>4216</v>
      </c>
      <c r="H3261" s="594">
        <v>2500000</v>
      </c>
      <c r="I3261" s="595"/>
      <c r="J3261" s="595">
        <f t="shared" si="102"/>
        <v>2500000</v>
      </c>
      <c r="K3261" s="533"/>
      <c r="L3261" s="533"/>
      <c r="M3261" s="533"/>
      <c r="N3261" s="268"/>
      <c r="O3261" s="533"/>
      <c r="P3261" s="533"/>
      <c r="Q3261" s="533"/>
      <c r="R3261" s="533"/>
      <c r="S3261" s="533"/>
      <c r="T3261" s="533"/>
      <c r="U3261" s="533"/>
      <c r="V3261" s="533"/>
      <c r="W3261" s="533"/>
      <c r="X3261" s="533"/>
      <c r="Y3261" s="533"/>
    </row>
    <row r="3262" spans="1:25" s="88" customFormat="1" hidden="1" x14ac:dyDescent="0.25">
      <c r="A3262" s="509"/>
      <c r="B3262" s="256"/>
      <c r="C3262" s="221"/>
      <c r="D3262" s="218"/>
      <c r="E3262" s="218"/>
      <c r="F3262" s="527">
        <v>512</v>
      </c>
      <c r="G3262" s="524" t="s">
        <v>4217</v>
      </c>
      <c r="H3262" s="594"/>
      <c r="I3262" s="595"/>
      <c r="J3262" s="595">
        <f t="shared" si="102"/>
        <v>0</v>
      </c>
      <c r="K3262" s="533"/>
      <c r="L3262" s="533"/>
      <c r="M3262" s="533"/>
      <c r="N3262" s="268"/>
      <c r="O3262" s="533"/>
      <c r="P3262" s="533"/>
      <c r="Q3262" s="533"/>
      <c r="R3262" s="533"/>
      <c r="S3262" s="533"/>
      <c r="T3262" s="533"/>
      <c r="U3262" s="533"/>
      <c r="V3262" s="533"/>
      <c r="W3262" s="533"/>
      <c r="X3262" s="533"/>
      <c r="Y3262" s="533"/>
    </row>
    <row r="3263" spans="1:25" s="88" customFormat="1" hidden="1" x14ac:dyDescent="0.25">
      <c r="A3263" s="509"/>
      <c r="B3263" s="256"/>
      <c r="C3263" s="221"/>
      <c r="D3263" s="218"/>
      <c r="E3263" s="218"/>
      <c r="F3263" s="527">
        <v>513</v>
      </c>
      <c r="G3263" s="524" t="s">
        <v>4218</v>
      </c>
      <c r="H3263" s="594"/>
      <c r="I3263" s="595"/>
      <c r="J3263" s="595">
        <f t="shared" si="102"/>
        <v>0</v>
      </c>
      <c r="K3263" s="533"/>
      <c r="L3263" s="533"/>
      <c r="M3263" s="533"/>
      <c r="N3263" s="268"/>
      <c r="O3263" s="533"/>
      <c r="P3263" s="533"/>
      <c r="Q3263" s="533"/>
      <c r="R3263" s="533"/>
      <c r="S3263" s="533"/>
      <c r="T3263" s="533"/>
      <c r="U3263" s="533"/>
      <c r="V3263" s="533"/>
      <c r="W3263" s="533"/>
      <c r="X3263" s="533"/>
      <c r="Y3263" s="533"/>
    </row>
    <row r="3264" spans="1:25" s="88" customFormat="1" hidden="1" x14ac:dyDescent="0.25">
      <c r="A3264" s="509"/>
      <c r="B3264" s="256"/>
      <c r="C3264" s="221"/>
      <c r="D3264" s="218"/>
      <c r="E3264" s="218"/>
      <c r="F3264" s="527">
        <v>514</v>
      </c>
      <c r="G3264" s="520" t="s">
        <v>4219</v>
      </c>
      <c r="H3264" s="594"/>
      <c r="I3264" s="595"/>
      <c r="J3264" s="595">
        <f t="shared" si="102"/>
        <v>0</v>
      </c>
      <c r="K3264" s="533"/>
      <c r="L3264" s="533"/>
      <c r="M3264" s="533"/>
      <c r="N3264" s="268"/>
      <c r="O3264" s="533"/>
      <c r="P3264" s="533"/>
      <c r="Q3264" s="533"/>
      <c r="R3264" s="533"/>
      <c r="S3264" s="533"/>
      <c r="T3264" s="533"/>
      <c r="U3264" s="533"/>
      <c r="V3264" s="533"/>
      <c r="W3264" s="533"/>
      <c r="X3264" s="533"/>
      <c r="Y3264" s="533"/>
    </row>
    <row r="3265" spans="1:25" s="88" customFormat="1" hidden="1" x14ac:dyDescent="0.25">
      <c r="A3265" s="509"/>
      <c r="B3265" s="256"/>
      <c r="C3265" s="221"/>
      <c r="D3265" s="218"/>
      <c r="E3265" s="218"/>
      <c r="F3265" s="527">
        <v>515</v>
      </c>
      <c r="G3265" s="520" t="s">
        <v>3852</v>
      </c>
      <c r="H3265" s="594"/>
      <c r="I3265" s="595"/>
      <c r="J3265" s="595">
        <f t="shared" si="102"/>
        <v>0</v>
      </c>
      <c r="K3265" s="533"/>
      <c r="L3265" s="533"/>
      <c r="M3265" s="533"/>
      <c r="N3265" s="268"/>
      <c r="O3265" s="533"/>
      <c r="P3265" s="533"/>
      <c r="Q3265" s="533"/>
      <c r="R3265" s="533"/>
      <c r="S3265" s="533"/>
      <c r="T3265" s="533"/>
      <c r="U3265" s="533"/>
      <c r="V3265" s="533"/>
      <c r="W3265" s="533"/>
      <c r="X3265" s="533"/>
      <c r="Y3265" s="533"/>
    </row>
    <row r="3266" spans="1:25" s="88" customFormat="1" hidden="1" x14ac:dyDescent="0.25">
      <c r="A3266" s="509"/>
      <c r="B3266" s="256"/>
      <c r="C3266" s="221"/>
      <c r="D3266" s="218"/>
      <c r="E3266" s="218"/>
      <c r="F3266" s="527">
        <v>521</v>
      </c>
      <c r="G3266" s="520" t="s">
        <v>4220</v>
      </c>
      <c r="H3266" s="594"/>
      <c r="I3266" s="595"/>
      <c r="J3266" s="595">
        <f t="shared" si="102"/>
        <v>0</v>
      </c>
      <c r="K3266" s="533"/>
      <c r="L3266" s="533"/>
      <c r="M3266" s="533"/>
      <c r="N3266" s="268"/>
      <c r="O3266" s="533"/>
      <c r="P3266" s="533"/>
      <c r="Q3266" s="533"/>
      <c r="R3266" s="533"/>
      <c r="S3266" s="533"/>
      <c r="T3266" s="533"/>
      <c r="U3266" s="533"/>
      <c r="V3266" s="533"/>
      <c r="W3266" s="533"/>
      <c r="X3266" s="533"/>
      <c r="Y3266" s="533"/>
    </row>
    <row r="3267" spans="1:25" s="88" customFormat="1" hidden="1" x14ac:dyDescent="0.25">
      <c r="A3267" s="509"/>
      <c r="B3267" s="256"/>
      <c r="C3267" s="221"/>
      <c r="D3267" s="218"/>
      <c r="E3267" s="218"/>
      <c r="F3267" s="527">
        <v>522</v>
      </c>
      <c r="G3267" s="520" t="s">
        <v>4221</v>
      </c>
      <c r="H3267" s="594"/>
      <c r="I3267" s="595"/>
      <c r="J3267" s="595">
        <f t="shared" si="102"/>
        <v>0</v>
      </c>
      <c r="K3267" s="533"/>
      <c r="L3267" s="533"/>
      <c r="M3267" s="533"/>
      <c r="N3267" s="268"/>
      <c r="O3267" s="533"/>
      <c r="P3267" s="533"/>
      <c r="Q3267" s="533"/>
      <c r="R3267" s="533"/>
      <c r="S3267" s="533"/>
      <c r="T3267" s="533"/>
      <c r="U3267" s="533"/>
      <c r="V3267" s="533"/>
      <c r="W3267" s="533"/>
      <c r="X3267" s="533"/>
      <c r="Y3267" s="533"/>
    </row>
    <row r="3268" spans="1:25" s="88" customFormat="1" hidden="1" x14ac:dyDescent="0.25">
      <c r="A3268" s="509"/>
      <c r="B3268" s="256"/>
      <c r="C3268" s="221"/>
      <c r="D3268" s="218"/>
      <c r="E3268" s="218"/>
      <c r="F3268" s="527">
        <v>523</v>
      </c>
      <c r="G3268" s="520" t="s">
        <v>3857</v>
      </c>
      <c r="H3268" s="594"/>
      <c r="I3268" s="595"/>
      <c r="J3268" s="595">
        <f t="shared" si="102"/>
        <v>0</v>
      </c>
      <c r="K3268" s="533"/>
      <c r="L3268" s="533"/>
      <c r="M3268" s="533"/>
      <c r="N3268" s="268"/>
      <c r="O3268" s="533"/>
      <c r="P3268" s="533"/>
      <c r="Q3268" s="533"/>
      <c r="R3268" s="533"/>
      <c r="S3268" s="533"/>
      <c r="T3268" s="533"/>
      <c r="U3268" s="533"/>
      <c r="V3268" s="533"/>
      <c r="W3268" s="533"/>
      <c r="X3268" s="533"/>
      <c r="Y3268" s="533"/>
    </row>
    <row r="3269" spans="1:25" s="88" customFormat="1" hidden="1" x14ac:dyDescent="0.25">
      <c r="A3269" s="509"/>
      <c r="B3269" s="256"/>
      <c r="C3269" s="221"/>
      <c r="D3269" s="218"/>
      <c r="E3269" s="218"/>
      <c r="F3269" s="527">
        <v>531</v>
      </c>
      <c r="G3269" s="516" t="s">
        <v>4197</v>
      </c>
      <c r="H3269" s="594"/>
      <c r="I3269" s="595"/>
      <c r="J3269" s="595">
        <f t="shared" si="102"/>
        <v>0</v>
      </c>
      <c r="K3269" s="533"/>
      <c r="L3269" s="533"/>
      <c r="M3269" s="533"/>
      <c r="N3269" s="268"/>
      <c r="O3269" s="533"/>
      <c r="P3269" s="533"/>
      <c r="Q3269" s="533"/>
      <c r="R3269" s="533"/>
      <c r="S3269" s="533"/>
      <c r="T3269" s="533"/>
      <c r="U3269" s="533"/>
      <c r="V3269" s="533"/>
      <c r="W3269" s="533"/>
      <c r="X3269" s="533"/>
      <c r="Y3269" s="533"/>
    </row>
    <row r="3270" spans="1:25" s="88" customFormat="1" hidden="1" x14ac:dyDescent="0.25">
      <c r="A3270" s="509"/>
      <c r="B3270" s="256"/>
      <c r="C3270" s="221"/>
      <c r="D3270" s="218"/>
      <c r="E3270" s="218"/>
      <c r="F3270" s="527">
        <v>541</v>
      </c>
      <c r="G3270" s="520" t="s">
        <v>4222</v>
      </c>
      <c r="H3270" s="594"/>
      <c r="I3270" s="595"/>
      <c r="J3270" s="595">
        <f t="shared" si="102"/>
        <v>0</v>
      </c>
      <c r="K3270" s="533"/>
      <c r="L3270" s="533"/>
      <c r="M3270" s="533"/>
      <c r="N3270" s="268"/>
      <c r="O3270" s="533"/>
      <c r="P3270" s="533"/>
      <c r="Q3270" s="533"/>
      <c r="R3270" s="533"/>
      <c r="S3270" s="533"/>
      <c r="T3270" s="533"/>
      <c r="U3270" s="533"/>
      <c r="V3270" s="533"/>
      <c r="W3270" s="533"/>
      <c r="X3270" s="533"/>
      <c r="Y3270" s="533"/>
    </row>
    <row r="3271" spans="1:25" s="88" customFormat="1" hidden="1" x14ac:dyDescent="0.25">
      <c r="A3271" s="509"/>
      <c r="B3271" s="256"/>
      <c r="C3271" s="221"/>
      <c r="D3271" s="218"/>
      <c r="E3271" s="218"/>
      <c r="F3271" s="527">
        <v>542</v>
      </c>
      <c r="G3271" s="520" t="s">
        <v>4223</v>
      </c>
      <c r="H3271" s="594"/>
      <c r="I3271" s="595"/>
      <c r="J3271" s="595">
        <f t="shared" si="102"/>
        <v>0</v>
      </c>
      <c r="K3271" s="533"/>
      <c r="L3271" s="533"/>
      <c r="M3271" s="533"/>
      <c r="N3271" s="268"/>
      <c r="O3271" s="533"/>
      <c r="P3271" s="533"/>
      <c r="Q3271" s="533"/>
      <c r="R3271" s="533"/>
      <c r="S3271" s="533"/>
      <c r="T3271" s="533"/>
      <c r="U3271" s="533"/>
      <c r="V3271" s="533"/>
      <c r="W3271" s="533"/>
      <c r="X3271" s="533"/>
      <c r="Y3271" s="533"/>
    </row>
    <row r="3272" spans="1:25" s="88" customFormat="1" hidden="1" x14ac:dyDescent="0.25">
      <c r="A3272" s="509"/>
      <c r="B3272" s="256"/>
      <c r="C3272" s="221"/>
      <c r="D3272" s="218"/>
      <c r="E3272" s="218"/>
      <c r="F3272" s="527">
        <v>543</v>
      </c>
      <c r="G3272" s="520" t="s">
        <v>3862</v>
      </c>
      <c r="H3272" s="594"/>
      <c r="I3272" s="595"/>
      <c r="J3272" s="595">
        <f t="shared" si="102"/>
        <v>0</v>
      </c>
      <c r="K3272" s="533"/>
      <c r="L3272" s="533"/>
      <c r="M3272" s="533"/>
      <c r="N3272" s="268"/>
      <c r="O3272" s="533"/>
      <c r="P3272" s="533"/>
      <c r="Q3272" s="533"/>
      <c r="R3272" s="533"/>
      <c r="S3272" s="533"/>
      <c r="T3272" s="533"/>
      <c r="U3272" s="533"/>
      <c r="V3272" s="533"/>
      <c r="W3272" s="533"/>
      <c r="X3272" s="533"/>
      <c r="Y3272" s="533"/>
    </row>
    <row r="3273" spans="1:25" s="88" customFormat="1" ht="30" hidden="1" x14ac:dyDescent="0.25">
      <c r="A3273" s="509"/>
      <c r="B3273" s="256"/>
      <c r="C3273" s="221"/>
      <c r="D3273" s="218"/>
      <c r="E3273" s="218"/>
      <c r="F3273" s="527">
        <v>551</v>
      </c>
      <c r="G3273" s="520" t="s">
        <v>4198</v>
      </c>
      <c r="H3273" s="594"/>
      <c r="I3273" s="595"/>
      <c r="J3273" s="595">
        <f t="shared" si="102"/>
        <v>0</v>
      </c>
      <c r="K3273" s="533"/>
      <c r="L3273" s="533"/>
      <c r="M3273" s="533"/>
      <c r="N3273" s="268"/>
      <c r="O3273" s="533"/>
      <c r="P3273" s="533"/>
      <c r="Q3273" s="533"/>
      <c r="R3273" s="533"/>
      <c r="S3273" s="533"/>
      <c r="T3273" s="533"/>
      <c r="U3273" s="533"/>
      <c r="V3273" s="533"/>
      <c r="W3273" s="533"/>
      <c r="X3273" s="533"/>
      <c r="Y3273" s="533"/>
    </row>
    <row r="3274" spans="1:25" s="88" customFormat="1" hidden="1" x14ac:dyDescent="0.25">
      <c r="A3274" s="509"/>
      <c r="B3274" s="256"/>
      <c r="C3274" s="221"/>
      <c r="D3274" s="218"/>
      <c r="E3274" s="218"/>
      <c r="F3274" s="528">
        <v>611</v>
      </c>
      <c r="G3274" s="526" t="s">
        <v>3868</v>
      </c>
      <c r="H3274" s="594"/>
      <c r="I3274" s="595"/>
      <c r="J3274" s="595">
        <f t="shared" si="102"/>
        <v>0</v>
      </c>
      <c r="K3274" s="533"/>
      <c r="L3274" s="533"/>
      <c r="M3274" s="533"/>
      <c r="N3274" s="268"/>
      <c r="O3274" s="533"/>
      <c r="P3274" s="533"/>
      <c r="Q3274" s="533"/>
      <c r="R3274" s="533"/>
      <c r="S3274" s="533"/>
      <c r="T3274" s="533"/>
      <c r="U3274" s="533"/>
      <c r="V3274" s="533"/>
      <c r="W3274" s="533"/>
      <c r="X3274" s="533"/>
      <c r="Y3274" s="533"/>
    </row>
    <row r="3275" spans="1:25" s="88" customFormat="1" ht="15.75" hidden="1" thickBot="1" x14ac:dyDescent="0.3">
      <c r="A3275" s="509"/>
      <c r="B3275" s="256"/>
      <c r="C3275" s="221"/>
      <c r="D3275" s="218"/>
      <c r="E3275" s="218"/>
      <c r="F3275" s="528">
        <v>620</v>
      </c>
      <c r="G3275" s="526" t="s">
        <v>88</v>
      </c>
      <c r="H3275" s="594"/>
      <c r="I3275" s="595"/>
      <c r="J3275" s="595">
        <f t="shared" si="102"/>
        <v>0</v>
      </c>
      <c r="K3275" s="533"/>
      <c r="L3275" s="533"/>
      <c r="M3275" s="533"/>
      <c r="N3275" s="268"/>
      <c r="O3275" s="533"/>
      <c r="P3275" s="533"/>
      <c r="Q3275" s="533"/>
      <c r="R3275" s="533"/>
      <c r="S3275" s="533"/>
      <c r="T3275" s="533"/>
      <c r="U3275" s="533"/>
      <c r="V3275" s="533"/>
      <c r="W3275" s="533"/>
      <c r="X3275" s="533"/>
      <c r="Y3275" s="533"/>
    </row>
    <row r="3276" spans="1:25" s="88" customFormat="1" x14ac:dyDescent="0.25">
      <c r="A3276" s="509"/>
      <c r="B3276" s="256"/>
      <c r="C3276" s="221"/>
      <c r="D3276" s="218"/>
      <c r="E3276" s="517"/>
      <c r="F3276" s="528"/>
      <c r="G3276" s="327" t="s">
        <v>4368</v>
      </c>
      <c r="H3276" s="596"/>
      <c r="I3276" s="622"/>
      <c r="J3276" s="597"/>
      <c r="K3276" s="533"/>
      <c r="L3276" s="533"/>
      <c r="M3276" s="533"/>
      <c r="N3276" s="268"/>
      <c r="O3276" s="533"/>
      <c r="P3276" s="533"/>
      <c r="Q3276" s="533"/>
      <c r="R3276" s="533"/>
      <c r="S3276" s="533"/>
      <c r="T3276" s="533"/>
      <c r="U3276" s="533"/>
      <c r="V3276" s="533"/>
      <c r="W3276" s="533"/>
      <c r="X3276" s="533"/>
      <c r="Y3276" s="533"/>
    </row>
    <row r="3277" spans="1:25" s="88" customFormat="1" x14ac:dyDescent="0.25">
      <c r="A3277" s="509"/>
      <c r="B3277" s="256"/>
      <c r="C3277" s="221"/>
      <c r="D3277" s="218"/>
      <c r="E3277" s="222"/>
      <c r="F3277" s="642" t="s">
        <v>234</v>
      </c>
      <c r="G3277" s="643" t="s">
        <v>235</v>
      </c>
      <c r="H3277" s="598">
        <f>SUM(H3216:H3275)</f>
        <v>2500000</v>
      </c>
      <c r="I3277" s="599"/>
      <c r="J3277" s="599">
        <f t="shared" ref="J3277:J3292" si="103">SUM(H3277:I3277)</f>
        <v>2500000</v>
      </c>
      <c r="K3277" s="533"/>
      <c r="L3277" s="533"/>
      <c r="M3277" s="533"/>
      <c r="N3277" s="268"/>
      <c r="O3277" s="533"/>
      <c r="P3277" s="533"/>
      <c r="Q3277" s="533"/>
      <c r="R3277" s="533"/>
      <c r="S3277" s="533"/>
      <c r="T3277" s="533"/>
      <c r="U3277" s="533"/>
      <c r="V3277" s="533"/>
      <c r="W3277" s="533"/>
      <c r="X3277" s="533"/>
      <c r="Y3277" s="533"/>
    </row>
    <row r="3278" spans="1:25" s="88" customFormat="1" hidden="1" x14ac:dyDescent="0.25">
      <c r="A3278" s="509"/>
      <c r="B3278" s="256"/>
      <c r="C3278" s="221"/>
      <c r="D3278" s="218"/>
      <c r="E3278" s="218"/>
      <c r="F3278" s="642" t="s">
        <v>236</v>
      </c>
      <c r="G3278" s="643" t="s">
        <v>237</v>
      </c>
      <c r="H3278" s="594"/>
      <c r="I3278" s="595"/>
      <c r="J3278" s="599">
        <f t="shared" si="103"/>
        <v>0</v>
      </c>
      <c r="K3278" s="533"/>
      <c r="L3278" s="533"/>
      <c r="M3278" s="533"/>
      <c r="N3278" s="268"/>
      <c r="O3278" s="533"/>
      <c r="P3278" s="533"/>
      <c r="Q3278" s="533"/>
      <c r="R3278" s="533"/>
      <c r="S3278" s="533"/>
      <c r="T3278" s="533"/>
      <c r="U3278" s="533"/>
      <c r="V3278" s="533"/>
      <c r="W3278" s="533"/>
      <c r="X3278" s="533"/>
      <c r="Y3278" s="533"/>
    </row>
    <row r="3279" spans="1:25" s="88" customFormat="1" hidden="1" x14ac:dyDescent="0.25">
      <c r="A3279" s="509"/>
      <c r="B3279" s="256"/>
      <c r="C3279" s="221"/>
      <c r="D3279" s="218"/>
      <c r="E3279" s="218"/>
      <c r="F3279" s="642" t="s">
        <v>238</v>
      </c>
      <c r="G3279" s="643" t="s">
        <v>239</v>
      </c>
      <c r="H3279" s="594"/>
      <c r="I3279" s="595"/>
      <c r="J3279" s="599">
        <f t="shared" si="103"/>
        <v>0</v>
      </c>
      <c r="K3279" s="533"/>
      <c r="L3279" s="533"/>
      <c r="M3279" s="533"/>
      <c r="N3279" s="268"/>
      <c r="O3279" s="533"/>
      <c r="P3279" s="533"/>
      <c r="Q3279" s="533"/>
      <c r="R3279" s="533"/>
      <c r="S3279" s="533"/>
      <c r="T3279" s="533"/>
      <c r="U3279" s="533"/>
      <c r="V3279" s="533"/>
      <c r="W3279" s="533"/>
      <c r="X3279" s="533"/>
      <c r="Y3279" s="533"/>
    </row>
    <row r="3280" spans="1:25" s="88" customFormat="1" hidden="1" x14ac:dyDescent="0.25">
      <c r="A3280" s="509"/>
      <c r="B3280" s="256"/>
      <c r="C3280" s="221"/>
      <c r="D3280" s="218"/>
      <c r="E3280" s="218"/>
      <c r="F3280" s="642" t="s">
        <v>240</v>
      </c>
      <c r="G3280" s="643" t="s">
        <v>241</v>
      </c>
      <c r="H3280" s="594"/>
      <c r="I3280" s="595"/>
      <c r="J3280" s="599">
        <f t="shared" si="103"/>
        <v>0</v>
      </c>
      <c r="K3280" s="533"/>
      <c r="L3280" s="533"/>
      <c r="M3280" s="533"/>
      <c r="N3280" s="268"/>
      <c r="O3280" s="533"/>
      <c r="P3280" s="533"/>
      <c r="Q3280" s="533"/>
      <c r="R3280" s="533"/>
      <c r="S3280" s="533"/>
      <c r="T3280" s="533"/>
      <c r="U3280" s="533"/>
      <c r="V3280" s="533"/>
      <c r="W3280" s="533"/>
      <c r="X3280" s="533"/>
      <c r="Y3280" s="533"/>
    </row>
    <row r="3281" spans="1:25" s="88" customFormat="1" hidden="1" x14ac:dyDescent="0.25">
      <c r="A3281" s="509"/>
      <c r="B3281" s="256"/>
      <c r="C3281" s="221"/>
      <c r="D3281" s="218"/>
      <c r="E3281" s="218"/>
      <c r="F3281" s="642" t="s">
        <v>242</v>
      </c>
      <c r="G3281" s="643" t="s">
        <v>243</v>
      </c>
      <c r="H3281" s="594"/>
      <c r="I3281" s="595"/>
      <c r="J3281" s="599">
        <f t="shared" si="103"/>
        <v>0</v>
      </c>
      <c r="K3281" s="533"/>
      <c r="L3281" s="533"/>
      <c r="M3281" s="533"/>
      <c r="N3281" s="268"/>
      <c r="O3281" s="533"/>
      <c r="P3281" s="533"/>
      <c r="Q3281" s="533"/>
      <c r="R3281" s="533"/>
      <c r="S3281" s="533"/>
      <c r="T3281" s="533"/>
      <c r="U3281" s="533"/>
      <c r="V3281" s="533"/>
      <c r="W3281" s="533"/>
      <c r="X3281" s="533"/>
      <c r="Y3281" s="533"/>
    </row>
    <row r="3282" spans="1:25" s="88" customFormat="1" hidden="1" x14ac:dyDescent="0.25">
      <c r="A3282" s="509"/>
      <c r="B3282" s="256"/>
      <c r="C3282" s="221"/>
      <c r="D3282" s="218"/>
      <c r="E3282" s="218"/>
      <c r="F3282" s="642" t="s">
        <v>244</v>
      </c>
      <c r="G3282" s="643" t="s">
        <v>245</v>
      </c>
      <c r="H3282" s="594"/>
      <c r="I3282" s="595"/>
      <c r="J3282" s="599">
        <f t="shared" si="103"/>
        <v>0</v>
      </c>
      <c r="K3282" s="533"/>
      <c r="L3282" s="533"/>
      <c r="M3282" s="533"/>
      <c r="N3282" s="268"/>
      <c r="O3282" s="533"/>
      <c r="P3282" s="533"/>
      <c r="Q3282" s="533"/>
      <c r="R3282" s="533"/>
      <c r="S3282" s="533"/>
      <c r="T3282" s="533"/>
      <c r="U3282" s="533"/>
      <c r="V3282" s="533"/>
      <c r="W3282" s="533"/>
      <c r="X3282" s="533"/>
      <c r="Y3282" s="533"/>
    </row>
    <row r="3283" spans="1:25" s="88" customFormat="1" ht="15.75" thickBot="1" x14ac:dyDescent="0.3">
      <c r="A3283" s="509"/>
      <c r="B3283" s="256"/>
      <c r="C3283" s="221"/>
      <c r="D3283" s="218"/>
      <c r="E3283" s="218"/>
      <c r="F3283" s="642" t="s">
        <v>246</v>
      </c>
      <c r="G3283" s="643" t="s">
        <v>247</v>
      </c>
      <c r="H3283" s="594"/>
      <c r="I3283" s="595"/>
      <c r="J3283" s="599">
        <f t="shared" si="103"/>
        <v>0</v>
      </c>
      <c r="K3283" s="533"/>
      <c r="L3283" s="533"/>
      <c r="M3283" s="533"/>
      <c r="N3283" s="268"/>
      <c r="O3283" s="533"/>
      <c r="P3283" s="533"/>
      <c r="Q3283" s="533"/>
      <c r="R3283" s="533"/>
      <c r="S3283" s="533"/>
      <c r="T3283" s="533"/>
      <c r="U3283" s="533"/>
      <c r="V3283" s="533"/>
      <c r="W3283" s="533"/>
      <c r="X3283" s="533"/>
      <c r="Y3283" s="533"/>
    </row>
    <row r="3284" spans="1:25" s="88" customFormat="1" hidden="1" x14ac:dyDescent="0.25">
      <c r="A3284" s="509"/>
      <c r="B3284" s="256"/>
      <c r="C3284" s="221"/>
      <c r="D3284" s="218"/>
      <c r="E3284" s="218"/>
      <c r="F3284" s="642" t="s">
        <v>248</v>
      </c>
      <c r="G3284" s="643" t="s">
        <v>249</v>
      </c>
      <c r="H3284" s="594"/>
      <c r="I3284" s="595"/>
      <c r="J3284" s="599">
        <f t="shared" si="103"/>
        <v>0</v>
      </c>
      <c r="K3284" s="533"/>
      <c r="L3284" s="533"/>
      <c r="M3284" s="533"/>
      <c r="N3284" s="268"/>
      <c r="O3284" s="533"/>
      <c r="P3284" s="533"/>
      <c r="Q3284" s="533"/>
      <c r="R3284" s="533"/>
      <c r="S3284" s="533"/>
      <c r="T3284" s="533"/>
      <c r="U3284" s="533"/>
      <c r="V3284" s="533"/>
      <c r="W3284" s="533"/>
      <c r="X3284" s="533"/>
      <c r="Y3284" s="533"/>
    </row>
    <row r="3285" spans="1:25" s="88" customFormat="1" hidden="1" x14ac:dyDescent="0.25">
      <c r="A3285" s="218"/>
      <c r="B3285" s="218"/>
      <c r="C3285" s="221"/>
      <c r="D3285" s="218"/>
      <c r="E3285" s="218"/>
      <c r="F3285" s="642" t="s">
        <v>250</v>
      </c>
      <c r="G3285" s="643" t="s">
        <v>57</v>
      </c>
      <c r="H3285" s="594"/>
      <c r="I3285" s="595"/>
      <c r="J3285" s="599">
        <f t="shared" si="103"/>
        <v>0</v>
      </c>
      <c r="K3285" s="533"/>
      <c r="L3285" s="533"/>
      <c r="M3285" s="533"/>
      <c r="N3285" s="268"/>
      <c r="O3285" s="533"/>
      <c r="P3285" s="533"/>
      <c r="Q3285" s="533"/>
      <c r="R3285" s="533"/>
      <c r="S3285" s="533"/>
      <c r="T3285" s="533"/>
      <c r="U3285" s="533"/>
      <c r="V3285" s="533"/>
      <c r="W3285" s="533"/>
      <c r="X3285" s="533"/>
      <c r="Y3285" s="533"/>
    </row>
    <row r="3286" spans="1:25" s="88" customFormat="1" hidden="1" x14ac:dyDescent="0.25">
      <c r="A3286" s="218"/>
      <c r="B3286" s="218"/>
      <c r="C3286" s="221"/>
      <c r="D3286" s="218"/>
      <c r="E3286" s="218"/>
      <c r="F3286" s="642" t="s">
        <v>251</v>
      </c>
      <c r="G3286" s="643" t="s">
        <v>252</v>
      </c>
      <c r="H3286" s="594"/>
      <c r="I3286" s="595"/>
      <c r="J3286" s="599">
        <f t="shared" si="103"/>
        <v>0</v>
      </c>
      <c r="K3286" s="533"/>
      <c r="L3286" s="533"/>
      <c r="M3286" s="533"/>
      <c r="N3286" s="268"/>
      <c r="O3286" s="533"/>
      <c r="P3286" s="533"/>
      <c r="Q3286" s="533"/>
      <c r="R3286" s="533"/>
      <c r="S3286" s="533"/>
      <c r="T3286" s="533"/>
      <c r="U3286" s="533"/>
      <c r="V3286" s="533"/>
      <c r="W3286" s="533"/>
      <c r="X3286" s="533"/>
      <c r="Y3286" s="533"/>
    </row>
    <row r="3287" spans="1:25" s="88" customFormat="1" hidden="1" x14ac:dyDescent="0.25">
      <c r="A3287" s="218"/>
      <c r="B3287" s="218"/>
      <c r="C3287" s="221"/>
      <c r="D3287" s="218"/>
      <c r="E3287" s="218"/>
      <c r="F3287" s="642" t="s">
        <v>253</v>
      </c>
      <c r="G3287" s="643" t="s">
        <v>254</v>
      </c>
      <c r="H3287" s="594"/>
      <c r="I3287" s="595"/>
      <c r="J3287" s="599">
        <f t="shared" si="103"/>
        <v>0</v>
      </c>
      <c r="K3287" s="533"/>
      <c r="L3287" s="533"/>
      <c r="M3287" s="533"/>
      <c r="N3287" s="268"/>
      <c r="O3287" s="533"/>
      <c r="P3287" s="533"/>
      <c r="Q3287" s="533"/>
      <c r="R3287" s="533"/>
      <c r="S3287" s="533"/>
      <c r="T3287" s="533"/>
      <c r="U3287" s="533"/>
      <c r="V3287" s="533"/>
      <c r="W3287" s="533"/>
      <c r="X3287" s="533"/>
      <c r="Y3287" s="533"/>
    </row>
    <row r="3288" spans="1:25" s="88" customFormat="1" ht="30" hidden="1" x14ac:dyDescent="0.25">
      <c r="A3288" s="218"/>
      <c r="B3288" s="218"/>
      <c r="C3288" s="221"/>
      <c r="D3288" s="218"/>
      <c r="E3288" s="218"/>
      <c r="F3288" s="642" t="s">
        <v>255</v>
      </c>
      <c r="G3288" s="643" t="s">
        <v>256</v>
      </c>
      <c r="H3288" s="594"/>
      <c r="I3288" s="595"/>
      <c r="J3288" s="599">
        <f t="shared" si="103"/>
        <v>0</v>
      </c>
      <c r="K3288" s="533"/>
      <c r="L3288" s="533"/>
      <c r="M3288" s="533"/>
      <c r="N3288" s="268"/>
      <c r="O3288" s="533"/>
      <c r="P3288" s="533"/>
      <c r="Q3288" s="533"/>
      <c r="R3288" s="533"/>
      <c r="S3288" s="533"/>
      <c r="T3288" s="533"/>
      <c r="U3288" s="533"/>
      <c r="V3288" s="533"/>
      <c r="W3288" s="533"/>
      <c r="X3288" s="533"/>
      <c r="Y3288" s="533"/>
    </row>
    <row r="3289" spans="1:25" s="88" customFormat="1" hidden="1" x14ac:dyDescent="0.25">
      <c r="A3289" s="218"/>
      <c r="B3289" s="218"/>
      <c r="C3289" s="221"/>
      <c r="D3289" s="218"/>
      <c r="E3289" s="218"/>
      <c r="F3289" s="642" t="s">
        <v>257</v>
      </c>
      <c r="G3289" s="643" t="s">
        <v>258</v>
      </c>
      <c r="H3289" s="594"/>
      <c r="I3289" s="595"/>
      <c r="J3289" s="599">
        <f t="shared" si="103"/>
        <v>0</v>
      </c>
      <c r="K3289" s="533"/>
      <c r="L3289" s="533"/>
      <c r="M3289" s="533"/>
      <c r="N3289" s="268"/>
      <c r="O3289" s="533"/>
      <c r="P3289" s="533"/>
      <c r="Q3289" s="533"/>
      <c r="R3289" s="533"/>
      <c r="S3289" s="533"/>
      <c r="T3289" s="533"/>
      <c r="U3289" s="533"/>
      <c r="V3289" s="533"/>
      <c r="W3289" s="533"/>
      <c r="X3289" s="533"/>
      <c r="Y3289" s="533"/>
    </row>
    <row r="3290" spans="1:25" s="88" customFormat="1" ht="30" hidden="1" x14ac:dyDescent="0.25">
      <c r="A3290" s="218"/>
      <c r="B3290" s="218"/>
      <c r="C3290" s="221"/>
      <c r="D3290" s="218"/>
      <c r="E3290" s="218"/>
      <c r="F3290" s="642" t="s">
        <v>259</v>
      </c>
      <c r="G3290" s="643" t="s">
        <v>260</v>
      </c>
      <c r="H3290" s="594"/>
      <c r="I3290" s="595"/>
      <c r="J3290" s="599">
        <f t="shared" si="103"/>
        <v>0</v>
      </c>
      <c r="K3290" s="533"/>
      <c r="L3290" s="533"/>
      <c r="M3290" s="533"/>
      <c r="N3290" s="268"/>
      <c r="O3290" s="533"/>
      <c r="P3290" s="533"/>
      <c r="Q3290" s="533"/>
      <c r="R3290" s="533"/>
      <c r="S3290" s="533"/>
      <c r="T3290" s="533"/>
      <c r="U3290" s="533"/>
      <c r="V3290" s="533"/>
      <c r="W3290" s="533"/>
      <c r="X3290" s="533"/>
      <c r="Y3290" s="533"/>
    </row>
    <row r="3291" spans="1:25" s="88" customFormat="1" hidden="1" x14ac:dyDescent="0.25">
      <c r="A3291" s="218"/>
      <c r="B3291" s="218"/>
      <c r="C3291" s="221"/>
      <c r="D3291" s="218"/>
      <c r="E3291" s="218"/>
      <c r="F3291" s="642" t="s">
        <v>261</v>
      </c>
      <c r="G3291" s="643" t="s">
        <v>262</v>
      </c>
      <c r="H3291" s="594"/>
      <c r="I3291" s="595"/>
      <c r="J3291" s="599">
        <f t="shared" si="103"/>
        <v>0</v>
      </c>
      <c r="K3291" s="533"/>
      <c r="L3291" s="533"/>
      <c r="M3291" s="533"/>
      <c r="N3291" s="268"/>
      <c r="O3291" s="533"/>
      <c r="P3291" s="533"/>
      <c r="Q3291" s="533"/>
      <c r="R3291" s="533"/>
      <c r="S3291" s="533"/>
      <c r="T3291" s="533"/>
      <c r="U3291" s="533"/>
      <c r="V3291" s="533"/>
      <c r="W3291" s="533"/>
      <c r="X3291" s="533"/>
      <c r="Y3291" s="533"/>
    </row>
    <row r="3292" spans="1:25" s="88" customFormat="1" ht="15.75" hidden="1" thickBot="1" x14ac:dyDescent="0.3">
      <c r="A3292" s="218"/>
      <c r="B3292" s="218"/>
      <c r="C3292" s="221"/>
      <c r="D3292" s="218"/>
      <c r="E3292" s="218"/>
      <c r="F3292" s="642" t="s">
        <v>263</v>
      </c>
      <c r="G3292" s="643" t="s">
        <v>264</v>
      </c>
      <c r="H3292" s="598"/>
      <c r="I3292" s="599"/>
      <c r="J3292" s="599">
        <f t="shared" si="103"/>
        <v>0</v>
      </c>
      <c r="K3292" s="533"/>
      <c r="L3292" s="533"/>
      <c r="M3292" s="533"/>
      <c r="N3292" s="268"/>
      <c r="O3292" s="533"/>
      <c r="P3292" s="533"/>
      <c r="Q3292" s="533"/>
      <c r="R3292" s="533"/>
      <c r="S3292" s="533"/>
      <c r="T3292" s="533"/>
      <c r="U3292" s="533"/>
      <c r="V3292" s="533"/>
      <c r="W3292" s="533"/>
      <c r="X3292" s="533"/>
      <c r="Y3292" s="533"/>
    </row>
    <row r="3293" spans="1:25" s="88" customFormat="1" ht="15.75" thickBot="1" x14ac:dyDescent="0.3">
      <c r="A3293" s="218"/>
      <c r="B3293" s="218"/>
      <c r="C3293" s="221"/>
      <c r="D3293" s="218"/>
      <c r="E3293" s="218"/>
      <c r="F3293" s="218"/>
      <c r="G3293" s="229" t="s">
        <v>4369</v>
      </c>
      <c r="H3293" s="600">
        <f>SUM(H3277:H3292)</f>
        <v>2500000</v>
      </c>
      <c r="I3293" s="601">
        <f>SUM(I3278:I3292)</f>
        <v>0</v>
      </c>
      <c r="J3293" s="601">
        <f>SUM(J3277:J3292)</f>
        <v>2500000</v>
      </c>
      <c r="K3293" s="533"/>
      <c r="L3293" s="533"/>
      <c r="M3293" s="533"/>
      <c r="N3293" s="268"/>
      <c r="O3293" s="533"/>
      <c r="P3293" s="533"/>
      <c r="Q3293" s="533"/>
      <c r="R3293" s="533"/>
      <c r="S3293" s="533"/>
      <c r="T3293" s="533"/>
      <c r="U3293" s="533"/>
      <c r="V3293" s="533"/>
      <c r="W3293" s="533"/>
      <c r="X3293" s="533"/>
      <c r="Y3293" s="533"/>
    </row>
    <row r="3294" spans="1:25" s="88" customFormat="1" x14ac:dyDescent="0.25">
      <c r="A3294" s="218"/>
      <c r="B3294" s="218"/>
      <c r="C3294" s="221"/>
      <c r="D3294" s="218"/>
      <c r="E3294" s="218"/>
      <c r="F3294" s="218"/>
      <c r="G3294" s="286" t="s">
        <v>5262</v>
      </c>
      <c r="H3294" s="604"/>
      <c r="I3294" s="605"/>
      <c r="J3294" s="605"/>
      <c r="K3294" s="533"/>
      <c r="L3294" s="533"/>
      <c r="M3294" s="533"/>
      <c r="N3294" s="268"/>
      <c r="O3294" s="533"/>
      <c r="P3294" s="533"/>
      <c r="Q3294" s="533"/>
      <c r="R3294" s="533"/>
      <c r="S3294" s="533"/>
      <c r="T3294" s="533"/>
      <c r="U3294" s="533"/>
      <c r="V3294" s="533"/>
      <c r="W3294" s="533"/>
      <c r="X3294" s="533"/>
      <c r="Y3294" s="533"/>
    </row>
    <row r="3295" spans="1:25" s="88" customFormat="1" ht="15.75" thickBot="1" x14ac:dyDescent="0.3">
      <c r="A3295" s="218"/>
      <c r="B3295" s="218"/>
      <c r="C3295" s="221"/>
      <c r="D3295" s="218"/>
      <c r="E3295" s="218"/>
      <c r="F3295" s="218" t="s">
        <v>234</v>
      </c>
      <c r="G3295" s="723" t="s">
        <v>235</v>
      </c>
      <c r="H3295" s="725">
        <f>SUM(H3216:H3275)</f>
        <v>2500000</v>
      </c>
      <c r="I3295" s="726"/>
      <c r="J3295" s="729">
        <f t="shared" ref="J3295:J3310" si="104">SUM(H3295:I3295)</f>
        <v>2500000</v>
      </c>
      <c r="K3295" s="533"/>
      <c r="L3295" s="533"/>
      <c r="M3295" s="533"/>
      <c r="N3295" s="268"/>
      <c r="O3295" s="533"/>
      <c r="P3295" s="533"/>
      <c r="Q3295" s="533"/>
      <c r="R3295" s="533"/>
      <c r="S3295" s="533"/>
      <c r="T3295" s="533"/>
      <c r="U3295" s="533"/>
      <c r="V3295" s="533"/>
      <c r="W3295" s="533"/>
      <c r="X3295" s="533"/>
      <c r="Y3295" s="533"/>
    </row>
    <row r="3296" spans="1:25" s="88" customFormat="1" hidden="1" x14ac:dyDescent="0.25">
      <c r="A3296" s="218"/>
      <c r="B3296" s="218"/>
      <c r="C3296" s="221"/>
      <c r="D3296" s="218"/>
      <c r="E3296" s="218"/>
      <c r="F3296" s="218" t="s">
        <v>236</v>
      </c>
      <c r="G3296" s="286" t="s">
        <v>237</v>
      </c>
      <c r="H3296" s="604"/>
      <c r="I3296" s="605"/>
      <c r="J3296" s="605">
        <f t="shared" si="104"/>
        <v>0</v>
      </c>
      <c r="K3296" s="533"/>
      <c r="L3296" s="533"/>
      <c r="M3296" s="533"/>
      <c r="N3296" s="268"/>
      <c r="O3296" s="533"/>
      <c r="P3296" s="533"/>
      <c r="Q3296" s="533"/>
      <c r="R3296" s="533"/>
      <c r="S3296" s="533"/>
      <c r="T3296" s="533"/>
      <c r="U3296" s="533"/>
      <c r="V3296" s="533"/>
      <c r="W3296" s="533"/>
      <c r="X3296" s="533"/>
      <c r="Y3296" s="533"/>
    </row>
    <row r="3297" spans="1:25" s="88" customFormat="1" hidden="1" x14ac:dyDescent="0.25">
      <c r="A3297" s="218"/>
      <c r="B3297" s="218"/>
      <c r="C3297" s="221"/>
      <c r="D3297" s="218"/>
      <c r="E3297" s="218"/>
      <c r="F3297" s="218" t="s">
        <v>238</v>
      </c>
      <c r="G3297" s="286" t="s">
        <v>239</v>
      </c>
      <c r="H3297" s="604"/>
      <c r="I3297" s="605"/>
      <c r="J3297" s="605">
        <f t="shared" si="104"/>
        <v>0</v>
      </c>
      <c r="K3297" s="533"/>
      <c r="L3297" s="533"/>
      <c r="M3297" s="533"/>
      <c r="N3297" s="268"/>
      <c r="O3297" s="533"/>
      <c r="P3297" s="533"/>
      <c r="Q3297" s="533"/>
      <c r="R3297" s="533"/>
      <c r="S3297" s="533"/>
      <c r="T3297" s="533"/>
      <c r="U3297" s="533"/>
      <c r="V3297" s="533"/>
      <c r="W3297" s="533"/>
      <c r="X3297" s="533"/>
      <c r="Y3297" s="533"/>
    </row>
    <row r="3298" spans="1:25" s="88" customFormat="1" hidden="1" x14ac:dyDescent="0.25">
      <c r="A3298" s="218"/>
      <c r="B3298" s="218"/>
      <c r="C3298" s="221"/>
      <c r="D3298" s="218"/>
      <c r="E3298" s="218"/>
      <c r="F3298" s="218" t="s">
        <v>240</v>
      </c>
      <c r="G3298" s="286" t="s">
        <v>241</v>
      </c>
      <c r="H3298" s="604"/>
      <c r="I3298" s="605"/>
      <c r="J3298" s="605">
        <f t="shared" si="104"/>
        <v>0</v>
      </c>
      <c r="K3298" s="533"/>
      <c r="L3298" s="533"/>
      <c r="M3298" s="533"/>
      <c r="N3298" s="268"/>
      <c r="O3298" s="533"/>
      <c r="P3298" s="533"/>
      <c r="Q3298" s="533"/>
      <c r="R3298" s="533"/>
      <c r="S3298" s="533"/>
      <c r="T3298" s="533"/>
      <c r="U3298" s="533"/>
      <c r="V3298" s="533"/>
      <c r="W3298" s="533"/>
      <c r="X3298" s="533"/>
      <c r="Y3298" s="533"/>
    </row>
    <row r="3299" spans="1:25" s="88" customFormat="1" hidden="1" x14ac:dyDescent="0.25">
      <c r="A3299" s="218"/>
      <c r="B3299" s="218"/>
      <c r="C3299" s="221"/>
      <c r="D3299" s="218"/>
      <c r="E3299" s="218"/>
      <c r="F3299" s="218" t="s">
        <v>242</v>
      </c>
      <c r="G3299" s="286" t="s">
        <v>243</v>
      </c>
      <c r="H3299" s="604"/>
      <c r="I3299" s="605"/>
      <c r="J3299" s="605">
        <f t="shared" si="104"/>
        <v>0</v>
      </c>
      <c r="K3299" s="533"/>
      <c r="L3299" s="533"/>
      <c r="M3299" s="533"/>
      <c r="N3299" s="268"/>
      <c r="O3299" s="533"/>
      <c r="P3299" s="533"/>
      <c r="Q3299" s="533"/>
      <c r="R3299" s="533"/>
      <c r="S3299" s="533"/>
      <c r="T3299" s="533"/>
      <c r="U3299" s="533"/>
      <c r="V3299" s="533"/>
      <c r="W3299" s="533"/>
      <c r="X3299" s="533"/>
      <c r="Y3299" s="533"/>
    </row>
    <row r="3300" spans="1:25" s="88" customFormat="1" hidden="1" x14ac:dyDescent="0.25">
      <c r="A3300" s="218"/>
      <c r="B3300" s="218"/>
      <c r="C3300" s="221"/>
      <c r="D3300" s="218"/>
      <c r="E3300" s="218"/>
      <c r="F3300" s="218" t="s">
        <v>244</v>
      </c>
      <c r="G3300" s="286" t="s">
        <v>245</v>
      </c>
      <c r="H3300" s="604"/>
      <c r="I3300" s="605"/>
      <c r="J3300" s="605">
        <f t="shared" si="104"/>
        <v>0</v>
      </c>
      <c r="K3300" s="533"/>
      <c r="L3300" s="533"/>
      <c r="M3300" s="533"/>
      <c r="N3300" s="268"/>
      <c r="O3300" s="533"/>
      <c r="P3300" s="533"/>
      <c r="Q3300" s="533"/>
      <c r="R3300" s="533"/>
      <c r="S3300" s="533"/>
      <c r="T3300" s="533"/>
      <c r="U3300" s="533"/>
      <c r="V3300" s="533"/>
      <c r="W3300" s="533"/>
      <c r="X3300" s="533"/>
      <c r="Y3300" s="533"/>
    </row>
    <row r="3301" spans="1:25" s="88" customFormat="1" hidden="1" x14ac:dyDescent="0.25">
      <c r="A3301" s="218"/>
      <c r="B3301" s="218"/>
      <c r="C3301" s="221"/>
      <c r="D3301" s="218"/>
      <c r="E3301" s="218"/>
      <c r="F3301" s="218" t="s">
        <v>246</v>
      </c>
      <c r="G3301" s="286" t="s">
        <v>247</v>
      </c>
      <c r="H3301" s="604"/>
      <c r="I3301" s="605"/>
      <c r="J3301" s="605">
        <f t="shared" si="104"/>
        <v>0</v>
      </c>
      <c r="K3301" s="533"/>
      <c r="L3301" s="533"/>
      <c r="M3301" s="533"/>
      <c r="N3301" s="268"/>
      <c r="O3301" s="533"/>
      <c r="P3301" s="533"/>
      <c r="Q3301" s="533"/>
      <c r="R3301" s="533"/>
      <c r="S3301" s="533"/>
      <c r="T3301" s="533"/>
      <c r="U3301" s="533"/>
      <c r="V3301" s="533"/>
      <c r="W3301" s="533"/>
      <c r="X3301" s="533"/>
      <c r="Y3301" s="533"/>
    </row>
    <row r="3302" spans="1:25" s="88" customFormat="1" hidden="1" x14ac:dyDescent="0.25">
      <c r="A3302" s="218"/>
      <c r="B3302" s="218"/>
      <c r="C3302" s="221"/>
      <c r="D3302" s="218"/>
      <c r="E3302" s="218"/>
      <c r="F3302" s="218" t="s">
        <v>248</v>
      </c>
      <c r="G3302" s="286" t="s">
        <v>249</v>
      </c>
      <c r="H3302" s="604"/>
      <c r="I3302" s="605"/>
      <c r="J3302" s="605">
        <f t="shared" si="104"/>
        <v>0</v>
      </c>
      <c r="K3302" s="533"/>
      <c r="L3302" s="533"/>
      <c r="M3302" s="533"/>
      <c r="N3302" s="268"/>
      <c r="O3302" s="533"/>
      <c r="P3302" s="533"/>
      <c r="Q3302" s="533"/>
      <c r="R3302" s="533"/>
      <c r="S3302" s="533"/>
      <c r="T3302" s="533"/>
      <c r="U3302" s="533"/>
      <c r="V3302" s="533"/>
      <c r="W3302" s="533"/>
      <c r="X3302" s="533"/>
      <c r="Y3302" s="533"/>
    </row>
    <row r="3303" spans="1:25" s="88" customFormat="1" hidden="1" x14ac:dyDescent="0.25">
      <c r="A3303" s="218"/>
      <c r="B3303" s="218"/>
      <c r="C3303" s="221"/>
      <c r="D3303" s="218"/>
      <c r="E3303" s="218"/>
      <c r="F3303" s="218" t="s">
        <v>250</v>
      </c>
      <c r="G3303" s="286" t="s">
        <v>57</v>
      </c>
      <c r="H3303" s="604"/>
      <c r="I3303" s="605"/>
      <c r="J3303" s="605">
        <f t="shared" si="104"/>
        <v>0</v>
      </c>
      <c r="K3303" s="533"/>
      <c r="L3303" s="533"/>
      <c r="M3303" s="533"/>
      <c r="N3303" s="268"/>
      <c r="O3303" s="533"/>
      <c r="P3303" s="533"/>
      <c r="Q3303" s="533"/>
      <c r="R3303" s="533"/>
      <c r="S3303" s="533"/>
      <c r="T3303" s="533"/>
      <c r="U3303" s="533"/>
      <c r="V3303" s="533"/>
      <c r="W3303" s="533"/>
      <c r="X3303" s="533"/>
      <c r="Y3303" s="533"/>
    </row>
    <row r="3304" spans="1:25" s="88" customFormat="1" hidden="1" x14ac:dyDescent="0.25">
      <c r="A3304" s="218"/>
      <c r="B3304" s="218"/>
      <c r="C3304" s="221"/>
      <c r="D3304" s="218"/>
      <c r="E3304" s="218"/>
      <c r="F3304" s="218" t="s">
        <v>251</v>
      </c>
      <c r="G3304" s="286" t="s">
        <v>252</v>
      </c>
      <c r="H3304" s="604"/>
      <c r="I3304" s="605"/>
      <c r="J3304" s="605">
        <f t="shared" si="104"/>
        <v>0</v>
      </c>
      <c r="K3304" s="533"/>
      <c r="L3304" s="533"/>
      <c r="M3304" s="533"/>
      <c r="N3304" s="268"/>
      <c r="O3304" s="533"/>
      <c r="P3304" s="533"/>
      <c r="Q3304" s="533"/>
      <c r="R3304" s="533"/>
      <c r="S3304" s="533"/>
      <c r="T3304" s="533"/>
      <c r="U3304" s="533"/>
      <c r="V3304" s="533"/>
      <c r="W3304" s="533"/>
      <c r="X3304" s="533"/>
      <c r="Y3304" s="533"/>
    </row>
    <row r="3305" spans="1:25" s="88" customFormat="1" hidden="1" x14ac:dyDescent="0.25">
      <c r="A3305" s="218"/>
      <c r="B3305" s="218"/>
      <c r="C3305" s="221"/>
      <c r="D3305" s="218"/>
      <c r="E3305" s="218"/>
      <c r="F3305" s="218" t="s">
        <v>253</v>
      </c>
      <c r="G3305" s="286" t="s">
        <v>254</v>
      </c>
      <c r="H3305" s="604"/>
      <c r="I3305" s="605"/>
      <c r="J3305" s="605">
        <f t="shared" si="104"/>
        <v>0</v>
      </c>
      <c r="K3305" s="533"/>
      <c r="L3305" s="533"/>
      <c r="M3305" s="533"/>
      <c r="N3305" s="268"/>
      <c r="O3305" s="533"/>
      <c r="P3305" s="533"/>
      <c r="Q3305" s="533"/>
      <c r="R3305" s="533"/>
      <c r="S3305" s="533"/>
      <c r="T3305" s="533"/>
      <c r="U3305" s="533"/>
      <c r="V3305" s="533"/>
      <c r="W3305" s="533"/>
      <c r="X3305" s="533"/>
      <c r="Y3305" s="533"/>
    </row>
    <row r="3306" spans="1:25" s="88" customFormat="1" ht="28.5" hidden="1" x14ac:dyDescent="0.25">
      <c r="A3306" s="218"/>
      <c r="B3306" s="218"/>
      <c r="C3306" s="221"/>
      <c r="D3306" s="218"/>
      <c r="E3306" s="218"/>
      <c r="F3306" s="218" t="s">
        <v>255</v>
      </c>
      <c r="G3306" s="286" t="s">
        <v>256</v>
      </c>
      <c r="H3306" s="604"/>
      <c r="I3306" s="605"/>
      <c r="J3306" s="605">
        <f t="shared" si="104"/>
        <v>0</v>
      </c>
      <c r="K3306" s="533"/>
      <c r="L3306" s="533"/>
      <c r="M3306" s="533"/>
      <c r="N3306" s="268"/>
      <c r="O3306" s="533"/>
      <c r="P3306" s="533"/>
      <c r="Q3306" s="533"/>
      <c r="R3306" s="533"/>
      <c r="S3306" s="533"/>
      <c r="T3306" s="533"/>
      <c r="U3306" s="533"/>
      <c r="V3306" s="533"/>
      <c r="W3306" s="533"/>
      <c r="X3306" s="533"/>
      <c r="Y3306" s="533"/>
    </row>
    <row r="3307" spans="1:25" s="88" customFormat="1" hidden="1" x14ac:dyDescent="0.25">
      <c r="A3307" s="218"/>
      <c r="B3307" s="218"/>
      <c r="C3307" s="221"/>
      <c r="D3307" s="218"/>
      <c r="E3307" s="218"/>
      <c r="F3307" s="218" t="s">
        <v>257</v>
      </c>
      <c r="G3307" s="286" t="s">
        <v>258</v>
      </c>
      <c r="H3307" s="604"/>
      <c r="I3307" s="605"/>
      <c r="J3307" s="605">
        <f t="shared" si="104"/>
        <v>0</v>
      </c>
      <c r="K3307" s="533"/>
      <c r="L3307" s="533"/>
      <c r="M3307" s="533"/>
      <c r="N3307" s="268"/>
      <c r="O3307" s="533"/>
      <c r="P3307" s="533"/>
      <c r="Q3307" s="533"/>
      <c r="R3307" s="533"/>
      <c r="S3307" s="533"/>
      <c r="T3307" s="533"/>
      <c r="U3307" s="533"/>
      <c r="V3307" s="533"/>
      <c r="W3307" s="533"/>
      <c r="X3307" s="533"/>
      <c r="Y3307" s="533"/>
    </row>
    <row r="3308" spans="1:25" s="88" customFormat="1" ht="28.5" hidden="1" x14ac:dyDescent="0.25">
      <c r="A3308" s="218"/>
      <c r="B3308" s="218"/>
      <c r="C3308" s="221"/>
      <c r="D3308" s="218"/>
      <c r="E3308" s="218"/>
      <c r="F3308" s="218" t="s">
        <v>259</v>
      </c>
      <c r="G3308" s="286" t="s">
        <v>260</v>
      </c>
      <c r="H3308" s="604"/>
      <c r="I3308" s="605"/>
      <c r="J3308" s="605">
        <f t="shared" si="104"/>
        <v>0</v>
      </c>
      <c r="K3308" s="533"/>
      <c r="L3308" s="533"/>
      <c r="M3308" s="533"/>
      <c r="N3308" s="268"/>
      <c r="O3308" s="533"/>
      <c r="P3308" s="533"/>
      <c r="Q3308" s="533"/>
      <c r="R3308" s="533"/>
      <c r="S3308" s="533"/>
      <c r="T3308" s="533"/>
      <c r="U3308" s="533"/>
      <c r="V3308" s="533"/>
      <c r="W3308" s="533"/>
      <c r="X3308" s="533"/>
      <c r="Y3308" s="533"/>
    </row>
    <row r="3309" spans="1:25" s="88" customFormat="1" hidden="1" x14ac:dyDescent="0.25">
      <c r="A3309" s="218"/>
      <c r="B3309" s="218"/>
      <c r="C3309" s="221"/>
      <c r="D3309" s="218"/>
      <c r="E3309" s="218"/>
      <c r="F3309" s="218" t="s">
        <v>261</v>
      </c>
      <c r="G3309" s="286" t="s">
        <v>262</v>
      </c>
      <c r="H3309" s="604"/>
      <c r="I3309" s="605"/>
      <c r="J3309" s="605">
        <f t="shared" si="104"/>
        <v>0</v>
      </c>
      <c r="K3309" s="533"/>
      <c r="L3309" s="533"/>
      <c r="M3309" s="533"/>
      <c r="N3309" s="268"/>
      <c r="O3309" s="533"/>
      <c r="P3309" s="533"/>
      <c r="Q3309" s="533"/>
      <c r="R3309" s="533"/>
      <c r="S3309" s="533"/>
      <c r="T3309" s="533"/>
      <c r="U3309" s="533"/>
      <c r="V3309" s="533"/>
      <c r="W3309" s="533"/>
      <c r="X3309" s="533"/>
      <c r="Y3309" s="533"/>
    </row>
    <row r="3310" spans="1:25" s="88" customFormat="1" hidden="1" x14ac:dyDescent="0.25">
      <c r="A3310" s="218"/>
      <c r="B3310" s="218"/>
      <c r="C3310" s="221"/>
      <c r="D3310" s="218"/>
      <c r="E3310" s="218"/>
      <c r="F3310" s="218" t="s">
        <v>263</v>
      </c>
      <c r="G3310" s="286" t="s">
        <v>264</v>
      </c>
      <c r="H3310" s="604"/>
      <c r="I3310" s="605"/>
      <c r="J3310" s="605">
        <f t="shared" si="104"/>
        <v>0</v>
      </c>
      <c r="K3310" s="533"/>
      <c r="L3310" s="533"/>
      <c r="M3310" s="533"/>
      <c r="N3310" s="268"/>
      <c r="O3310" s="533"/>
      <c r="P3310" s="533"/>
      <c r="Q3310" s="533"/>
      <c r="R3310" s="533"/>
      <c r="S3310" s="533"/>
      <c r="T3310" s="533"/>
      <c r="U3310" s="533"/>
      <c r="V3310" s="533"/>
      <c r="W3310" s="533"/>
      <c r="X3310" s="533"/>
      <c r="Y3310" s="533"/>
    </row>
    <row r="3311" spans="1:25" s="88" customFormat="1" ht="15.75" thickBot="1" x14ac:dyDescent="0.3">
      <c r="A3311" s="218"/>
      <c r="B3311" s="218"/>
      <c r="C3311" s="221"/>
      <c r="D3311" s="218"/>
      <c r="E3311" s="218"/>
      <c r="F3311" s="218"/>
      <c r="G3311" s="727" t="s">
        <v>5263</v>
      </c>
      <c r="H3311" s="728">
        <f>SUM(H3295:H3310)</f>
        <v>2500000</v>
      </c>
      <c r="I3311" s="726">
        <f>SUM(I3296:I3310)</f>
        <v>0</v>
      </c>
      <c r="J3311" s="726">
        <f>SUM(J3295:J3310)</f>
        <v>2500000</v>
      </c>
      <c r="K3311" s="533"/>
      <c r="L3311" s="533"/>
      <c r="M3311" s="533"/>
      <c r="N3311" s="268"/>
      <c r="O3311" s="533"/>
      <c r="P3311" s="533"/>
      <c r="Q3311" s="533"/>
      <c r="R3311" s="533"/>
      <c r="S3311" s="533"/>
      <c r="T3311" s="533"/>
      <c r="U3311" s="533"/>
      <c r="V3311" s="533"/>
      <c r="W3311" s="533"/>
      <c r="X3311" s="533"/>
      <c r="Y3311" s="533"/>
    </row>
    <row r="3312" spans="1:25" s="88" customFormat="1" x14ac:dyDescent="0.25">
      <c r="A3312" s="218"/>
      <c r="B3312" s="218"/>
      <c r="C3312" s="221"/>
      <c r="D3312" s="218"/>
      <c r="E3312" s="218"/>
      <c r="F3312" s="218"/>
      <c r="G3312" s="286"/>
      <c r="H3312" s="604"/>
      <c r="I3312" s="605"/>
      <c r="J3312" s="605"/>
      <c r="K3312" s="533"/>
      <c r="L3312" s="533"/>
      <c r="M3312" s="533"/>
      <c r="N3312" s="268"/>
      <c r="O3312" s="533"/>
      <c r="P3312" s="533"/>
      <c r="Q3312" s="533"/>
      <c r="R3312" s="533"/>
      <c r="S3312" s="533"/>
      <c r="T3312" s="533"/>
      <c r="U3312" s="533"/>
      <c r="V3312" s="533"/>
      <c r="W3312" s="533"/>
      <c r="X3312" s="533"/>
      <c r="Y3312" s="533"/>
    </row>
    <row r="3313" spans="1:25" s="88" customFormat="1" ht="28.5" x14ac:dyDescent="0.25">
      <c r="A3313" s="509"/>
      <c r="B3313" s="256"/>
      <c r="C3313" s="323" t="s">
        <v>4670</v>
      </c>
      <c r="D3313" s="285"/>
      <c r="E3313" s="285"/>
      <c r="F3313" s="222"/>
      <c r="G3313" s="286" t="s">
        <v>5281</v>
      </c>
      <c r="H3313" s="594"/>
      <c r="I3313" s="595"/>
      <c r="J3313" s="595"/>
      <c r="K3313" s="533"/>
      <c r="L3313" s="533"/>
      <c r="M3313" s="533"/>
      <c r="N3313" s="268"/>
      <c r="O3313" s="533"/>
      <c r="P3313" s="533"/>
      <c r="Q3313" s="533"/>
      <c r="R3313" s="533"/>
      <c r="S3313" s="533"/>
      <c r="T3313" s="533"/>
      <c r="U3313" s="533"/>
      <c r="V3313" s="533"/>
      <c r="W3313" s="533"/>
      <c r="X3313" s="533"/>
      <c r="Y3313" s="533"/>
    </row>
    <row r="3314" spans="1:25" s="88" customFormat="1" x14ac:dyDescent="0.25">
      <c r="A3314" s="509"/>
      <c r="B3314" s="256"/>
      <c r="C3314" s="228"/>
      <c r="D3314" s="312">
        <v>620</v>
      </c>
      <c r="E3314" s="312"/>
      <c r="F3314" s="312"/>
      <c r="G3314" s="314" t="s">
        <v>182</v>
      </c>
      <c r="H3314" s="594"/>
      <c r="I3314" s="595"/>
      <c r="J3314" s="595"/>
      <c r="K3314" s="533"/>
      <c r="L3314" s="533"/>
      <c r="M3314" s="533"/>
      <c r="N3314" s="268"/>
      <c r="O3314" s="533"/>
      <c r="P3314" s="533"/>
      <c r="Q3314" s="533"/>
      <c r="R3314" s="533"/>
      <c r="S3314" s="533"/>
      <c r="T3314" s="533"/>
      <c r="U3314" s="533"/>
      <c r="V3314" s="533"/>
      <c r="W3314" s="533"/>
      <c r="X3314" s="533"/>
      <c r="Y3314" s="533"/>
    </row>
    <row r="3315" spans="1:25" s="88" customFormat="1" hidden="1" x14ac:dyDescent="0.25">
      <c r="A3315" s="509"/>
      <c r="B3315" s="256"/>
      <c r="C3315" s="221"/>
      <c r="D3315" s="218"/>
      <c r="E3315" s="218"/>
      <c r="F3315" s="527">
        <v>411</v>
      </c>
      <c r="G3315" s="520" t="s">
        <v>4189</v>
      </c>
      <c r="H3315" s="594"/>
      <c r="I3315" s="595"/>
      <c r="J3315" s="595">
        <f>SUM(H3315:I3315)</f>
        <v>0</v>
      </c>
      <c r="K3315" s="533"/>
      <c r="L3315" s="533"/>
      <c r="M3315" s="533"/>
      <c r="N3315" s="268"/>
      <c r="O3315" s="533"/>
      <c r="P3315" s="533"/>
      <c r="Q3315" s="533"/>
      <c r="R3315" s="533"/>
      <c r="S3315" s="533"/>
      <c r="T3315" s="533"/>
      <c r="U3315" s="533"/>
      <c r="V3315" s="533"/>
      <c r="W3315" s="533"/>
      <c r="X3315" s="533"/>
      <c r="Y3315" s="533"/>
    </row>
    <row r="3316" spans="1:25" s="88" customFormat="1" hidden="1" x14ac:dyDescent="0.25">
      <c r="A3316" s="509"/>
      <c r="B3316" s="256"/>
      <c r="C3316" s="221"/>
      <c r="D3316" s="218"/>
      <c r="E3316" s="218"/>
      <c r="F3316" s="527">
        <v>412</v>
      </c>
      <c r="G3316" s="516" t="s">
        <v>3784</v>
      </c>
      <c r="H3316" s="594"/>
      <c r="I3316" s="595"/>
      <c r="J3316" s="595">
        <f t="shared" ref="J3316:J3374" si="105">SUM(H3316:I3316)</f>
        <v>0</v>
      </c>
      <c r="K3316" s="533"/>
      <c r="L3316" s="533"/>
      <c r="M3316" s="533"/>
      <c r="N3316" s="268"/>
      <c r="O3316" s="533"/>
      <c r="P3316" s="533"/>
      <c r="Q3316" s="533"/>
      <c r="R3316" s="533"/>
      <c r="S3316" s="533"/>
      <c r="T3316" s="533"/>
      <c r="U3316" s="533"/>
      <c r="V3316" s="533"/>
      <c r="W3316" s="533"/>
      <c r="X3316" s="533"/>
      <c r="Y3316" s="533"/>
    </row>
    <row r="3317" spans="1:25" s="88" customFormat="1" hidden="1" x14ac:dyDescent="0.25">
      <c r="A3317" s="509"/>
      <c r="B3317" s="256"/>
      <c r="C3317" s="221"/>
      <c r="D3317" s="218"/>
      <c r="E3317" s="218"/>
      <c r="F3317" s="527">
        <v>413</v>
      </c>
      <c r="G3317" s="520" t="s">
        <v>4190</v>
      </c>
      <c r="H3317" s="594"/>
      <c r="I3317" s="595"/>
      <c r="J3317" s="595">
        <f t="shared" si="105"/>
        <v>0</v>
      </c>
      <c r="K3317" s="533"/>
      <c r="L3317" s="533"/>
      <c r="M3317" s="533"/>
      <c r="N3317" s="268"/>
      <c r="O3317" s="533"/>
      <c r="P3317" s="533"/>
      <c r="Q3317" s="533"/>
      <c r="R3317" s="533"/>
      <c r="S3317" s="533"/>
      <c r="T3317" s="533"/>
      <c r="U3317" s="533"/>
      <c r="V3317" s="533"/>
      <c r="W3317" s="533"/>
      <c r="X3317" s="533"/>
      <c r="Y3317" s="533"/>
    </row>
    <row r="3318" spans="1:25" s="88" customFormat="1" hidden="1" x14ac:dyDescent="0.25">
      <c r="A3318" s="509"/>
      <c r="B3318" s="256"/>
      <c r="C3318" s="221"/>
      <c r="D3318" s="218"/>
      <c r="E3318" s="218"/>
      <c r="F3318" s="527">
        <v>414</v>
      </c>
      <c r="G3318" s="520" t="s">
        <v>3787</v>
      </c>
      <c r="H3318" s="594"/>
      <c r="I3318" s="595"/>
      <c r="J3318" s="595">
        <f t="shared" si="105"/>
        <v>0</v>
      </c>
      <c r="K3318" s="533"/>
      <c r="L3318" s="533"/>
      <c r="M3318" s="533"/>
      <c r="N3318" s="268"/>
      <c r="O3318" s="533"/>
      <c r="P3318" s="533"/>
      <c r="Q3318" s="533"/>
      <c r="R3318" s="533"/>
      <c r="S3318" s="533"/>
      <c r="T3318" s="533"/>
      <c r="U3318" s="533"/>
      <c r="V3318" s="533"/>
      <c r="W3318" s="533"/>
      <c r="X3318" s="533"/>
      <c r="Y3318" s="533"/>
    </row>
    <row r="3319" spans="1:25" s="88" customFormat="1" hidden="1" x14ac:dyDescent="0.25">
      <c r="A3319" s="509"/>
      <c r="B3319" s="256"/>
      <c r="C3319" s="221"/>
      <c r="D3319" s="218"/>
      <c r="E3319" s="218"/>
      <c r="F3319" s="527">
        <v>415</v>
      </c>
      <c r="G3319" s="520" t="s">
        <v>4199</v>
      </c>
      <c r="H3319" s="594"/>
      <c r="I3319" s="595"/>
      <c r="J3319" s="595">
        <f t="shared" si="105"/>
        <v>0</v>
      </c>
      <c r="K3319" s="533"/>
      <c r="L3319" s="533"/>
      <c r="M3319" s="533"/>
      <c r="N3319" s="268"/>
      <c r="O3319" s="533"/>
      <c r="P3319" s="533"/>
      <c r="Q3319" s="533"/>
      <c r="R3319" s="533"/>
      <c r="S3319" s="533"/>
      <c r="T3319" s="533"/>
      <c r="U3319" s="533"/>
      <c r="V3319" s="533"/>
      <c r="W3319" s="533"/>
      <c r="X3319" s="533"/>
      <c r="Y3319" s="533"/>
    </row>
    <row r="3320" spans="1:25" s="88" customFormat="1" hidden="1" x14ac:dyDescent="0.25">
      <c r="A3320" s="509"/>
      <c r="B3320" s="256"/>
      <c r="C3320" s="221"/>
      <c r="D3320" s="218"/>
      <c r="E3320" s="218"/>
      <c r="F3320" s="527">
        <v>416</v>
      </c>
      <c r="G3320" s="520" t="s">
        <v>4200</v>
      </c>
      <c r="H3320" s="594"/>
      <c r="I3320" s="595"/>
      <c r="J3320" s="595">
        <f t="shared" si="105"/>
        <v>0</v>
      </c>
      <c r="K3320" s="533"/>
      <c r="L3320" s="533"/>
      <c r="M3320" s="533"/>
      <c r="N3320" s="268"/>
      <c r="O3320" s="533"/>
      <c r="P3320" s="533"/>
      <c r="Q3320" s="533"/>
      <c r="R3320" s="533"/>
      <c r="S3320" s="533"/>
      <c r="T3320" s="533"/>
      <c r="U3320" s="533"/>
      <c r="V3320" s="533"/>
      <c r="W3320" s="533"/>
      <c r="X3320" s="533"/>
      <c r="Y3320" s="533"/>
    </row>
    <row r="3321" spans="1:25" s="88" customFormat="1" hidden="1" x14ac:dyDescent="0.25">
      <c r="A3321" s="509"/>
      <c r="B3321" s="256"/>
      <c r="C3321" s="221"/>
      <c r="D3321" s="218"/>
      <c r="E3321" s="218"/>
      <c r="F3321" s="527">
        <v>417</v>
      </c>
      <c r="G3321" s="520" t="s">
        <v>4201</v>
      </c>
      <c r="H3321" s="594"/>
      <c r="I3321" s="595"/>
      <c r="J3321" s="595">
        <f t="shared" si="105"/>
        <v>0</v>
      </c>
      <c r="K3321" s="533"/>
      <c r="L3321" s="533"/>
      <c r="M3321" s="533"/>
      <c r="N3321" s="268"/>
      <c r="O3321" s="533"/>
      <c r="P3321" s="533"/>
      <c r="Q3321" s="533"/>
      <c r="R3321" s="533"/>
      <c r="S3321" s="533"/>
      <c r="T3321" s="533"/>
      <c r="U3321" s="533"/>
      <c r="V3321" s="533"/>
      <c r="W3321" s="533"/>
      <c r="X3321" s="533"/>
      <c r="Y3321" s="533"/>
    </row>
    <row r="3322" spans="1:25" s="88" customFormat="1" hidden="1" x14ac:dyDescent="0.25">
      <c r="A3322" s="509"/>
      <c r="B3322" s="256"/>
      <c r="C3322" s="221"/>
      <c r="D3322" s="218"/>
      <c r="E3322" s="218"/>
      <c r="F3322" s="527">
        <v>418</v>
      </c>
      <c r="G3322" s="520" t="s">
        <v>3793</v>
      </c>
      <c r="H3322" s="594"/>
      <c r="I3322" s="595"/>
      <c r="J3322" s="595">
        <f t="shared" si="105"/>
        <v>0</v>
      </c>
      <c r="K3322" s="533"/>
      <c r="L3322" s="533"/>
      <c r="M3322" s="533"/>
      <c r="N3322" s="268"/>
      <c r="O3322" s="533"/>
      <c r="P3322" s="533"/>
      <c r="Q3322" s="533"/>
      <c r="R3322" s="533"/>
      <c r="S3322" s="533"/>
      <c r="T3322" s="533"/>
      <c r="U3322" s="533"/>
      <c r="V3322" s="533"/>
      <c r="W3322" s="533"/>
      <c r="X3322" s="533"/>
      <c r="Y3322" s="533"/>
    </row>
    <row r="3323" spans="1:25" s="88" customFormat="1" hidden="1" x14ac:dyDescent="0.25">
      <c r="A3323" s="509"/>
      <c r="B3323" s="256"/>
      <c r="C3323" s="221"/>
      <c r="D3323" s="218"/>
      <c r="E3323" s="218"/>
      <c r="F3323" s="527">
        <v>421</v>
      </c>
      <c r="G3323" s="520" t="s">
        <v>3797</v>
      </c>
      <c r="H3323" s="594"/>
      <c r="I3323" s="595"/>
      <c r="J3323" s="595">
        <f t="shared" si="105"/>
        <v>0</v>
      </c>
      <c r="K3323" s="533"/>
      <c r="L3323" s="533"/>
      <c r="M3323" s="533"/>
      <c r="N3323" s="268"/>
      <c r="O3323" s="533"/>
      <c r="P3323" s="533"/>
      <c r="Q3323" s="533"/>
      <c r="R3323" s="533"/>
      <c r="S3323" s="533"/>
      <c r="T3323" s="533"/>
      <c r="U3323" s="533"/>
      <c r="V3323" s="533"/>
      <c r="W3323" s="533"/>
      <c r="X3323" s="533"/>
      <c r="Y3323" s="533"/>
    </row>
    <row r="3324" spans="1:25" s="88" customFormat="1" hidden="1" x14ac:dyDescent="0.25">
      <c r="A3324" s="509"/>
      <c r="B3324" s="256"/>
      <c r="C3324" s="221"/>
      <c r="D3324" s="218"/>
      <c r="E3324" s="218"/>
      <c r="F3324" s="527">
        <v>422</v>
      </c>
      <c r="G3324" s="520" t="s">
        <v>3798</v>
      </c>
      <c r="H3324" s="594"/>
      <c r="I3324" s="595"/>
      <c r="J3324" s="595">
        <f t="shared" si="105"/>
        <v>0</v>
      </c>
      <c r="K3324" s="533"/>
      <c r="L3324" s="533"/>
      <c r="M3324" s="533"/>
      <c r="N3324" s="268"/>
      <c r="O3324" s="533"/>
      <c r="P3324" s="533"/>
      <c r="Q3324" s="533"/>
      <c r="R3324" s="533"/>
      <c r="S3324" s="533"/>
      <c r="T3324" s="533"/>
      <c r="U3324" s="533"/>
      <c r="V3324" s="533"/>
      <c r="W3324" s="533"/>
      <c r="X3324" s="533"/>
      <c r="Y3324" s="533"/>
    </row>
    <row r="3325" spans="1:25" s="88" customFormat="1" hidden="1" x14ac:dyDescent="0.25">
      <c r="A3325" s="509"/>
      <c r="B3325" s="256"/>
      <c r="C3325" s="221"/>
      <c r="D3325" s="218"/>
      <c r="E3325" s="218"/>
      <c r="F3325" s="527">
        <v>423</v>
      </c>
      <c r="G3325" s="520" t="s">
        <v>3799</v>
      </c>
      <c r="H3325" s="594"/>
      <c r="I3325" s="595"/>
      <c r="J3325" s="595">
        <f t="shared" si="105"/>
        <v>0</v>
      </c>
      <c r="K3325" s="533"/>
      <c r="L3325" s="533"/>
      <c r="M3325" s="533"/>
      <c r="N3325" s="268"/>
      <c r="O3325" s="533"/>
      <c r="P3325" s="533"/>
      <c r="Q3325" s="533"/>
      <c r="R3325" s="533"/>
      <c r="S3325" s="533"/>
      <c r="T3325" s="533"/>
      <c r="U3325" s="533"/>
      <c r="V3325" s="533"/>
      <c r="W3325" s="533"/>
      <c r="X3325" s="533"/>
      <c r="Y3325" s="533"/>
    </row>
    <row r="3326" spans="1:25" s="88" customFormat="1" hidden="1" x14ac:dyDescent="0.25">
      <c r="A3326" s="509"/>
      <c r="B3326" s="256"/>
      <c r="C3326" s="221"/>
      <c r="D3326" s="218"/>
      <c r="E3326" s="218"/>
      <c r="F3326" s="527">
        <v>424</v>
      </c>
      <c r="G3326" s="520" t="s">
        <v>3801</v>
      </c>
      <c r="H3326" s="594"/>
      <c r="I3326" s="595"/>
      <c r="J3326" s="595">
        <f t="shared" si="105"/>
        <v>0</v>
      </c>
      <c r="K3326" s="533"/>
      <c r="L3326" s="533"/>
      <c r="M3326" s="533"/>
      <c r="N3326" s="268"/>
      <c r="O3326" s="533"/>
      <c r="P3326" s="533"/>
      <c r="Q3326" s="533"/>
      <c r="R3326" s="533"/>
      <c r="S3326" s="533"/>
      <c r="T3326" s="533"/>
      <c r="U3326" s="533"/>
      <c r="V3326" s="533"/>
      <c r="W3326" s="533"/>
      <c r="X3326" s="533"/>
      <c r="Y3326" s="533"/>
    </row>
    <row r="3327" spans="1:25" s="88" customFormat="1" hidden="1" x14ac:dyDescent="0.25">
      <c r="A3327" s="509"/>
      <c r="B3327" s="256"/>
      <c r="C3327" s="221"/>
      <c r="D3327" s="218"/>
      <c r="E3327" s="218"/>
      <c r="F3327" s="527">
        <v>425</v>
      </c>
      <c r="G3327" s="520" t="s">
        <v>4202</v>
      </c>
      <c r="H3327" s="594"/>
      <c r="I3327" s="595"/>
      <c r="J3327" s="595">
        <f t="shared" si="105"/>
        <v>0</v>
      </c>
      <c r="K3327" s="533"/>
      <c r="L3327" s="533"/>
      <c r="M3327" s="533"/>
      <c r="N3327" s="268"/>
      <c r="O3327" s="533"/>
      <c r="P3327" s="533"/>
      <c r="Q3327" s="533"/>
      <c r="R3327" s="533"/>
      <c r="S3327" s="533"/>
      <c r="T3327" s="533"/>
      <c r="U3327" s="533"/>
      <c r="V3327" s="533"/>
      <c r="W3327" s="533"/>
      <c r="X3327" s="533"/>
      <c r="Y3327" s="533"/>
    </row>
    <row r="3328" spans="1:25" s="88" customFormat="1" hidden="1" x14ac:dyDescent="0.25">
      <c r="A3328" s="509"/>
      <c r="B3328" s="256"/>
      <c r="C3328" s="221"/>
      <c r="D3328" s="218"/>
      <c r="E3328" s="218"/>
      <c r="F3328" s="527">
        <v>426</v>
      </c>
      <c r="G3328" s="520" t="s">
        <v>3805</v>
      </c>
      <c r="H3328" s="594"/>
      <c r="I3328" s="595"/>
      <c r="J3328" s="595">
        <f t="shared" si="105"/>
        <v>0</v>
      </c>
      <c r="K3328" s="533"/>
      <c r="L3328" s="533"/>
      <c r="M3328" s="533"/>
      <c r="N3328" s="268"/>
      <c r="O3328" s="533"/>
      <c r="P3328" s="533"/>
      <c r="Q3328" s="533"/>
      <c r="R3328" s="533"/>
      <c r="S3328" s="533"/>
      <c r="T3328" s="533"/>
      <c r="U3328" s="533"/>
      <c r="V3328" s="533"/>
      <c r="W3328" s="533"/>
      <c r="X3328" s="533"/>
      <c r="Y3328" s="533"/>
    </row>
    <row r="3329" spans="1:25" s="88" customFormat="1" hidden="1" x14ac:dyDescent="0.25">
      <c r="A3329" s="509"/>
      <c r="B3329" s="256"/>
      <c r="C3329" s="221"/>
      <c r="D3329" s="218"/>
      <c r="E3329" s="218"/>
      <c r="F3329" s="527">
        <v>431</v>
      </c>
      <c r="G3329" s="520" t="s">
        <v>4203</v>
      </c>
      <c r="H3329" s="594"/>
      <c r="I3329" s="595"/>
      <c r="J3329" s="595">
        <f t="shared" si="105"/>
        <v>0</v>
      </c>
      <c r="K3329" s="533"/>
      <c r="L3329" s="533"/>
      <c r="M3329" s="533"/>
      <c r="N3329" s="268"/>
      <c r="O3329" s="533"/>
      <c r="P3329" s="533"/>
      <c r="Q3329" s="533"/>
      <c r="R3329" s="533"/>
      <c r="S3329" s="533"/>
      <c r="T3329" s="533"/>
      <c r="U3329" s="533"/>
      <c r="V3329" s="533"/>
      <c r="W3329" s="533"/>
      <c r="X3329" s="533"/>
      <c r="Y3329" s="533"/>
    </row>
    <row r="3330" spans="1:25" s="88" customFormat="1" hidden="1" x14ac:dyDescent="0.25">
      <c r="A3330" s="509"/>
      <c r="B3330" s="256"/>
      <c r="C3330" s="221"/>
      <c r="D3330" s="218"/>
      <c r="E3330" s="218"/>
      <c r="F3330" s="527">
        <v>432</v>
      </c>
      <c r="G3330" s="520" t="s">
        <v>4204</v>
      </c>
      <c r="H3330" s="594"/>
      <c r="I3330" s="595"/>
      <c r="J3330" s="595">
        <f t="shared" si="105"/>
        <v>0</v>
      </c>
      <c r="K3330" s="533"/>
      <c r="L3330" s="533"/>
      <c r="M3330" s="533"/>
      <c r="N3330" s="268"/>
      <c r="O3330" s="533"/>
      <c r="P3330" s="533"/>
      <c r="Q3330" s="533"/>
      <c r="R3330" s="533"/>
      <c r="S3330" s="533"/>
      <c r="T3330" s="533"/>
      <c r="U3330" s="533"/>
      <c r="V3330" s="533"/>
      <c r="W3330" s="533"/>
      <c r="X3330" s="533"/>
      <c r="Y3330" s="533"/>
    </row>
    <row r="3331" spans="1:25" s="88" customFormat="1" hidden="1" x14ac:dyDescent="0.25">
      <c r="A3331" s="509"/>
      <c r="B3331" s="256"/>
      <c r="C3331" s="221"/>
      <c r="D3331" s="218"/>
      <c r="E3331" s="218"/>
      <c r="F3331" s="527">
        <v>433</v>
      </c>
      <c r="G3331" s="520" t="s">
        <v>4205</v>
      </c>
      <c r="H3331" s="594"/>
      <c r="I3331" s="595"/>
      <c r="J3331" s="595">
        <f t="shared" si="105"/>
        <v>0</v>
      </c>
      <c r="K3331" s="533"/>
      <c r="L3331" s="533"/>
      <c r="M3331" s="533"/>
      <c r="N3331" s="268"/>
      <c r="O3331" s="533"/>
      <c r="P3331" s="533"/>
      <c r="Q3331" s="533"/>
      <c r="R3331" s="533"/>
      <c r="S3331" s="533"/>
      <c r="T3331" s="533"/>
      <c r="U3331" s="533"/>
      <c r="V3331" s="533"/>
      <c r="W3331" s="533"/>
      <c r="X3331" s="533"/>
      <c r="Y3331" s="533"/>
    </row>
    <row r="3332" spans="1:25" s="88" customFormat="1" hidden="1" x14ac:dyDescent="0.25">
      <c r="A3332" s="509"/>
      <c r="B3332" s="256"/>
      <c r="C3332" s="221"/>
      <c r="D3332" s="218"/>
      <c r="E3332" s="218"/>
      <c r="F3332" s="527">
        <v>434</v>
      </c>
      <c r="G3332" s="520" t="s">
        <v>4206</v>
      </c>
      <c r="H3332" s="594"/>
      <c r="I3332" s="595"/>
      <c r="J3332" s="595">
        <f t="shared" si="105"/>
        <v>0</v>
      </c>
      <c r="K3332" s="533"/>
      <c r="L3332" s="533"/>
      <c r="M3332" s="533"/>
      <c r="N3332" s="268"/>
      <c r="O3332" s="533"/>
      <c r="P3332" s="533"/>
      <c r="Q3332" s="533"/>
      <c r="R3332" s="533"/>
      <c r="S3332" s="533"/>
      <c r="T3332" s="533"/>
      <c r="U3332" s="533"/>
      <c r="V3332" s="533"/>
      <c r="W3332" s="533"/>
      <c r="X3332" s="533"/>
      <c r="Y3332" s="533"/>
    </row>
    <row r="3333" spans="1:25" s="88" customFormat="1" hidden="1" x14ac:dyDescent="0.25">
      <c r="A3333" s="509"/>
      <c r="B3333" s="256"/>
      <c r="C3333" s="221"/>
      <c r="D3333" s="218"/>
      <c r="E3333" s="218"/>
      <c r="F3333" s="527">
        <v>435</v>
      </c>
      <c r="G3333" s="520" t="s">
        <v>3812</v>
      </c>
      <c r="H3333" s="594"/>
      <c r="I3333" s="595"/>
      <c r="J3333" s="595">
        <f t="shared" si="105"/>
        <v>0</v>
      </c>
      <c r="K3333" s="533"/>
      <c r="L3333" s="533"/>
      <c r="M3333" s="533"/>
      <c r="N3333" s="268"/>
      <c r="O3333" s="533"/>
      <c r="P3333" s="533"/>
      <c r="Q3333" s="533"/>
      <c r="R3333" s="533"/>
      <c r="S3333" s="533"/>
      <c r="T3333" s="533"/>
      <c r="U3333" s="533"/>
      <c r="V3333" s="533"/>
      <c r="W3333" s="533"/>
      <c r="X3333" s="533"/>
      <c r="Y3333" s="533"/>
    </row>
    <row r="3334" spans="1:25" s="88" customFormat="1" hidden="1" x14ac:dyDescent="0.25">
      <c r="A3334" s="509"/>
      <c r="B3334" s="256"/>
      <c r="C3334" s="221"/>
      <c r="D3334" s="218"/>
      <c r="E3334" s="218"/>
      <c r="F3334" s="527">
        <v>441</v>
      </c>
      <c r="G3334" s="520" t="s">
        <v>4207</v>
      </c>
      <c r="H3334" s="594"/>
      <c r="I3334" s="595"/>
      <c r="J3334" s="595">
        <f t="shared" si="105"/>
        <v>0</v>
      </c>
      <c r="K3334" s="533"/>
      <c r="L3334" s="533"/>
      <c r="M3334" s="533"/>
      <c r="N3334" s="268"/>
      <c r="O3334" s="533"/>
      <c r="P3334" s="533"/>
      <c r="Q3334" s="533"/>
      <c r="R3334" s="533"/>
      <c r="S3334" s="533"/>
      <c r="T3334" s="533"/>
      <c r="U3334" s="533"/>
      <c r="V3334" s="533"/>
      <c r="W3334" s="533"/>
      <c r="X3334" s="533"/>
      <c r="Y3334" s="533"/>
    </row>
    <row r="3335" spans="1:25" s="88" customFormat="1" hidden="1" x14ac:dyDescent="0.25">
      <c r="A3335" s="509"/>
      <c r="B3335" s="256"/>
      <c r="C3335" s="221"/>
      <c r="D3335" s="218"/>
      <c r="E3335" s="218"/>
      <c r="F3335" s="527">
        <v>442</v>
      </c>
      <c r="G3335" s="520" t="s">
        <v>4208</v>
      </c>
      <c r="H3335" s="594"/>
      <c r="I3335" s="595"/>
      <c r="J3335" s="595">
        <f t="shared" si="105"/>
        <v>0</v>
      </c>
      <c r="K3335" s="533"/>
      <c r="L3335" s="533"/>
      <c r="M3335" s="533"/>
      <c r="N3335" s="268"/>
      <c r="O3335" s="533"/>
      <c r="P3335" s="533"/>
      <c r="Q3335" s="533"/>
      <c r="R3335" s="533"/>
      <c r="S3335" s="533"/>
      <c r="T3335" s="533"/>
      <c r="U3335" s="533"/>
      <c r="V3335" s="533"/>
      <c r="W3335" s="533"/>
      <c r="X3335" s="533"/>
      <c r="Y3335" s="533"/>
    </row>
    <row r="3336" spans="1:25" s="88" customFormat="1" hidden="1" x14ac:dyDescent="0.25">
      <c r="A3336" s="509"/>
      <c r="B3336" s="256"/>
      <c r="C3336" s="221"/>
      <c r="D3336" s="218"/>
      <c r="E3336" s="218"/>
      <c r="F3336" s="527">
        <v>443</v>
      </c>
      <c r="G3336" s="520" t="s">
        <v>3817</v>
      </c>
      <c r="H3336" s="594"/>
      <c r="I3336" s="595"/>
      <c r="J3336" s="595">
        <f t="shared" si="105"/>
        <v>0</v>
      </c>
      <c r="K3336" s="533"/>
      <c r="L3336" s="533"/>
      <c r="M3336" s="533"/>
      <c r="N3336" s="268"/>
      <c r="O3336" s="533"/>
      <c r="P3336" s="533"/>
      <c r="Q3336" s="533"/>
      <c r="R3336" s="533"/>
      <c r="S3336" s="533"/>
      <c r="T3336" s="533"/>
      <c r="U3336" s="533"/>
      <c r="V3336" s="533"/>
      <c r="W3336" s="533"/>
      <c r="X3336" s="533"/>
      <c r="Y3336" s="533"/>
    </row>
    <row r="3337" spans="1:25" s="88" customFormat="1" hidden="1" x14ac:dyDescent="0.25">
      <c r="A3337" s="509"/>
      <c r="B3337" s="256"/>
      <c r="C3337" s="221"/>
      <c r="D3337" s="218"/>
      <c r="E3337" s="218"/>
      <c r="F3337" s="527">
        <v>444</v>
      </c>
      <c r="G3337" s="520" t="s">
        <v>3818</v>
      </c>
      <c r="H3337" s="594"/>
      <c r="I3337" s="595"/>
      <c r="J3337" s="595">
        <f t="shared" si="105"/>
        <v>0</v>
      </c>
      <c r="K3337" s="533"/>
      <c r="L3337" s="533"/>
      <c r="M3337" s="533"/>
      <c r="N3337" s="268"/>
      <c r="O3337" s="533"/>
      <c r="P3337" s="533"/>
      <c r="Q3337" s="533"/>
      <c r="R3337" s="533"/>
      <c r="S3337" s="533"/>
      <c r="T3337" s="533"/>
      <c r="U3337" s="533"/>
      <c r="V3337" s="533"/>
      <c r="W3337" s="533"/>
      <c r="X3337" s="533"/>
      <c r="Y3337" s="533"/>
    </row>
    <row r="3338" spans="1:25" s="88" customFormat="1" ht="30" hidden="1" x14ac:dyDescent="0.25">
      <c r="A3338" s="509"/>
      <c r="B3338" s="256"/>
      <c r="C3338" s="221"/>
      <c r="D3338" s="218"/>
      <c r="E3338" s="218"/>
      <c r="F3338" s="527">
        <v>4511</v>
      </c>
      <c r="G3338" s="223" t="s">
        <v>1692</v>
      </c>
      <c r="H3338" s="594"/>
      <c r="I3338" s="595"/>
      <c r="J3338" s="595">
        <f t="shared" si="105"/>
        <v>0</v>
      </c>
      <c r="K3338" s="533"/>
      <c r="L3338" s="533"/>
      <c r="M3338" s="533"/>
      <c r="N3338" s="268"/>
      <c r="O3338" s="533"/>
      <c r="P3338" s="533"/>
      <c r="Q3338" s="533"/>
      <c r="R3338" s="533"/>
      <c r="S3338" s="533"/>
      <c r="T3338" s="533"/>
      <c r="U3338" s="533"/>
      <c r="V3338" s="533"/>
      <c r="W3338" s="533"/>
      <c r="X3338" s="533"/>
      <c r="Y3338" s="533"/>
    </row>
    <row r="3339" spans="1:25" s="88" customFormat="1" ht="30" hidden="1" x14ac:dyDescent="0.25">
      <c r="A3339" s="509"/>
      <c r="B3339" s="256"/>
      <c r="C3339" s="221"/>
      <c r="D3339" s="218"/>
      <c r="E3339" s="218"/>
      <c r="F3339" s="527">
        <v>4512</v>
      </c>
      <c r="G3339" s="223" t="s">
        <v>1701</v>
      </c>
      <c r="H3339" s="594"/>
      <c r="I3339" s="595"/>
      <c r="J3339" s="595">
        <f t="shared" si="105"/>
        <v>0</v>
      </c>
      <c r="K3339" s="533"/>
      <c r="L3339" s="533"/>
      <c r="M3339" s="533"/>
      <c r="N3339" s="268"/>
      <c r="O3339" s="533"/>
      <c r="P3339" s="533"/>
      <c r="Q3339" s="533"/>
      <c r="R3339" s="533"/>
      <c r="S3339" s="533"/>
      <c r="T3339" s="533"/>
      <c r="U3339" s="533"/>
      <c r="V3339" s="533"/>
      <c r="W3339" s="533"/>
      <c r="X3339" s="533"/>
      <c r="Y3339" s="533"/>
    </row>
    <row r="3340" spans="1:25" s="88" customFormat="1" hidden="1" x14ac:dyDescent="0.25">
      <c r="A3340" s="509"/>
      <c r="B3340" s="256"/>
      <c r="C3340" s="221"/>
      <c r="D3340" s="218"/>
      <c r="E3340" s="218"/>
      <c r="F3340" s="527">
        <v>452</v>
      </c>
      <c r="G3340" s="520" t="s">
        <v>4209</v>
      </c>
      <c r="H3340" s="594"/>
      <c r="I3340" s="595"/>
      <c r="J3340" s="595">
        <f t="shared" si="105"/>
        <v>0</v>
      </c>
      <c r="K3340" s="533"/>
      <c r="L3340" s="533"/>
      <c r="M3340" s="533"/>
      <c r="N3340" s="268"/>
      <c r="O3340" s="533"/>
      <c r="P3340" s="533"/>
      <c r="Q3340" s="533"/>
      <c r="R3340" s="533"/>
      <c r="S3340" s="533"/>
      <c r="T3340" s="533"/>
      <c r="U3340" s="533"/>
      <c r="V3340" s="533"/>
      <c r="W3340" s="533"/>
      <c r="X3340" s="533"/>
      <c r="Y3340" s="533"/>
    </row>
    <row r="3341" spans="1:25" s="88" customFormat="1" hidden="1" x14ac:dyDescent="0.25">
      <c r="A3341" s="509"/>
      <c r="B3341" s="256"/>
      <c r="C3341" s="221"/>
      <c r="D3341" s="218"/>
      <c r="E3341" s="218"/>
      <c r="F3341" s="527">
        <v>453</v>
      </c>
      <c r="G3341" s="520" t="s">
        <v>4210</v>
      </c>
      <c r="H3341" s="594"/>
      <c r="I3341" s="595"/>
      <c r="J3341" s="595">
        <f t="shared" si="105"/>
        <v>0</v>
      </c>
      <c r="K3341" s="533"/>
      <c r="L3341" s="533"/>
      <c r="M3341" s="533"/>
      <c r="N3341" s="268"/>
      <c r="O3341" s="533"/>
      <c r="P3341" s="533"/>
      <c r="Q3341" s="533"/>
      <c r="R3341" s="533"/>
      <c r="S3341" s="533"/>
      <c r="T3341" s="533"/>
      <c r="U3341" s="533"/>
      <c r="V3341" s="533"/>
      <c r="W3341" s="533"/>
      <c r="X3341" s="533"/>
      <c r="Y3341" s="533"/>
    </row>
    <row r="3342" spans="1:25" s="88" customFormat="1" hidden="1" x14ac:dyDescent="0.25">
      <c r="A3342" s="509"/>
      <c r="B3342" s="256"/>
      <c r="C3342" s="221"/>
      <c r="D3342" s="218"/>
      <c r="E3342" s="218"/>
      <c r="F3342" s="527">
        <v>454</v>
      </c>
      <c r="G3342" s="520" t="s">
        <v>3823</v>
      </c>
      <c r="H3342" s="594"/>
      <c r="I3342" s="595"/>
      <c r="J3342" s="595">
        <f t="shared" si="105"/>
        <v>0</v>
      </c>
      <c r="K3342" s="533"/>
      <c r="L3342" s="533"/>
      <c r="M3342" s="533"/>
      <c r="N3342" s="268"/>
      <c r="O3342" s="533"/>
      <c r="P3342" s="533"/>
      <c r="Q3342" s="533"/>
      <c r="R3342" s="533"/>
      <c r="S3342" s="533"/>
      <c r="T3342" s="533"/>
      <c r="U3342" s="533"/>
      <c r="V3342" s="533"/>
      <c r="W3342" s="533"/>
      <c r="X3342" s="533"/>
      <c r="Y3342" s="533"/>
    </row>
    <row r="3343" spans="1:25" s="88" customFormat="1" hidden="1" x14ac:dyDescent="0.25">
      <c r="A3343" s="509"/>
      <c r="B3343" s="256"/>
      <c r="C3343" s="221"/>
      <c r="D3343" s="218"/>
      <c r="E3343" s="218"/>
      <c r="F3343" s="527">
        <v>461</v>
      </c>
      <c r="G3343" s="520" t="s">
        <v>4191</v>
      </c>
      <c r="H3343" s="594"/>
      <c r="I3343" s="595"/>
      <c r="J3343" s="595">
        <f t="shared" si="105"/>
        <v>0</v>
      </c>
      <c r="K3343" s="533"/>
      <c r="L3343" s="533"/>
      <c r="M3343" s="533"/>
      <c r="N3343" s="268"/>
      <c r="O3343" s="533"/>
      <c r="P3343" s="533"/>
      <c r="Q3343" s="533"/>
      <c r="R3343" s="533"/>
      <c r="S3343" s="533"/>
      <c r="T3343" s="533"/>
      <c r="U3343" s="533"/>
      <c r="V3343" s="533"/>
      <c r="W3343" s="533"/>
      <c r="X3343" s="533"/>
      <c r="Y3343" s="533"/>
    </row>
    <row r="3344" spans="1:25" s="88" customFormat="1" hidden="1" x14ac:dyDescent="0.25">
      <c r="A3344" s="509"/>
      <c r="B3344" s="256"/>
      <c r="C3344" s="221"/>
      <c r="D3344" s="218"/>
      <c r="E3344" s="218"/>
      <c r="F3344" s="527">
        <v>462</v>
      </c>
      <c r="G3344" s="520" t="s">
        <v>3826</v>
      </c>
      <c r="H3344" s="594"/>
      <c r="I3344" s="595"/>
      <c r="J3344" s="595">
        <f t="shared" si="105"/>
        <v>0</v>
      </c>
      <c r="K3344" s="533"/>
      <c r="L3344" s="533"/>
      <c r="M3344" s="533"/>
      <c r="N3344" s="268"/>
      <c r="O3344" s="533"/>
      <c r="P3344" s="533"/>
      <c r="Q3344" s="533"/>
      <c r="R3344" s="533"/>
      <c r="S3344" s="533"/>
      <c r="T3344" s="533"/>
      <c r="U3344" s="533"/>
      <c r="V3344" s="533"/>
      <c r="W3344" s="533"/>
      <c r="X3344" s="533"/>
      <c r="Y3344" s="533"/>
    </row>
    <row r="3345" spans="1:25" s="88" customFormat="1" hidden="1" x14ac:dyDescent="0.25">
      <c r="A3345" s="509"/>
      <c r="B3345" s="256"/>
      <c r="C3345" s="221"/>
      <c r="D3345" s="218"/>
      <c r="E3345" s="218"/>
      <c r="F3345" s="527">
        <v>4631</v>
      </c>
      <c r="G3345" s="520" t="s">
        <v>3827</v>
      </c>
      <c r="H3345" s="594"/>
      <c r="I3345" s="595"/>
      <c r="J3345" s="595">
        <f t="shared" si="105"/>
        <v>0</v>
      </c>
      <c r="K3345" s="533"/>
      <c r="L3345" s="533"/>
      <c r="M3345" s="533"/>
      <c r="N3345" s="268"/>
      <c r="O3345" s="533"/>
      <c r="P3345" s="533"/>
      <c r="Q3345" s="533"/>
      <c r="R3345" s="533"/>
      <c r="S3345" s="533"/>
      <c r="T3345" s="533"/>
      <c r="U3345" s="533"/>
      <c r="V3345" s="533"/>
      <c r="W3345" s="533"/>
      <c r="X3345" s="533"/>
      <c r="Y3345" s="533"/>
    </row>
    <row r="3346" spans="1:25" s="88" customFormat="1" hidden="1" x14ac:dyDescent="0.25">
      <c r="A3346" s="509"/>
      <c r="B3346" s="256"/>
      <c r="C3346" s="221"/>
      <c r="D3346" s="218"/>
      <c r="E3346" s="218"/>
      <c r="F3346" s="527">
        <v>4632</v>
      </c>
      <c r="G3346" s="520" t="s">
        <v>3828</v>
      </c>
      <c r="H3346" s="594"/>
      <c r="I3346" s="595"/>
      <c r="J3346" s="595">
        <f t="shared" si="105"/>
        <v>0</v>
      </c>
      <c r="K3346" s="533"/>
      <c r="L3346" s="533"/>
      <c r="M3346" s="533"/>
      <c r="N3346" s="268"/>
      <c r="O3346" s="533"/>
      <c r="P3346" s="533"/>
      <c r="Q3346" s="533"/>
      <c r="R3346" s="533"/>
      <c r="S3346" s="533"/>
      <c r="T3346" s="533"/>
      <c r="U3346" s="533"/>
      <c r="V3346" s="533"/>
      <c r="W3346" s="533"/>
      <c r="X3346" s="533"/>
      <c r="Y3346" s="533"/>
    </row>
    <row r="3347" spans="1:25" s="88" customFormat="1" hidden="1" x14ac:dyDescent="0.25">
      <c r="A3347" s="509"/>
      <c r="B3347" s="256"/>
      <c r="C3347" s="221"/>
      <c r="D3347" s="218"/>
      <c r="E3347" s="218"/>
      <c r="F3347" s="527">
        <v>464</v>
      </c>
      <c r="G3347" s="520" t="s">
        <v>3829</v>
      </c>
      <c r="H3347" s="594"/>
      <c r="I3347" s="595"/>
      <c r="J3347" s="595">
        <f t="shared" si="105"/>
        <v>0</v>
      </c>
      <c r="K3347" s="533"/>
      <c r="L3347" s="533"/>
      <c r="M3347" s="533"/>
      <c r="N3347" s="268"/>
      <c r="O3347" s="533"/>
      <c r="P3347" s="533"/>
      <c r="Q3347" s="533"/>
      <c r="R3347" s="533"/>
      <c r="S3347" s="533"/>
      <c r="T3347" s="533"/>
      <c r="U3347" s="533"/>
      <c r="V3347" s="533"/>
      <c r="W3347" s="533"/>
      <c r="X3347" s="533"/>
      <c r="Y3347" s="533"/>
    </row>
    <row r="3348" spans="1:25" s="88" customFormat="1" hidden="1" x14ac:dyDescent="0.25">
      <c r="A3348" s="509"/>
      <c r="B3348" s="256"/>
      <c r="C3348" s="221"/>
      <c r="D3348" s="218"/>
      <c r="E3348" s="218"/>
      <c r="F3348" s="527">
        <v>465</v>
      </c>
      <c r="G3348" s="520" t="s">
        <v>4192</v>
      </c>
      <c r="H3348" s="594"/>
      <c r="I3348" s="595"/>
      <c r="J3348" s="595">
        <f t="shared" si="105"/>
        <v>0</v>
      </c>
      <c r="K3348" s="533"/>
      <c r="L3348" s="533"/>
      <c r="M3348" s="533"/>
      <c r="N3348" s="268"/>
      <c r="O3348" s="533"/>
      <c r="P3348" s="533"/>
      <c r="Q3348" s="533"/>
      <c r="R3348" s="533"/>
      <c r="S3348" s="533"/>
      <c r="T3348" s="533"/>
      <c r="U3348" s="533"/>
      <c r="V3348" s="533"/>
      <c r="W3348" s="533"/>
      <c r="X3348" s="533"/>
      <c r="Y3348" s="533"/>
    </row>
    <row r="3349" spans="1:25" s="88" customFormat="1" hidden="1" x14ac:dyDescent="0.25">
      <c r="A3349" s="509"/>
      <c r="B3349" s="256"/>
      <c r="C3349" s="221"/>
      <c r="D3349" s="218"/>
      <c r="E3349" s="218"/>
      <c r="F3349" s="527">
        <v>472</v>
      </c>
      <c r="G3349" s="520" t="s">
        <v>3833</v>
      </c>
      <c r="H3349" s="594"/>
      <c r="I3349" s="595"/>
      <c r="J3349" s="595">
        <f t="shared" si="105"/>
        <v>0</v>
      </c>
      <c r="K3349" s="533"/>
      <c r="L3349" s="533"/>
      <c r="M3349" s="533"/>
      <c r="N3349" s="268"/>
      <c r="O3349" s="533"/>
      <c r="P3349" s="533"/>
      <c r="Q3349" s="533"/>
      <c r="R3349" s="533"/>
      <c r="S3349" s="533"/>
      <c r="T3349" s="533"/>
      <c r="U3349" s="533"/>
      <c r="V3349" s="533"/>
      <c r="W3349" s="533"/>
      <c r="X3349" s="533"/>
      <c r="Y3349" s="533"/>
    </row>
    <row r="3350" spans="1:25" s="88" customFormat="1" hidden="1" x14ac:dyDescent="0.25">
      <c r="A3350" s="509"/>
      <c r="B3350" s="256"/>
      <c r="C3350" s="221"/>
      <c r="D3350" s="218"/>
      <c r="E3350" s="218"/>
      <c r="F3350" s="527">
        <v>481</v>
      </c>
      <c r="G3350" s="520" t="s">
        <v>4211</v>
      </c>
      <c r="H3350" s="594"/>
      <c r="I3350" s="595"/>
      <c r="J3350" s="595">
        <f t="shared" si="105"/>
        <v>0</v>
      </c>
      <c r="K3350" s="533"/>
      <c r="L3350" s="533"/>
      <c r="M3350" s="533"/>
      <c r="N3350" s="268"/>
      <c r="O3350" s="533"/>
      <c r="P3350" s="533"/>
      <c r="Q3350" s="533"/>
      <c r="R3350" s="533"/>
      <c r="S3350" s="533"/>
      <c r="T3350" s="533"/>
      <c r="U3350" s="533"/>
      <c r="V3350" s="533"/>
      <c r="W3350" s="533"/>
      <c r="X3350" s="533"/>
      <c r="Y3350" s="533"/>
    </row>
    <row r="3351" spans="1:25" s="88" customFormat="1" hidden="1" x14ac:dyDescent="0.25">
      <c r="A3351" s="509"/>
      <c r="B3351" s="256"/>
      <c r="C3351" s="221"/>
      <c r="D3351" s="218"/>
      <c r="E3351" s="218"/>
      <c r="F3351" s="527">
        <v>482</v>
      </c>
      <c r="G3351" s="520" t="s">
        <v>4212</v>
      </c>
      <c r="H3351" s="594"/>
      <c r="I3351" s="595"/>
      <c r="J3351" s="595">
        <f t="shared" si="105"/>
        <v>0</v>
      </c>
      <c r="K3351" s="533"/>
      <c r="L3351" s="533"/>
      <c r="M3351" s="533"/>
      <c r="N3351" s="268"/>
      <c r="O3351" s="533"/>
      <c r="P3351" s="533"/>
      <c r="Q3351" s="533"/>
      <c r="R3351" s="533"/>
      <c r="S3351" s="533"/>
      <c r="T3351" s="533"/>
      <c r="U3351" s="533"/>
      <c r="V3351" s="533"/>
      <c r="W3351" s="533"/>
      <c r="X3351" s="533"/>
      <c r="Y3351" s="533"/>
    </row>
    <row r="3352" spans="1:25" s="88" customFormat="1" hidden="1" x14ac:dyDescent="0.25">
      <c r="A3352" s="509"/>
      <c r="B3352" s="256"/>
      <c r="C3352" s="221"/>
      <c r="D3352" s="218"/>
      <c r="E3352" s="218"/>
      <c r="F3352" s="527">
        <v>483</v>
      </c>
      <c r="G3352" s="524" t="s">
        <v>4213</v>
      </c>
      <c r="H3352" s="594"/>
      <c r="I3352" s="595"/>
      <c r="J3352" s="595">
        <f t="shared" si="105"/>
        <v>0</v>
      </c>
      <c r="K3352" s="533"/>
      <c r="L3352" s="533"/>
      <c r="M3352" s="533"/>
      <c r="N3352" s="268"/>
      <c r="O3352" s="533"/>
      <c r="P3352" s="533"/>
      <c r="Q3352" s="533"/>
      <c r="R3352" s="533"/>
      <c r="S3352" s="533"/>
      <c r="T3352" s="533"/>
      <c r="U3352" s="533"/>
      <c r="V3352" s="533"/>
      <c r="W3352" s="533"/>
      <c r="X3352" s="533"/>
      <c r="Y3352" s="533"/>
    </row>
    <row r="3353" spans="1:25" s="88" customFormat="1" ht="30" hidden="1" x14ac:dyDescent="0.25">
      <c r="A3353" s="509"/>
      <c r="B3353" s="256"/>
      <c r="C3353" s="221"/>
      <c r="D3353" s="218"/>
      <c r="E3353" s="218"/>
      <c r="F3353" s="527">
        <v>484</v>
      </c>
      <c r="G3353" s="520" t="s">
        <v>4214</v>
      </c>
      <c r="H3353" s="594"/>
      <c r="I3353" s="595"/>
      <c r="J3353" s="595">
        <f t="shared" si="105"/>
        <v>0</v>
      </c>
      <c r="K3353" s="533"/>
      <c r="L3353" s="533"/>
      <c r="M3353" s="533"/>
      <c r="N3353" s="268"/>
      <c r="O3353" s="533"/>
      <c r="P3353" s="533"/>
      <c r="Q3353" s="533"/>
      <c r="R3353" s="533"/>
      <c r="S3353" s="533"/>
      <c r="T3353" s="533"/>
      <c r="U3353" s="533"/>
      <c r="V3353" s="533"/>
      <c r="W3353" s="533"/>
      <c r="X3353" s="533"/>
      <c r="Y3353" s="533"/>
    </row>
    <row r="3354" spans="1:25" s="88" customFormat="1" ht="30" hidden="1" x14ac:dyDescent="0.25">
      <c r="A3354" s="509"/>
      <c r="B3354" s="256"/>
      <c r="C3354" s="221"/>
      <c r="D3354" s="218"/>
      <c r="E3354" s="218"/>
      <c r="F3354" s="527">
        <v>485</v>
      </c>
      <c r="G3354" s="520" t="s">
        <v>4215</v>
      </c>
      <c r="H3354" s="594"/>
      <c r="I3354" s="595"/>
      <c r="J3354" s="595">
        <f t="shared" si="105"/>
        <v>0</v>
      </c>
      <c r="K3354" s="533"/>
      <c r="L3354" s="533"/>
      <c r="M3354" s="533"/>
      <c r="N3354" s="268"/>
      <c r="O3354" s="533"/>
      <c r="P3354" s="533"/>
      <c r="Q3354" s="533"/>
      <c r="R3354" s="533"/>
      <c r="S3354" s="533"/>
      <c r="T3354" s="533"/>
      <c r="U3354" s="533"/>
      <c r="V3354" s="533"/>
      <c r="W3354" s="533"/>
      <c r="X3354" s="533"/>
      <c r="Y3354" s="533"/>
    </row>
    <row r="3355" spans="1:25" s="88" customFormat="1" ht="30" hidden="1" x14ac:dyDescent="0.25">
      <c r="A3355" s="509"/>
      <c r="B3355" s="256"/>
      <c r="C3355" s="221"/>
      <c r="D3355" s="218"/>
      <c r="E3355" s="218"/>
      <c r="F3355" s="527">
        <v>489</v>
      </c>
      <c r="G3355" s="520" t="s">
        <v>3841</v>
      </c>
      <c r="H3355" s="594"/>
      <c r="I3355" s="595"/>
      <c r="J3355" s="595">
        <f t="shared" si="105"/>
        <v>0</v>
      </c>
      <c r="K3355" s="533"/>
      <c r="L3355" s="533"/>
      <c r="M3355" s="533"/>
      <c r="N3355" s="268"/>
      <c r="O3355" s="533"/>
      <c r="P3355" s="533"/>
      <c r="Q3355" s="533"/>
      <c r="R3355" s="533"/>
      <c r="S3355" s="533"/>
      <c r="T3355" s="533"/>
      <c r="U3355" s="533"/>
      <c r="V3355" s="533"/>
      <c r="W3355" s="533"/>
      <c r="X3355" s="533"/>
      <c r="Y3355" s="533"/>
    </row>
    <row r="3356" spans="1:25" s="88" customFormat="1" hidden="1" x14ac:dyDescent="0.25">
      <c r="A3356" s="509"/>
      <c r="B3356" s="256"/>
      <c r="C3356" s="221"/>
      <c r="D3356" s="218"/>
      <c r="E3356" s="218"/>
      <c r="F3356" s="527">
        <v>494</v>
      </c>
      <c r="G3356" s="520" t="s">
        <v>4193</v>
      </c>
      <c r="H3356" s="594"/>
      <c r="I3356" s="595"/>
      <c r="J3356" s="595">
        <f t="shared" si="105"/>
        <v>0</v>
      </c>
      <c r="K3356" s="533"/>
      <c r="L3356" s="533"/>
      <c r="M3356" s="533"/>
      <c r="N3356" s="268"/>
      <c r="O3356" s="533"/>
      <c r="P3356" s="533"/>
      <c r="Q3356" s="533"/>
      <c r="R3356" s="533"/>
      <c r="S3356" s="533"/>
      <c r="T3356" s="533"/>
      <c r="U3356" s="533"/>
      <c r="V3356" s="533"/>
      <c r="W3356" s="533"/>
      <c r="X3356" s="533"/>
      <c r="Y3356" s="533"/>
    </row>
    <row r="3357" spans="1:25" s="88" customFormat="1" ht="30" hidden="1" x14ac:dyDescent="0.25">
      <c r="A3357" s="509"/>
      <c r="B3357" s="256"/>
      <c r="C3357" s="221"/>
      <c r="D3357" s="218"/>
      <c r="E3357" s="218"/>
      <c r="F3357" s="527">
        <v>495</v>
      </c>
      <c r="G3357" s="520" t="s">
        <v>4194</v>
      </c>
      <c r="H3357" s="594"/>
      <c r="I3357" s="595"/>
      <c r="J3357" s="595">
        <f t="shared" si="105"/>
        <v>0</v>
      </c>
      <c r="K3357" s="533"/>
      <c r="L3357" s="533"/>
      <c r="M3357" s="533"/>
      <c r="N3357" s="268"/>
      <c r="O3357" s="533"/>
      <c r="P3357" s="533"/>
      <c r="Q3357" s="533"/>
      <c r="R3357" s="533"/>
      <c r="S3357" s="533"/>
      <c r="T3357" s="533"/>
      <c r="U3357" s="533"/>
      <c r="V3357" s="533"/>
      <c r="W3357" s="533"/>
      <c r="X3357" s="533"/>
      <c r="Y3357" s="533"/>
    </row>
    <row r="3358" spans="1:25" s="88" customFormat="1" ht="30" hidden="1" x14ac:dyDescent="0.25">
      <c r="A3358" s="509"/>
      <c r="B3358" s="256"/>
      <c r="C3358" s="221"/>
      <c r="D3358" s="218"/>
      <c r="E3358" s="218"/>
      <c r="F3358" s="527">
        <v>496</v>
      </c>
      <c r="G3358" s="520" t="s">
        <v>4195</v>
      </c>
      <c r="H3358" s="594"/>
      <c r="I3358" s="595"/>
      <c r="J3358" s="595">
        <f t="shared" si="105"/>
        <v>0</v>
      </c>
      <c r="K3358" s="533"/>
      <c r="L3358" s="533"/>
      <c r="M3358" s="533"/>
      <c r="N3358" s="268"/>
      <c r="O3358" s="533"/>
      <c r="P3358" s="533"/>
      <c r="Q3358" s="533"/>
      <c r="R3358" s="533"/>
      <c r="S3358" s="533"/>
      <c r="T3358" s="533"/>
      <c r="U3358" s="533"/>
      <c r="V3358" s="533"/>
      <c r="W3358" s="533"/>
      <c r="X3358" s="533"/>
      <c r="Y3358" s="533"/>
    </row>
    <row r="3359" spans="1:25" s="88" customFormat="1" hidden="1" x14ac:dyDescent="0.25">
      <c r="A3359" s="509"/>
      <c r="B3359" s="256"/>
      <c r="C3359" s="221"/>
      <c r="D3359" s="218"/>
      <c r="E3359" s="218"/>
      <c r="F3359" s="527">
        <v>499</v>
      </c>
      <c r="G3359" s="520" t="s">
        <v>4196</v>
      </c>
      <c r="H3359" s="594"/>
      <c r="I3359" s="595"/>
      <c r="J3359" s="595">
        <f t="shared" si="105"/>
        <v>0</v>
      </c>
      <c r="K3359" s="533"/>
      <c r="L3359" s="533"/>
      <c r="M3359" s="533"/>
      <c r="N3359" s="268"/>
      <c r="O3359" s="533"/>
      <c r="P3359" s="533"/>
      <c r="Q3359" s="533"/>
      <c r="R3359" s="533"/>
      <c r="S3359" s="533"/>
      <c r="T3359" s="533"/>
      <c r="U3359" s="533"/>
      <c r="V3359" s="533"/>
      <c r="W3359" s="533"/>
      <c r="X3359" s="533"/>
      <c r="Y3359" s="533"/>
    </row>
    <row r="3360" spans="1:25" s="88" customFormat="1" ht="15.75" thickBot="1" x14ac:dyDescent="0.3">
      <c r="A3360" s="509"/>
      <c r="B3360" s="256"/>
      <c r="C3360" s="221"/>
      <c r="D3360" s="218"/>
      <c r="E3360" s="218">
        <v>47</v>
      </c>
      <c r="F3360" s="527">
        <v>511</v>
      </c>
      <c r="G3360" s="524" t="s">
        <v>4216</v>
      </c>
      <c r="H3360" s="594">
        <v>11300000</v>
      </c>
      <c r="I3360" s="595"/>
      <c r="J3360" s="595">
        <f t="shared" si="105"/>
        <v>11300000</v>
      </c>
      <c r="K3360" s="533"/>
      <c r="L3360" s="533"/>
      <c r="M3360" s="533"/>
      <c r="N3360" s="268"/>
      <c r="O3360" s="533"/>
      <c r="P3360" s="533"/>
      <c r="Q3360" s="533"/>
      <c r="R3360" s="533"/>
      <c r="S3360" s="533"/>
      <c r="T3360" s="533"/>
      <c r="U3360" s="533"/>
      <c r="V3360" s="533"/>
      <c r="W3360" s="533"/>
      <c r="X3360" s="533"/>
      <c r="Y3360" s="533"/>
    </row>
    <row r="3361" spans="1:25" s="88" customFormat="1" hidden="1" x14ac:dyDescent="0.25">
      <c r="A3361" s="509"/>
      <c r="B3361" s="256"/>
      <c r="C3361" s="221"/>
      <c r="D3361" s="218"/>
      <c r="E3361" s="218"/>
      <c r="F3361" s="527">
        <v>512</v>
      </c>
      <c r="G3361" s="524" t="s">
        <v>4217</v>
      </c>
      <c r="H3361" s="594"/>
      <c r="I3361" s="595"/>
      <c r="J3361" s="595">
        <f t="shared" si="105"/>
        <v>0</v>
      </c>
      <c r="K3361" s="533"/>
      <c r="L3361" s="533"/>
      <c r="M3361" s="533"/>
      <c r="N3361" s="268"/>
      <c r="O3361" s="533"/>
      <c r="P3361" s="533"/>
      <c r="Q3361" s="533"/>
      <c r="R3361" s="533"/>
      <c r="S3361" s="533"/>
      <c r="T3361" s="533"/>
      <c r="U3361" s="533"/>
      <c r="V3361" s="533"/>
      <c r="W3361" s="533"/>
      <c r="X3361" s="533"/>
      <c r="Y3361" s="533"/>
    </row>
    <row r="3362" spans="1:25" s="88" customFormat="1" hidden="1" x14ac:dyDescent="0.25">
      <c r="A3362" s="509"/>
      <c r="B3362" s="256"/>
      <c r="C3362" s="221"/>
      <c r="D3362" s="218"/>
      <c r="E3362" s="218"/>
      <c r="F3362" s="527">
        <v>513</v>
      </c>
      <c r="G3362" s="524" t="s">
        <v>4218</v>
      </c>
      <c r="H3362" s="594"/>
      <c r="I3362" s="595"/>
      <c r="J3362" s="595">
        <f t="shared" si="105"/>
        <v>0</v>
      </c>
      <c r="K3362" s="533"/>
      <c r="L3362" s="533"/>
      <c r="M3362" s="533"/>
      <c r="N3362" s="268"/>
      <c r="O3362" s="533"/>
      <c r="P3362" s="533"/>
      <c r="Q3362" s="533"/>
      <c r="R3362" s="533"/>
      <c r="S3362" s="533"/>
      <c r="T3362" s="533"/>
      <c r="U3362" s="533"/>
      <c r="V3362" s="533"/>
      <c r="W3362" s="533"/>
      <c r="X3362" s="533"/>
      <c r="Y3362" s="533"/>
    </row>
    <row r="3363" spans="1:25" s="88" customFormat="1" hidden="1" x14ac:dyDescent="0.25">
      <c r="A3363" s="509"/>
      <c r="B3363" s="256"/>
      <c r="C3363" s="221"/>
      <c r="D3363" s="218"/>
      <c r="E3363" s="218"/>
      <c r="F3363" s="527">
        <v>514</v>
      </c>
      <c r="G3363" s="520" t="s">
        <v>4219</v>
      </c>
      <c r="H3363" s="594"/>
      <c r="I3363" s="595"/>
      <c r="J3363" s="595">
        <f t="shared" si="105"/>
        <v>0</v>
      </c>
      <c r="K3363" s="533"/>
      <c r="L3363" s="533"/>
      <c r="M3363" s="533"/>
      <c r="N3363" s="268"/>
      <c r="O3363" s="533"/>
      <c r="P3363" s="533"/>
      <c r="Q3363" s="533"/>
      <c r="R3363" s="533"/>
      <c r="S3363" s="533"/>
      <c r="T3363" s="533"/>
      <c r="U3363" s="533"/>
      <c r="V3363" s="533"/>
      <c r="W3363" s="533"/>
      <c r="X3363" s="533"/>
      <c r="Y3363" s="533"/>
    </row>
    <row r="3364" spans="1:25" s="88" customFormat="1" hidden="1" x14ac:dyDescent="0.25">
      <c r="A3364" s="509"/>
      <c r="B3364" s="256"/>
      <c r="C3364" s="221"/>
      <c r="D3364" s="218"/>
      <c r="E3364" s="218"/>
      <c r="F3364" s="527">
        <v>515</v>
      </c>
      <c r="G3364" s="520" t="s">
        <v>3852</v>
      </c>
      <c r="H3364" s="594"/>
      <c r="I3364" s="595"/>
      <c r="J3364" s="595">
        <f t="shared" si="105"/>
        <v>0</v>
      </c>
      <c r="K3364" s="533"/>
      <c r="L3364" s="533"/>
      <c r="M3364" s="533"/>
      <c r="N3364" s="268"/>
      <c r="O3364" s="533"/>
      <c r="P3364" s="533"/>
      <c r="Q3364" s="533"/>
      <c r="R3364" s="533"/>
      <c r="S3364" s="533"/>
      <c r="T3364" s="533"/>
      <c r="U3364" s="533"/>
      <c r="V3364" s="533"/>
      <c r="W3364" s="533"/>
      <c r="X3364" s="533"/>
      <c r="Y3364" s="533"/>
    </row>
    <row r="3365" spans="1:25" s="88" customFormat="1" hidden="1" x14ac:dyDescent="0.25">
      <c r="A3365" s="509"/>
      <c r="B3365" s="256"/>
      <c r="C3365" s="221"/>
      <c r="D3365" s="218"/>
      <c r="E3365" s="218"/>
      <c r="F3365" s="527">
        <v>521</v>
      </c>
      <c r="G3365" s="520" t="s">
        <v>4220</v>
      </c>
      <c r="H3365" s="594"/>
      <c r="I3365" s="595"/>
      <c r="J3365" s="595">
        <f t="shared" si="105"/>
        <v>0</v>
      </c>
      <c r="K3365" s="533"/>
      <c r="L3365" s="533"/>
      <c r="M3365" s="533"/>
      <c r="N3365" s="268"/>
      <c r="O3365" s="533"/>
      <c r="P3365" s="533"/>
      <c r="Q3365" s="533"/>
      <c r="R3365" s="533"/>
      <c r="S3365" s="533"/>
      <c r="T3365" s="533"/>
      <c r="U3365" s="533"/>
      <c r="V3365" s="533"/>
      <c r="W3365" s="533"/>
      <c r="X3365" s="533"/>
      <c r="Y3365" s="533"/>
    </row>
    <row r="3366" spans="1:25" s="88" customFormat="1" hidden="1" x14ac:dyDescent="0.25">
      <c r="A3366" s="509"/>
      <c r="B3366" s="256"/>
      <c r="C3366" s="221"/>
      <c r="D3366" s="218"/>
      <c r="E3366" s="218"/>
      <c r="F3366" s="527">
        <v>522</v>
      </c>
      <c r="G3366" s="520" t="s">
        <v>4221</v>
      </c>
      <c r="H3366" s="594"/>
      <c r="I3366" s="595"/>
      <c r="J3366" s="595">
        <f t="shared" si="105"/>
        <v>0</v>
      </c>
      <c r="K3366" s="533"/>
      <c r="L3366" s="533"/>
      <c r="M3366" s="533"/>
      <c r="N3366" s="268"/>
      <c r="O3366" s="533"/>
      <c r="P3366" s="533"/>
      <c r="Q3366" s="533"/>
      <c r="R3366" s="533"/>
      <c r="S3366" s="533"/>
      <c r="T3366" s="533"/>
      <c r="U3366" s="533"/>
      <c r="V3366" s="533"/>
      <c r="W3366" s="533"/>
      <c r="X3366" s="533"/>
      <c r="Y3366" s="533"/>
    </row>
    <row r="3367" spans="1:25" s="88" customFormat="1" hidden="1" x14ac:dyDescent="0.25">
      <c r="A3367" s="509"/>
      <c r="B3367" s="256"/>
      <c r="C3367" s="221"/>
      <c r="D3367" s="218"/>
      <c r="E3367" s="218"/>
      <c r="F3367" s="527">
        <v>523</v>
      </c>
      <c r="G3367" s="520" t="s">
        <v>3857</v>
      </c>
      <c r="H3367" s="594"/>
      <c r="I3367" s="595"/>
      <c r="J3367" s="595">
        <f t="shared" si="105"/>
        <v>0</v>
      </c>
      <c r="K3367" s="533"/>
      <c r="L3367" s="533"/>
      <c r="M3367" s="533"/>
      <c r="N3367" s="268"/>
      <c r="O3367" s="533"/>
      <c r="P3367" s="533"/>
      <c r="Q3367" s="533"/>
      <c r="R3367" s="533"/>
      <c r="S3367" s="533"/>
      <c r="T3367" s="533"/>
      <c r="U3367" s="533"/>
      <c r="V3367" s="533"/>
      <c r="W3367" s="533"/>
      <c r="X3367" s="533"/>
      <c r="Y3367" s="533"/>
    </row>
    <row r="3368" spans="1:25" s="88" customFormat="1" hidden="1" x14ac:dyDescent="0.25">
      <c r="A3368" s="509"/>
      <c r="B3368" s="256"/>
      <c r="C3368" s="221"/>
      <c r="D3368" s="218"/>
      <c r="E3368" s="218"/>
      <c r="F3368" s="527">
        <v>531</v>
      </c>
      <c r="G3368" s="516" t="s">
        <v>4197</v>
      </c>
      <c r="H3368" s="594"/>
      <c r="I3368" s="595"/>
      <c r="J3368" s="595">
        <f t="shared" si="105"/>
        <v>0</v>
      </c>
      <c r="K3368" s="533"/>
      <c r="L3368" s="533"/>
      <c r="M3368" s="533"/>
      <c r="N3368" s="268"/>
      <c r="O3368" s="533"/>
      <c r="P3368" s="533"/>
      <c r="Q3368" s="533"/>
      <c r="R3368" s="533"/>
      <c r="S3368" s="533"/>
      <c r="T3368" s="533"/>
      <c r="U3368" s="533"/>
      <c r="V3368" s="533"/>
      <c r="W3368" s="533"/>
      <c r="X3368" s="533"/>
      <c r="Y3368" s="533"/>
    </row>
    <row r="3369" spans="1:25" s="88" customFormat="1" hidden="1" x14ac:dyDescent="0.25">
      <c r="A3369" s="509"/>
      <c r="B3369" s="256"/>
      <c r="C3369" s="221"/>
      <c r="D3369" s="218"/>
      <c r="E3369" s="218"/>
      <c r="F3369" s="527">
        <v>541</v>
      </c>
      <c r="G3369" s="520" t="s">
        <v>4222</v>
      </c>
      <c r="H3369" s="594"/>
      <c r="I3369" s="595"/>
      <c r="J3369" s="595">
        <f t="shared" si="105"/>
        <v>0</v>
      </c>
      <c r="K3369" s="533"/>
      <c r="L3369" s="533"/>
      <c r="M3369" s="533"/>
      <c r="N3369" s="268"/>
      <c r="O3369" s="533"/>
      <c r="P3369" s="533"/>
      <c r="Q3369" s="533"/>
      <c r="R3369" s="533"/>
      <c r="S3369" s="533"/>
      <c r="T3369" s="533"/>
      <c r="U3369" s="533"/>
      <c r="V3369" s="533"/>
      <c r="W3369" s="533"/>
      <c r="X3369" s="533"/>
      <c r="Y3369" s="533"/>
    </row>
    <row r="3370" spans="1:25" s="88" customFormat="1" hidden="1" x14ac:dyDescent="0.25">
      <c r="A3370" s="509"/>
      <c r="B3370" s="256"/>
      <c r="C3370" s="221"/>
      <c r="D3370" s="218"/>
      <c r="E3370" s="218"/>
      <c r="F3370" s="527">
        <v>542</v>
      </c>
      <c r="G3370" s="520" t="s">
        <v>4223</v>
      </c>
      <c r="H3370" s="594"/>
      <c r="I3370" s="595"/>
      <c r="J3370" s="595">
        <f t="shared" si="105"/>
        <v>0</v>
      </c>
      <c r="K3370" s="533"/>
      <c r="L3370" s="533"/>
      <c r="M3370" s="533"/>
      <c r="N3370" s="268"/>
      <c r="O3370" s="533"/>
      <c r="P3370" s="533"/>
      <c r="Q3370" s="533"/>
      <c r="R3370" s="533"/>
      <c r="S3370" s="533"/>
      <c r="T3370" s="533"/>
      <c r="U3370" s="533"/>
      <c r="V3370" s="533"/>
      <c r="W3370" s="533"/>
      <c r="X3370" s="533"/>
      <c r="Y3370" s="533"/>
    </row>
    <row r="3371" spans="1:25" s="88" customFormat="1" hidden="1" x14ac:dyDescent="0.25">
      <c r="A3371" s="509"/>
      <c r="B3371" s="256"/>
      <c r="C3371" s="221"/>
      <c r="D3371" s="218"/>
      <c r="E3371" s="218"/>
      <c r="F3371" s="527">
        <v>543</v>
      </c>
      <c r="G3371" s="520" t="s">
        <v>3862</v>
      </c>
      <c r="H3371" s="594"/>
      <c r="I3371" s="595"/>
      <c r="J3371" s="595">
        <f t="shared" si="105"/>
        <v>0</v>
      </c>
      <c r="K3371" s="533"/>
      <c r="L3371" s="533"/>
      <c r="M3371" s="533"/>
      <c r="N3371" s="268"/>
      <c r="O3371" s="533"/>
      <c r="P3371" s="533"/>
      <c r="Q3371" s="533"/>
      <c r="R3371" s="533"/>
      <c r="S3371" s="533"/>
      <c r="T3371" s="533"/>
      <c r="U3371" s="533"/>
      <c r="V3371" s="533"/>
      <c r="W3371" s="533"/>
      <c r="X3371" s="533"/>
      <c r="Y3371" s="533"/>
    </row>
    <row r="3372" spans="1:25" s="88" customFormat="1" ht="30" hidden="1" x14ac:dyDescent="0.25">
      <c r="A3372" s="509"/>
      <c r="B3372" s="256"/>
      <c r="C3372" s="221"/>
      <c r="D3372" s="218"/>
      <c r="E3372" s="218"/>
      <c r="F3372" s="527">
        <v>551</v>
      </c>
      <c r="G3372" s="520" t="s">
        <v>4198</v>
      </c>
      <c r="H3372" s="594"/>
      <c r="I3372" s="595"/>
      <c r="J3372" s="595">
        <f t="shared" si="105"/>
        <v>0</v>
      </c>
      <c r="K3372" s="533"/>
      <c r="L3372" s="533"/>
      <c r="M3372" s="533"/>
      <c r="N3372" s="268"/>
      <c r="O3372" s="533"/>
      <c r="P3372" s="533"/>
      <c r="Q3372" s="533"/>
      <c r="R3372" s="533"/>
      <c r="S3372" s="533"/>
      <c r="T3372" s="533"/>
      <c r="U3372" s="533"/>
      <c r="V3372" s="533"/>
      <c r="W3372" s="533"/>
      <c r="X3372" s="533"/>
      <c r="Y3372" s="533"/>
    </row>
    <row r="3373" spans="1:25" s="88" customFormat="1" hidden="1" x14ac:dyDescent="0.25">
      <c r="A3373" s="509"/>
      <c r="B3373" s="256"/>
      <c r="C3373" s="221"/>
      <c r="D3373" s="218"/>
      <c r="E3373" s="218"/>
      <c r="F3373" s="528">
        <v>611</v>
      </c>
      <c r="G3373" s="526" t="s">
        <v>3868</v>
      </c>
      <c r="H3373" s="594"/>
      <c r="I3373" s="595"/>
      <c r="J3373" s="595">
        <f t="shared" si="105"/>
        <v>0</v>
      </c>
      <c r="K3373" s="533"/>
      <c r="L3373" s="533"/>
      <c r="M3373" s="533"/>
      <c r="N3373" s="268"/>
      <c r="O3373" s="533"/>
      <c r="P3373" s="533"/>
      <c r="Q3373" s="533"/>
      <c r="R3373" s="533"/>
      <c r="S3373" s="533"/>
      <c r="T3373" s="533"/>
      <c r="U3373" s="533"/>
      <c r="V3373" s="533"/>
      <c r="W3373" s="533"/>
      <c r="X3373" s="533"/>
      <c r="Y3373" s="533"/>
    </row>
    <row r="3374" spans="1:25" s="88" customFormat="1" ht="15.75" hidden="1" thickBot="1" x14ac:dyDescent="0.3">
      <c r="A3374" s="509"/>
      <c r="B3374" s="256"/>
      <c r="C3374" s="221"/>
      <c r="D3374" s="218"/>
      <c r="E3374" s="218"/>
      <c r="F3374" s="528">
        <v>620</v>
      </c>
      <c r="G3374" s="526" t="s">
        <v>88</v>
      </c>
      <c r="H3374" s="594"/>
      <c r="I3374" s="595"/>
      <c r="J3374" s="595">
        <f t="shared" si="105"/>
        <v>0</v>
      </c>
      <c r="K3374" s="533"/>
      <c r="L3374" s="533"/>
      <c r="M3374" s="533"/>
      <c r="N3374" s="268"/>
      <c r="O3374" s="533"/>
      <c r="P3374" s="533"/>
      <c r="Q3374" s="533"/>
      <c r="R3374" s="533"/>
      <c r="S3374" s="533"/>
      <c r="T3374" s="533"/>
      <c r="U3374" s="533"/>
      <c r="V3374" s="533"/>
      <c r="W3374" s="533"/>
      <c r="X3374" s="533"/>
      <c r="Y3374" s="533"/>
    </row>
    <row r="3375" spans="1:25" s="88" customFormat="1" x14ac:dyDescent="0.25">
      <c r="A3375" s="509"/>
      <c r="B3375" s="256"/>
      <c r="C3375" s="221"/>
      <c r="D3375" s="218"/>
      <c r="E3375" s="517"/>
      <c r="F3375" s="528"/>
      <c r="G3375" s="327" t="s">
        <v>4368</v>
      </c>
      <c r="H3375" s="596"/>
      <c r="I3375" s="622"/>
      <c r="J3375" s="597"/>
      <c r="K3375" s="533"/>
      <c r="L3375" s="533"/>
      <c r="M3375" s="533"/>
      <c r="N3375" s="268"/>
      <c r="O3375" s="533"/>
      <c r="P3375" s="533"/>
      <c r="Q3375" s="533"/>
      <c r="R3375" s="533"/>
      <c r="S3375" s="533"/>
      <c r="T3375" s="533"/>
      <c r="U3375" s="533"/>
      <c r="V3375" s="533"/>
      <c r="W3375" s="533"/>
      <c r="X3375" s="533"/>
      <c r="Y3375" s="533"/>
    </row>
    <row r="3376" spans="1:25" s="88" customFormat="1" ht="15.75" thickBot="1" x14ac:dyDescent="0.3">
      <c r="A3376" s="509"/>
      <c r="B3376" s="256"/>
      <c r="C3376" s="221"/>
      <c r="D3376" s="218"/>
      <c r="E3376" s="222"/>
      <c r="F3376" s="642" t="s">
        <v>234</v>
      </c>
      <c r="G3376" s="643" t="s">
        <v>235</v>
      </c>
      <c r="H3376" s="598">
        <f>SUM(H3360)</f>
        <v>11300000</v>
      </c>
      <c r="I3376" s="599"/>
      <c r="J3376" s="599">
        <f t="shared" ref="J3376:J3391" si="106">SUM(H3376:I3376)</f>
        <v>11300000</v>
      </c>
      <c r="K3376" s="533"/>
      <c r="L3376" s="533"/>
      <c r="M3376" s="533"/>
      <c r="N3376" s="268"/>
      <c r="O3376" s="533"/>
      <c r="P3376" s="533"/>
      <c r="Q3376" s="533"/>
      <c r="R3376" s="533"/>
      <c r="S3376" s="533"/>
      <c r="T3376" s="533"/>
      <c r="U3376" s="533"/>
      <c r="V3376" s="533"/>
      <c r="W3376" s="533"/>
      <c r="X3376" s="533"/>
      <c r="Y3376" s="533"/>
    </row>
    <row r="3377" spans="1:25" s="88" customFormat="1" hidden="1" x14ac:dyDescent="0.25">
      <c r="A3377" s="509"/>
      <c r="B3377" s="256"/>
      <c r="C3377" s="221"/>
      <c r="D3377" s="218"/>
      <c r="E3377" s="218"/>
      <c r="F3377" s="642" t="s">
        <v>236</v>
      </c>
      <c r="G3377" s="643" t="s">
        <v>237</v>
      </c>
      <c r="H3377" s="594"/>
      <c r="I3377" s="595"/>
      <c r="J3377" s="599">
        <f t="shared" si="106"/>
        <v>0</v>
      </c>
      <c r="K3377" s="533"/>
      <c r="L3377" s="533"/>
      <c r="M3377" s="533"/>
      <c r="N3377" s="268"/>
      <c r="O3377" s="533"/>
      <c r="P3377" s="533"/>
      <c r="Q3377" s="533"/>
      <c r="R3377" s="533"/>
      <c r="S3377" s="533"/>
      <c r="T3377" s="533"/>
      <c r="U3377" s="533"/>
      <c r="V3377" s="533"/>
      <c r="W3377" s="533"/>
      <c r="X3377" s="533"/>
      <c r="Y3377" s="533"/>
    </row>
    <row r="3378" spans="1:25" s="88" customFormat="1" hidden="1" x14ac:dyDescent="0.25">
      <c r="A3378" s="509"/>
      <c r="B3378" s="256"/>
      <c r="C3378" s="221"/>
      <c r="D3378" s="218"/>
      <c r="E3378" s="218"/>
      <c r="F3378" s="642" t="s">
        <v>238</v>
      </c>
      <c r="G3378" s="643" t="s">
        <v>239</v>
      </c>
      <c r="H3378" s="594"/>
      <c r="I3378" s="595"/>
      <c r="J3378" s="599">
        <f t="shared" si="106"/>
        <v>0</v>
      </c>
      <c r="K3378" s="533"/>
      <c r="L3378" s="533"/>
      <c r="M3378" s="533"/>
      <c r="N3378" s="268"/>
      <c r="O3378" s="533"/>
      <c r="P3378" s="533"/>
      <c r="Q3378" s="533"/>
      <c r="R3378" s="533"/>
      <c r="S3378" s="533"/>
      <c r="T3378" s="533"/>
      <c r="U3378" s="533"/>
      <c r="V3378" s="533"/>
      <c r="W3378" s="533"/>
      <c r="X3378" s="533"/>
      <c r="Y3378" s="533"/>
    </row>
    <row r="3379" spans="1:25" s="88" customFormat="1" hidden="1" x14ac:dyDescent="0.25">
      <c r="A3379" s="509"/>
      <c r="B3379" s="256"/>
      <c r="C3379" s="221"/>
      <c r="D3379" s="218"/>
      <c r="E3379" s="218"/>
      <c r="F3379" s="642" t="s">
        <v>240</v>
      </c>
      <c r="G3379" s="643" t="s">
        <v>241</v>
      </c>
      <c r="H3379" s="594"/>
      <c r="I3379" s="595"/>
      <c r="J3379" s="599">
        <f t="shared" si="106"/>
        <v>0</v>
      </c>
      <c r="K3379" s="533"/>
      <c r="L3379" s="533"/>
      <c r="M3379" s="533"/>
      <c r="N3379" s="268"/>
      <c r="O3379" s="533"/>
      <c r="P3379" s="533"/>
      <c r="Q3379" s="533"/>
      <c r="R3379" s="533"/>
      <c r="S3379" s="533"/>
      <c r="T3379" s="533"/>
      <c r="U3379" s="533"/>
      <c r="V3379" s="533"/>
      <c r="W3379" s="533"/>
      <c r="X3379" s="533"/>
      <c r="Y3379" s="533"/>
    </row>
    <row r="3380" spans="1:25" s="88" customFormat="1" hidden="1" x14ac:dyDescent="0.25">
      <c r="A3380" s="509"/>
      <c r="B3380" s="256"/>
      <c r="C3380" s="221"/>
      <c r="D3380" s="218"/>
      <c r="E3380" s="218"/>
      <c r="F3380" s="642" t="s">
        <v>242</v>
      </c>
      <c r="G3380" s="643" t="s">
        <v>243</v>
      </c>
      <c r="H3380" s="594"/>
      <c r="I3380" s="595"/>
      <c r="J3380" s="599">
        <f t="shared" si="106"/>
        <v>0</v>
      </c>
      <c r="K3380" s="533"/>
      <c r="L3380" s="533"/>
      <c r="M3380" s="533"/>
      <c r="N3380" s="268"/>
      <c r="O3380" s="533"/>
      <c r="P3380" s="533"/>
      <c r="Q3380" s="533"/>
      <c r="R3380" s="533"/>
      <c r="S3380" s="533"/>
      <c r="T3380" s="533"/>
      <c r="U3380" s="533"/>
      <c r="V3380" s="533"/>
      <c r="W3380" s="533"/>
      <c r="X3380" s="533"/>
      <c r="Y3380" s="533"/>
    </row>
    <row r="3381" spans="1:25" s="88" customFormat="1" hidden="1" x14ac:dyDescent="0.25">
      <c r="A3381" s="509"/>
      <c r="B3381" s="256"/>
      <c r="C3381" s="221"/>
      <c r="D3381" s="218"/>
      <c r="E3381" s="218"/>
      <c r="F3381" s="642" t="s">
        <v>244</v>
      </c>
      <c r="G3381" s="643" t="s">
        <v>245</v>
      </c>
      <c r="H3381" s="594"/>
      <c r="I3381" s="595"/>
      <c r="J3381" s="599">
        <f t="shared" si="106"/>
        <v>0</v>
      </c>
      <c r="K3381" s="533"/>
      <c r="L3381" s="533"/>
      <c r="M3381" s="533"/>
      <c r="N3381" s="268"/>
      <c r="O3381" s="533"/>
      <c r="P3381" s="533"/>
      <c r="Q3381" s="533"/>
      <c r="R3381" s="533"/>
      <c r="S3381" s="533"/>
      <c r="T3381" s="533"/>
      <c r="U3381" s="533"/>
      <c r="V3381" s="533"/>
      <c r="W3381" s="533"/>
      <c r="X3381" s="533"/>
      <c r="Y3381" s="533"/>
    </row>
    <row r="3382" spans="1:25" s="88" customFormat="1" hidden="1" x14ac:dyDescent="0.25">
      <c r="A3382" s="509"/>
      <c r="B3382" s="256"/>
      <c r="C3382" s="221"/>
      <c r="D3382" s="218"/>
      <c r="E3382" s="218"/>
      <c r="F3382" s="642" t="s">
        <v>246</v>
      </c>
      <c r="G3382" s="643" t="s">
        <v>247</v>
      </c>
      <c r="H3382" s="594"/>
      <c r="I3382" s="595"/>
      <c r="J3382" s="599">
        <f t="shared" si="106"/>
        <v>0</v>
      </c>
      <c r="K3382" s="533"/>
      <c r="L3382" s="533"/>
      <c r="M3382" s="533"/>
      <c r="N3382" s="268"/>
      <c r="O3382" s="533"/>
      <c r="P3382" s="533"/>
      <c r="Q3382" s="533"/>
      <c r="R3382" s="533"/>
      <c r="S3382" s="533"/>
      <c r="T3382" s="533"/>
      <c r="U3382" s="533"/>
      <c r="V3382" s="533"/>
      <c r="W3382" s="533"/>
      <c r="X3382" s="533"/>
      <c r="Y3382" s="533"/>
    </row>
    <row r="3383" spans="1:25" s="88" customFormat="1" hidden="1" x14ac:dyDescent="0.25">
      <c r="A3383" s="509"/>
      <c r="B3383" s="256"/>
      <c r="C3383" s="221"/>
      <c r="D3383" s="218"/>
      <c r="E3383" s="218"/>
      <c r="F3383" s="642" t="s">
        <v>248</v>
      </c>
      <c r="G3383" s="643" t="s">
        <v>249</v>
      </c>
      <c r="H3383" s="594"/>
      <c r="I3383" s="595"/>
      <c r="J3383" s="599">
        <f t="shared" si="106"/>
        <v>0</v>
      </c>
      <c r="K3383" s="533"/>
      <c r="L3383" s="533"/>
      <c r="M3383" s="533"/>
      <c r="N3383" s="268"/>
      <c r="O3383" s="533"/>
      <c r="P3383" s="533"/>
      <c r="Q3383" s="533"/>
      <c r="R3383" s="533"/>
      <c r="S3383" s="533"/>
      <c r="T3383" s="533"/>
      <c r="U3383" s="533"/>
      <c r="V3383" s="533"/>
      <c r="W3383" s="533"/>
      <c r="X3383" s="533"/>
      <c r="Y3383" s="533"/>
    </row>
    <row r="3384" spans="1:25" s="88" customFormat="1" hidden="1" x14ac:dyDescent="0.25">
      <c r="A3384" s="218"/>
      <c r="B3384" s="218"/>
      <c r="C3384" s="221"/>
      <c r="D3384" s="218"/>
      <c r="E3384" s="218"/>
      <c r="F3384" s="642" t="s">
        <v>250</v>
      </c>
      <c r="G3384" s="643" t="s">
        <v>57</v>
      </c>
      <c r="H3384" s="594"/>
      <c r="I3384" s="595"/>
      <c r="J3384" s="599">
        <f t="shared" si="106"/>
        <v>0</v>
      </c>
      <c r="K3384" s="533"/>
      <c r="L3384" s="533"/>
      <c r="M3384" s="533"/>
      <c r="N3384" s="268"/>
      <c r="O3384" s="533"/>
      <c r="P3384" s="533"/>
      <c r="Q3384" s="533"/>
      <c r="R3384" s="533"/>
      <c r="S3384" s="533"/>
      <c r="T3384" s="533"/>
      <c r="U3384" s="533"/>
      <c r="V3384" s="533"/>
      <c r="W3384" s="533"/>
      <c r="X3384" s="533"/>
      <c r="Y3384" s="533"/>
    </row>
    <row r="3385" spans="1:25" s="88" customFormat="1" hidden="1" x14ac:dyDescent="0.25">
      <c r="A3385" s="218"/>
      <c r="B3385" s="218"/>
      <c r="C3385" s="221"/>
      <c r="D3385" s="218"/>
      <c r="E3385" s="218"/>
      <c r="F3385" s="642" t="s">
        <v>251</v>
      </c>
      <c r="G3385" s="643" t="s">
        <v>252</v>
      </c>
      <c r="H3385" s="594"/>
      <c r="I3385" s="595"/>
      <c r="J3385" s="599">
        <f t="shared" si="106"/>
        <v>0</v>
      </c>
      <c r="K3385" s="533"/>
      <c r="L3385" s="533"/>
      <c r="M3385" s="533"/>
      <c r="N3385" s="268"/>
      <c r="O3385" s="533"/>
      <c r="P3385" s="533"/>
      <c r="Q3385" s="533"/>
      <c r="R3385" s="533"/>
      <c r="S3385" s="533"/>
      <c r="T3385" s="533"/>
      <c r="U3385" s="533"/>
      <c r="V3385" s="533"/>
      <c r="W3385" s="533"/>
      <c r="X3385" s="533"/>
      <c r="Y3385" s="533"/>
    </row>
    <row r="3386" spans="1:25" s="88" customFormat="1" hidden="1" x14ac:dyDescent="0.25">
      <c r="A3386" s="218"/>
      <c r="B3386" s="218"/>
      <c r="C3386" s="221"/>
      <c r="D3386" s="218"/>
      <c r="E3386" s="218"/>
      <c r="F3386" s="642" t="s">
        <v>253</v>
      </c>
      <c r="G3386" s="643" t="s">
        <v>254</v>
      </c>
      <c r="H3386" s="594"/>
      <c r="I3386" s="595"/>
      <c r="J3386" s="599">
        <f t="shared" si="106"/>
        <v>0</v>
      </c>
      <c r="K3386" s="533"/>
      <c r="L3386" s="533"/>
      <c r="M3386" s="533"/>
      <c r="N3386" s="268"/>
      <c r="O3386" s="533"/>
      <c r="P3386" s="533"/>
      <c r="Q3386" s="533"/>
      <c r="R3386" s="533"/>
      <c r="S3386" s="533"/>
      <c r="T3386" s="533"/>
      <c r="U3386" s="533"/>
      <c r="V3386" s="533"/>
      <c r="W3386" s="533"/>
      <c r="X3386" s="533"/>
      <c r="Y3386" s="533"/>
    </row>
    <row r="3387" spans="1:25" s="88" customFormat="1" ht="30" hidden="1" x14ac:dyDescent="0.25">
      <c r="A3387" s="218"/>
      <c r="B3387" s="218"/>
      <c r="C3387" s="221"/>
      <c r="D3387" s="218"/>
      <c r="E3387" s="218"/>
      <c r="F3387" s="642" t="s">
        <v>255</v>
      </c>
      <c r="G3387" s="643" t="s">
        <v>256</v>
      </c>
      <c r="H3387" s="594"/>
      <c r="I3387" s="595"/>
      <c r="J3387" s="599">
        <f t="shared" si="106"/>
        <v>0</v>
      </c>
      <c r="K3387" s="533"/>
      <c r="L3387" s="533"/>
      <c r="M3387" s="533"/>
      <c r="N3387" s="268"/>
      <c r="O3387" s="533"/>
      <c r="P3387" s="533"/>
      <c r="Q3387" s="533"/>
      <c r="R3387" s="533"/>
      <c r="S3387" s="533"/>
      <c r="T3387" s="533"/>
      <c r="U3387" s="533"/>
      <c r="V3387" s="533"/>
      <c r="W3387" s="533"/>
      <c r="X3387" s="533"/>
      <c r="Y3387" s="533"/>
    </row>
    <row r="3388" spans="1:25" s="88" customFormat="1" hidden="1" x14ac:dyDescent="0.25">
      <c r="A3388" s="218"/>
      <c r="B3388" s="218"/>
      <c r="C3388" s="221"/>
      <c r="D3388" s="218"/>
      <c r="E3388" s="218"/>
      <c r="F3388" s="642" t="s">
        <v>257</v>
      </c>
      <c r="G3388" s="643" t="s">
        <v>258</v>
      </c>
      <c r="H3388" s="594"/>
      <c r="I3388" s="595"/>
      <c r="J3388" s="599">
        <f t="shared" si="106"/>
        <v>0</v>
      </c>
      <c r="K3388" s="533"/>
      <c r="L3388" s="533"/>
      <c r="M3388" s="533"/>
      <c r="N3388" s="268"/>
      <c r="O3388" s="533"/>
      <c r="P3388" s="533"/>
      <c r="Q3388" s="533"/>
      <c r="R3388" s="533"/>
      <c r="S3388" s="533"/>
      <c r="T3388" s="533"/>
      <c r="U3388" s="533"/>
      <c r="V3388" s="533"/>
      <c r="W3388" s="533"/>
      <c r="X3388" s="533"/>
      <c r="Y3388" s="533"/>
    </row>
    <row r="3389" spans="1:25" s="88" customFormat="1" ht="30" hidden="1" x14ac:dyDescent="0.25">
      <c r="A3389" s="218"/>
      <c r="B3389" s="218"/>
      <c r="C3389" s="221"/>
      <c r="D3389" s="218"/>
      <c r="E3389" s="218"/>
      <c r="F3389" s="642" t="s">
        <v>259</v>
      </c>
      <c r="G3389" s="643" t="s">
        <v>260</v>
      </c>
      <c r="H3389" s="594"/>
      <c r="I3389" s="595"/>
      <c r="J3389" s="599">
        <f t="shared" si="106"/>
        <v>0</v>
      </c>
      <c r="K3389" s="533"/>
      <c r="L3389" s="533"/>
      <c r="M3389" s="533"/>
      <c r="N3389" s="268"/>
      <c r="O3389" s="533"/>
      <c r="P3389" s="533"/>
      <c r="Q3389" s="533"/>
      <c r="R3389" s="533"/>
      <c r="S3389" s="533"/>
      <c r="T3389" s="533"/>
      <c r="U3389" s="533"/>
      <c r="V3389" s="533"/>
      <c r="W3389" s="533"/>
      <c r="X3389" s="533"/>
      <c r="Y3389" s="533"/>
    </row>
    <row r="3390" spans="1:25" s="88" customFormat="1" hidden="1" x14ac:dyDescent="0.25">
      <c r="A3390" s="218"/>
      <c r="B3390" s="218"/>
      <c r="C3390" s="221"/>
      <c r="D3390" s="218"/>
      <c r="E3390" s="218"/>
      <c r="F3390" s="642" t="s">
        <v>261</v>
      </c>
      <c r="G3390" s="643" t="s">
        <v>262</v>
      </c>
      <c r="H3390" s="594"/>
      <c r="I3390" s="595"/>
      <c r="J3390" s="599">
        <f t="shared" si="106"/>
        <v>0</v>
      </c>
      <c r="K3390" s="533"/>
      <c r="L3390" s="533"/>
      <c r="M3390" s="533"/>
      <c r="N3390" s="268"/>
      <c r="O3390" s="533"/>
      <c r="P3390" s="533"/>
      <c r="Q3390" s="533"/>
      <c r="R3390" s="533"/>
      <c r="S3390" s="533"/>
      <c r="T3390" s="533"/>
      <c r="U3390" s="533"/>
      <c r="V3390" s="533"/>
      <c r="W3390" s="533"/>
      <c r="X3390" s="533"/>
      <c r="Y3390" s="533"/>
    </row>
    <row r="3391" spans="1:25" s="88" customFormat="1" ht="15.75" hidden="1" thickBot="1" x14ac:dyDescent="0.3">
      <c r="A3391" s="218"/>
      <c r="B3391" s="218"/>
      <c r="C3391" s="221"/>
      <c r="D3391" s="218"/>
      <c r="E3391" s="218"/>
      <c r="F3391" s="642" t="s">
        <v>263</v>
      </c>
      <c r="G3391" s="643" t="s">
        <v>264</v>
      </c>
      <c r="H3391" s="598"/>
      <c r="I3391" s="599"/>
      <c r="J3391" s="599">
        <f t="shared" si="106"/>
        <v>0</v>
      </c>
      <c r="K3391" s="533"/>
      <c r="L3391" s="533"/>
      <c r="M3391" s="533"/>
      <c r="N3391" s="268"/>
      <c r="O3391" s="533"/>
      <c r="P3391" s="533"/>
      <c r="Q3391" s="533"/>
      <c r="R3391" s="533"/>
      <c r="S3391" s="533"/>
      <c r="T3391" s="533"/>
      <c r="U3391" s="533"/>
      <c r="V3391" s="533"/>
      <c r="W3391" s="533"/>
      <c r="X3391" s="533"/>
      <c r="Y3391" s="533"/>
    </row>
    <row r="3392" spans="1:25" s="88" customFormat="1" ht="15.75" thickBot="1" x14ac:dyDescent="0.3">
      <c r="A3392" s="218"/>
      <c r="B3392" s="218"/>
      <c r="C3392" s="221"/>
      <c r="D3392" s="218"/>
      <c r="E3392" s="218"/>
      <c r="F3392" s="218"/>
      <c r="G3392" s="229" t="s">
        <v>4369</v>
      </c>
      <c r="H3392" s="600">
        <f>SUM(H3376)</f>
        <v>11300000</v>
      </c>
      <c r="I3392" s="601">
        <f>SUM(I3377:I3391)</f>
        <v>0</v>
      </c>
      <c r="J3392" s="601">
        <f>SUM(J3376:J3391)</f>
        <v>11300000</v>
      </c>
      <c r="K3392" s="533"/>
      <c r="L3392" s="533"/>
      <c r="M3392" s="533"/>
      <c r="N3392" s="268"/>
      <c r="O3392" s="533"/>
      <c r="P3392" s="533"/>
      <c r="Q3392" s="533"/>
      <c r="R3392" s="533"/>
      <c r="S3392" s="533"/>
      <c r="T3392" s="533"/>
      <c r="U3392" s="533"/>
      <c r="V3392" s="533"/>
      <c r="W3392" s="533"/>
      <c r="X3392" s="533"/>
      <c r="Y3392" s="533"/>
    </row>
    <row r="3393" spans="1:25" s="88" customFormat="1" x14ac:dyDescent="0.25">
      <c r="A3393" s="218"/>
      <c r="B3393" s="218"/>
      <c r="C3393" s="221"/>
      <c r="D3393" s="218"/>
      <c r="E3393" s="218"/>
      <c r="F3393" s="218"/>
      <c r="G3393" s="286" t="s">
        <v>5282</v>
      </c>
      <c r="H3393" s="604"/>
      <c r="I3393" s="605"/>
      <c r="J3393" s="605"/>
      <c r="K3393" s="533"/>
      <c r="L3393" s="533"/>
      <c r="M3393" s="533"/>
      <c r="N3393" s="268"/>
      <c r="O3393" s="533"/>
      <c r="P3393" s="533"/>
      <c r="Q3393" s="533"/>
      <c r="R3393" s="533"/>
      <c r="S3393" s="533"/>
      <c r="T3393" s="533"/>
      <c r="U3393" s="533"/>
      <c r="V3393" s="533"/>
      <c r="W3393" s="533"/>
      <c r="X3393" s="533"/>
      <c r="Y3393" s="533"/>
    </row>
    <row r="3394" spans="1:25" s="88" customFormat="1" ht="15.75" thickBot="1" x14ac:dyDescent="0.3">
      <c r="A3394" s="218"/>
      <c r="B3394" s="218"/>
      <c r="C3394" s="221"/>
      <c r="D3394" s="218"/>
      <c r="E3394" s="218"/>
      <c r="F3394" s="218" t="s">
        <v>234</v>
      </c>
      <c r="G3394" s="723" t="s">
        <v>235</v>
      </c>
      <c r="H3394" s="725">
        <f>SUM(H3315:H3374)</f>
        <v>11300000</v>
      </c>
      <c r="I3394" s="726"/>
      <c r="J3394" s="729">
        <f t="shared" ref="J3394:J3409" si="107">SUM(H3394:I3394)</f>
        <v>11300000</v>
      </c>
      <c r="K3394" s="533"/>
      <c r="L3394" s="533"/>
      <c r="M3394" s="533"/>
      <c r="N3394" s="268"/>
      <c r="O3394" s="533"/>
      <c r="P3394" s="533"/>
      <c r="Q3394" s="533"/>
      <c r="R3394" s="533"/>
      <c r="S3394" s="533"/>
      <c r="T3394" s="533"/>
      <c r="U3394" s="533"/>
      <c r="V3394" s="533"/>
      <c r="W3394" s="533"/>
      <c r="X3394" s="533"/>
      <c r="Y3394" s="533"/>
    </row>
    <row r="3395" spans="1:25" s="88" customFormat="1" hidden="1" x14ac:dyDescent="0.25">
      <c r="A3395" s="218"/>
      <c r="B3395" s="218"/>
      <c r="C3395" s="221"/>
      <c r="D3395" s="218"/>
      <c r="E3395" s="218"/>
      <c r="F3395" s="218" t="s">
        <v>236</v>
      </c>
      <c r="G3395" s="286" t="s">
        <v>237</v>
      </c>
      <c r="H3395" s="604"/>
      <c r="I3395" s="605"/>
      <c r="J3395" s="605">
        <f t="shared" si="107"/>
        <v>0</v>
      </c>
      <c r="K3395" s="533"/>
      <c r="L3395" s="533"/>
      <c r="M3395" s="533"/>
      <c r="N3395" s="268"/>
      <c r="O3395" s="533"/>
      <c r="P3395" s="533"/>
      <c r="Q3395" s="533"/>
      <c r="R3395" s="533"/>
      <c r="S3395" s="533"/>
      <c r="T3395" s="533"/>
      <c r="U3395" s="533"/>
      <c r="V3395" s="533"/>
      <c r="W3395" s="533"/>
      <c r="X3395" s="533"/>
      <c r="Y3395" s="533"/>
    </row>
    <row r="3396" spans="1:25" s="88" customFormat="1" hidden="1" x14ac:dyDescent="0.25">
      <c r="A3396" s="218"/>
      <c r="B3396" s="218"/>
      <c r="C3396" s="221"/>
      <c r="D3396" s="218"/>
      <c r="E3396" s="218"/>
      <c r="F3396" s="218" t="s">
        <v>238</v>
      </c>
      <c r="G3396" s="286" t="s">
        <v>239</v>
      </c>
      <c r="H3396" s="604"/>
      <c r="I3396" s="605"/>
      <c r="J3396" s="605">
        <f t="shared" si="107"/>
        <v>0</v>
      </c>
      <c r="K3396" s="533"/>
      <c r="L3396" s="533"/>
      <c r="M3396" s="533"/>
      <c r="N3396" s="268"/>
      <c r="O3396" s="533"/>
      <c r="P3396" s="533"/>
      <c r="Q3396" s="533"/>
      <c r="R3396" s="533"/>
      <c r="S3396" s="533"/>
      <c r="T3396" s="533"/>
      <c r="U3396" s="533"/>
      <c r="V3396" s="533"/>
      <c r="W3396" s="533"/>
      <c r="X3396" s="533"/>
      <c r="Y3396" s="533"/>
    </row>
    <row r="3397" spans="1:25" s="88" customFormat="1" hidden="1" x14ac:dyDescent="0.25">
      <c r="A3397" s="218"/>
      <c r="B3397" s="218"/>
      <c r="C3397" s="221"/>
      <c r="D3397" s="218"/>
      <c r="E3397" s="218"/>
      <c r="F3397" s="218" t="s">
        <v>240</v>
      </c>
      <c r="G3397" s="286" t="s">
        <v>241</v>
      </c>
      <c r="H3397" s="604"/>
      <c r="I3397" s="605"/>
      <c r="J3397" s="605">
        <f t="shared" si="107"/>
        <v>0</v>
      </c>
      <c r="K3397" s="533"/>
      <c r="L3397" s="533"/>
      <c r="M3397" s="533"/>
      <c r="N3397" s="268"/>
      <c r="O3397" s="533"/>
      <c r="P3397" s="533"/>
      <c r="Q3397" s="533"/>
      <c r="R3397" s="533"/>
      <c r="S3397" s="533"/>
      <c r="T3397" s="533"/>
      <c r="U3397" s="533"/>
      <c r="V3397" s="533"/>
      <c r="W3397" s="533"/>
      <c r="X3397" s="533"/>
      <c r="Y3397" s="533"/>
    </row>
    <row r="3398" spans="1:25" s="88" customFormat="1" hidden="1" x14ac:dyDescent="0.25">
      <c r="A3398" s="218"/>
      <c r="B3398" s="218"/>
      <c r="C3398" s="221"/>
      <c r="D3398" s="218"/>
      <c r="E3398" s="218"/>
      <c r="F3398" s="218" t="s">
        <v>242</v>
      </c>
      <c r="G3398" s="286" t="s">
        <v>243</v>
      </c>
      <c r="H3398" s="604"/>
      <c r="I3398" s="605"/>
      <c r="J3398" s="605">
        <f t="shared" si="107"/>
        <v>0</v>
      </c>
      <c r="K3398" s="533"/>
      <c r="L3398" s="533"/>
      <c r="M3398" s="533"/>
      <c r="N3398" s="268"/>
      <c r="O3398" s="533"/>
      <c r="P3398" s="533"/>
      <c r="Q3398" s="533"/>
      <c r="R3398" s="533"/>
      <c r="S3398" s="533"/>
      <c r="T3398" s="533"/>
      <c r="U3398" s="533"/>
      <c r="V3398" s="533"/>
      <c r="W3398" s="533"/>
      <c r="X3398" s="533"/>
      <c r="Y3398" s="533"/>
    </row>
    <row r="3399" spans="1:25" s="88" customFormat="1" hidden="1" x14ac:dyDescent="0.25">
      <c r="A3399" s="218"/>
      <c r="B3399" s="218"/>
      <c r="C3399" s="221"/>
      <c r="D3399" s="218"/>
      <c r="E3399" s="218"/>
      <c r="F3399" s="218" t="s">
        <v>244</v>
      </c>
      <c r="G3399" s="286" t="s">
        <v>245</v>
      </c>
      <c r="H3399" s="604"/>
      <c r="I3399" s="605"/>
      <c r="J3399" s="605">
        <f t="shared" si="107"/>
        <v>0</v>
      </c>
      <c r="K3399" s="533"/>
      <c r="L3399" s="533"/>
      <c r="M3399" s="533"/>
      <c r="N3399" s="268"/>
      <c r="O3399" s="533"/>
      <c r="P3399" s="533"/>
      <c r="Q3399" s="533"/>
      <c r="R3399" s="533"/>
      <c r="S3399" s="533"/>
      <c r="T3399" s="533"/>
      <c r="U3399" s="533"/>
      <c r="V3399" s="533"/>
      <c r="W3399" s="533"/>
      <c r="X3399" s="533"/>
      <c r="Y3399" s="533"/>
    </row>
    <row r="3400" spans="1:25" s="88" customFormat="1" hidden="1" x14ac:dyDescent="0.25">
      <c r="A3400" s="218"/>
      <c r="B3400" s="218"/>
      <c r="C3400" s="221"/>
      <c r="D3400" s="218"/>
      <c r="E3400" s="218"/>
      <c r="F3400" s="218" t="s">
        <v>246</v>
      </c>
      <c r="G3400" s="286" t="s">
        <v>247</v>
      </c>
      <c r="H3400" s="604"/>
      <c r="I3400" s="605"/>
      <c r="J3400" s="605">
        <f t="shared" si="107"/>
        <v>0</v>
      </c>
      <c r="K3400" s="533"/>
      <c r="L3400" s="533"/>
      <c r="M3400" s="533"/>
      <c r="N3400" s="268"/>
      <c r="O3400" s="533"/>
      <c r="P3400" s="533"/>
      <c r="Q3400" s="533"/>
      <c r="R3400" s="533"/>
      <c r="S3400" s="533"/>
      <c r="T3400" s="533"/>
      <c r="U3400" s="533"/>
      <c r="V3400" s="533"/>
      <c r="W3400" s="533"/>
      <c r="X3400" s="533"/>
      <c r="Y3400" s="533"/>
    </row>
    <row r="3401" spans="1:25" s="88" customFormat="1" hidden="1" x14ac:dyDescent="0.25">
      <c r="A3401" s="218"/>
      <c r="B3401" s="218"/>
      <c r="C3401" s="221"/>
      <c r="D3401" s="218"/>
      <c r="E3401" s="218"/>
      <c r="F3401" s="218" t="s">
        <v>248</v>
      </c>
      <c r="G3401" s="286" t="s">
        <v>249</v>
      </c>
      <c r="H3401" s="604"/>
      <c r="I3401" s="605"/>
      <c r="J3401" s="605">
        <f t="shared" si="107"/>
        <v>0</v>
      </c>
      <c r="K3401" s="533"/>
      <c r="L3401" s="533"/>
      <c r="M3401" s="533"/>
      <c r="N3401" s="268"/>
      <c r="O3401" s="533"/>
      <c r="P3401" s="533"/>
      <c r="Q3401" s="533"/>
      <c r="R3401" s="533"/>
      <c r="S3401" s="533"/>
      <c r="T3401" s="533"/>
      <c r="U3401" s="533"/>
      <c r="V3401" s="533"/>
      <c r="W3401" s="533"/>
      <c r="X3401" s="533"/>
      <c r="Y3401" s="533"/>
    </row>
    <row r="3402" spans="1:25" s="88" customFormat="1" hidden="1" x14ac:dyDescent="0.25">
      <c r="A3402" s="218"/>
      <c r="B3402" s="218"/>
      <c r="C3402" s="221"/>
      <c r="D3402" s="218"/>
      <c r="E3402" s="218"/>
      <c r="F3402" s="218" t="s">
        <v>250</v>
      </c>
      <c r="G3402" s="286" t="s">
        <v>57</v>
      </c>
      <c r="H3402" s="604"/>
      <c r="I3402" s="605"/>
      <c r="J3402" s="605">
        <f t="shared" si="107"/>
        <v>0</v>
      </c>
      <c r="K3402" s="533"/>
      <c r="L3402" s="533"/>
      <c r="M3402" s="533"/>
      <c r="N3402" s="268"/>
      <c r="O3402" s="533"/>
      <c r="P3402" s="533"/>
      <c r="Q3402" s="533"/>
      <c r="R3402" s="533"/>
      <c r="S3402" s="533"/>
      <c r="T3402" s="533"/>
      <c r="U3402" s="533"/>
      <c r="V3402" s="533"/>
      <c r="W3402" s="533"/>
      <c r="X3402" s="533"/>
      <c r="Y3402" s="533"/>
    </row>
    <row r="3403" spans="1:25" s="88" customFormat="1" hidden="1" x14ac:dyDescent="0.25">
      <c r="A3403" s="218"/>
      <c r="B3403" s="218"/>
      <c r="C3403" s="221"/>
      <c r="D3403" s="218"/>
      <c r="E3403" s="218"/>
      <c r="F3403" s="218" t="s">
        <v>251</v>
      </c>
      <c r="G3403" s="286" t="s">
        <v>252</v>
      </c>
      <c r="H3403" s="604"/>
      <c r="I3403" s="605"/>
      <c r="J3403" s="605">
        <f t="shared" si="107"/>
        <v>0</v>
      </c>
      <c r="K3403" s="533"/>
      <c r="L3403" s="533"/>
      <c r="M3403" s="533"/>
      <c r="N3403" s="268"/>
      <c r="O3403" s="533"/>
      <c r="P3403" s="533"/>
      <c r="Q3403" s="533"/>
      <c r="R3403" s="533"/>
      <c r="S3403" s="533"/>
      <c r="T3403" s="533"/>
      <c r="U3403" s="533"/>
      <c r="V3403" s="533"/>
      <c r="W3403" s="533"/>
      <c r="X3403" s="533"/>
      <c r="Y3403" s="533"/>
    </row>
    <row r="3404" spans="1:25" s="88" customFormat="1" hidden="1" x14ac:dyDescent="0.25">
      <c r="A3404" s="218"/>
      <c r="B3404" s="218"/>
      <c r="C3404" s="221"/>
      <c r="D3404" s="218"/>
      <c r="E3404" s="218"/>
      <c r="F3404" s="218" t="s">
        <v>253</v>
      </c>
      <c r="G3404" s="286" t="s">
        <v>254</v>
      </c>
      <c r="H3404" s="604"/>
      <c r="I3404" s="605"/>
      <c r="J3404" s="605">
        <f t="shared" si="107"/>
        <v>0</v>
      </c>
      <c r="K3404" s="533"/>
      <c r="L3404" s="533"/>
      <c r="M3404" s="533"/>
      <c r="N3404" s="268"/>
      <c r="O3404" s="533"/>
      <c r="P3404" s="533"/>
      <c r="Q3404" s="533"/>
      <c r="R3404" s="533"/>
      <c r="S3404" s="533"/>
      <c r="T3404" s="533"/>
      <c r="U3404" s="533"/>
      <c r="V3404" s="533"/>
      <c r="W3404" s="533"/>
      <c r="X3404" s="533"/>
      <c r="Y3404" s="533"/>
    </row>
    <row r="3405" spans="1:25" s="88" customFormat="1" ht="28.5" hidden="1" x14ac:dyDescent="0.25">
      <c r="A3405" s="218"/>
      <c r="B3405" s="218"/>
      <c r="C3405" s="221"/>
      <c r="D3405" s="218"/>
      <c r="E3405" s="218"/>
      <c r="F3405" s="218" t="s">
        <v>255</v>
      </c>
      <c r="G3405" s="286" t="s">
        <v>256</v>
      </c>
      <c r="H3405" s="604"/>
      <c r="I3405" s="605"/>
      <c r="J3405" s="605">
        <f t="shared" si="107"/>
        <v>0</v>
      </c>
      <c r="K3405" s="533"/>
      <c r="L3405" s="533"/>
      <c r="M3405" s="533"/>
      <c r="N3405" s="268"/>
      <c r="O3405" s="533"/>
      <c r="P3405" s="533"/>
      <c r="Q3405" s="533"/>
      <c r="R3405" s="533"/>
      <c r="S3405" s="533"/>
      <c r="T3405" s="533"/>
      <c r="U3405" s="533"/>
      <c r="V3405" s="533"/>
      <c r="W3405" s="533"/>
      <c r="X3405" s="533"/>
      <c r="Y3405" s="533"/>
    </row>
    <row r="3406" spans="1:25" s="88" customFormat="1" hidden="1" x14ac:dyDescent="0.25">
      <c r="A3406" s="218"/>
      <c r="B3406" s="218"/>
      <c r="C3406" s="221"/>
      <c r="D3406" s="218"/>
      <c r="E3406" s="218"/>
      <c r="F3406" s="218" t="s">
        <v>257</v>
      </c>
      <c r="G3406" s="286" t="s">
        <v>258</v>
      </c>
      <c r="H3406" s="604"/>
      <c r="I3406" s="605"/>
      <c r="J3406" s="605">
        <f t="shared" si="107"/>
        <v>0</v>
      </c>
      <c r="K3406" s="533"/>
      <c r="L3406" s="533"/>
      <c r="M3406" s="533"/>
      <c r="N3406" s="268"/>
      <c r="O3406" s="533"/>
      <c r="P3406" s="533"/>
      <c r="Q3406" s="533"/>
      <c r="R3406" s="533"/>
      <c r="S3406" s="533"/>
      <c r="T3406" s="533"/>
      <c r="U3406" s="533"/>
      <c r="V3406" s="533"/>
      <c r="W3406" s="533"/>
      <c r="X3406" s="533"/>
      <c r="Y3406" s="533"/>
    </row>
    <row r="3407" spans="1:25" s="88" customFormat="1" ht="28.5" hidden="1" x14ac:dyDescent="0.25">
      <c r="A3407" s="218"/>
      <c r="B3407" s="218"/>
      <c r="C3407" s="221"/>
      <c r="D3407" s="218"/>
      <c r="E3407" s="218"/>
      <c r="F3407" s="218" t="s">
        <v>259</v>
      </c>
      <c r="G3407" s="286" t="s">
        <v>260</v>
      </c>
      <c r="H3407" s="604"/>
      <c r="I3407" s="605"/>
      <c r="J3407" s="605">
        <f t="shared" si="107"/>
        <v>0</v>
      </c>
      <c r="K3407" s="533"/>
      <c r="L3407" s="533"/>
      <c r="M3407" s="533"/>
      <c r="N3407" s="268"/>
      <c r="O3407" s="533"/>
      <c r="P3407" s="533"/>
      <c r="Q3407" s="533"/>
      <c r="R3407" s="533"/>
      <c r="S3407" s="533"/>
      <c r="T3407" s="533"/>
      <c r="U3407" s="533"/>
      <c r="V3407" s="533"/>
      <c r="W3407" s="533"/>
      <c r="X3407" s="533"/>
      <c r="Y3407" s="533"/>
    </row>
    <row r="3408" spans="1:25" s="88" customFormat="1" hidden="1" x14ac:dyDescent="0.25">
      <c r="A3408" s="218"/>
      <c r="B3408" s="218"/>
      <c r="C3408" s="221"/>
      <c r="D3408" s="218"/>
      <c r="E3408" s="218"/>
      <c r="F3408" s="218" t="s">
        <v>261</v>
      </c>
      <c r="G3408" s="286" t="s">
        <v>262</v>
      </c>
      <c r="H3408" s="604"/>
      <c r="I3408" s="605"/>
      <c r="J3408" s="605">
        <f t="shared" si="107"/>
        <v>0</v>
      </c>
      <c r="K3408" s="533"/>
      <c r="L3408" s="533"/>
      <c r="M3408" s="533"/>
      <c r="N3408" s="268"/>
      <c r="O3408" s="533"/>
      <c r="P3408" s="533"/>
      <c r="Q3408" s="533"/>
      <c r="R3408" s="533"/>
      <c r="S3408" s="533"/>
      <c r="T3408" s="533"/>
      <c r="U3408" s="533"/>
      <c r="V3408" s="533"/>
      <c r="W3408" s="533"/>
      <c r="X3408" s="533"/>
      <c r="Y3408" s="533"/>
    </row>
    <row r="3409" spans="1:25" s="88" customFormat="1" hidden="1" x14ac:dyDescent="0.25">
      <c r="A3409" s="218"/>
      <c r="B3409" s="218"/>
      <c r="C3409" s="221"/>
      <c r="D3409" s="218"/>
      <c r="E3409" s="218"/>
      <c r="F3409" s="218" t="s">
        <v>263</v>
      </c>
      <c r="G3409" s="286" t="s">
        <v>264</v>
      </c>
      <c r="H3409" s="604"/>
      <c r="I3409" s="605"/>
      <c r="J3409" s="605">
        <f t="shared" si="107"/>
        <v>0</v>
      </c>
      <c r="K3409" s="533"/>
      <c r="L3409" s="533"/>
      <c r="M3409" s="533"/>
      <c r="N3409" s="268"/>
      <c r="O3409" s="533"/>
      <c r="P3409" s="533"/>
      <c r="Q3409" s="533"/>
      <c r="R3409" s="533"/>
      <c r="S3409" s="533"/>
      <c r="T3409" s="533"/>
      <c r="U3409" s="533"/>
      <c r="V3409" s="533"/>
      <c r="W3409" s="533"/>
      <c r="X3409" s="533"/>
      <c r="Y3409" s="533"/>
    </row>
    <row r="3410" spans="1:25" s="88" customFormat="1" ht="15.75" thickBot="1" x14ac:dyDescent="0.3">
      <c r="A3410" s="218"/>
      <c r="B3410" s="218"/>
      <c r="C3410" s="221"/>
      <c r="D3410" s="218"/>
      <c r="E3410" s="218"/>
      <c r="F3410" s="218"/>
      <c r="G3410" s="727" t="s">
        <v>5283</v>
      </c>
      <c r="H3410" s="728">
        <f>SUM(H3394:H3409)</f>
        <v>11300000</v>
      </c>
      <c r="I3410" s="726">
        <f>SUM(I3395:I3409)</f>
        <v>0</v>
      </c>
      <c r="J3410" s="726">
        <f>SUM(J3394:J3409)</f>
        <v>11300000</v>
      </c>
      <c r="K3410" s="533"/>
      <c r="L3410" s="533"/>
      <c r="M3410" s="533"/>
      <c r="N3410" s="268"/>
      <c r="O3410" s="533"/>
      <c r="P3410" s="533"/>
      <c r="Q3410" s="533"/>
      <c r="R3410" s="533"/>
      <c r="S3410" s="533"/>
      <c r="T3410" s="533"/>
      <c r="U3410" s="533"/>
      <c r="V3410" s="533"/>
      <c r="W3410" s="533"/>
      <c r="X3410" s="533"/>
      <c r="Y3410" s="533"/>
    </row>
    <row r="3411" spans="1:25" s="88" customFormat="1" hidden="1" x14ac:dyDescent="0.25">
      <c r="A3411" s="218"/>
      <c r="B3411" s="218"/>
      <c r="C3411" s="221"/>
      <c r="D3411" s="218"/>
      <c r="E3411" s="218"/>
      <c r="F3411" s="218"/>
      <c r="G3411" s="286"/>
      <c r="H3411" s="604"/>
      <c r="I3411" s="605"/>
      <c r="J3411" s="605"/>
      <c r="K3411" s="533"/>
      <c r="L3411" s="533"/>
      <c r="M3411" s="533"/>
      <c r="N3411" s="268"/>
      <c r="O3411" s="533"/>
      <c r="P3411" s="533"/>
      <c r="Q3411" s="533"/>
      <c r="R3411" s="533"/>
      <c r="S3411" s="533"/>
      <c r="T3411" s="533"/>
      <c r="U3411" s="533"/>
      <c r="V3411" s="533"/>
      <c r="W3411" s="533"/>
      <c r="X3411" s="533"/>
      <c r="Y3411" s="533"/>
    </row>
    <row r="3412" spans="1:25" s="88" customFormat="1" hidden="1" x14ac:dyDescent="0.25">
      <c r="A3412" s="218"/>
      <c r="B3412" s="218"/>
      <c r="C3412" s="221"/>
      <c r="D3412" s="218"/>
      <c r="E3412" s="218"/>
      <c r="F3412" s="218"/>
      <c r="G3412" s="286"/>
      <c r="H3412" s="604"/>
      <c r="I3412" s="605"/>
      <c r="J3412" s="605"/>
      <c r="K3412" s="533"/>
      <c r="L3412" s="533"/>
      <c r="M3412" s="533"/>
      <c r="N3412" s="268"/>
      <c r="O3412" s="533"/>
      <c r="P3412" s="533"/>
      <c r="Q3412" s="533"/>
      <c r="R3412" s="533"/>
      <c r="S3412" s="533"/>
      <c r="T3412" s="533"/>
      <c r="U3412" s="533"/>
      <c r="V3412" s="533"/>
      <c r="W3412" s="533"/>
      <c r="X3412" s="533"/>
      <c r="Y3412" s="533"/>
    </row>
    <row r="3413" spans="1:25" s="88" customFormat="1" hidden="1" x14ac:dyDescent="0.25">
      <c r="A3413" s="218"/>
      <c r="B3413" s="218"/>
      <c r="C3413" s="221"/>
      <c r="D3413" s="218"/>
      <c r="E3413" s="218"/>
      <c r="F3413" s="218"/>
      <c r="G3413" s="286"/>
      <c r="H3413" s="604"/>
      <c r="I3413" s="605"/>
      <c r="J3413" s="605"/>
      <c r="K3413" s="533"/>
      <c r="L3413" s="533"/>
      <c r="M3413" s="533"/>
      <c r="N3413" s="268"/>
      <c r="O3413" s="533"/>
      <c r="P3413" s="533"/>
      <c r="Q3413" s="533"/>
      <c r="R3413" s="533"/>
      <c r="S3413" s="533"/>
      <c r="T3413" s="533"/>
      <c r="U3413" s="533"/>
      <c r="V3413" s="533"/>
      <c r="W3413" s="533"/>
      <c r="X3413" s="533"/>
      <c r="Y3413" s="533"/>
    </row>
    <row r="3414" spans="1:25" s="88" customFormat="1" hidden="1" x14ac:dyDescent="0.25">
      <c r="A3414" s="218"/>
      <c r="B3414" s="218"/>
      <c r="C3414" s="221"/>
      <c r="D3414" s="218"/>
      <c r="E3414" s="218"/>
      <c r="F3414" s="218"/>
      <c r="G3414" s="286"/>
      <c r="H3414" s="604"/>
      <c r="I3414" s="605"/>
      <c r="J3414" s="605"/>
      <c r="K3414" s="533"/>
      <c r="L3414" s="533"/>
      <c r="M3414" s="533"/>
      <c r="N3414" s="268"/>
      <c r="O3414" s="533"/>
      <c r="P3414" s="533"/>
      <c r="Q3414" s="533"/>
      <c r="R3414" s="533"/>
      <c r="S3414" s="533"/>
      <c r="T3414" s="533"/>
      <c r="U3414" s="533"/>
      <c r="V3414" s="533"/>
      <c r="W3414" s="533"/>
      <c r="X3414" s="533"/>
      <c r="Y3414" s="533"/>
    </row>
    <row r="3415" spans="1:25" s="88" customFormat="1" hidden="1" x14ac:dyDescent="0.25">
      <c r="A3415" s="218"/>
      <c r="B3415" s="218"/>
      <c r="C3415" s="221"/>
      <c r="D3415" s="218"/>
      <c r="E3415" s="218"/>
      <c r="F3415" s="218"/>
      <c r="G3415" s="286"/>
      <c r="H3415" s="604"/>
      <c r="I3415" s="605"/>
      <c r="J3415" s="605"/>
      <c r="K3415" s="533"/>
      <c r="L3415" s="533"/>
      <c r="M3415" s="533"/>
      <c r="N3415" s="268"/>
      <c r="O3415" s="533"/>
      <c r="P3415" s="533"/>
      <c r="Q3415" s="533"/>
      <c r="R3415" s="533"/>
      <c r="S3415" s="533"/>
      <c r="T3415" s="533"/>
      <c r="U3415" s="533"/>
      <c r="V3415" s="533"/>
      <c r="W3415" s="533"/>
      <c r="X3415" s="533"/>
      <c r="Y3415" s="533"/>
    </row>
    <row r="3416" spans="1:25" s="88" customFormat="1" hidden="1" x14ac:dyDescent="0.25">
      <c r="A3416" s="218"/>
      <c r="B3416" s="218"/>
      <c r="C3416" s="221"/>
      <c r="D3416" s="218"/>
      <c r="E3416" s="218"/>
      <c r="F3416" s="218"/>
      <c r="G3416" s="286"/>
      <c r="H3416" s="604"/>
      <c r="I3416" s="605"/>
      <c r="J3416" s="605"/>
      <c r="K3416" s="533"/>
      <c r="L3416" s="533"/>
      <c r="M3416" s="533"/>
      <c r="N3416" s="268"/>
      <c r="O3416" s="533"/>
      <c r="P3416" s="533"/>
      <c r="Q3416" s="533"/>
      <c r="R3416" s="533"/>
      <c r="S3416" s="533"/>
      <c r="T3416" s="533"/>
      <c r="U3416" s="533"/>
      <c r="V3416" s="533"/>
      <c r="W3416" s="533"/>
      <c r="X3416" s="533"/>
      <c r="Y3416" s="533"/>
    </row>
    <row r="3417" spans="1:25" s="88" customFormat="1" hidden="1" x14ac:dyDescent="0.25">
      <c r="A3417" s="218"/>
      <c r="B3417" s="218"/>
      <c r="C3417" s="221"/>
      <c r="D3417" s="218"/>
      <c r="E3417" s="218"/>
      <c r="F3417" s="218"/>
      <c r="G3417" s="286"/>
      <c r="H3417" s="604"/>
      <c r="I3417" s="605"/>
      <c r="J3417" s="605"/>
      <c r="K3417" s="533"/>
      <c r="L3417" s="533"/>
      <c r="M3417" s="533"/>
      <c r="N3417" s="268"/>
      <c r="O3417" s="533"/>
      <c r="P3417" s="533"/>
      <c r="Q3417" s="533"/>
      <c r="R3417" s="533"/>
      <c r="S3417" s="533"/>
      <c r="T3417" s="533"/>
      <c r="U3417" s="533"/>
      <c r="V3417" s="533"/>
      <c r="W3417" s="533"/>
      <c r="X3417" s="533"/>
      <c r="Y3417" s="533"/>
    </row>
    <row r="3418" spans="1:25" s="88" customFormat="1" hidden="1" x14ac:dyDescent="0.25">
      <c r="A3418" s="218"/>
      <c r="B3418" s="218"/>
      <c r="C3418" s="221"/>
      <c r="D3418" s="218"/>
      <c r="E3418" s="218"/>
      <c r="F3418" s="218"/>
      <c r="G3418" s="286"/>
      <c r="H3418" s="604"/>
      <c r="I3418" s="605"/>
      <c r="J3418" s="605"/>
      <c r="K3418" s="533"/>
      <c r="L3418" s="533"/>
      <c r="M3418" s="533"/>
      <c r="N3418" s="268"/>
      <c r="O3418" s="533"/>
      <c r="P3418" s="533"/>
      <c r="Q3418" s="533"/>
      <c r="R3418" s="533"/>
      <c r="S3418" s="533"/>
      <c r="T3418" s="533"/>
      <c r="U3418" s="533"/>
      <c r="V3418" s="533"/>
      <c r="W3418" s="533"/>
      <c r="X3418" s="533"/>
      <c r="Y3418" s="533"/>
    </row>
    <row r="3419" spans="1:25" s="88" customFormat="1" hidden="1" x14ac:dyDescent="0.25">
      <c r="A3419" s="218"/>
      <c r="B3419" s="218"/>
      <c r="C3419" s="221"/>
      <c r="D3419" s="218"/>
      <c r="E3419" s="218"/>
      <c r="F3419" s="218"/>
      <c r="G3419" s="286"/>
      <c r="H3419" s="604"/>
      <c r="I3419" s="605"/>
      <c r="J3419" s="605"/>
      <c r="K3419" s="533"/>
      <c r="L3419" s="533"/>
      <c r="M3419" s="533"/>
      <c r="N3419" s="268"/>
      <c r="O3419" s="533"/>
      <c r="P3419" s="533"/>
      <c r="Q3419" s="533"/>
      <c r="R3419" s="533"/>
      <c r="S3419" s="533"/>
      <c r="T3419" s="533"/>
      <c r="U3419" s="533"/>
      <c r="V3419" s="533"/>
      <c r="W3419" s="533"/>
      <c r="X3419" s="533"/>
      <c r="Y3419" s="533"/>
    </row>
    <row r="3420" spans="1:25" s="88" customFormat="1" x14ac:dyDescent="0.25">
      <c r="A3420" s="509"/>
      <c r="B3420" s="256"/>
      <c r="C3420" s="221"/>
      <c r="D3420" s="218"/>
      <c r="E3420" s="218"/>
      <c r="F3420" s="218"/>
      <c r="G3420" s="286"/>
      <c r="H3420" s="604"/>
      <c r="I3420" s="605"/>
      <c r="J3420" s="605"/>
      <c r="K3420" s="533"/>
      <c r="L3420" s="533"/>
      <c r="M3420" s="533"/>
      <c r="N3420" s="268"/>
      <c r="O3420" s="533"/>
      <c r="P3420" s="533"/>
      <c r="Q3420" s="533"/>
      <c r="R3420" s="533"/>
      <c r="S3420" s="533"/>
      <c r="T3420" s="533"/>
      <c r="U3420" s="533"/>
      <c r="V3420" s="533"/>
      <c r="W3420" s="533"/>
      <c r="X3420" s="533"/>
      <c r="Y3420" s="533"/>
    </row>
    <row r="3421" spans="1:25" s="88" customFormat="1" x14ac:dyDescent="0.25">
      <c r="A3421" s="509"/>
      <c r="B3421" s="256"/>
      <c r="C3421" s="316"/>
      <c r="D3421" s="251"/>
      <c r="E3421" s="251"/>
      <c r="F3421" s="528"/>
      <c r="G3421" s="250" t="s">
        <v>4269</v>
      </c>
      <c r="H3421" s="606"/>
      <c r="I3421" s="624"/>
      <c r="J3421" s="607"/>
      <c r="K3421" s="533"/>
      <c r="L3421" s="533"/>
      <c r="M3421" s="533"/>
      <c r="N3421" s="268"/>
      <c r="O3421" s="533"/>
      <c r="P3421" s="533"/>
      <c r="Q3421" s="533"/>
      <c r="R3421" s="533"/>
      <c r="S3421" s="533"/>
      <c r="T3421" s="533"/>
      <c r="U3421" s="533"/>
      <c r="V3421" s="533"/>
      <c r="W3421" s="533"/>
      <c r="X3421" s="533"/>
      <c r="Y3421" s="533"/>
    </row>
    <row r="3422" spans="1:25" s="88" customFormat="1" ht="15.75" thickBot="1" x14ac:dyDescent="0.3">
      <c r="A3422" s="509"/>
      <c r="B3422" s="256"/>
      <c r="C3422" s="316"/>
      <c r="D3422" s="251"/>
      <c r="E3422" s="251"/>
      <c r="F3422" s="642" t="s">
        <v>234</v>
      </c>
      <c r="G3422" s="643" t="s">
        <v>235</v>
      </c>
      <c r="H3422" s="598">
        <f>SUM(H3410,H3311,H3212,H3112,H3013,H2914,H2815,H2702,H2455)</f>
        <v>116800000</v>
      </c>
      <c r="I3422" s="599"/>
      <c r="J3422" s="599">
        <f>SUM(H3422:I3422)</f>
        <v>116800000</v>
      </c>
      <c r="K3422" s="533"/>
      <c r="L3422" s="533"/>
      <c r="M3422" s="533"/>
      <c r="N3422" s="268"/>
      <c r="O3422" s="533"/>
      <c r="P3422" s="533"/>
      <c r="Q3422" s="533"/>
      <c r="R3422" s="533"/>
      <c r="S3422" s="533"/>
      <c r="T3422" s="533"/>
      <c r="U3422" s="533"/>
      <c r="V3422" s="533"/>
      <c r="W3422" s="533"/>
      <c r="X3422" s="533"/>
      <c r="Y3422" s="533"/>
    </row>
    <row r="3423" spans="1:25" s="88" customFormat="1" hidden="1" x14ac:dyDescent="0.25">
      <c r="A3423" s="509"/>
      <c r="B3423" s="256"/>
      <c r="C3423" s="316"/>
      <c r="D3423" s="251"/>
      <c r="E3423" s="251"/>
      <c r="F3423" s="642" t="s">
        <v>236</v>
      </c>
      <c r="G3423" s="643" t="s">
        <v>237</v>
      </c>
      <c r="H3423" s="594"/>
      <c r="I3423" s="595"/>
      <c r="J3423" s="599">
        <f t="shared" ref="J3423:J3437" si="108">SUM(H3423:I3423)</f>
        <v>0</v>
      </c>
      <c r="K3423" s="533"/>
      <c r="L3423" s="533"/>
      <c r="M3423" s="533"/>
      <c r="N3423" s="268"/>
      <c r="O3423" s="533"/>
      <c r="P3423" s="533"/>
      <c r="Q3423" s="533"/>
      <c r="R3423" s="533"/>
      <c r="S3423" s="533"/>
      <c r="T3423" s="533"/>
      <c r="U3423" s="533"/>
      <c r="V3423" s="533"/>
      <c r="W3423" s="533"/>
      <c r="X3423" s="533"/>
      <c r="Y3423" s="533"/>
    </row>
    <row r="3424" spans="1:25" s="88" customFormat="1" hidden="1" x14ac:dyDescent="0.25">
      <c r="A3424" s="509"/>
      <c r="B3424" s="256"/>
      <c r="C3424" s="316"/>
      <c r="D3424" s="251"/>
      <c r="E3424" s="251"/>
      <c r="F3424" s="642" t="s">
        <v>238</v>
      </c>
      <c r="G3424" s="643" t="s">
        <v>239</v>
      </c>
      <c r="H3424" s="594"/>
      <c r="I3424" s="595"/>
      <c r="J3424" s="599">
        <f t="shared" si="108"/>
        <v>0</v>
      </c>
      <c r="K3424" s="533"/>
      <c r="L3424" s="533"/>
      <c r="M3424" s="533"/>
      <c r="N3424" s="268"/>
      <c r="O3424" s="533"/>
      <c r="P3424" s="533"/>
      <c r="Q3424" s="533"/>
      <c r="R3424" s="533"/>
      <c r="S3424" s="533"/>
      <c r="T3424" s="533"/>
      <c r="U3424" s="533"/>
      <c r="V3424" s="533"/>
      <c r="W3424" s="533"/>
      <c r="X3424" s="533"/>
      <c r="Y3424" s="533"/>
    </row>
    <row r="3425" spans="1:25" s="88" customFormat="1" hidden="1" x14ac:dyDescent="0.25">
      <c r="A3425" s="509"/>
      <c r="B3425" s="256"/>
      <c r="C3425" s="316"/>
      <c r="D3425" s="251"/>
      <c r="E3425" s="251"/>
      <c r="F3425" s="642" t="s">
        <v>240</v>
      </c>
      <c r="G3425" s="643" t="s">
        <v>241</v>
      </c>
      <c r="H3425" s="594"/>
      <c r="I3425" s="595"/>
      <c r="J3425" s="599">
        <f t="shared" si="108"/>
        <v>0</v>
      </c>
      <c r="K3425" s="533"/>
      <c r="L3425" s="533"/>
      <c r="M3425" s="533"/>
      <c r="N3425" s="268"/>
      <c r="O3425" s="533"/>
      <c r="P3425" s="533"/>
      <c r="Q3425" s="533"/>
      <c r="R3425" s="533"/>
      <c r="S3425" s="533"/>
      <c r="T3425" s="533"/>
      <c r="U3425" s="533"/>
      <c r="V3425" s="533"/>
      <c r="W3425" s="533"/>
      <c r="X3425" s="533"/>
      <c r="Y3425" s="533"/>
    </row>
    <row r="3426" spans="1:25" s="88" customFormat="1" hidden="1" x14ac:dyDescent="0.25">
      <c r="A3426" s="509"/>
      <c r="B3426" s="256"/>
      <c r="C3426" s="316"/>
      <c r="D3426" s="251"/>
      <c r="E3426" s="251"/>
      <c r="F3426" s="642" t="s">
        <v>242</v>
      </c>
      <c r="G3426" s="643" t="s">
        <v>243</v>
      </c>
      <c r="H3426" s="594"/>
      <c r="I3426" s="595"/>
      <c r="J3426" s="599">
        <f t="shared" si="108"/>
        <v>0</v>
      </c>
      <c r="K3426" s="533"/>
      <c r="L3426" s="533"/>
      <c r="M3426" s="533"/>
      <c r="N3426" s="268"/>
      <c r="O3426" s="533"/>
      <c r="P3426" s="533"/>
      <c r="Q3426" s="533"/>
      <c r="R3426" s="533"/>
      <c r="S3426" s="533"/>
      <c r="T3426" s="533"/>
      <c r="U3426" s="533"/>
      <c r="V3426" s="533"/>
      <c r="W3426" s="533"/>
      <c r="X3426" s="533"/>
      <c r="Y3426" s="533"/>
    </row>
    <row r="3427" spans="1:25" s="88" customFormat="1" hidden="1" x14ac:dyDescent="0.25">
      <c r="A3427" s="509"/>
      <c r="B3427" s="256"/>
      <c r="C3427" s="316"/>
      <c r="D3427" s="251"/>
      <c r="E3427" s="251"/>
      <c r="F3427" s="642" t="s">
        <v>244</v>
      </c>
      <c r="G3427" s="643" t="s">
        <v>245</v>
      </c>
      <c r="H3427" s="594"/>
      <c r="I3427" s="595"/>
      <c r="J3427" s="599">
        <f t="shared" si="108"/>
        <v>0</v>
      </c>
      <c r="K3427" s="533"/>
      <c r="L3427" s="533"/>
      <c r="M3427" s="533"/>
      <c r="N3427" s="268"/>
      <c r="O3427" s="533"/>
      <c r="P3427" s="533"/>
      <c r="Q3427" s="533"/>
      <c r="R3427" s="533"/>
      <c r="S3427" s="533"/>
      <c r="T3427" s="533"/>
      <c r="U3427" s="533"/>
      <c r="V3427" s="533"/>
      <c r="W3427" s="533"/>
      <c r="X3427" s="533"/>
      <c r="Y3427" s="533"/>
    </row>
    <row r="3428" spans="1:25" s="88" customFormat="1" hidden="1" x14ac:dyDescent="0.25">
      <c r="A3428" s="509"/>
      <c r="B3428" s="256"/>
      <c r="C3428" s="316"/>
      <c r="D3428" s="251"/>
      <c r="E3428" s="251"/>
      <c r="F3428" s="642" t="s">
        <v>246</v>
      </c>
      <c r="G3428" s="643" t="s">
        <v>247</v>
      </c>
      <c r="H3428" s="594"/>
      <c r="I3428" s="595"/>
      <c r="J3428" s="599">
        <f t="shared" si="108"/>
        <v>0</v>
      </c>
      <c r="K3428" s="533"/>
      <c r="L3428" s="533"/>
      <c r="M3428" s="533"/>
      <c r="N3428" s="268"/>
      <c r="O3428" s="533"/>
      <c r="P3428" s="533"/>
      <c r="Q3428" s="533"/>
      <c r="R3428" s="533"/>
      <c r="S3428" s="533"/>
      <c r="T3428" s="533"/>
      <c r="U3428" s="533"/>
      <c r="V3428" s="533"/>
      <c r="W3428" s="533"/>
      <c r="X3428" s="533"/>
      <c r="Y3428" s="533"/>
    </row>
    <row r="3429" spans="1:25" s="88" customFormat="1" hidden="1" x14ac:dyDescent="0.25">
      <c r="A3429" s="509"/>
      <c r="B3429" s="256"/>
      <c r="C3429" s="316"/>
      <c r="D3429" s="251"/>
      <c r="E3429" s="251"/>
      <c r="F3429" s="642" t="s">
        <v>248</v>
      </c>
      <c r="G3429" s="643" t="s">
        <v>249</v>
      </c>
      <c r="H3429" s="594"/>
      <c r="I3429" s="595"/>
      <c r="J3429" s="599">
        <f t="shared" si="108"/>
        <v>0</v>
      </c>
      <c r="K3429" s="533"/>
      <c r="L3429" s="533"/>
      <c r="M3429" s="533"/>
      <c r="N3429" s="268"/>
      <c r="O3429" s="533"/>
      <c r="P3429" s="533"/>
      <c r="Q3429" s="533"/>
      <c r="R3429" s="533"/>
      <c r="S3429" s="533"/>
      <c r="T3429" s="533"/>
      <c r="U3429" s="533"/>
      <c r="V3429" s="533"/>
      <c r="W3429" s="533"/>
      <c r="X3429" s="533"/>
      <c r="Y3429" s="533"/>
    </row>
    <row r="3430" spans="1:25" s="88" customFormat="1" hidden="1" x14ac:dyDescent="0.25">
      <c r="A3430" s="509"/>
      <c r="B3430" s="256"/>
      <c r="C3430" s="316"/>
      <c r="D3430" s="251"/>
      <c r="E3430" s="251"/>
      <c r="F3430" s="642" t="s">
        <v>250</v>
      </c>
      <c r="G3430" s="643" t="s">
        <v>57</v>
      </c>
      <c r="H3430" s="594"/>
      <c r="I3430" s="595"/>
      <c r="J3430" s="599">
        <f t="shared" si="108"/>
        <v>0</v>
      </c>
      <c r="K3430" s="533"/>
      <c r="L3430" s="533"/>
      <c r="M3430" s="533"/>
      <c r="N3430" s="268"/>
      <c r="O3430" s="533"/>
      <c r="P3430" s="533"/>
      <c r="Q3430" s="533"/>
      <c r="R3430" s="533"/>
      <c r="S3430" s="533"/>
      <c r="T3430" s="533"/>
      <c r="U3430" s="533"/>
      <c r="V3430" s="533"/>
      <c r="W3430" s="533"/>
      <c r="X3430" s="533"/>
      <c r="Y3430" s="533"/>
    </row>
    <row r="3431" spans="1:25" s="88" customFormat="1" hidden="1" x14ac:dyDescent="0.25">
      <c r="A3431" s="509"/>
      <c r="B3431" s="256"/>
      <c r="C3431" s="316"/>
      <c r="D3431" s="251"/>
      <c r="E3431" s="251"/>
      <c r="F3431" s="642" t="s">
        <v>251</v>
      </c>
      <c r="G3431" s="643" t="s">
        <v>252</v>
      </c>
      <c r="H3431" s="594"/>
      <c r="I3431" s="595"/>
      <c r="J3431" s="599">
        <f t="shared" si="108"/>
        <v>0</v>
      </c>
      <c r="K3431" s="533"/>
      <c r="L3431" s="533"/>
      <c r="M3431" s="533"/>
      <c r="N3431" s="268"/>
      <c r="O3431" s="533"/>
      <c r="P3431" s="533"/>
      <c r="Q3431" s="533"/>
      <c r="R3431" s="533"/>
      <c r="S3431" s="533"/>
      <c r="T3431" s="533"/>
      <c r="U3431" s="533"/>
      <c r="V3431" s="533"/>
      <c r="W3431" s="533"/>
      <c r="X3431" s="533"/>
      <c r="Y3431" s="533"/>
    </row>
    <row r="3432" spans="1:25" s="88" customFormat="1" hidden="1" x14ac:dyDescent="0.25">
      <c r="A3432" s="509"/>
      <c r="B3432" s="256"/>
      <c r="C3432" s="316"/>
      <c r="D3432" s="251"/>
      <c r="E3432" s="251"/>
      <c r="F3432" s="642" t="s">
        <v>253</v>
      </c>
      <c r="G3432" s="643" t="s">
        <v>254</v>
      </c>
      <c r="H3432" s="594"/>
      <c r="I3432" s="595"/>
      <c r="J3432" s="599">
        <f t="shared" si="108"/>
        <v>0</v>
      </c>
      <c r="K3432" s="533"/>
      <c r="L3432" s="533"/>
      <c r="M3432" s="533"/>
      <c r="N3432" s="268"/>
      <c r="O3432" s="533"/>
      <c r="P3432" s="533"/>
      <c r="Q3432" s="533"/>
      <c r="R3432" s="533"/>
      <c r="S3432" s="533"/>
      <c r="T3432" s="533"/>
      <c r="U3432" s="533"/>
      <c r="V3432" s="533"/>
      <c r="W3432" s="533"/>
      <c r="X3432" s="533"/>
      <c r="Y3432" s="533"/>
    </row>
    <row r="3433" spans="1:25" s="88" customFormat="1" ht="30" hidden="1" x14ac:dyDescent="0.25">
      <c r="A3433" s="509"/>
      <c r="B3433" s="256"/>
      <c r="C3433" s="316"/>
      <c r="D3433" s="251"/>
      <c r="E3433" s="251"/>
      <c r="F3433" s="642" t="s">
        <v>255</v>
      </c>
      <c r="G3433" s="643" t="s">
        <v>256</v>
      </c>
      <c r="H3433" s="594"/>
      <c r="I3433" s="595"/>
      <c r="J3433" s="599">
        <f t="shared" si="108"/>
        <v>0</v>
      </c>
      <c r="K3433" s="533"/>
      <c r="L3433" s="533"/>
      <c r="M3433" s="533"/>
      <c r="N3433" s="268"/>
      <c r="O3433" s="533"/>
      <c r="P3433" s="533"/>
      <c r="Q3433" s="533"/>
      <c r="R3433" s="533"/>
      <c r="S3433" s="533"/>
      <c r="T3433" s="533"/>
      <c r="U3433" s="533"/>
      <c r="V3433" s="533"/>
      <c r="W3433" s="533"/>
      <c r="X3433" s="533"/>
      <c r="Y3433" s="533"/>
    </row>
    <row r="3434" spans="1:25" s="88" customFormat="1" hidden="1" x14ac:dyDescent="0.25">
      <c r="A3434" s="509"/>
      <c r="B3434" s="256"/>
      <c r="C3434" s="316"/>
      <c r="D3434" s="251"/>
      <c r="E3434" s="251"/>
      <c r="F3434" s="642" t="s">
        <v>257</v>
      </c>
      <c r="G3434" s="643" t="s">
        <v>258</v>
      </c>
      <c r="H3434" s="594"/>
      <c r="I3434" s="595"/>
      <c r="J3434" s="599">
        <f t="shared" si="108"/>
        <v>0</v>
      </c>
      <c r="K3434" s="533"/>
      <c r="L3434" s="533"/>
      <c r="M3434" s="533"/>
      <c r="N3434" s="268"/>
      <c r="O3434" s="533"/>
      <c r="P3434" s="533"/>
      <c r="Q3434" s="533"/>
      <c r="R3434" s="533"/>
      <c r="S3434" s="533"/>
      <c r="T3434" s="533"/>
      <c r="U3434" s="533"/>
      <c r="V3434" s="533"/>
      <c r="W3434" s="533"/>
      <c r="X3434" s="533"/>
      <c r="Y3434" s="533"/>
    </row>
    <row r="3435" spans="1:25" s="88" customFormat="1" ht="30" hidden="1" x14ac:dyDescent="0.25">
      <c r="A3435" s="509"/>
      <c r="B3435" s="256"/>
      <c r="C3435" s="316"/>
      <c r="D3435" s="251"/>
      <c r="E3435" s="251"/>
      <c r="F3435" s="642" t="s">
        <v>259</v>
      </c>
      <c r="G3435" s="643" t="s">
        <v>260</v>
      </c>
      <c r="H3435" s="594"/>
      <c r="I3435" s="595"/>
      <c r="J3435" s="599">
        <f t="shared" si="108"/>
        <v>0</v>
      </c>
      <c r="K3435" s="533"/>
      <c r="L3435" s="533"/>
      <c r="M3435" s="533"/>
      <c r="N3435" s="268"/>
      <c r="O3435" s="533"/>
      <c r="P3435" s="533"/>
      <c r="Q3435" s="533"/>
      <c r="R3435" s="533"/>
      <c r="S3435" s="533"/>
      <c r="T3435" s="533"/>
      <c r="U3435" s="533"/>
      <c r="V3435" s="533"/>
      <c r="W3435" s="533"/>
      <c r="X3435" s="533"/>
      <c r="Y3435" s="533"/>
    </row>
    <row r="3436" spans="1:25" s="88" customFormat="1" hidden="1" x14ac:dyDescent="0.25">
      <c r="A3436" s="509"/>
      <c r="B3436" s="256"/>
      <c r="C3436" s="316"/>
      <c r="D3436" s="251"/>
      <c r="E3436" s="251"/>
      <c r="F3436" s="642" t="s">
        <v>261</v>
      </c>
      <c r="G3436" s="643" t="s">
        <v>262</v>
      </c>
      <c r="H3436" s="594"/>
      <c r="I3436" s="595"/>
      <c r="J3436" s="599">
        <f t="shared" si="108"/>
        <v>0</v>
      </c>
      <c r="K3436" s="533"/>
      <c r="L3436" s="533"/>
      <c r="M3436" s="533"/>
      <c r="N3436" s="268"/>
      <c r="O3436" s="533"/>
      <c r="P3436" s="533"/>
      <c r="Q3436" s="533"/>
      <c r="R3436" s="533"/>
      <c r="S3436" s="533"/>
      <c r="T3436" s="533"/>
      <c r="U3436" s="533"/>
      <c r="V3436" s="533"/>
      <c r="W3436" s="533"/>
      <c r="X3436" s="533"/>
      <c r="Y3436" s="533"/>
    </row>
    <row r="3437" spans="1:25" s="88" customFormat="1" ht="15.75" hidden="1" thickBot="1" x14ac:dyDescent="0.3">
      <c r="A3437" s="509"/>
      <c r="B3437" s="256"/>
      <c r="C3437" s="316"/>
      <c r="D3437" s="251"/>
      <c r="E3437" s="251"/>
      <c r="F3437" s="642" t="s">
        <v>263</v>
      </c>
      <c r="G3437" s="643" t="s">
        <v>264</v>
      </c>
      <c r="H3437" s="598"/>
      <c r="I3437" s="599"/>
      <c r="J3437" s="599">
        <f t="shared" si="108"/>
        <v>0</v>
      </c>
      <c r="K3437" s="533"/>
      <c r="L3437" s="533"/>
      <c r="M3437" s="533"/>
      <c r="N3437" s="268"/>
      <c r="O3437" s="533"/>
      <c r="P3437" s="533"/>
      <c r="Q3437" s="533"/>
      <c r="R3437" s="533"/>
      <c r="S3437" s="533"/>
      <c r="T3437" s="533"/>
      <c r="U3437" s="533"/>
      <c r="V3437" s="533"/>
      <c r="W3437" s="533"/>
      <c r="X3437" s="533"/>
      <c r="Y3437" s="533"/>
    </row>
    <row r="3438" spans="1:25" s="88" customFormat="1" ht="15.75" thickBot="1" x14ac:dyDescent="0.3">
      <c r="A3438" s="509"/>
      <c r="B3438" s="256"/>
      <c r="C3438" s="316"/>
      <c r="D3438" s="251"/>
      <c r="E3438" s="251"/>
      <c r="F3438" s="218"/>
      <c r="G3438" s="229" t="s">
        <v>4270</v>
      </c>
      <c r="H3438" s="600">
        <f>SUM(H3422:H3437)</f>
        <v>116800000</v>
      </c>
      <c r="I3438" s="601">
        <f>SUM(I3423:I3437)</f>
        <v>0</v>
      </c>
      <c r="J3438" s="601">
        <f>SUM(J3422:J3437)</f>
        <v>116800000</v>
      </c>
      <c r="K3438" s="533"/>
      <c r="L3438" s="533"/>
      <c r="M3438" s="533"/>
      <c r="N3438" s="268"/>
      <c r="O3438" s="533"/>
      <c r="P3438" s="533"/>
      <c r="Q3438" s="533"/>
      <c r="R3438" s="533"/>
      <c r="S3438" s="533"/>
      <c r="T3438" s="533"/>
      <c r="U3438" s="533"/>
      <c r="V3438" s="533"/>
      <c r="W3438" s="533"/>
      <c r="X3438" s="533"/>
      <c r="Y3438" s="533"/>
    </row>
    <row r="3439" spans="1:25" s="88" customFormat="1" hidden="1" x14ac:dyDescent="0.25">
      <c r="A3439" s="509"/>
      <c r="B3439" s="256"/>
      <c r="C3439" s="221"/>
      <c r="D3439" s="218"/>
      <c r="E3439" s="218"/>
      <c r="F3439" s="218"/>
      <c r="G3439" s="286"/>
      <c r="H3439" s="604"/>
      <c r="I3439" s="605"/>
      <c r="J3439" s="605"/>
      <c r="K3439" s="533"/>
      <c r="L3439" s="533"/>
      <c r="M3439" s="533"/>
      <c r="N3439" s="268"/>
      <c r="O3439" s="533"/>
      <c r="P3439" s="533"/>
      <c r="Q3439" s="533"/>
      <c r="R3439" s="533"/>
      <c r="S3439" s="533"/>
      <c r="T3439" s="533"/>
      <c r="U3439" s="533"/>
      <c r="V3439" s="533"/>
      <c r="W3439" s="533"/>
      <c r="X3439" s="533"/>
      <c r="Y3439" s="533"/>
    </row>
    <row r="3440" spans="1:25" s="88" customFormat="1" hidden="1" x14ac:dyDescent="0.25">
      <c r="A3440" s="509"/>
      <c r="B3440" s="256"/>
      <c r="C3440" s="221"/>
      <c r="D3440" s="218"/>
      <c r="E3440" s="218"/>
      <c r="F3440" s="218"/>
      <c r="G3440" s="286"/>
      <c r="H3440" s="604"/>
      <c r="I3440" s="605"/>
      <c r="J3440" s="605"/>
      <c r="K3440" s="533"/>
      <c r="L3440" s="533"/>
      <c r="M3440" s="533"/>
      <c r="N3440" s="268"/>
      <c r="O3440" s="533"/>
      <c r="P3440" s="533"/>
      <c r="Q3440" s="533"/>
      <c r="R3440" s="533"/>
      <c r="S3440" s="533"/>
      <c r="T3440" s="533"/>
      <c r="U3440" s="533"/>
      <c r="V3440" s="533"/>
      <c r="W3440" s="533"/>
      <c r="X3440" s="533"/>
      <c r="Y3440" s="533"/>
    </row>
    <row r="3441" spans="1:25" s="88" customFormat="1" hidden="1" x14ac:dyDescent="0.25">
      <c r="A3441" s="509"/>
      <c r="B3441" s="256"/>
      <c r="C3441" s="221"/>
      <c r="D3441" s="218"/>
      <c r="E3441" s="218"/>
      <c r="F3441" s="218"/>
      <c r="G3441" s="286"/>
      <c r="H3441" s="604"/>
      <c r="I3441" s="605"/>
      <c r="J3441" s="605"/>
      <c r="K3441" s="533"/>
      <c r="L3441" s="533"/>
      <c r="M3441" s="533"/>
      <c r="N3441" s="268"/>
      <c r="O3441" s="533"/>
      <c r="P3441" s="533"/>
      <c r="Q3441" s="533"/>
      <c r="R3441" s="533"/>
      <c r="S3441" s="533"/>
      <c r="T3441" s="533"/>
      <c r="U3441" s="533"/>
      <c r="V3441" s="533"/>
      <c r="W3441" s="533"/>
      <c r="X3441" s="533"/>
      <c r="Y3441" s="533"/>
    </row>
    <row r="3442" spans="1:25" s="88" customFormat="1" hidden="1" x14ac:dyDescent="0.25">
      <c r="A3442" s="509"/>
      <c r="B3442" s="256"/>
      <c r="C3442" s="221"/>
      <c r="D3442" s="218"/>
      <c r="E3442" s="218"/>
      <c r="F3442" s="218"/>
      <c r="G3442" s="286"/>
      <c r="H3442" s="604"/>
      <c r="I3442" s="605"/>
      <c r="J3442" s="605"/>
      <c r="K3442" s="533"/>
      <c r="L3442" s="533"/>
      <c r="M3442" s="533"/>
      <c r="N3442" s="268"/>
      <c r="O3442" s="533"/>
      <c r="P3442" s="533"/>
      <c r="Q3442" s="533"/>
      <c r="R3442" s="533"/>
      <c r="S3442" s="533"/>
      <c r="T3442" s="533"/>
      <c r="U3442" s="533"/>
      <c r="V3442" s="533"/>
      <c r="W3442" s="533"/>
      <c r="X3442" s="533"/>
      <c r="Y3442" s="533"/>
    </row>
    <row r="3443" spans="1:25" s="88" customFormat="1" hidden="1" x14ac:dyDescent="0.25">
      <c r="A3443" s="509"/>
      <c r="B3443" s="256"/>
      <c r="C3443" s="221"/>
      <c r="D3443" s="218"/>
      <c r="E3443" s="218"/>
      <c r="F3443" s="218"/>
      <c r="G3443" s="286"/>
      <c r="H3443" s="604"/>
      <c r="I3443" s="605"/>
      <c r="J3443" s="605"/>
      <c r="K3443" s="533"/>
      <c r="L3443" s="533"/>
      <c r="M3443" s="533"/>
      <c r="N3443" s="268"/>
      <c r="O3443" s="533"/>
      <c r="P3443" s="533"/>
      <c r="Q3443" s="533"/>
      <c r="R3443" s="533"/>
      <c r="S3443" s="533"/>
      <c r="T3443" s="533"/>
      <c r="U3443" s="533"/>
      <c r="V3443" s="533"/>
      <c r="W3443" s="533"/>
      <c r="X3443" s="533"/>
      <c r="Y3443" s="533"/>
    </row>
    <row r="3444" spans="1:25" s="88" customFormat="1" hidden="1" x14ac:dyDescent="0.25">
      <c r="A3444" s="509"/>
      <c r="B3444" s="256"/>
      <c r="C3444" s="221"/>
      <c r="D3444" s="218"/>
      <c r="E3444" s="218"/>
      <c r="F3444" s="218"/>
      <c r="G3444" s="286"/>
      <c r="H3444" s="604"/>
      <c r="I3444" s="605"/>
      <c r="J3444" s="605"/>
      <c r="K3444" s="533"/>
      <c r="L3444" s="533"/>
      <c r="M3444" s="533"/>
      <c r="N3444" s="268"/>
      <c r="O3444" s="533"/>
      <c r="P3444" s="533"/>
      <c r="Q3444" s="533"/>
      <c r="R3444" s="533"/>
      <c r="S3444" s="533"/>
      <c r="T3444" s="533"/>
      <c r="U3444" s="533"/>
      <c r="V3444" s="533"/>
      <c r="W3444" s="533"/>
      <c r="X3444" s="533"/>
      <c r="Y3444" s="533"/>
    </row>
    <row r="3445" spans="1:25" s="88" customFormat="1" hidden="1" x14ac:dyDescent="0.25">
      <c r="A3445" s="509"/>
      <c r="B3445" s="256"/>
      <c r="C3445" s="221"/>
      <c r="D3445" s="218"/>
      <c r="E3445" s="218"/>
      <c r="F3445" s="218"/>
      <c r="G3445" s="286"/>
      <c r="H3445" s="604"/>
      <c r="I3445" s="605"/>
      <c r="J3445" s="605"/>
      <c r="K3445" s="533"/>
      <c r="L3445" s="533"/>
      <c r="M3445" s="533"/>
      <c r="N3445" s="268"/>
      <c r="O3445" s="533"/>
      <c r="P3445" s="533"/>
      <c r="Q3445" s="533"/>
      <c r="R3445" s="533"/>
      <c r="S3445" s="533"/>
      <c r="T3445" s="533"/>
      <c r="U3445" s="533"/>
      <c r="V3445" s="533"/>
      <c r="W3445" s="533"/>
      <c r="X3445" s="533"/>
      <c r="Y3445" s="533"/>
    </row>
    <row r="3446" spans="1:25" s="88" customFormat="1" hidden="1" x14ac:dyDescent="0.25">
      <c r="A3446" s="509"/>
      <c r="B3446" s="256"/>
      <c r="C3446" s="221"/>
      <c r="D3446" s="218"/>
      <c r="E3446" s="218"/>
      <c r="F3446" s="218"/>
      <c r="G3446" s="286"/>
      <c r="H3446" s="604"/>
      <c r="I3446" s="605"/>
      <c r="J3446" s="605"/>
      <c r="K3446" s="533"/>
      <c r="L3446" s="533"/>
      <c r="M3446" s="533"/>
      <c r="N3446" s="268"/>
      <c r="O3446" s="533"/>
      <c r="P3446" s="533"/>
      <c r="Q3446" s="533"/>
      <c r="R3446" s="533"/>
      <c r="S3446" s="533"/>
      <c r="T3446" s="533"/>
      <c r="U3446" s="533"/>
      <c r="V3446" s="533"/>
      <c r="W3446" s="533"/>
      <c r="X3446" s="533"/>
      <c r="Y3446" s="533"/>
    </row>
    <row r="3447" spans="1:25" s="88" customFormat="1" hidden="1" x14ac:dyDescent="0.25">
      <c r="A3447" s="509"/>
      <c r="B3447" s="256"/>
      <c r="C3447" s="221"/>
      <c r="D3447" s="218"/>
      <c r="E3447" s="218"/>
      <c r="F3447" s="218"/>
      <c r="G3447" s="286"/>
      <c r="H3447" s="604"/>
      <c r="I3447" s="605"/>
      <c r="J3447" s="605"/>
      <c r="K3447" s="533"/>
      <c r="L3447" s="533"/>
      <c r="M3447" s="533"/>
      <c r="N3447" s="268"/>
      <c r="O3447" s="533"/>
      <c r="P3447" s="533"/>
      <c r="Q3447" s="533"/>
      <c r="R3447" s="533"/>
      <c r="S3447" s="533"/>
      <c r="T3447" s="533"/>
      <c r="U3447" s="533"/>
      <c r="V3447" s="533"/>
      <c r="W3447" s="533"/>
      <c r="X3447" s="533"/>
      <c r="Y3447" s="533"/>
    </row>
    <row r="3448" spans="1:25" s="88" customFormat="1" hidden="1" x14ac:dyDescent="0.25">
      <c r="A3448" s="509"/>
      <c r="B3448" s="256"/>
      <c r="C3448" s="221"/>
      <c r="D3448" s="218"/>
      <c r="E3448" s="218"/>
      <c r="F3448" s="218"/>
      <c r="G3448" s="286"/>
      <c r="H3448" s="604"/>
      <c r="I3448" s="605"/>
      <c r="J3448" s="605"/>
      <c r="K3448" s="533"/>
      <c r="L3448" s="533"/>
      <c r="M3448" s="533"/>
      <c r="N3448" s="268"/>
      <c r="O3448" s="533"/>
      <c r="P3448" s="533"/>
      <c r="Q3448" s="533"/>
      <c r="R3448" s="533"/>
      <c r="S3448" s="533"/>
      <c r="T3448" s="533"/>
      <c r="U3448" s="533"/>
      <c r="V3448" s="533"/>
      <c r="W3448" s="533"/>
      <c r="X3448" s="533"/>
      <c r="Y3448" s="533"/>
    </row>
    <row r="3449" spans="1:25" s="88" customFormat="1" hidden="1" x14ac:dyDescent="0.25">
      <c r="A3449" s="509"/>
      <c r="B3449" s="256"/>
      <c r="C3449" s="221"/>
      <c r="D3449" s="218"/>
      <c r="E3449" s="218"/>
      <c r="F3449" s="218"/>
      <c r="G3449" s="286"/>
      <c r="H3449" s="604"/>
      <c r="I3449" s="605"/>
      <c r="J3449" s="605"/>
      <c r="K3449" s="533"/>
      <c r="L3449" s="533"/>
      <c r="M3449" s="533"/>
      <c r="N3449" s="268"/>
      <c r="O3449" s="533"/>
      <c r="P3449" s="533"/>
      <c r="Q3449" s="533"/>
      <c r="R3449" s="533"/>
      <c r="S3449" s="533"/>
      <c r="T3449" s="533"/>
      <c r="U3449" s="533"/>
      <c r="V3449" s="533"/>
      <c r="W3449" s="533"/>
      <c r="X3449" s="533"/>
      <c r="Y3449" s="533"/>
    </row>
    <row r="3450" spans="1:25" s="88" customFormat="1" hidden="1" x14ac:dyDescent="0.25">
      <c r="A3450" s="509"/>
      <c r="B3450" s="256"/>
      <c r="C3450" s="221"/>
      <c r="D3450" s="218"/>
      <c r="E3450" s="218"/>
      <c r="F3450" s="218"/>
      <c r="G3450" s="286"/>
      <c r="H3450" s="604"/>
      <c r="I3450" s="605"/>
      <c r="J3450" s="605"/>
      <c r="K3450" s="533"/>
      <c r="L3450" s="533"/>
      <c r="M3450" s="533"/>
      <c r="N3450" s="268"/>
      <c r="O3450" s="533"/>
      <c r="P3450" s="533"/>
      <c r="Q3450" s="533"/>
      <c r="R3450" s="533"/>
      <c r="S3450" s="533"/>
      <c r="T3450" s="533"/>
      <c r="U3450" s="533"/>
      <c r="V3450" s="533"/>
      <c r="W3450" s="533"/>
      <c r="X3450" s="533"/>
      <c r="Y3450" s="533"/>
    </row>
    <row r="3451" spans="1:25" s="88" customFormat="1" hidden="1" x14ac:dyDescent="0.25">
      <c r="A3451" s="509"/>
      <c r="B3451" s="256"/>
      <c r="C3451" s="221"/>
      <c r="D3451" s="218"/>
      <c r="E3451" s="218"/>
      <c r="F3451" s="218"/>
      <c r="G3451" s="286"/>
      <c r="H3451" s="604"/>
      <c r="I3451" s="605"/>
      <c r="J3451" s="605"/>
      <c r="K3451" s="533"/>
      <c r="L3451" s="533"/>
      <c r="M3451" s="533"/>
      <c r="N3451" s="268"/>
      <c r="O3451" s="533"/>
      <c r="P3451" s="533"/>
      <c r="Q3451" s="533"/>
      <c r="R3451" s="533"/>
      <c r="S3451" s="533"/>
      <c r="T3451" s="533"/>
      <c r="U3451" s="533"/>
      <c r="V3451" s="533"/>
      <c r="W3451" s="533"/>
      <c r="X3451" s="533"/>
      <c r="Y3451" s="533"/>
    </row>
    <row r="3452" spans="1:25" s="88" customFormat="1" hidden="1" x14ac:dyDescent="0.25">
      <c r="A3452" s="509"/>
      <c r="B3452" s="256"/>
      <c r="C3452" s="221"/>
      <c r="D3452" s="218"/>
      <c r="E3452" s="218"/>
      <c r="F3452" s="218"/>
      <c r="G3452" s="286"/>
      <c r="H3452" s="604"/>
      <c r="I3452" s="605"/>
      <c r="J3452" s="605"/>
      <c r="K3452" s="533"/>
      <c r="L3452" s="533"/>
      <c r="M3452" s="533"/>
      <c r="N3452" s="268"/>
      <c r="O3452" s="533"/>
      <c r="P3452" s="533"/>
      <c r="Q3452" s="533"/>
      <c r="R3452" s="533"/>
      <c r="S3452" s="533"/>
      <c r="T3452" s="533"/>
      <c r="U3452" s="533"/>
      <c r="V3452" s="533"/>
      <c r="W3452" s="533"/>
      <c r="X3452" s="533"/>
      <c r="Y3452" s="533"/>
    </row>
    <row r="3453" spans="1:25" s="88" customFormat="1" hidden="1" x14ac:dyDescent="0.25">
      <c r="A3453" s="509"/>
      <c r="B3453" s="256"/>
      <c r="C3453" s="221"/>
      <c r="D3453" s="218"/>
      <c r="E3453" s="218"/>
      <c r="F3453" s="218"/>
      <c r="G3453" s="286"/>
      <c r="H3453" s="604"/>
      <c r="I3453" s="605"/>
      <c r="J3453" s="605"/>
      <c r="K3453" s="533"/>
      <c r="L3453" s="533"/>
      <c r="M3453" s="533"/>
      <c r="N3453" s="268"/>
      <c r="O3453" s="533"/>
      <c r="P3453" s="533"/>
      <c r="Q3453" s="533"/>
      <c r="R3453" s="533"/>
      <c r="S3453" s="533"/>
      <c r="T3453" s="533"/>
      <c r="U3453" s="533"/>
      <c r="V3453" s="533"/>
      <c r="W3453" s="533"/>
      <c r="X3453" s="533"/>
      <c r="Y3453" s="533"/>
    </row>
    <row r="3454" spans="1:25" s="88" customFormat="1" hidden="1" x14ac:dyDescent="0.25">
      <c r="A3454" s="509"/>
      <c r="B3454" s="256"/>
      <c r="C3454" s="221"/>
      <c r="D3454" s="218"/>
      <c r="E3454" s="218"/>
      <c r="F3454" s="218"/>
      <c r="G3454" s="286"/>
      <c r="H3454" s="604"/>
      <c r="I3454" s="605"/>
      <c r="J3454" s="605"/>
      <c r="K3454" s="533"/>
      <c r="L3454" s="533"/>
      <c r="M3454" s="533"/>
      <c r="N3454" s="268"/>
      <c r="O3454" s="533"/>
      <c r="P3454" s="533"/>
      <c r="Q3454" s="533"/>
      <c r="R3454" s="533"/>
      <c r="S3454" s="533"/>
      <c r="T3454" s="533"/>
      <c r="U3454" s="533"/>
      <c r="V3454" s="533"/>
      <c r="W3454" s="533"/>
      <c r="X3454" s="533"/>
      <c r="Y3454" s="533"/>
    </row>
    <row r="3455" spans="1:25" s="88" customFormat="1" hidden="1" x14ac:dyDescent="0.25">
      <c r="A3455" s="509"/>
      <c r="B3455" s="256"/>
      <c r="C3455" s="221"/>
      <c r="D3455" s="218"/>
      <c r="E3455" s="218"/>
      <c r="F3455" s="218"/>
      <c r="G3455" s="286"/>
      <c r="H3455" s="604"/>
      <c r="I3455" s="605"/>
      <c r="J3455" s="605"/>
      <c r="K3455" s="533"/>
      <c r="L3455" s="533"/>
      <c r="M3455" s="533"/>
      <c r="N3455" s="268"/>
      <c r="O3455" s="533"/>
      <c r="P3455" s="533"/>
      <c r="Q3455" s="533"/>
      <c r="R3455" s="533"/>
      <c r="S3455" s="533"/>
      <c r="T3455" s="533"/>
      <c r="U3455" s="533"/>
      <c r="V3455" s="533"/>
      <c r="W3455" s="533"/>
      <c r="X3455" s="533"/>
      <c r="Y3455" s="533"/>
    </row>
    <row r="3456" spans="1:25" s="88" customFormat="1" hidden="1" x14ac:dyDescent="0.25">
      <c r="A3456" s="509"/>
      <c r="B3456" s="256"/>
      <c r="C3456" s="221"/>
      <c r="D3456" s="218"/>
      <c r="E3456" s="218"/>
      <c r="F3456" s="218"/>
      <c r="G3456" s="286"/>
      <c r="H3456" s="604"/>
      <c r="I3456" s="605"/>
      <c r="J3456" s="605"/>
      <c r="K3456" s="533"/>
      <c r="L3456" s="533"/>
      <c r="M3456" s="533"/>
      <c r="N3456" s="268"/>
      <c r="O3456" s="533"/>
      <c r="P3456" s="533"/>
      <c r="Q3456" s="533"/>
      <c r="R3456" s="533"/>
      <c r="S3456" s="533"/>
      <c r="T3456" s="533"/>
      <c r="U3456" s="533"/>
      <c r="V3456" s="533"/>
      <c r="W3456" s="533"/>
      <c r="X3456" s="533"/>
      <c r="Y3456" s="533"/>
    </row>
    <row r="3457" spans="1:25" s="88" customFormat="1" hidden="1" x14ac:dyDescent="0.25">
      <c r="A3457" s="509"/>
      <c r="B3457" s="256"/>
      <c r="C3457" s="221"/>
      <c r="D3457" s="218"/>
      <c r="E3457" s="218"/>
      <c r="F3457" s="218"/>
      <c r="G3457" s="286"/>
      <c r="H3457" s="604"/>
      <c r="I3457" s="605"/>
      <c r="J3457" s="605"/>
      <c r="K3457" s="533"/>
      <c r="L3457" s="533"/>
      <c r="M3457" s="533"/>
      <c r="N3457" s="268"/>
      <c r="O3457" s="533"/>
      <c r="P3457" s="533"/>
      <c r="Q3457" s="533"/>
      <c r="R3457" s="533"/>
      <c r="S3457" s="533"/>
      <c r="T3457" s="533"/>
      <c r="U3457" s="533"/>
      <c r="V3457" s="533"/>
      <c r="W3457" s="533"/>
      <c r="X3457" s="533"/>
      <c r="Y3457" s="533"/>
    </row>
    <row r="3458" spans="1:25" s="88" customFormat="1" hidden="1" x14ac:dyDescent="0.25">
      <c r="A3458" s="509"/>
      <c r="B3458" s="256"/>
      <c r="C3458" s="221"/>
      <c r="D3458" s="218"/>
      <c r="E3458" s="218"/>
      <c r="F3458" s="218"/>
      <c r="G3458" s="286"/>
      <c r="H3458" s="604"/>
      <c r="I3458" s="605"/>
      <c r="J3458" s="605"/>
      <c r="K3458" s="533"/>
      <c r="L3458" s="533"/>
      <c r="M3458" s="533"/>
      <c r="N3458" s="268"/>
      <c r="O3458" s="533"/>
      <c r="P3458" s="533"/>
      <c r="Q3458" s="533"/>
      <c r="R3458" s="533"/>
      <c r="S3458" s="533"/>
      <c r="T3458" s="533"/>
      <c r="U3458" s="533"/>
      <c r="V3458" s="533"/>
      <c r="W3458" s="533"/>
      <c r="X3458" s="533"/>
      <c r="Y3458" s="533"/>
    </row>
    <row r="3459" spans="1:25" s="88" customFormat="1" hidden="1" x14ac:dyDescent="0.25">
      <c r="A3459" s="509"/>
      <c r="B3459" s="256"/>
      <c r="C3459" s="221"/>
      <c r="D3459" s="218"/>
      <c r="E3459" s="218"/>
      <c r="F3459" s="218"/>
      <c r="G3459" s="286"/>
      <c r="H3459" s="604"/>
      <c r="I3459" s="605"/>
      <c r="J3459" s="605"/>
      <c r="K3459" s="533"/>
      <c r="L3459" s="533"/>
      <c r="M3459" s="533"/>
      <c r="N3459" s="268"/>
      <c r="O3459" s="533"/>
      <c r="P3459" s="533"/>
      <c r="Q3459" s="533"/>
      <c r="R3459" s="533"/>
      <c r="S3459" s="533"/>
      <c r="T3459" s="533"/>
      <c r="U3459" s="533"/>
      <c r="V3459" s="533"/>
      <c r="W3459" s="533"/>
      <c r="X3459" s="533"/>
      <c r="Y3459" s="533"/>
    </row>
    <row r="3460" spans="1:25" s="88" customFormat="1" hidden="1" x14ac:dyDescent="0.25">
      <c r="A3460" s="509"/>
      <c r="B3460" s="256"/>
      <c r="C3460" s="221"/>
      <c r="D3460" s="218"/>
      <c r="E3460" s="218"/>
      <c r="F3460" s="218"/>
      <c r="G3460" s="286"/>
      <c r="H3460" s="604"/>
      <c r="I3460" s="605"/>
      <c r="J3460" s="605"/>
      <c r="K3460" s="533"/>
      <c r="L3460" s="533"/>
      <c r="M3460" s="533"/>
      <c r="N3460" s="268"/>
      <c r="O3460" s="533"/>
      <c r="P3460" s="533"/>
      <c r="Q3460" s="533"/>
      <c r="R3460" s="533"/>
      <c r="S3460" s="533"/>
      <c r="T3460" s="533"/>
      <c r="U3460" s="533"/>
      <c r="V3460" s="533"/>
      <c r="W3460" s="533"/>
      <c r="X3460" s="533"/>
      <c r="Y3460" s="533"/>
    </row>
    <row r="3461" spans="1:25" s="88" customFormat="1" hidden="1" x14ac:dyDescent="0.25">
      <c r="A3461" s="509"/>
      <c r="B3461" s="256"/>
      <c r="C3461" s="221"/>
      <c r="D3461" s="218"/>
      <c r="E3461" s="218"/>
      <c r="F3461" s="218"/>
      <c r="G3461" s="286"/>
      <c r="H3461" s="604"/>
      <c r="I3461" s="605"/>
      <c r="J3461" s="605"/>
      <c r="K3461" s="533"/>
      <c r="L3461" s="533"/>
      <c r="M3461" s="533"/>
      <c r="N3461" s="268"/>
      <c r="O3461" s="533"/>
      <c r="P3461" s="533"/>
      <c r="Q3461" s="533"/>
      <c r="R3461" s="533"/>
      <c r="S3461" s="533"/>
      <c r="T3461" s="533"/>
      <c r="U3461" s="533"/>
      <c r="V3461" s="533"/>
      <c r="W3461" s="533"/>
      <c r="X3461" s="533"/>
      <c r="Y3461" s="533"/>
    </row>
    <row r="3462" spans="1:25" s="88" customFormat="1" hidden="1" x14ac:dyDescent="0.25">
      <c r="A3462" s="509"/>
      <c r="B3462" s="256"/>
      <c r="C3462" s="221"/>
      <c r="D3462" s="218"/>
      <c r="E3462" s="218"/>
      <c r="F3462" s="218"/>
      <c r="G3462" s="286"/>
      <c r="H3462" s="604"/>
      <c r="I3462" s="605"/>
      <c r="J3462" s="605"/>
      <c r="K3462" s="533"/>
      <c r="L3462" s="533"/>
      <c r="M3462" s="533"/>
      <c r="N3462" s="268"/>
      <c r="O3462" s="533"/>
      <c r="P3462" s="533"/>
      <c r="Q3462" s="533"/>
      <c r="R3462" s="533"/>
      <c r="S3462" s="533"/>
      <c r="T3462" s="533"/>
      <c r="U3462" s="533"/>
      <c r="V3462" s="533"/>
      <c r="W3462" s="533"/>
      <c r="X3462" s="533"/>
      <c r="Y3462" s="533"/>
    </row>
    <row r="3463" spans="1:25" s="88" customFormat="1" hidden="1" x14ac:dyDescent="0.25">
      <c r="A3463" s="509"/>
      <c r="B3463" s="256"/>
      <c r="C3463" s="221"/>
      <c r="D3463" s="218"/>
      <c r="E3463" s="218"/>
      <c r="F3463" s="218"/>
      <c r="G3463" s="286"/>
      <c r="H3463" s="604"/>
      <c r="I3463" s="605"/>
      <c r="J3463" s="605"/>
      <c r="K3463" s="533"/>
      <c r="L3463" s="533"/>
      <c r="M3463" s="533"/>
      <c r="N3463" s="268"/>
      <c r="O3463" s="533"/>
      <c r="P3463" s="533"/>
      <c r="Q3463" s="533"/>
      <c r="R3463" s="533"/>
      <c r="S3463" s="533"/>
      <c r="T3463" s="533"/>
      <c r="U3463" s="533"/>
      <c r="V3463" s="533"/>
      <c r="W3463" s="533"/>
      <c r="X3463" s="533"/>
      <c r="Y3463" s="533"/>
    </row>
    <row r="3464" spans="1:25" s="88" customFormat="1" hidden="1" x14ac:dyDescent="0.25">
      <c r="A3464" s="509"/>
      <c r="B3464" s="256"/>
      <c r="C3464" s="221"/>
      <c r="D3464" s="218"/>
      <c r="E3464" s="218"/>
      <c r="F3464" s="218"/>
      <c r="G3464" s="286"/>
      <c r="H3464" s="604"/>
      <c r="I3464" s="605"/>
      <c r="J3464" s="605"/>
      <c r="K3464" s="533"/>
      <c r="L3464" s="533"/>
      <c r="M3464" s="533"/>
      <c r="N3464" s="268"/>
      <c r="O3464" s="533"/>
      <c r="P3464" s="533"/>
      <c r="Q3464" s="533"/>
      <c r="R3464" s="533"/>
      <c r="S3464" s="533"/>
      <c r="T3464" s="533"/>
      <c r="U3464" s="533"/>
      <c r="V3464" s="533"/>
      <c r="W3464" s="533"/>
      <c r="X3464" s="533"/>
      <c r="Y3464" s="533"/>
    </row>
    <row r="3465" spans="1:25" s="88" customFormat="1" hidden="1" x14ac:dyDescent="0.25">
      <c r="A3465" s="509"/>
      <c r="B3465" s="256"/>
      <c r="C3465" s="221"/>
      <c r="D3465" s="218"/>
      <c r="E3465" s="218"/>
      <c r="F3465" s="218"/>
      <c r="G3465" s="286"/>
      <c r="H3465" s="604"/>
      <c r="I3465" s="605"/>
      <c r="J3465" s="605"/>
      <c r="K3465" s="533"/>
      <c r="L3465" s="533"/>
      <c r="M3465" s="533"/>
      <c r="N3465" s="268"/>
      <c r="O3465" s="533"/>
      <c r="P3465" s="533"/>
      <c r="Q3465" s="533"/>
      <c r="R3465" s="533"/>
      <c r="S3465" s="533"/>
      <c r="T3465" s="533"/>
      <c r="U3465" s="533"/>
      <c r="V3465" s="533"/>
      <c r="W3465" s="533"/>
      <c r="X3465" s="533"/>
      <c r="Y3465" s="533"/>
    </row>
    <row r="3466" spans="1:25" s="88" customFormat="1" hidden="1" x14ac:dyDescent="0.25">
      <c r="A3466" s="509"/>
      <c r="B3466" s="256"/>
      <c r="C3466" s="221"/>
      <c r="D3466" s="218"/>
      <c r="E3466" s="218"/>
      <c r="F3466" s="218"/>
      <c r="G3466" s="286"/>
      <c r="H3466" s="604"/>
      <c r="I3466" s="605"/>
      <c r="J3466" s="605"/>
      <c r="K3466" s="533"/>
      <c r="L3466" s="533"/>
      <c r="M3466" s="533"/>
      <c r="N3466" s="268"/>
      <c r="O3466" s="533"/>
      <c r="P3466" s="533"/>
      <c r="Q3466" s="533"/>
      <c r="R3466" s="533"/>
      <c r="S3466" s="533"/>
      <c r="T3466" s="533"/>
      <c r="U3466" s="533"/>
      <c r="V3466" s="533"/>
      <c r="W3466" s="533"/>
      <c r="X3466" s="533"/>
      <c r="Y3466" s="533"/>
    </row>
    <row r="3467" spans="1:25" s="88" customFormat="1" hidden="1" x14ac:dyDescent="0.25">
      <c r="A3467" s="509"/>
      <c r="B3467" s="256"/>
      <c r="C3467" s="221"/>
      <c r="D3467" s="218"/>
      <c r="E3467" s="218"/>
      <c r="F3467" s="218"/>
      <c r="G3467" s="286"/>
      <c r="H3467" s="604"/>
      <c r="I3467" s="605"/>
      <c r="J3467" s="605"/>
      <c r="K3467" s="533"/>
      <c r="L3467" s="533"/>
      <c r="M3467" s="533"/>
      <c r="N3467" s="268"/>
      <c r="O3467" s="533"/>
      <c r="P3467" s="533"/>
      <c r="Q3467" s="533"/>
      <c r="R3467" s="533"/>
      <c r="S3467" s="533"/>
      <c r="T3467" s="533"/>
      <c r="U3467" s="533"/>
      <c r="V3467" s="533"/>
      <c r="W3467" s="533"/>
      <c r="X3467" s="533"/>
      <c r="Y3467" s="533"/>
    </row>
    <row r="3468" spans="1:25" s="88" customFormat="1" hidden="1" x14ac:dyDescent="0.25">
      <c r="A3468" s="509"/>
      <c r="B3468" s="256"/>
      <c r="C3468" s="221"/>
      <c r="D3468" s="218"/>
      <c r="E3468" s="218"/>
      <c r="F3468" s="218"/>
      <c r="G3468" s="286"/>
      <c r="H3468" s="604"/>
      <c r="I3468" s="605"/>
      <c r="J3468" s="605"/>
      <c r="K3468" s="533"/>
      <c r="L3468" s="533"/>
      <c r="M3468" s="533"/>
      <c r="N3468" s="268"/>
      <c r="O3468" s="533"/>
      <c r="P3468" s="533"/>
      <c r="Q3468" s="533"/>
      <c r="R3468" s="533"/>
      <c r="S3468" s="533"/>
      <c r="T3468" s="533"/>
      <c r="U3468" s="533"/>
      <c r="V3468" s="533"/>
      <c r="W3468" s="533"/>
      <c r="X3468" s="533"/>
      <c r="Y3468" s="533"/>
    </row>
    <row r="3469" spans="1:25" s="88" customFormat="1" hidden="1" x14ac:dyDescent="0.25">
      <c r="A3469" s="509"/>
      <c r="B3469" s="256"/>
      <c r="C3469" s="221"/>
      <c r="D3469" s="218"/>
      <c r="E3469" s="218"/>
      <c r="F3469" s="218"/>
      <c r="G3469" s="286"/>
      <c r="H3469" s="604"/>
      <c r="I3469" s="605"/>
      <c r="J3469" s="605"/>
      <c r="K3469" s="533"/>
      <c r="L3469" s="533"/>
      <c r="M3469" s="533"/>
      <c r="N3469" s="268"/>
      <c r="O3469" s="533"/>
      <c r="P3469" s="533"/>
      <c r="Q3469" s="533"/>
      <c r="R3469" s="533"/>
      <c r="S3469" s="533"/>
      <c r="T3469" s="533"/>
      <c r="U3469" s="533"/>
      <c r="V3469" s="533"/>
      <c r="W3469" s="533"/>
      <c r="X3469" s="533"/>
      <c r="Y3469" s="533"/>
    </row>
    <row r="3470" spans="1:25" s="88" customFormat="1" hidden="1" x14ac:dyDescent="0.25">
      <c r="A3470" s="509"/>
      <c r="B3470" s="256"/>
      <c r="C3470" s="221"/>
      <c r="D3470" s="218"/>
      <c r="E3470" s="218"/>
      <c r="F3470" s="218"/>
      <c r="G3470" s="286"/>
      <c r="H3470" s="604"/>
      <c r="I3470" s="605"/>
      <c r="J3470" s="605"/>
      <c r="K3470" s="533"/>
      <c r="L3470" s="533"/>
      <c r="M3470" s="533"/>
      <c r="N3470" s="268"/>
      <c r="O3470" s="533"/>
      <c r="P3470" s="533"/>
      <c r="Q3470" s="533"/>
      <c r="R3470" s="533"/>
      <c r="S3470" s="533"/>
      <c r="T3470" s="533"/>
      <c r="U3470" s="533"/>
      <c r="V3470" s="533"/>
      <c r="W3470" s="533"/>
      <c r="X3470" s="533"/>
      <c r="Y3470" s="533"/>
    </row>
    <row r="3471" spans="1:25" s="88" customFormat="1" hidden="1" x14ac:dyDescent="0.25">
      <c r="A3471" s="509"/>
      <c r="B3471" s="256"/>
      <c r="C3471" s="221"/>
      <c r="D3471" s="218"/>
      <c r="E3471" s="218"/>
      <c r="F3471" s="218"/>
      <c r="G3471" s="286"/>
      <c r="H3471" s="604"/>
      <c r="I3471" s="605"/>
      <c r="J3471" s="605"/>
      <c r="K3471" s="533"/>
      <c r="L3471" s="533"/>
      <c r="M3471" s="533"/>
      <c r="N3471" s="268"/>
      <c r="O3471" s="533"/>
      <c r="P3471" s="533"/>
      <c r="Q3471" s="533"/>
      <c r="R3471" s="533"/>
      <c r="S3471" s="533"/>
      <c r="T3471" s="533"/>
      <c r="U3471" s="533"/>
      <c r="V3471" s="533"/>
      <c r="W3471" s="533"/>
      <c r="X3471" s="533"/>
      <c r="Y3471" s="533"/>
    </row>
    <row r="3472" spans="1:25" s="88" customFormat="1" hidden="1" x14ac:dyDescent="0.25">
      <c r="A3472" s="509"/>
      <c r="B3472" s="256"/>
      <c r="C3472" s="221"/>
      <c r="D3472" s="218"/>
      <c r="E3472" s="218"/>
      <c r="F3472" s="218"/>
      <c r="G3472" s="286"/>
      <c r="H3472" s="604"/>
      <c r="I3472" s="605"/>
      <c r="J3472" s="605"/>
      <c r="K3472" s="533"/>
      <c r="L3472" s="533"/>
      <c r="M3472" s="533"/>
      <c r="N3472" s="268"/>
      <c r="O3472" s="533"/>
      <c r="P3472" s="533"/>
      <c r="Q3472" s="533"/>
      <c r="R3472" s="533"/>
      <c r="S3472" s="533"/>
      <c r="T3472" s="533"/>
      <c r="U3472" s="533"/>
      <c r="V3472" s="533"/>
      <c r="W3472" s="533"/>
      <c r="X3472" s="533"/>
      <c r="Y3472" s="533"/>
    </row>
    <row r="3473" spans="1:25" s="88" customFormat="1" hidden="1" x14ac:dyDescent="0.25">
      <c r="A3473" s="509"/>
      <c r="B3473" s="256"/>
      <c r="C3473" s="221"/>
      <c r="D3473" s="218"/>
      <c r="E3473" s="218"/>
      <c r="F3473" s="218"/>
      <c r="G3473" s="286"/>
      <c r="H3473" s="604"/>
      <c r="I3473" s="605"/>
      <c r="J3473" s="605"/>
      <c r="K3473" s="533"/>
      <c r="L3473" s="533"/>
      <c r="M3473" s="533"/>
      <c r="N3473" s="268"/>
      <c r="O3473" s="533"/>
      <c r="P3473" s="533"/>
      <c r="Q3473" s="533"/>
      <c r="R3473" s="533"/>
      <c r="S3473" s="533"/>
      <c r="T3473" s="533"/>
      <c r="U3473" s="533"/>
      <c r="V3473" s="533"/>
      <c r="W3473" s="533"/>
      <c r="X3473" s="533"/>
      <c r="Y3473" s="533"/>
    </row>
    <row r="3474" spans="1:25" s="88" customFormat="1" hidden="1" x14ac:dyDescent="0.25">
      <c r="A3474" s="509"/>
      <c r="B3474" s="256"/>
      <c r="C3474" s="221"/>
      <c r="D3474" s="218"/>
      <c r="E3474" s="218"/>
      <c r="F3474" s="218"/>
      <c r="G3474" s="286"/>
      <c r="H3474" s="604"/>
      <c r="I3474" s="605"/>
      <c r="J3474" s="605"/>
      <c r="K3474" s="533"/>
      <c r="L3474" s="533"/>
      <c r="M3474" s="533"/>
      <c r="N3474" s="268"/>
      <c r="O3474" s="533"/>
      <c r="P3474" s="533"/>
      <c r="Q3474" s="533"/>
      <c r="R3474" s="533"/>
      <c r="S3474" s="533"/>
      <c r="T3474" s="533"/>
      <c r="U3474" s="533"/>
      <c r="V3474" s="533"/>
      <c r="W3474" s="533"/>
      <c r="X3474" s="533"/>
      <c r="Y3474" s="533"/>
    </row>
    <row r="3475" spans="1:25" s="88" customFormat="1" hidden="1" x14ac:dyDescent="0.25">
      <c r="A3475" s="509"/>
      <c r="B3475" s="256"/>
      <c r="C3475" s="221"/>
      <c r="D3475" s="218"/>
      <c r="E3475" s="218"/>
      <c r="F3475" s="218"/>
      <c r="G3475" s="286"/>
      <c r="H3475" s="604"/>
      <c r="I3475" s="605"/>
      <c r="J3475" s="605"/>
      <c r="K3475" s="533"/>
      <c r="L3475" s="533"/>
      <c r="M3475" s="533"/>
      <c r="N3475" s="268"/>
      <c r="O3475" s="533"/>
      <c r="P3475" s="533"/>
      <c r="Q3475" s="533"/>
      <c r="R3475" s="533"/>
      <c r="S3475" s="533"/>
      <c r="T3475" s="533"/>
      <c r="U3475" s="533"/>
      <c r="V3475" s="533"/>
      <c r="W3475" s="533"/>
      <c r="X3475" s="533"/>
      <c r="Y3475" s="533"/>
    </row>
    <row r="3476" spans="1:25" s="88" customFormat="1" hidden="1" x14ac:dyDescent="0.25">
      <c r="A3476" s="509"/>
      <c r="B3476" s="256"/>
      <c r="C3476" s="221"/>
      <c r="D3476" s="218"/>
      <c r="E3476" s="218"/>
      <c r="F3476" s="218"/>
      <c r="G3476" s="286"/>
      <c r="H3476" s="604"/>
      <c r="I3476" s="605"/>
      <c r="J3476" s="605"/>
      <c r="K3476" s="533"/>
      <c r="L3476" s="533"/>
      <c r="M3476" s="533"/>
      <c r="N3476" s="268"/>
      <c r="O3476" s="533"/>
      <c r="P3476" s="533"/>
      <c r="Q3476" s="533"/>
      <c r="R3476" s="533"/>
      <c r="S3476" s="533"/>
      <c r="T3476" s="533"/>
      <c r="U3476" s="533"/>
      <c r="V3476" s="533"/>
      <c r="W3476" s="533"/>
      <c r="X3476" s="533"/>
      <c r="Y3476" s="533"/>
    </row>
    <row r="3477" spans="1:25" s="88" customFormat="1" hidden="1" x14ac:dyDescent="0.25">
      <c r="A3477" s="509"/>
      <c r="B3477" s="256"/>
      <c r="C3477" s="221"/>
      <c r="D3477" s="218"/>
      <c r="E3477" s="218"/>
      <c r="F3477" s="218"/>
      <c r="G3477" s="286"/>
      <c r="H3477" s="604"/>
      <c r="I3477" s="605"/>
      <c r="J3477" s="605"/>
      <c r="K3477" s="533"/>
      <c r="L3477" s="533"/>
      <c r="M3477" s="533"/>
      <c r="N3477" s="268"/>
      <c r="O3477" s="533"/>
      <c r="P3477" s="533"/>
      <c r="Q3477" s="533"/>
      <c r="R3477" s="533"/>
      <c r="S3477" s="533"/>
      <c r="T3477" s="533"/>
      <c r="U3477" s="533"/>
      <c r="V3477" s="533"/>
      <c r="W3477" s="533"/>
      <c r="X3477" s="533"/>
      <c r="Y3477" s="533"/>
    </row>
    <row r="3478" spans="1:25" s="88" customFormat="1" hidden="1" x14ac:dyDescent="0.25">
      <c r="A3478" s="509"/>
      <c r="B3478" s="256"/>
      <c r="C3478" s="221"/>
      <c r="D3478" s="218"/>
      <c r="E3478" s="218"/>
      <c r="F3478" s="218"/>
      <c r="G3478" s="286"/>
      <c r="H3478" s="604"/>
      <c r="I3478" s="605"/>
      <c r="J3478" s="605"/>
      <c r="K3478" s="533"/>
      <c r="L3478" s="533"/>
      <c r="M3478" s="533"/>
      <c r="N3478" s="268"/>
      <c r="O3478" s="533"/>
      <c r="P3478" s="533"/>
      <c r="Q3478" s="533"/>
      <c r="R3478" s="533"/>
      <c r="S3478" s="533"/>
      <c r="T3478" s="533"/>
      <c r="U3478" s="533"/>
      <c r="V3478" s="533"/>
      <c r="W3478" s="533"/>
      <c r="X3478" s="533"/>
      <c r="Y3478" s="533"/>
    </row>
    <row r="3479" spans="1:25" s="88" customFormat="1" hidden="1" x14ac:dyDescent="0.25">
      <c r="A3479" s="509"/>
      <c r="B3479" s="256"/>
      <c r="C3479" s="221"/>
      <c r="D3479" s="218"/>
      <c r="E3479" s="218"/>
      <c r="F3479" s="218"/>
      <c r="G3479" s="286"/>
      <c r="H3479" s="604"/>
      <c r="I3479" s="605"/>
      <c r="J3479" s="605"/>
      <c r="K3479" s="533"/>
      <c r="L3479" s="533"/>
      <c r="M3479" s="533"/>
      <c r="N3479" s="268"/>
      <c r="O3479" s="533"/>
      <c r="P3479" s="533"/>
      <c r="Q3479" s="533"/>
      <c r="R3479" s="533"/>
      <c r="S3479" s="533"/>
      <c r="T3479" s="533"/>
      <c r="U3479" s="533"/>
      <c r="V3479" s="533"/>
      <c r="W3479" s="533"/>
      <c r="X3479" s="533"/>
      <c r="Y3479" s="533"/>
    </row>
    <row r="3480" spans="1:25" s="88" customFormat="1" hidden="1" x14ac:dyDescent="0.25">
      <c r="A3480" s="509"/>
      <c r="B3480" s="256"/>
      <c r="C3480" s="221"/>
      <c r="D3480" s="218"/>
      <c r="E3480" s="218"/>
      <c r="F3480" s="218"/>
      <c r="G3480" s="286"/>
      <c r="H3480" s="604"/>
      <c r="I3480" s="605"/>
      <c r="J3480" s="605"/>
      <c r="K3480" s="533"/>
      <c r="L3480" s="533"/>
      <c r="M3480" s="533"/>
      <c r="N3480" s="268"/>
      <c r="O3480" s="533"/>
      <c r="P3480" s="533"/>
      <c r="Q3480" s="533"/>
      <c r="R3480" s="533"/>
      <c r="S3480" s="533"/>
      <c r="T3480" s="533"/>
      <c r="U3480" s="533"/>
      <c r="V3480" s="533"/>
      <c r="W3480" s="533"/>
      <c r="X3480" s="533"/>
      <c r="Y3480" s="533"/>
    </row>
    <row r="3481" spans="1:25" s="88" customFormat="1" ht="13.5" customHeight="1" x14ac:dyDescent="0.25">
      <c r="A3481" s="261"/>
      <c r="B3481" s="256"/>
      <c r="C3481" s="316"/>
      <c r="D3481" s="251"/>
      <c r="E3481" s="251"/>
      <c r="F3481" s="257"/>
      <c r="G3481" s="294"/>
      <c r="H3481" s="627"/>
      <c r="I3481" s="610"/>
      <c r="J3481" s="628"/>
      <c r="K3481" s="533"/>
      <c r="L3481" s="533"/>
      <c r="M3481" s="533"/>
      <c r="N3481" s="533"/>
      <c r="O3481" s="533"/>
      <c r="P3481" s="533"/>
      <c r="Q3481" s="533"/>
      <c r="R3481" s="533"/>
      <c r="S3481" s="533"/>
      <c r="T3481" s="533"/>
      <c r="U3481" s="533"/>
      <c r="V3481" s="533"/>
      <c r="W3481" s="533"/>
      <c r="X3481" s="533"/>
      <c r="Y3481" s="533"/>
    </row>
    <row r="3482" spans="1:25" s="88" customFormat="1" x14ac:dyDescent="0.25">
      <c r="A3482" s="261"/>
      <c r="B3482" s="256"/>
      <c r="C3482" s="265" t="s">
        <v>3596</v>
      </c>
      <c r="D3482" s="265"/>
      <c r="E3482" s="248"/>
      <c r="F3482" s="248"/>
      <c r="G3482" s="306" t="s">
        <v>4271</v>
      </c>
      <c r="H3482" s="611"/>
      <c r="I3482" s="612"/>
      <c r="J3482" s="612"/>
      <c r="K3482" s="533"/>
      <c r="L3482" s="533"/>
      <c r="M3482" s="533"/>
      <c r="N3482" s="533"/>
      <c r="O3482" s="533"/>
      <c r="P3482" s="533"/>
      <c r="Q3482" s="533"/>
      <c r="R3482" s="533"/>
      <c r="S3482" s="533"/>
      <c r="T3482" s="533"/>
      <c r="U3482" s="533"/>
      <c r="V3482" s="533"/>
      <c r="W3482" s="533"/>
      <c r="X3482" s="533"/>
      <c r="Y3482" s="533"/>
    </row>
    <row r="3483" spans="1:25" x14ac:dyDescent="0.25">
      <c r="C3483" s="228" t="s">
        <v>4132</v>
      </c>
      <c r="D3483" s="219"/>
      <c r="G3483" s="262" t="s">
        <v>4133</v>
      </c>
    </row>
    <row r="3484" spans="1:25" s="88" customFormat="1" x14ac:dyDescent="0.25">
      <c r="A3484" s="261"/>
      <c r="B3484" s="256"/>
      <c r="C3484" s="265"/>
      <c r="D3484" s="334" t="s">
        <v>3908</v>
      </c>
      <c r="E3484" s="329"/>
      <c r="F3484" s="329"/>
      <c r="G3484" s="330" t="s">
        <v>4313</v>
      </c>
      <c r="H3484" s="611"/>
      <c r="I3484" s="612"/>
      <c r="J3484" s="612"/>
      <c r="K3484" s="533"/>
      <c r="L3484" s="533"/>
      <c r="M3484" s="533"/>
      <c r="N3484" s="533"/>
      <c r="O3484" s="533"/>
      <c r="P3484" s="533"/>
      <c r="Q3484" s="533"/>
      <c r="R3484" s="533"/>
      <c r="S3484" s="533"/>
      <c r="T3484" s="533"/>
      <c r="U3484" s="533"/>
      <c r="V3484" s="533"/>
      <c r="W3484" s="533"/>
      <c r="X3484" s="533"/>
      <c r="Y3484" s="533"/>
    </row>
    <row r="3485" spans="1:25" x14ac:dyDescent="0.25">
      <c r="E3485" s="218">
        <v>48</v>
      </c>
      <c r="F3485" s="263">
        <v>4631</v>
      </c>
      <c r="G3485" s="295" t="s">
        <v>3827</v>
      </c>
      <c r="H3485" s="594">
        <v>357000</v>
      </c>
      <c r="J3485" s="595">
        <f>SUM(H3485:I3485)</f>
        <v>357000</v>
      </c>
    </row>
    <row r="3486" spans="1:25" hidden="1" x14ac:dyDescent="0.25">
      <c r="F3486" s="263">
        <v>412</v>
      </c>
      <c r="G3486" s="292" t="s">
        <v>3784</v>
      </c>
      <c r="J3486" s="595">
        <f t="shared" ref="J3486:J3544" si="109">SUM(H3486:I3486)</f>
        <v>0</v>
      </c>
    </row>
    <row r="3487" spans="1:25" hidden="1" x14ac:dyDescent="0.25">
      <c r="F3487" s="263">
        <v>413</v>
      </c>
      <c r="G3487" s="295" t="s">
        <v>4190</v>
      </c>
      <c r="J3487" s="595">
        <f t="shared" si="109"/>
        <v>0</v>
      </c>
    </row>
    <row r="3488" spans="1:25" ht="14.25" hidden="1" customHeight="1" x14ac:dyDescent="0.25">
      <c r="F3488" s="263">
        <v>414</v>
      </c>
      <c r="G3488" s="295" t="s">
        <v>3787</v>
      </c>
      <c r="J3488" s="595">
        <f t="shared" si="109"/>
        <v>0</v>
      </c>
    </row>
    <row r="3489" spans="6:10" hidden="1" x14ac:dyDescent="0.25">
      <c r="F3489" s="263">
        <v>415</v>
      </c>
      <c r="G3489" s="295" t="s">
        <v>4199</v>
      </c>
      <c r="J3489" s="595">
        <f t="shared" si="109"/>
        <v>0</v>
      </c>
    </row>
    <row r="3490" spans="6:10" hidden="1" x14ac:dyDescent="0.25">
      <c r="F3490" s="263">
        <v>416</v>
      </c>
      <c r="G3490" s="295" t="s">
        <v>4200</v>
      </c>
      <c r="J3490" s="595">
        <f t="shared" si="109"/>
        <v>0</v>
      </c>
    </row>
    <row r="3491" spans="6:10" hidden="1" x14ac:dyDescent="0.25">
      <c r="F3491" s="263">
        <v>417</v>
      </c>
      <c r="G3491" s="295" t="s">
        <v>4201</v>
      </c>
      <c r="J3491" s="595">
        <f t="shared" si="109"/>
        <v>0</v>
      </c>
    </row>
    <row r="3492" spans="6:10" hidden="1" x14ac:dyDescent="0.25">
      <c r="F3492" s="263">
        <v>418</v>
      </c>
      <c r="G3492" s="295" t="s">
        <v>3793</v>
      </c>
      <c r="J3492" s="595">
        <f t="shared" si="109"/>
        <v>0</v>
      </c>
    </row>
    <row r="3493" spans="6:10" hidden="1" x14ac:dyDescent="0.25">
      <c r="F3493" s="263">
        <v>421</v>
      </c>
      <c r="G3493" s="295" t="s">
        <v>3797</v>
      </c>
      <c r="J3493" s="595">
        <f t="shared" si="109"/>
        <v>0</v>
      </c>
    </row>
    <row r="3494" spans="6:10" hidden="1" x14ac:dyDescent="0.25">
      <c r="F3494" s="263">
        <v>422</v>
      </c>
      <c r="G3494" s="295" t="s">
        <v>3798</v>
      </c>
      <c r="J3494" s="595">
        <f t="shared" si="109"/>
        <v>0</v>
      </c>
    </row>
    <row r="3495" spans="6:10" hidden="1" x14ac:dyDescent="0.25">
      <c r="F3495" s="263">
        <v>423</v>
      </c>
      <c r="G3495" s="295" t="s">
        <v>3799</v>
      </c>
      <c r="J3495" s="595">
        <f t="shared" si="109"/>
        <v>0</v>
      </c>
    </row>
    <row r="3496" spans="6:10" hidden="1" x14ac:dyDescent="0.25">
      <c r="F3496" s="263">
        <v>424</v>
      </c>
      <c r="G3496" s="295" t="s">
        <v>3801</v>
      </c>
      <c r="J3496" s="595">
        <f t="shared" si="109"/>
        <v>0</v>
      </c>
    </row>
    <row r="3497" spans="6:10" hidden="1" x14ac:dyDescent="0.25">
      <c r="F3497" s="263">
        <v>425</v>
      </c>
      <c r="G3497" s="295" t="s">
        <v>4202</v>
      </c>
      <c r="J3497" s="595">
        <f t="shared" si="109"/>
        <v>0</v>
      </c>
    </row>
    <row r="3498" spans="6:10" hidden="1" x14ac:dyDescent="0.25">
      <c r="F3498" s="263">
        <v>426</v>
      </c>
      <c r="G3498" s="295" t="s">
        <v>3805</v>
      </c>
      <c r="J3498" s="595">
        <f t="shared" si="109"/>
        <v>0</v>
      </c>
    </row>
    <row r="3499" spans="6:10" hidden="1" x14ac:dyDescent="0.25">
      <c r="F3499" s="263">
        <v>431</v>
      </c>
      <c r="G3499" s="295" t="s">
        <v>4203</v>
      </c>
      <c r="J3499" s="595">
        <f t="shared" si="109"/>
        <v>0</v>
      </c>
    </row>
    <row r="3500" spans="6:10" hidden="1" x14ac:dyDescent="0.25">
      <c r="F3500" s="263">
        <v>432</v>
      </c>
      <c r="G3500" s="295" t="s">
        <v>4204</v>
      </c>
      <c r="J3500" s="595">
        <f t="shared" si="109"/>
        <v>0</v>
      </c>
    </row>
    <row r="3501" spans="6:10" hidden="1" x14ac:dyDescent="0.25">
      <c r="F3501" s="263">
        <v>433</v>
      </c>
      <c r="G3501" s="295" t="s">
        <v>4205</v>
      </c>
      <c r="J3501" s="595">
        <f t="shared" si="109"/>
        <v>0</v>
      </c>
    </row>
    <row r="3502" spans="6:10" hidden="1" x14ac:dyDescent="0.25">
      <c r="F3502" s="263">
        <v>434</v>
      </c>
      <c r="G3502" s="295" t="s">
        <v>4206</v>
      </c>
      <c r="J3502" s="595">
        <f t="shared" si="109"/>
        <v>0</v>
      </c>
    </row>
    <row r="3503" spans="6:10" hidden="1" x14ac:dyDescent="0.25">
      <c r="F3503" s="263">
        <v>435</v>
      </c>
      <c r="G3503" s="295" t="s">
        <v>3812</v>
      </c>
      <c r="J3503" s="595">
        <f t="shared" si="109"/>
        <v>0</v>
      </c>
    </row>
    <row r="3504" spans="6:10" hidden="1" x14ac:dyDescent="0.25">
      <c r="F3504" s="263">
        <v>441</v>
      </c>
      <c r="G3504" s="295" t="s">
        <v>4207</v>
      </c>
      <c r="J3504" s="595">
        <f t="shared" si="109"/>
        <v>0</v>
      </c>
    </row>
    <row r="3505" spans="5:10" hidden="1" x14ac:dyDescent="0.25">
      <c r="F3505" s="263">
        <v>442</v>
      </c>
      <c r="G3505" s="295" t="s">
        <v>4208</v>
      </c>
      <c r="J3505" s="595">
        <f t="shared" si="109"/>
        <v>0</v>
      </c>
    </row>
    <row r="3506" spans="5:10" hidden="1" x14ac:dyDescent="0.25">
      <c r="F3506" s="263">
        <v>443</v>
      </c>
      <c r="G3506" s="295" t="s">
        <v>3817</v>
      </c>
      <c r="J3506" s="595">
        <f t="shared" si="109"/>
        <v>0</v>
      </c>
    </row>
    <row r="3507" spans="5:10" hidden="1" x14ac:dyDescent="0.25">
      <c r="F3507" s="263">
        <v>444</v>
      </c>
      <c r="G3507" s="295" t="s">
        <v>3818</v>
      </c>
      <c r="J3507" s="595">
        <f t="shared" si="109"/>
        <v>0</v>
      </c>
    </row>
    <row r="3508" spans="5:10" ht="30" hidden="1" x14ac:dyDescent="0.25">
      <c r="F3508" s="263">
        <v>4511</v>
      </c>
      <c r="G3508" s="223" t="s">
        <v>1692</v>
      </c>
      <c r="J3508" s="595">
        <f t="shared" si="109"/>
        <v>0</v>
      </c>
    </row>
    <row r="3509" spans="5:10" ht="30" hidden="1" x14ac:dyDescent="0.25">
      <c r="F3509" s="263">
        <v>4512</v>
      </c>
      <c r="G3509" s="223" t="s">
        <v>1701</v>
      </c>
      <c r="J3509" s="595">
        <f t="shared" si="109"/>
        <v>0</v>
      </c>
    </row>
    <row r="3510" spans="5:10" hidden="1" x14ac:dyDescent="0.25">
      <c r="F3510" s="263">
        <v>452</v>
      </c>
      <c r="G3510" s="295" t="s">
        <v>4209</v>
      </c>
      <c r="J3510" s="595">
        <f t="shared" si="109"/>
        <v>0</v>
      </c>
    </row>
    <row r="3511" spans="5:10" hidden="1" x14ac:dyDescent="0.25">
      <c r="F3511" s="263">
        <v>453</v>
      </c>
      <c r="G3511" s="295" t="s">
        <v>4210</v>
      </c>
      <c r="J3511" s="595">
        <f t="shared" si="109"/>
        <v>0</v>
      </c>
    </row>
    <row r="3512" spans="5:10" hidden="1" x14ac:dyDescent="0.25">
      <c r="F3512" s="263">
        <v>454</v>
      </c>
      <c r="G3512" s="295" t="s">
        <v>3823</v>
      </c>
      <c r="J3512" s="595">
        <f t="shared" si="109"/>
        <v>0</v>
      </c>
    </row>
    <row r="3513" spans="5:10" hidden="1" x14ac:dyDescent="0.25">
      <c r="F3513" s="263">
        <v>461</v>
      </c>
      <c r="G3513" s="295" t="s">
        <v>4191</v>
      </c>
      <c r="J3513" s="595">
        <f t="shared" si="109"/>
        <v>0</v>
      </c>
    </row>
    <row r="3514" spans="5:10" hidden="1" x14ac:dyDescent="0.25">
      <c r="F3514" s="263">
        <v>462</v>
      </c>
      <c r="G3514" s="295" t="s">
        <v>3826</v>
      </c>
      <c r="J3514" s="595">
        <f t="shared" si="109"/>
        <v>0</v>
      </c>
    </row>
    <row r="3515" spans="5:10" hidden="1" x14ac:dyDescent="0.25">
      <c r="F3515" s="263">
        <v>4631</v>
      </c>
      <c r="G3515" s="295" t="s">
        <v>3827</v>
      </c>
      <c r="J3515" s="595">
        <f t="shared" si="109"/>
        <v>0</v>
      </c>
    </row>
    <row r="3516" spans="5:10" hidden="1" x14ac:dyDescent="0.25">
      <c r="F3516" s="263">
        <v>4632</v>
      </c>
      <c r="G3516" s="295" t="s">
        <v>3828</v>
      </c>
      <c r="J3516" s="595">
        <f t="shared" si="109"/>
        <v>0</v>
      </c>
    </row>
    <row r="3517" spans="5:10" hidden="1" x14ac:dyDescent="0.25">
      <c r="F3517" s="263">
        <v>464</v>
      </c>
      <c r="G3517" s="295" t="s">
        <v>3829</v>
      </c>
      <c r="J3517" s="595">
        <f t="shared" si="109"/>
        <v>0</v>
      </c>
    </row>
    <row r="3518" spans="5:10" hidden="1" x14ac:dyDescent="0.25">
      <c r="F3518" s="263">
        <v>465</v>
      </c>
      <c r="G3518" s="295" t="s">
        <v>4192</v>
      </c>
      <c r="J3518" s="595">
        <f t="shared" si="109"/>
        <v>0</v>
      </c>
    </row>
    <row r="3519" spans="5:10" ht="15.75" thickBot="1" x14ac:dyDescent="0.3">
      <c r="E3519" s="218">
        <v>49</v>
      </c>
      <c r="F3519" s="263">
        <v>472</v>
      </c>
      <c r="G3519" s="295" t="s">
        <v>3833</v>
      </c>
      <c r="H3519" s="594">
        <v>4300000</v>
      </c>
      <c r="J3519" s="595">
        <f t="shared" si="109"/>
        <v>4300000</v>
      </c>
    </row>
    <row r="3520" spans="5:10" ht="15.75" hidden="1" thickBot="1" x14ac:dyDescent="0.3">
      <c r="F3520" s="263">
        <v>481</v>
      </c>
      <c r="G3520" s="295" t="s">
        <v>4211</v>
      </c>
      <c r="J3520" s="595">
        <f t="shared" si="109"/>
        <v>0</v>
      </c>
    </row>
    <row r="3521" spans="6:10" ht="15.75" hidden="1" thickBot="1" x14ac:dyDescent="0.3">
      <c r="F3521" s="263">
        <v>482</v>
      </c>
      <c r="G3521" s="295" t="s">
        <v>4212</v>
      </c>
      <c r="J3521" s="595">
        <f t="shared" si="109"/>
        <v>0</v>
      </c>
    </row>
    <row r="3522" spans="6:10" ht="15.75" hidden="1" thickBot="1" x14ac:dyDescent="0.3">
      <c r="F3522" s="263">
        <v>483</v>
      </c>
      <c r="G3522" s="298" t="s">
        <v>4213</v>
      </c>
      <c r="J3522" s="595">
        <f t="shared" si="109"/>
        <v>0</v>
      </c>
    </row>
    <row r="3523" spans="6:10" ht="30.75" hidden="1" thickBot="1" x14ac:dyDescent="0.3">
      <c r="F3523" s="263">
        <v>484</v>
      </c>
      <c r="G3523" s="295" t="s">
        <v>4214</v>
      </c>
      <c r="J3523" s="595">
        <f t="shared" si="109"/>
        <v>0</v>
      </c>
    </row>
    <row r="3524" spans="6:10" ht="30.75" hidden="1" thickBot="1" x14ac:dyDescent="0.3">
      <c r="F3524" s="263">
        <v>485</v>
      </c>
      <c r="G3524" s="295" t="s">
        <v>4215</v>
      </c>
      <c r="J3524" s="595">
        <f t="shared" si="109"/>
        <v>0</v>
      </c>
    </row>
    <row r="3525" spans="6:10" ht="30.75" hidden="1" thickBot="1" x14ac:dyDescent="0.3">
      <c r="F3525" s="263">
        <v>489</v>
      </c>
      <c r="G3525" s="295" t="s">
        <v>3841</v>
      </c>
      <c r="J3525" s="595">
        <f t="shared" si="109"/>
        <v>0</v>
      </c>
    </row>
    <row r="3526" spans="6:10" ht="15.75" hidden="1" thickBot="1" x14ac:dyDescent="0.3">
      <c r="F3526" s="263">
        <v>494</v>
      </c>
      <c r="G3526" s="295" t="s">
        <v>4193</v>
      </c>
      <c r="J3526" s="595">
        <f t="shared" si="109"/>
        <v>0</v>
      </c>
    </row>
    <row r="3527" spans="6:10" ht="30.75" hidden="1" thickBot="1" x14ac:dyDescent="0.3">
      <c r="F3527" s="263">
        <v>495</v>
      </c>
      <c r="G3527" s="295" t="s">
        <v>4194</v>
      </c>
      <c r="J3527" s="595">
        <f t="shared" si="109"/>
        <v>0</v>
      </c>
    </row>
    <row r="3528" spans="6:10" ht="30.75" hidden="1" thickBot="1" x14ac:dyDescent="0.3">
      <c r="F3528" s="263">
        <v>496</v>
      </c>
      <c r="G3528" s="295" t="s">
        <v>4195</v>
      </c>
      <c r="J3528" s="595">
        <f t="shared" si="109"/>
        <v>0</v>
      </c>
    </row>
    <row r="3529" spans="6:10" ht="15.75" hidden="1" thickBot="1" x14ac:dyDescent="0.3">
      <c r="F3529" s="263">
        <v>499</v>
      </c>
      <c r="G3529" s="295" t="s">
        <v>4196</v>
      </c>
      <c r="J3529" s="595">
        <f t="shared" si="109"/>
        <v>0</v>
      </c>
    </row>
    <row r="3530" spans="6:10" ht="15.75" hidden="1" thickBot="1" x14ac:dyDescent="0.3">
      <c r="F3530" s="263">
        <v>511</v>
      </c>
      <c r="G3530" s="298" t="s">
        <v>4216</v>
      </c>
      <c r="J3530" s="595">
        <f t="shared" si="109"/>
        <v>0</v>
      </c>
    </row>
    <row r="3531" spans="6:10" ht="15.75" hidden="1" thickBot="1" x14ac:dyDescent="0.3">
      <c r="F3531" s="263">
        <v>512</v>
      </c>
      <c r="G3531" s="298" t="s">
        <v>4217</v>
      </c>
      <c r="J3531" s="595">
        <f t="shared" si="109"/>
        <v>0</v>
      </c>
    </row>
    <row r="3532" spans="6:10" ht="15.75" hidden="1" thickBot="1" x14ac:dyDescent="0.3">
      <c r="F3532" s="263">
        <v>513</v>
      </c>
      <c r="G3532" s="298" t="s">
        <v>4218</v>
      </c>
      <c r="J3532" s="595">
        <f t="shared" si="109"/>
        <v>0</v>
      </c>
    </row>
    <row r="3533" spans="6:10" ht="15.75" hidden="1" thickBot="1" x14ac:dyDescent="0.3">
      <c r="F3533" s="263">
        <v>514</v>
      </c>
      <c r="G3533" s="295" t="s">
        <v>4219</v>
      </c>
      <c r="J3533" s="595">
        <f t="shared" si="109"/>
        <v>0</v>
      </c>
    </row>
    <row r="3534" spans="6:10" ht="15.75" hidden="1" thickBot="1" x14ac:dyDescent="0.3">
      <c r="F3534" s="263">
        <v>515</v>
      </c>
      <c r="G3534" s="295" t="s">
        <v>3852</v>
      </c>
      <c r="J3534" s="595">
        <f t="shared" si="109"/>
        <v>0</v>
      </c>
    </row>
    <row r="3535" spans="6:10" ht="15.75" hidden="1" thickBot="1" x14ac:dyDescent="0.3">
      <c r="F3535" s="263">
        <v>521</v>
      </c>
      <c r="G3535" s="295" t="s">
        <v>4220</v>
      </c>
      <c r="J3535" s="595">
        <f t="shared" si="109"/>
        <v>0</v>
      </c>
    </row>
    <row r="3536" spans="6:10" ht="15.75" hidden="1" thickBot="1" x14ac:dyDescent="0.3">
      <c r="F3536" s="263">
        <v>522</v>
      </c>
      <c r="G3536" s="295" t="s">
        <v>4221</v>
      </c>
      <c r="J3536" s="595">
        <f t="shared" si="109"/>
        <v>0</v>
      </c>
    </row>
    <row r="3537" spans="5:10" ht="15.75" hidden="1" thickBot="1" x14ac:dyDescent="0.3">
      <c r="F3537" s="263">
        <v>523</v>
      </c>
      <c r="G3537" s="295" t="s">
        <v>3857</v>
      </c>
      <c r="J3537" s="595">
        <f t="shared" si="109"/>
        <v>0</v>
      </c>
    </row>
    <row r="3538" spans="5:10" ht="15.75" hidden="1" thickBot="1" x14ac:dyDescent="0.3">
      <c r="F3538" s="263">
        <v>531</v>
      </c>
      <c r="G3538" s="292" t="s">
        <v>4197</v>
      </c>
      <c r="J3538" s="595">
        <f t="shared" si="109"/>
        <v>0</v>
      </c>
    </row>
    <row r="3539" spans="5:10" ht="15.75" hidden="1" thickBot="1" x14ac:dyDescent="0.3">
      <c r="F3539" s="263">
        <v>541</v>
      </c>
      <c r="G3539" s="295" t="s">
        <v>4222</v>
      </c>
      <c r="J3539" s="595">
        <f t="shared" si="109"/>
        <v>0</v>
      </c>
    </row>
    <row r="3540" spans="5:10" ht="15.75" hidden="1" thickBot="1" x14ac:dyDescent="0.3">
      <c r="F3540" s="263">
        <v>542</v>
      </c>
      <c r="G3540" s="295" t="s">
        <v>4223</v>
      </c>
      <c r="J3540" s="595">
        <f t="shared" si="109"/>
        <v>0</v>
      </c>
    </row>
    <row r="3541" spans="5:10" ht="15.75" hidden="1" thickBot="1" x14ac:dyDescent="0.3">
      <c r="F3541" s="263">
        <v>543</v>
      </c>
      <c r="G3541" s="295" t="s">
        <v>3862</v>
      </c>
      <c r="J3541" s="595">
        <f t="shared" si="109"/>
        <v>0</v>
      </c>
    </row>
    <row r="3542" spans="5:10" ht="30.75" hidden="1" thickBot="1" x14ac:dyDescent="0.3">
      <c r="F3542" s="263">
        <v>551</v>
      </c>
      <c r="G3542" s="295" t="s">
        <v>4198</v>
      </c>
      <c r="J3542" s="595">
        <f t="shared" si="109"/>
        <v>0</v>
      </c>
    </row>
    <row r="3543" spans="5:10" ht="15.75" hidden="1" thickBot="1" x14ac:dyDescent="0.3">
      <c r="F3543" s="264">
        <v>611</v>
      </c>
      <c r="G3543" s="299" t="s">
        <v>3868</v>
      </c>
      <c r="J3543" s="595">
        <f t="shared" si="109"/>
        <v>0</v>
      </c>
    </row>
    <row r="3544" spans="5:10" ht="15.75" hidden="1" thickBot="1" x14ac:dyDescent="0.3">
      <c r="F3544" s="264">
        <v>620</v>
      </c>
      <c r="G3544" s="299" t="s">
        <v>88</v>
      </c>
      <c r="J3544" s="595">
        <f t="shared" si="109"/>
        <v>0</v>
      </c>
    </row>
    <row r="3545" spans="5:10" x14ac:dyDescent="0.25">
      <c r="E3545" s="293"/>
      <c r="F3545" s="301"/>
      <c r="G3545" s="326" t="s">
        <v>4390</v>
      </c>
      <c r="H3545" s="596"/>
      <c r="I3545" s="622"/>
      <c r="J3545" s="597"/>
    </row>
    <row r="3546" spans="5:10" ht="15.75" thickBot="1" x14ac:dyDescent="0.3">
      <c r="E3546" s="222"/>
      <c r="F3546" s="249" t="s">
        <v>234</v>
      </c>
      <c r="G3546" s="252" t="s">
        <v>235</v>
      </c>
      <c r="H3546" s="598">
        <f>SUM(H3485:H3544)</f>
        <v>4657000</v>
      </c>
      <c r="I3546" s="599"/>
      <c r="J3546" s="599">
        <f>SUM(H3546:I3546)</f>
        <v>4657000</v>
      </c>
    </row>
    <row r="3547" spans="5:10" ht="15.75" hidden="1" thickBot="1" x14ac:dyDescent="0.3">
      <c r="F3547" s="249" t="s">
        <v>236</v>
      </c>
      <c r="G3547" s="252" t="s">
        <v>237</v>
      </c>
      <c r="J3547" s="599">
        <f t="shared" ref="J3547:J3561" si="110">SUM(H3547:I3547)</f>
        <v>0</v>
      </c>
    </row>
    <row r="3548" spans="5:10" ht="15.75" hidden="1" thickBot="1" x14ac:dyDescent="0.3">
      <c r="F3548" s="249" t="s">
        <v>238</v>
      </c>
      <c r="G3548" s="252" t="s">
        <v>239</v>
      </c>
      <c r="J3548" s="599">
        <f t="shared" si="110"/>
        <v>0</v>
      </c>
    </row>
    <row r="3549" spans="5:10" ht="15.75" hidden="1" thickBot="1" x14ac:dyDescent="0.3">
      <c r="F3549" s="249" t="s">
        <v>240</v>
      </c>
      <c r="G3549" s="252" t="s">
        <v>241</v>
      </c>
      <c r="J3549" s="599">
        <f t="shared" si="110"/>
        <v>0</v>
      </c>
    </row>
    <row r="3550" spans="5:10" ht="15.75" hidden="1" thickBot="1" x14ac:dyDescent="0.3">
      <c r="F3550" s="249" t="s">
        <v>242</v>
      </c>
      <c r="G3550" s="252" t="s">
        <v>243</v>
      </c>
      <c r="J3550" s="599">
        <f t="shared" si="110"/>
        <v>0</v>
      </c>
    </row>
    <row r="3551" spans="5:10" ht="15.75" hidden="1" thickBot="1" x14ac:dyDescent="0.3">
      <c r="F3551" s="249" t="s">
        <v>244</v>
      </c>
      <c r="G3551" s="252" t="s">
        <v>245</v>
      </c>
      <c r="J3551" s="599">
        <f t="shared" si="110"/>
        <v>0</v>
      </c>
    </row>
    <row r="3552" spans="5:10" ht="15.75" hidden="1" thickBot="1" x14ac:dyDescent="0.3">
      <c r="F3552" s="249" t="s">
        <v>246</v>
      </c>
      <c r="G3552" s="252" t="s">
        <v>247</v>
      </c>
      <c r="J3552" s="599">
        <f t="shared" si="110"/>
        <v>0</v>
      </c>
    </row>
    <row r="3553" spans="5:10" ht="15.75" hidden="1" thickBot="1" x14ac:dyDescent="0.3">
      <c r="F3553" s="249" t="s">
        <v>248</v>
      </c>
      <c r="G3553" s="252" t="s">
        <v>249</v>
      </c>
      <c r="J3553" s="599">
        <f t="shared" si="110"/>
        <v>0</v>
      </c>
    </row>
    <row r="3554" spans="5:10" ht="15.75" hidden="1" thickBot="1" x14ac:dyDescent="0.3">
      <c r="F3554" s="249" t="s">
        <v>250</v>
      </c>
      <c r="G3554" s="252" t="s">
        <v>57</v>
      </c>
      <c r="J3554" s="599">
        <f t="shared" si="110"/>
        <v>0</v>
      </c>
    </row>
    <row r="3555" spans="5:10" ht="15.75" hidden="1" thickBot="1" x14ac:dyDescent="0.3">
      <c r="F3555" s="249" t="s">
        <v>251</v>
      </c>
      <c r="G3555" s="252" t="s">
        <v>252</v>
      </c>
      <c r="J3555" s="599">
        <f t="shared" si="110"/>
        <v>0</v>
      </c>
    </row>
    <row r="3556" spans="5:10" ht="15.75" hidden="1" thickBot="1" x14ac:dyDescent="0.3">
      <c r="F3556" s="249" t="s">
        <v>253</v>
      </c>
      <c r="G3556" s="252" t="s">
        <v>254</v>
      </c>
      <c r="J3556" s="599">
        <f t="shared" si="110"/>
        <v>0</v>
      </c>
    </row>
    <row r="3557" spans="5:10" ht="30.75" hidden="1" thickBot="1" x14ac:dyDescent="0.3">
      <c r="F3557" s="249" t="s">
        <v>255</v>
      </c>
      <c r="G3557" s="252" t="s">
        <v>256</v>
      </c>
      <c r="J3557" s="599">
        <f t="shared" si="110"/>
        <v>0</v>
      </c>
    </row>
    <row r="3558" spans="5:10" ht="15.75" hidden="1" thickBot="1" x14ac:dyDescent="0.3">
      <c r="F3558" s="249" t="s">
        <v>257</v>
      </c>
      <c r="G3558" s="252" t="s">
        <v>258</v>
      </c>
      <c r="J3558" s="599">
        <f t="shared" si="110"/>
        <v>0</v>
      </c>
    </row>
    <row r="3559" spans="5:10" ht="30.75" hidden="1" thickBot="1" x14ac:dyDescent="0.3">
      <c r="F3559" s="249" t="s">
        <v>259</v>
      </c>
      <c r="G3559" s="252" t="s">
        <v>260</v>
      </c>
      <c r="J3559" s="599">
        <f t="shared" si="110"/>
        <v>0</v>
      </c>
    </row>
    <row r="3560" spans="5:10" ht="15.75" hidden="1" thickBot="1" x14ac:dyDescent="0.3">
      <c r="F3560" s="249" t="s">
        <v>261</v>
      </c>
      <c r="G3560" s="252" t="s">
        <v>262</v>
      </c>
      <c r="J3560" s="599">
        <f t="shared" si="110"/>
        <v>0</v>
      </c>
    </row>
    <row r="3561" spans="5:10" ht="15.75" hidden="1" thickBot="1" x14ac:dyDescent="0.3">
      <c r="F3561" s="249" t="s">
        <v>263</v>
      </c>
      <c r="G3561" s="252" t="s">
        <v>264</v>
      </c>
      <c r="H3561" s="598"/>
      <c r="I3561" s="599"/>
      <c r="J3561" s="599">
        <f t="shared" si="110"/>
        <v>0</v>
      </c>
    </row>
    <row r="3562" spans="5:10" ht="15.75" thickBot="1" x14ac:dyDescent="0.3">
      <c r="G3562" s="229" t="s">
        <v>4391</v>
      </c>
      <c r="H3562" s="600">
        <f>SUM(H3546:H3561)</f>
        <v>4657000</v>
      </c>
      <c r="I3562" s="601">
        <f>SUM(I3547:I3561)</f>
        <v>0</v>
      </c>
      <c r="J3562" s="601">
        <f>SUM(J3546:J3561)</f>
        <v>4657000</v>
      </c>
    </row>
    <row r="3563" spans="5:10" ht="22.5" customHeight="1" collapsed="1" x14ac:dyDescent="0.25">
      <c r="E3563" s="260"/>
      <c r="F3563" s="264"/>
      <c r="G3563" s="231" t="s">
        <v>4274</v>
      </c>
      <c r="H3563" s="602"/>
      <c r="I3563" s="623"/>
      <c r="J3563" s="603"/>
    </row>
    <row r="3564" spans="5:10" ht="15.75" thickBot="1" x14ac:dyDescent="0.3">
      <c r="E3564" s="222"/>
      <c r="F3564" s="249" t="s">
        <v>234</v>
      </c>
      <c r="G3564" s="252" t="s">
        <v>235</v>
      </c>
      <c r="H3564" s="598">
        <f>SUM(H3485:H3544)</f>
        <v>4657000</v>
      </c>
      <c r="I3564" s="599"/>
      <c r="J3564" s="599">
        <f>SUM(H3564:I3564)</f>
        <v>4657000</v>
      </c>
    </row>
    <row r="3565" spans="5:10" ht="15.75" hidden="1" thickBot="1" x14ac:dyDescent="0.3">
      <c r="F3565" s="249" t="s">
        <v>236</v>
      </c>
      <c r="G3565" s="252" t="s">
        <v>237</v>
      </c>
      <c r="J3565" s="599">
        <f t="shared" ref="J3565:J3579" si="111">SUM(H3565:I3565)</f>
        <v>0</v>
      </c>
    </row>
    <row r="3566" spans="5:10" ht="15.75" hidden="1" thickBot="1" x14ac:dyDescent="0.3">
      <c r="F3566" s="249" t="s">
        <v>238</v>
      </c>
      <c r="G3566" s="252" t="s">
        <v>239</v>
      </c>
      <c r="J3566" s="599">
        <f t="shared" si="111"/>
        <v>0</v>
      </c>
    </row>
    <row r="3567" spans="5:10" ht="15.75" hidden="1" thickBot="1" x14ac:dyDescent="0.3">
      <c r="F3567" s="249" t="s">
        <v>240</v>
      </c>
      <c r="G3567" s="252" t="s">
        <v>241</v>
      </c>
      <c r="J3567" s="599">
        <f t="shared" si="111"/>
        <v>0</v>
      </c>
    </row>
    <row r="3568" spans="5:10" ht="15.75" hidden="1" thickBot="1" x14ac:dyDescent="0.3">
      <c r="F3568" s="249" t="s">
        <v>242</v>
      </c>
      <c r="G3568" s="252" t="s">
        <v>243</v>
      </c>
      <c r="J3568" s="599">
        <f t="shared" si="111"/>
        <v>0</v>
      </c>
    </row>
    <row r="3569" spans="1:25" ht="15.75" hidden="1" thickBot="1" x14ac:dyDescent="0.3">
      <c r="F3569" s="249" t="s">
        <v>244</v>
      </c>
      <c r="G3569" s="252" t="s">
        <v>245</v>
      </c>
      <c r="J3569" s="599">
        <f t="shared" si="111"/>
        <v>0</v>
      </c>
    </row>
    <row r="3570" spans="1:25" ht="15.75" hidden="1" thickBot="1" x14ac:dyDescent="0.3">
      <c r="F3570" s="249" t="s">
        <v>246</v>
      </c>
      <c r="G3570" s="252" t="s">
        <v>247</v>
      </c>
      <c r="J3570" s="599">
        <f t="shared" si="111"/>
        <v>0</v>
      </c>
    </row>
    <row r="3571" spans="1:25" ht="15.75" hidden="1" thickBot="1" x14ac:dyDescent="0.3">
      <c r="F3571" s="249" t="s">
        <v>248</v>
      </c>
      <c r="G3571" s="252" t="s">
        <v>249</v>
      </c>
      <c r="J3571" s="599">
        <f t="shared" si="111"/>
        <v>0</v>
      </c>
    </row>
    <row r="3572" spans="1:25" ht="15.75" hidden="1" thickBot="1" x14ac:dyDescent="0.3">
      <c r="F3572" s="249" t="s">
        <v>250</v>
      </c>
      <c r="G3572" s="252" t="s">
        <v>57</v>
      </c>
      <c r="J3572" s="599">
        <f t="shared" si="111"/>
        <v>0</v>
      </c>
    </row>
    <row r="3573" spans="1:25" ht="15.75" hidden="1" thickBot="1" x14ac:dyDescent="0.3">
      <c r="F3573" s="249" t="s">
        <v>251</v>
      </c>
      <c r="G3573" s="252" t="s">
        <v>252</v>
      </c>
      <c r="J3573" s="599">
        <f t="shared" si="111"/>
        <v>0</v>
      </c>
    </row>
    <row r="3574" spans="1:25" ht="15.75" hidden="1" thickBot="1" x14ac:dyDescent="0.3">
      <c r="F3574" s="249" t="s">
        <v>253</v>
      </c>
      <c r="G3574" s="252" t="s">
        <v>254</v>
      </c>
      <c r="J3574" s="599">
        <f t="shared" si="111"/>
        <v>0</v>
      </c>
    </row>
    <row r="3575" spans="1:25" ht="30.75" hidden="1" thickBot="1" x14ac:dyDescent="0.3">
      <c r="F3575" s="249" t="s">
        <v>255</v>
      </c>
      <c r="G3575" s="252" t="s">
        <v>256</v>
      </c>
      <c r="J3575" s="599">
        <f t="shared" si="111"/>
        <v>0</v>
      </c>
    </row>
    <row r="3576" spans="1:25" ht="15.75" hidden="1" thickBot="1" x14ac:dyDescent="0.3">
      <c r="F3576" s="249" t="s">
        <v>257</v>
      </c>
      <c r="G3576" s="252" t="s">
        <v>258</v>
      </c>
      <c r="J3576" s="599">
        <f t="shared" si="111"/>
        <v>0</v>
      </c>
    </row>
    <row r="3577" spans="1:25" ht="30.75" hidden="1" thickBot="1" x14ac:dyDescent="0.3">
      <c r="F3577" s="249" t="s">
        <v>259</v>
      </c>
      <c r="G3577" s="252" t="s">
        <v>260</v>
      </c>
      <c r="J3577" s="599">
        <f t="shared" si="111"/>
        <v>0</v>
      </c>
    </row>
    <row r="3578" spans="1:25" ht="15.75" hidden="1" thickBot="1" x14ac:dyDescent="0.3">
      <c r="F3578" s="249" t="s">
        <v>261</v>
      </c>
      <c r="G3578" s="252" t="s">
        <v>262</v>
      </c>
      <c r="J3578" s="599">
        <f t="shared" si="111"/>
        <v>0</v>
      </c>
    </row>
    <row r="3579" spans="1:25" ht="15.75" hidden="1" thickBot="1" x14ac:dyDescent="0.3">
      <c r="F3579" s="249" t="s">
        <v>263</v>
      </c>
      <c r="G3579" s="252" t="s">
        <v>264</v>
      </c>
      <c r="H3579" s="598"/>
      <c r="I3579" s="599"/>
      <c r="J3579" s="599">
        <f t="shared" si="111"/>
        <v>0</v>
      </c>
    </row>
    <row r="3580" spans="1:25" ht="15.75" collapsed="1" thickBot="1" x14ac:dyDescent="0.3">
      <c r="G3580" s="229" t="s">
        <v>5146</v>
      </c>
      <c r="H3580" s="600">
        <f>SUM(H3564:H3579)</f>
        <v>4657000</v>
      </c>
      <c r="I3580" s="601">
        <f>SUM(I3565:I3579)</f>
        <v>0</v>
      </c>
      <c r="J3580" s="601">
        <f>SUM(J3564:J3579)</f>
        <v>4657000</v>
      </c>
    </row>
    <row r="3581" spans="1:25" x14ac:dyDescent="0.25">
      <c r="G3581" s="286"/>
      <c r="H3581" s="604"/>
      <c r="I3581" s="605"/>
      <c r="J3581" s="605"/>
    </row>
    <row r="3582" spans="1:25" s="88" customFormat="1" ht="12.75" hidden="1" customHeight="1" x14ac:dyDescent="0.25">
      <c r="A3582" s="261"/>
      <c r="B3582" s="256"/>
      <c r="C3582" s="265"/>
      <c r="G3582" s="275"/>
      <c r="H3582" s="611"/>
      <c r="I3582" s="612"/>
      <c r="J3582" s="612"/>
      <c r="K3582" s="533"/>
      <c r="L3582" s="533"/>
      <c r="M3582" s="533"/>
      <c r="N3582" s="533"/>
      <c r="O3582" s="533"/>
      <c r="P3582" s="533"/>
      <c r="Q3582" s="533"/>
      <c r="R3582" s="533"/>
      <c r="S3582" s="533"/>
      <c r="T3582" s="533"/>
      <c r="U3582" s="533"/>
      <c r="V3582" s="533"/>
      <c r="W3582" s="533"/>
      <c r="X3582" s="533"/>
      <c r="Y3582" s="533"/>
    </row>
    <row r="3583" spans="1:25" ht="28.5" x14ac:dyDescent="0.25">
      <c r="C3583" s="228" t="s">
        <v>4134</v>
      </c>
      <c r="D3583" s="219"/>
      <c r="G3583" s="262" t="s">
        <v>5145</v>
      </c>
    </row>
    <row r="3584" spans="1:25" s="88" customFormat="1" ht="30" x14ac:dyDescent="0.25">
      <c r="A3584" s="261"/>
      <c r="B3584" s="256"/>
      <c r="C3584" s="316"/>
      <c r="D3584" s="336" t="s">
        <v>3908</v>
      </c>
      <c r="E3584" s="337"/>
      <c r="F3584" s="335"/>
      <c r="G3584" s="314" t="s">
        <v>4240</v>
      </c>
      <c r="H3584" s="627"/>
      <c r="I3584" s="610"/>
      <c r="J3584" s="628"/>
      <c r="K3584" s="533"/>
      <c r="L3584" s="533"/>
      <c r="M3584" s="533"/>
      <c r="N3584" s="533"/>
      <c r="O3584" s="533"/>
      <c r="P3584" s="533"/>
      <c r="Q3584" s="533"/>
      <c r="R3584" s="533"/>
      <c r="S3584" s="533"/>
      <c r="T3584" s="533"/>
      <c r="U3584" s="533"/>
      <c r="V3584" s="533"/>
      <c r="W3584" s="533"/>
      <c r="X3584" s="533"/>
      <c r="Y3584" s="533"/>
    </row>
    <row r="3585" spans="6:10" hidden="1" x14ac:dyDescent="0.25">
      <c r="F3585" s="263">
        <v>411</v>
      </c>
      <c r="G3585" s="295" t="s">
        <v>4189</v>
      </c>
      <c r="J3585" s="595">
        <f>SUM(H3585:I3585)</f>
        <v>0</v>
      </c>
    </row>
    <row r="3586" spans="6:10" hidden="1" x14ac:dyDescent="0.25">
      <c r="F3586" s="263">
        <v>412</v>
      </c>
      <c r="G3586" s="292" t="s">
        <v>3784</v>
      </c>
      <c r="J3586" s="595">
        <f t="shared" ref="J3586:J3644" si="112">SUM(H3586:I3586)</f>
        <v>0</v>
      </c>
    </row>
    <row r="3587" spans="6:10" hidden="1" x14ac:dyDescent="0.25">
      <c r="F3587" s="263">
        <v>413</v>
      </c>
      <c r="G3587" s="295" t="s">
        <v>4190</v>
      </c>
      <c r="J3587" s="595">
        <f t="shared" si="112"/>
        <v>0</v>
      </c>
    </row>
    <row r="3588" spans="6:10" hidden="1" x14ac:dyDescent="0.25">
      <c r="F3588" s="263">
        <v>414</v>
      </c>
      <c r="G3588" s="295" t="s">
        <v>3787</v>
      </c>
      <c r="J3588" s="595">
        <f t="shared" si="112"/>
        <v>0</v>
      </c>
    </row>
    <row r="3589" spans="6:10" hidden="1" x14ac:dyDescent="0.25">
      <c r="F3589" s="263">
        <v>415</v>
      </c>
      <c r="G3589" s="295" t="s">
        <v>4199</v>
      </c>
      <c r="J3589" s="595">
        <f t="shared" si="112"/>
        <v>0</v>
      </c>
    </row>
    <row r="3590" spans="6:10" hidden="1" x14ac:dyDescent="0.25">
      <c r="F3590" s="263">
        <v>416</v>
      </c>
      <c r="G3590" s="295" t="s">
        <v>4200</v>
      </c>
      <c r="J3590" s="595">
        <f t="shared" si="112"/>
        <v>0</v>
      </c>
    </row>
    <row r="3591" spans="6:10" hidden="1" x14ac:dyDescent="0.25">
      <c r="F3591" s="263">
        <v>417</v>
      </c>
      <c r="G3591" s="295" t="s">
        <v>4201</v>
      </c>
      <c r="J3591" s="595">
        <f t="shared" si="112"/>
        <v>0</v>
      </c>
    </row>
    <row r="3592" spans="6:10" hidden="1" x14ac:dyDescent="0.25">
      <c r="F3592" s="263">
        <v>418</v>
      </c>
      <c r="G3592" s="295" t="s">
        <v>3793</v>
      </c>
      <c r="J3592" s="595">
        <f t="shared" si="112"/>
        <v>0</v>
      </c>
    </row>
    <row r="3593" spans="6:10" hidden="1" x14ac:dyDescent="0.25">
      <c r="F3593" s="263">
        <v>421</v>
      </c>
      <c r="G3593" s="295" t="s">
        <v>3797</v>
      </c>
      <c r="J3593" s="595">
        <f t="shared" si="112"/>
        <v>0</v>
      </c>
    </row>
    <row r="3594" spans="6:10" hidden="1" x14ac:dyDescent="0.25">
      <c r="F3594" s="263">
        <v>422</v>
      </c>
      <c r="G3594" s="295" t="s">
        <v>3798</v>
      </c>
      <c r="J3594" s="595">
        <f t="shared" si="112"/>
        <v>0</v>
      </c>
    </row>
    <row r="3595" spans="6:10" hidden="1" x14ac:dyDescent="0.25">
      <c r="F3595" s="263">
        <v>423</v>
      </c>
      <c r="G3595" s="295" t="s">
        <v>3799</v>
      </c>
      <c r="J3595" s="595">
        <f t="shared" si="112"/>
        <v>0</v>
      </c>
    </row>
    <row r="3596" spans="6:10" hidden="1" x14ac:dyDescent="0.25">
      <c r="F3596" s="263">
        <v>424</v>
      </c>
      <c r="G3596" s="295" t="s">
        <v>3801</v>
      </c>
      <c r="J3596" s="595">
        <f t="shared" si="112"/>
        <v>0</v>
      </c>
    </row>
    <row r="3597" spans="6:10" hidden="1" x14ac:dyDescent="0.25">
      <c r="F3597" s="263">
        <v>425</v>
      </c>
      <c r="G3597" s="295" t="s">
        <v>4202</v>
      </c>
      <c r="J3597" s="595">
        <f t="shared" si="112"/>
        <v>0</v>
      </c>
    </row>
    <row r="3598" spans="6:10" hidden="1" x14ac:dyDescent="0.25">
      <c r="F3598" s="263">
        <v>426</v>
      </c>
      <c r="G3598" s="295" t="s">
        <v>3805</v>
      </c>
      <c r="J3598" s="595">
        <f t="shared" si="112"/>
        <v>0</v>
      </c>
    </row>
    <row r="3599" spans="6:10" hidden="1" x14ac:dyDescent="0.25">
      <c r="F3599" s="263">
        <v>431</v>
      </c>
      <c r="G3599" s="295" t="s">
        <v>4203</v>
      </c>
      <c r="J3599" s="595">
        <f t="shared" si="112"/>
        <v>0</v>
      </c>
    </row>
    <row r="3600" spans="6:10" hidden="1" x14ac:dyDescent="0.25">
      <c r="F3600" s="263">
        <v>432</v>
      </c>
      <c r="G3600" s="295" t="s">
        <v>4204</v>
      </c>
      <c r="J3600" s="595">
        <f t="shared" si="112"/>
        <v>0</v>
      </c>
    </row>
    <row r="3601" spans="6:10" hidden="1" x14ac:dyDescent="0.25">
      <c r="F3601" s="263">
        <v>433</v>
      </c>
      <c r="G3601" s="295" t="s">
        <v>4205</v>
      </c>
      <c r="J3601" s="595">
        <f t="shared" si="112"/>
        <v>0</v>
      </c>
    </row>
    <row r="3602" spans="6:10" hidden="1" x14ac:dyDescent="0.25">
      <c r="F3602" s="263">
        <v>434</v>
      </c>
      <c r="G3602" s="295" t="s">
        <v>4206</v>
      </c>
      <c r="J3602" s="595">
        <f t="shared" si="112"/>
        <v>0</v>
      </c>
    </row>
    <row r="3603" spans="6:10" hidden="1" x14ac:dyDescent="0.25">
      <c r="F3603" s="263">
        <v>435</v>
      </c>
      <c r="G3603" s="295" t="s">
        <v>3812</v>
      </c>
      <c r="J3603" s="595">
        <f t="shared" si="112"/>
        <v>0</v>
      </c>
    </row>
    <row r="3604" spans="6:10" hidden="1" x14ac:dyDescent="0.25">
      <c r="F3604" s="263">
        <v>441</v>
      </c>
      <c r="G3604" s="295" t="s">
        <v>4207</v>
      </c>
      <c r="J3604" s="595">
        <f t="shared" si="112"/>
        <v>0</v>
      </c>
    </row>
    <row r="3605" spans="6:10" hidden="1" x14ac:dyDescent="0.25">
      <c r="F3605" s="263">
        <v>442</v>
      </c>
      <c r="G3605" s="295" t="s">
        <v>4208</v>
      </c>
      <c r="J3605" s="595">
        <f t="shared" si="112"/>
        <v>0</v>
      </c>
    </row>
    <row r="3606" spans="6:10" hidden="1" x14ac:dyDescent="0.25">
      <c r="F3606" s="263">
        <v>443</v>
      </c>
      <c r="G3606" s="295" t="s">
        <v>3817</v>
      </c>
      <c r="J3606" s="595">
        <f t="shared" si="112"/>
        <v>0</v>
      </c>
    </row>
    <row r="3607" spans="6:10" hidden="1" x14ac:dyDescent="0.25">
      <c r="F3607" s="263">
        <v>444</v>
      </c>
      <c r="G3607" s="295" t="s">
        <v>3818</v>
      </c>
      <c r="J3607" s="595">
        <f t="shared" si="112"/>
        <v>0</v>
      </c>
    </row>
    <row r="3608" spans="6:10" ht="30" hidden="1" x14ac:dyDescent="0.25">
      <c r="F3608" s="263">
        <v>4511</v>
      </c>
      <c r="G3608" s="223" t="s">
        <v>1692</v>
      </c>
      <c r="J3608" s="595">
        <f t="shared" si="112"/>
        <v>0</v>
      </c>
    </row>
    <row r="3609" spans="6:10" ht="30" hidden="1" x14ac:dyDescent="0.25">
      <c r="F3609" s="263">
        <v>4512</v>
      </c>
      <c r="G3609" s="223" t="s">
        <v>1701</v>
      </c>
      <c r="J3609" s="595">
        <f t="shared" si="112"/>
        <v>0</v>
      </c>
    </row>
    <row r="3610" spans="6:10" hidden="1" x14ac:dyDescent="0.25">
      <c r="F3610" s="263">
        <v>452</v>
      </c>
      <c r="G3610" s="295" t="s">
        <v>4209</v>
      </c>
      <c r="J3610" s="595">
        <f t="shared" si="112"/>
        <v>0</v>
      </c>
    </row>
    <row r="3611" spans="6:10" hidden="1" x14ac:dyDescent="0.25">
      <c r="F3611" s="263">
        <v>453</v>
      </c>
      <c r="G3611" s="295" t="s">
        <v>4210</v>
      </c>
      <c r="J3611" s="595">
        <f t="shared" si="112"/>
        <v>0</v>
      </c>
    </row>
    <row r="3612" spans="6:10" hidden="1" x14ac:dyDescent="0.25">
      <c r="F3612" s="263">
        <v>454</v>
      </c>
      <c r="G3612" s="295" t="s">
        <v>3823</v>
      </c>
      <c r="J3612" s="595">
        <f t="shared" si="112"/>
        <v>0</v>
      </c>
    </row>
    <row r="3613" spans="6:10" hidden="1" x14ac:dyDescent="0.25">
      <c r="F3613" s="263">
        <v>461</v>
      </c>
      <c r="G3613" s="295" t="s">
        <v>4191</v>
      </c>
      <c r="J3613" s="595">
        <f t="shared" si="112"/>
        <v>0</v>
      </c>
    </row>
    <row r="3614" spans="6:10" hidden="1" x14ac:dyDescent="0.25">
      <c r="F3614" s="263">
        <v>462</v>
      </c>
      <c r="G3614" s="295" t="s">
        <v>3826</v>
      </c>
      <c r="J3614" s="595">
        <f t="shared" si="112"/>
        <v>0</v>
      </c>
    </row>
    <row r="3615" spans="6:10" hidden="1" x14ac:dyDescent="0.25">
      <c r="F3615" s="263">
        <v>4631</v>
      </c>
      <c r="G3615" s="295" t="s">
        <v>3827</v>
      </c>
      <c r="J3615" s="595">
        <f t="shared" si="112"/>
        <v>0</v>
      </c>
    </row>
    <row r="3616" spans="6:10" hidden="1" x14ac:dyDescent="0.25">
      <c r="F3616" s="263">
        <v>4632</v>
      </c>
      <c r="G3616" s="295" t="s">
        <v>3828</v>
      </c>
      <c r="J3616" s="595">
        <f t="shared" si="112"/>
        <v>0</v>
      </c>
    </row>
    <row r="3617" spans="5:10" hidden="1" x14ac:dyDescent="0.25">
      <c r="F3617" s="263">
        <v>464</v>
      </c>
      <c r="G3617" s="295" t="s">
        <v>3829</v>
      </c>
      <c r="J3617" s="595">
        <f t="shared" si="112"/>
        <v>0</v>
      </c>
    </row>
    <row r="3618" spans="5:10" hidden="1" x14ac:dyDescent="0.25">
      <c r="F3618" s="263">
        <v>465</v>
      </c>
      <c r="G3618" s="295" t="s">
        <v>4192</v>
      </c>
      <c r="J3618" s="595">
        <f t="shared" si="112"/>
        <v>0</v>
      </c>
    </row>
    <row r="3619" spans="5:10" ht="15.75" thickBot="1" x14ac:dyDescent="0.3">
      <c r="E3619" s="218">
        <v>50</v>
      </c>
      <c r="F3619" s="263">
        <v>4631</v>
      </c>
      <c r="G3619" s="520" t="s">
        <v>3827</v>
      </c>
      <c r="H3619" s="594">
        <v>600000</v>
      </c>
      <c r="J3619" s="595">
        <f t="shared" si="112"/>
        <v>600000</v>
      </c>
    </row>
    <row r="3620" spans="5:10" ht="15.75" hidden="1" thickBot="1" x14ac:dyDescent="0.3">
      <c r="F3620" s="263">
        <v>481</v>
      </c>
      <c r="G3620" s="295" t="s">
        <v>4211</v>
      </c>
      <c r="J3620" s="595">
        <f t="shared" si="112"/>
        <v>0</v>
      </c>
    </row>
    <row r="3621" spans="5:10" ht="15.75" hidden="1" thickBot="1" x14ac:dyDescent="0.3">
      <c r="F3621" s="263">
        <v>482</v>
      </c>
      <c r="G3621" s="295" t="s">
        <v>4212</v>
      </c>
      <c r="J3621" s="595">
        <f t="shared" si="112"/>
        <v>0</v>
      </c>
    </row>
    <row r="3622" spans="5:10" ht="15.75" hidden="1" thickBot="1" x14ac:dyDescent="0.3">
      <c r="F3622" s="263">
        <v>483</v>
      </c>
      <c r="G3622" s="298" t="s">
        <v>4213</v>
      </c>
      <c r="J3622" s="595">
        <f t="shared" si="112"/>
        <v>0</v>
      </c>
    </row>
    <row r="3623" spans="5:10" ht="30.75" hidden="1" thickBot="1" x14ac:dyDescent="0.3">
      <c r="F3623" s="263">
        <v>484</v>
      </c>
      <c r="G3623" s="295" t="s">
        <v>4214</v>
      </c>
      <c r="J3623" s="595">
        <f t="shared" si="112"/>
        <v>0</v>
      </c>
    </row>
    <row r="3624" spans="5:10" ht="30.75" hidden="1" thickBot="1" x14ac:dyDescent="0.3">
      <c r="F3624" s="263">
        <v>485</v>
      </c>
      <c r="G3624" s="295" t="s">
        <v>4215</v>
      </c>
      <c r="J3624" s="595">
        <f t="shared" si="112"/>
        <v>0</v>
      </c>
    </row>
    <row r="3625" spans="5:10" ht="30.75" hidden="1" thickBot="1" x14ac:dyDescent="0.3">
      <c r="F3625" s="263">
        <v>489</v>
      </c>
      <c r="G3625" s="295" t="s">
        <v>3841</v>
      </c>
      <c r="J3625" s="595">
        <f t="shared" si="112"/>
        <v>0</v>
      </c>
    </row>
    <row r="3626" spans="5:10" ht="15.75" hidden="1" thickBot="1" x14ac:dyDescent="0.3">
      <c r="F3626" s="263">
        <v>494</v>
      </c>
      <c r="G3626" s="295" t="s">
        <v>4193</v>
      </c>
      <c r="J3626" s="595">
        <f t="shared" si="112"/>
        <v>0</v>
      </c>
    </row>
    <row r="3627" spans="5:10" ht="30.75" hidden="1" thickBot="1" x14ac:dyDescent="0.3">
      <c r="F3627" s="263">
        <v>495</v>
      </c>
      <c r="G3627" s="295" t="s">
        <v>4194</v>
      </c>
      <c r="J3627" s="595">
        <f t="shared" si="112"/>
        <v>0</v>
      </c>
    </row>
    <row r="3628" spans="5:10" ht="30.75" hidden="1" thickBot="1" x14ac:dyDescent="0.3">
      <c r="F3628" s="263">
        <v>496</v>
      </c>
      <c r="G3628" s="295" t="s">
        <v>4195</v>
      </c>
      <c r="J3628" s="595">
        <f t="shared" si="112"/>
        <v>0</v>
      </c>
    </row>
    <row r="3629" spans="5:10" ht="15.75" hidden="1" thickBot="1" x14ac:dyDescent="0.3">
      <c r="F3629" s="263">
        <v>499</v>
      </c>
      <c r="G3629" s="295" t="s">
        <v>4196</v>
      </c>
      <c r="J3629" s="595">
        <f t="shared" si="112"/>
        <v>0</v>
      </c>
    </row>
    <row r="3630" spans="5:10" ht="15.75" hidden="1" thickBot="1" x14ac:dyDescent="0.3">
      <c r="F3630" s="263">
        <v>511</v>
      </c>
      <c r="G3630" s="298" t="s">
        <v>4216</v>
      </c>
      <c r="J3630" s="595">
        <f t="shared" si="112"/>
        <v>0</v>
      </c>
    </row>
    <row r="3631" spans="5:10" ht="15.75" hidden="1" thickBot="1" x14ac:dyDescent="0.3">
      <c r="F3631" s="263">
        <v>512</v>
      </c>
      <c r="G3631" s="298" t="s">
        <v>4217</v>
      </c>
      <c r="J3631" s="595">
        <f t="shared" si="112"/>
        <v>0</v>
      </c>
    </row>
    <row r="3632" spans="5:10" ht="15.75" hidden="1" thickBot="1" x14ac:dyDescent="0.3">
      <c r="F3632" s="263">
        <v>513</v>
      </c>
      <c r="G3632" s="298" t="s">
        <v>4218</v>
      </c>
      <c r="J3632" s="595">
        <f t="shared" si="112"/>
        <v>0</v>
      </c>
    </row>
    <row r="3633" spans="5:10" ht="15.75" hidden="1" thickBot="1" x14ac:dyDescent="0.3">
      <c r="F3633" s="263">
        <v>514</v>
      </c>
      <c r="G3633" s="295" t="s">
        <v>4219</v>
      </c>
      <c r="J3633" s="595">
        <f t="shared" si="112"/>
        <v>0</v>
      </c>
    </row>
    <row r="3634" spans="5:10" ht="15.75" hidden="1" thickBot="1" x14ac:dyDescent="0.3">
      <c r="F3634" s="263">
        <v>515</v>
      </c>
      <c r="G3634" s="295" t="s">
        <v>3852</v>
      </c>
      <c r="J3634" s="595">
        <f t="shared" si="112"/>
        <v>0</v>
      </c>
    </row>
    <row r="3635" spans="5:10" ht="15.75" hidden="1" thickBot="1" x14ac:dyDescent="0.3">
      <c r="F3635" s="263">
        <v>521</v>
      </c>
      <c r="G3635" s="295" t="s">
        <v>4220</v>
      </c>
      <c r="J3635" s="595">
        <f t="shared" si="112"/>
        <v>0</v>
      </c>
    </row>
    <row r="3636" spans="5:10" ht="15.75" hidden="1" thickBot="1" x14ac:dyDescent="0.3">
      <c r="F3636" s="263">
        <v>522</v>
      </c>
      <c r="G3636" s="295" t="s">
        <v>4221</v>
      </c>
      <c r="J3636" s="595">
        <f t="shared" si="112"/>
        <v>0</v>
      </c>
    </row>
    <row r="3637" spans="5:10" ht="15.75" hidden="1" thickBot="1" x14ac:dyDescent="0.3">
      <c r="F3637" s="263">
        <v>523</v>
      </c>
      <c r="G3637" s="295" t="s">
        <v>3857</v>
      </c>
      <c r="J3637" s="595">
        <f t="shared" si="112"/>
        <v>0</v>
      </c>
    </row>
    <row r="3638" spans="5:10" ht="15.75" hidden="1" thickBot="1" x14ac:dyDescent="0.3">
      <c r="F3638" s="263">
        <v>531</v>
      </c>
      <c r="G3638" s="292" t="s">
        <v>4197</v>
      </c>
      <c r="J3638" s="595">
        <f t="shared" si="112"/>
        <v>0</v>
      </c>
    </row>
    <row r="3639" spans="5:10" ht="15.75" hidden="1" thickBot="1" x14ac:dyDescent="0.3">
      <c r="F3639" s="263">
        <v>541</v>
      </c>
      <c r="G3639" s="295" t="s">
        <v>4222</v>
      </c>
      <c r="J3639" s="595">
        <f t="shared" si="112"/>
        <v>0</v>
      </c>
    </row>
    <row r="3640" spans="5:10" ht="15.75" hidden="1" thickBot="1" x14ac:dyDescent="0.3">
      <c r="F3640" s="263">
        <v>542</v>
      </c>
      <c r="G3640" s="295" t="s">
        <v>4223</v>
      </c>
      <c r="J3640" s="595">
        <f t="shared" si="112"/>
        <v>0</v>
      </c>
    </row>
    <row r="3641" spans="5:10" ht="15.75" hidden="1" thickBot="1" x14ac:dyDescent="0.3">
      <c r="F3641" s="263">
        <v>543</v>
      </c>
      <c r="G3641" s="295" t="s">
        <v>3862</v>
      </c>
      <c r="J3641" s="595">
        <f t="shared" si="112"/>
        <v>0</v>
      </c>
    </row>
    <row r="3642" spans="5:10" ht="30.75" hidden="1" thickBot="1" x14ac:dyDescent="0.3">
      <c r="F3642" s="263">
        <v>551</v>
      </c>
      <c r="G3642" s="295" t="s">
        <v>4198</v>
      </c>
      <c r="J3642" s="595">
        <f t="shared" si="112"/>
        <v>0</v>
      </c>
    </row>
    <row r="3643" spans="5:10" ht="15.75" hidden="1" thickBot="1" x14ac:dyDescent="0.3">
      <c r="F3643" s="264">
        <v>611</v>
      </c>
      <c r="G3643" s="299" t="s">
        <v>3868</v>
      </c>
      <c r="J3643" s="595">
        <f t="shared" si="112"/>
        <v>0</v>
      </c>
    </row>
    <row r="3644" spans="5:10" ht="15.75" hidden="1" thickBot="1" x14ac:dyDescent="0.3">
      <c r="F3644" s="264">
        <v>620</v>
      </c>
      <c r="G3644" s="299" t="s">
        <v>88</v>
      </c>
      <c r="J3644" s="595">
        <f t="shared" si="112"/>
        <v>0</v>
      </c>
    </row>
    <row r="3645" spans="5:10" x14ac:dyDescent="0.25">
      <c r="E3645" s="293"/>
      <c r="F3645" s="301"/>
      <c r="G3645" s="326" t="s">
        <v>4390</v>
      </c>
      <c r="H3645" s="596"/>
      <c r="I3645" s="622"/>
      <c r="J3645" s="597"/>
    </row>
    <row r="3646" spans="5:10" ht="15.75" thickBot="1" x14ac:dyDescent="0.3">
      <c r="E3646" s="222"/>
      <c r="F3646" s="249" t="s">
        <v>234</v>
      </c>
      <c r="G3646" s="252" t="s">
        <v>235</v>
      </c>
      <c r="H3646" s="598">
        <f>SUM(H3585:H3644)</f>
        <v>600000</v>
      </c>
      <c r="I3646" s="599"/>
      <c r="J3646" s="599">
        <f>SUM(H3646:I3646)</f>
        <v>600000</v>
      </c>
    </row>
    <row r="3647" spans="5:10" ht="15.75" hidden="1" thickBot="1" x14ac:dyDescent="0.3">
      <c r="F3647" s="249" t="s">
        <v>236</v>
      </c>
      <c r="G3647" s="252" t="s">
        <v>237</v>
      </c>
      <c r="J3647" s="599">
        <f t="shared" ref="J3647:J3661" si="113">SUM(H3647:I3647)</f>
        <v>0</v>
      </c>
    </row>
    <row r="3648" spans="5:10" ht="15.75" hidden="1" thickBot="1" x14ac:dyDescent="0.3">
      <c r="F3648" s="249" t="s">
        <v>238</v>
      </c>
      <c r="G3648" s="252" t="s">
        <v>239</v>
      </c>
      <c r="J3648" s="599">
        <f t="shared" si="113"/>
        <v>0</v>
      </c>
    </row>
    <row r="3649" spans="5:10" ht="15.75" hidden="1" thickBot="1" x14ac:dyDescent="0.3">
      <c r="F3649" s="249" t="s">
        <v>240</v>
      </c>
      <c r="G3649" s="252" t="s">
        <v>241</v>
      </c>
      <c r="J3649" s="599">
        <f t="shared" si="113"/>
        <v>0</v>
      </c>
    </row>
    <row r="3650" spans="5:10" ht="15.75" hidden="1" thickBot="1" x14ac:dyDescent="0.3">
      <c r="F3650" s="249" t="s">
        <v>242</v>
      </c>
      <c r="G3650" s="252" t="s">
        <v>243</v>
      </c>
      <c r="J3650" s="599">
        <f t="shared" si="113"/>
        <v>0</v>
      </c>
    </row>
    <row r="3651" spans="5:10" ht="15.75" hidden="1" thickBot="1" x14ac:dyDescent="0.3">
      <c r="F3651" s="249" t="s">
        <v>244</v>
      </c>
      <c r="G3651" s="252" t="s">
        <v>245</v>
      </c>
      <c r="J3651" s="599">
        <f t="shared" si="113"/>
        <v>0</v>
      </c>
    </row>
    <row r="3652" spans="5:10" ht="15.75" hidden="1" thickBot="1" x14ac:dyDescent="0.3">
      <c r="F3652" s="249" t="s">
        <v>246</v>
      </c>
      <c r="G3652" s="252" t="s">
        <v>247</v>
      </c>
      <c r="J3652" s="599">
        <f t="shared" si="113"/>
        <v>0</v>
      </c>
    </row>
    <row r="3653" spans="5:10" ht="15.75" hidden="1" thickBot="1" x14ac:dyDescent="0.3">
      <c r="F3653" s="249" t="s">
        <v>248</v>
      </c>
      <c r="G3653" s="252" t="s">
        <v>249</v>
      </c>
      <c r="J3653" s="599">
        <f t="shared" si="113"/>
        <v>0</v>
      </c>
    </row>
    <row r="3654" spans="5:10" ht="15.75" hidden="1" thickBot="1" x14ac:dyDescent="0.3">
      <c r="F3654" s="249" t="s">
        <v>250</v>
      </c>
      <c r="G3654" s="252" t="s">
        <v>57</v>
      </c>
      <c r="J3654" s="599">
        <f t="shared" si="113"/>
        <v>0</v>
      </c>
    </row>
    <row r="3655" spans="5:10" ht="15.75" hidden="1" thickBot="1" x14ac:dyDescent="0.3">
      <c r="F3655" s="249" t="s">
        <v>251</v>
      </c>
      <c r="G3655" s="252" t="s">
        <v>252</v>
      </c>
      <c r="J3655" s="599">
        <f t="shared" si="113"/>
        <v>0</v>
      </c>
    </row>
    <row r="3656" spans="5:10" ht="15.75" hidden="1" thickBot="1" x14ac:dyDescent="0.3">
      <c r="F3656" s="249" t="s">
        <v>253</v>
      </c>
      <c r="G3656" s="252" t="s">
        <v>254</v>
      </c>
      <c r="J3656" s="599">
        <f t="shared" si="113"/>
        <v>0</v>
      </c>
    </row>
    <row r="3657" spans="5:10" ht="30.75" hidden="1" thickBot="1" x14ac:dyDescent="0.3">
      <c r="F3657" s="249" t="s">
        <v>255</v>
      </c>
      <c r="G3657" s="252" t="s">
        <v>256</v>
      </c>
      <c r="J3657" s="599">
        <f t="shared" si="113"/>
        <v>0</v>
      </c>
    </row>
    <row r="3658" spans="5:10" ht="15.75" hidden="1" thickBot="1" x14ac:dyDescent="0.3">
      <c r="F3658" s="249" t="s">
        <v>257</v>
      </c>
      <c r="G3658" s="252" t="s">
        <v>258</v>
      </c>
      <c r="J3658" s="599">
        <f t="shared" si="113"/>
        <v>0</v>
      </c>
    </row>
    <row r="3659" spans="5:10" ht="30.75" hidden="1" thickBot="1" x14ac:dyDescent="0.3">
      <c r="F3659" s="249" t="s">
        <v>259</v>
      </c>
      <c r="G3659" s="252" t="s">
        <v>260</v>
      </c>
      <c r="J3659" s="599">
        <f t="shared" si="113"/>
        <v>0</v>
      </c>
    </row>
    <row r="3660" spans="5:10" ht="15.75" hidden="1" thickBot="1" x14ac:dyDescent="0.3">
      <c r="F3660" s="249" t="s">
        <v>261</v>
      </c>
      <c r="G3660" s="252" t="s">
        <v>262</v>
      </c>
      <c r="J3660" s="599">
        <f t="shared" si="113"/>
        <v>0</v>
      </c>
    </row>
    <row r="3661" spans="5:10" ht="15.75" hidden="1" thickBot="1" x14ac:dyDescent="0.3">
      <c r="F3661" s="249" t="s">
        <v>263</v>
      </c>
      <c r="G3661" s="252" t="s">
        <v>264</v>
      </c>
      <c r="H3661" s="598"/>
      <c r="I3661" s="599"/>
      <c r="J3661" s="599">
        <f t="shared" si="113"/>
        <v>0</v>
      </c>
    </row>
    <row r="3662" spans="5:10" ht="15.75" thickBot="1" x14ac:dyDescent="0.3">
      <c r="G3662" s="229" t="s">
        <v>4391</v>
      </c>
      <c r="H3662" s="600">
        <f>SUM(H3646:H3661)</f>
        <v>600000</v>
      </c>
      <c r="I3662" s="601">
        <f>SUM(I3647:I3661)</f>
        <v>0</v>
      </c>
      <c r="J3662" s="601">
        <f>SUM(J3646:J3661)</f>
        <v>600000</v>
      </c>
    </row>
    <row r="3663" spans="5:10" ht="19.5" customHeight="1" collapsed="1" x14ac:dyDescent="0.25">
      <c r="E3663" s="260"/>
      <c r="F3663" s="264"/>
      <c r="G3663" s="231" t="s">
        <v>4350</v>
      </c>
      <c r="H3663" s="602"/>
      <c r="I3663" s="623"/>
      <c r="J3663" s="603"/>
    </row>
    <row r="3664" spans="5:10" ht="15.75" thickBot="1" x14ac:dyDescent="0.3">
      <c r="E3664" s="222"/>
      <c r="F3664" s="249" t="s">
        <v>234</v>
      </c>
      <c r="G3664" s="252" t="s">
        <v>235</v>
      </c>
      <c r="H3664" s="598">
        <f>SUM(H3585:H3644)</f>
        <v>600000</v>
      </c>
      <c r="I3664" s="599"/>
      <c r="J3664" s="599">
        <f>SUM(H3664:I3664)</f>
        <v>600000</v>
      </c>
    </row>
    <row r="3665" spans="6:10" ht="15.75" hidden="1" thickBot="1" x14ac:dyDescent="0.3">
      <c r="F3665" s="249" t="s">
        <v>236</v>
      </c>
      <c r="G3665" s="252" t="s">
        <v>237</v>
      </c>
      <c r="J3665" s="599">
        <f t="shared" ref="J3665:J3679" si="114">SUM(H3665:I3665)</f>
        <v>0</v>
      </c>
    </row>
    <row r="3666" spans="6:10" ht="15.75" hidden="1" thickBot="1" x14ac:dyDescent="0.3">
      <c r="F3666" s="249" t="s">
        <v>238</v>
      </c>
      <c r="G3666" s="252" t="s">
        <v>239</v>
      </c>
      <c r="J3666" s="599">
        <f t="shared" si="114"/>
        <v>0</v>
      </c>
    </row>
    <row r="3667" spans="6:10" ht="15.75" hidden="1" thickBot="1" x14ac:dyDescent="0.3">
      <c r="F3667" s="249" t="s">
        <v>240</v>
      </c>
      <c r="G3667" s="252" t="s">
        <v>241</v>
      </c>
      <c r="J3667" s="599">
        <f t="shared" si="114"/>
        <v>0</v>
      </c>
    </row>
    <row r="3668" spans="6:10" ht="15.75" hidden="1" thickBot="1" x14ac:dyDescent="0.3">
      <c r="F3668" s="249" t="s">
        <v>242</v>
      </c>
      <c r="G3668" s="252" t="s">
        <v>243</v>
      </c>
      <c r="J3668" s="599">
        <f t="shared" si="114"/>
        <v>0</v>
      </c>
    </row>
    <row r="3669" spans="6:10" ht="15.75" hidden="1" thickBot="1" x14ac:dyDescent="0.3">
      <c r="F3669" s="249" t="s">
        <v>244</v>
      </c>
      <c r="G3669" s="252" t="s">
        <v>245</v>
      </c>
      <c r="J3669" s="599">
        <f t="shared" si="114"/>
        <v>0</v>
      </c>
    </row>
    <row r="3670" spans="6:10" ht="15.75" hidden="1" thickBot="1" x14ac:dyDescent="0.3">
      <c r="F3670" s="249" t="s">
        <v>246</v>
      </c>
      <c r="G3670" s="252" t="s">
        <v>247</v>
      </c>
      <c r="J3670" s="599">
        <f t="shared" si="114"/>
        <v>0</v>
      </c>
    </row>
    <row r="3671" spans="6:10" ht="15.75" hidden="1" thickBot="1" x14ac:dyDescent="0.3">
      <c r="F3671" s="249" t="s">
        <v>248</v>
      </c>
      <c r="G3671" s="252" t="s">
        <v>249</v>
      </c>
      <c r="J3671" s="599">
        <f t="shared" si="114"/>
        <v>0</v>
      </c>
    </row>
    <row r="3672" spans="6:10" ht="15.75" hidden="1" thickBot="1" x14ac:dyDescent="0.3">
      <c r="F3672" s="249" t="s">
        <v>250</v>
      </c>
      <c r="G3672" s="252" t="s">
        <v>57</v>
      </c>
      <c r="J3672" s="599">
        <f t="shared" si="114"/>
        <v>0</v>
      </c>
    </row>
    <row r="3673" spans="6:10" hidden="1" x14ac:dyDescent="0.25">
      <c r="F3673" s="249" t="s">
        <v>251</v>
      </c>
      <c r="G3673" s="252" t="s">
        <v>252</v>
      </c>
      <c r="J3673" s="599">
        <f t="shared" si="114"/>
        <v>0</v>
      </c>
    </row>
    <row r="3674" spans="6:10" hidden="1" x14ac:dyDescent="0.25">
      <c r="F3674" s="249" t="s">
        <v>253</v>
      </c>
      <c r="G3674" s="252" t="s">
        <v>254</v>
      </c>
      <c r="J3674" s="599">
        <f t="shared" si="114"/>
        <v>0</v>
      </c>
    </row>
    <row r="3675" spans="6:10" ht="30" hidden="1" x14ac:dyDescent="0.25">
      <c r="F3675" s="249" t="s">
        <v>255</v>
      </c>
      <c r="G3675" s="252" t="s">
        <v>256</v>
      </c>
      <c r="J3675" s="599">
        <f t="shared" si="114"/>
        <v>0</v>
      </c>
    </row>
    <row r="3676" spans="6:10" hidden="1" x14ac:dyDescent="0.25">
      <c r="F3676" s="249" t="s">
        <v>257</v>
      </c>
      <c r="G3676" s="252" t="s">
        <v>258</v>
      </c>
      <c r="J3676" s="599">
        <f t="shared" si="114"/>
        <v>0</v>
      </c>
    </row>
    <row r="3677" spans="6:10" ht="30" hidden="1" x14ac:dyDescent="0.25">
      <c r="F3677" s="249" t="s">
        <v>259</v>
      </c>
      <c r="G3677" s="252" t="s">
        <v>260</v>
      </c>
      <c r="J3677" s="599">
        <f t="shared" si="114"/>
        <v>0</v>
      </c>
    </row>
    <row r="3678" spans="6:10" hidden="1" x14ac:dyDescent="0.25">
      <c r="F3678" s="249" t="s">
        <v>261</v>
      </c>
      <c r="G3678" s="252" t="s">
        <v>262</v>
      </c>
      <c r="J3678" s="599">
        <f t="shared" si="114"/>
        <v>0</v>
      </c>
    </row>
    <row r="3679" spans="6:10" ht="15.75" hidden="1" thickBot="1" x14ac:dyDescent="0.3">
      <c r="F3679" s="249" t="s">
        <v>263</v>
      </c>
      <c r="G3679" s="252" t="s">
        <v>264</v>
      </c>
      <c r="H3679" s="598"/>
      <c r="I3679" s="599"/>
      <c r="J3679" s="599">
        <f t="shared" si="114"/>
        <v>0</v>
      </c>
    </row>
    <row r="3680" spans="6:10" ht="15.75" collapsed="1" thickBot="1" x14ac:dyDescent="0.3">
      <c r="G3680" s="229" t="s">
        <v>5147</v>
      </c>
      <c r="H3680" s="600">
        <f>SUM(H3664:H3679)</f>
        <v>600000</v>
      </c>
      <c r="I3680" s="601">
        <f>SUM(I3665:I3679)</f>
        <v>0</v>
      </c>
      <c r="J3680" s="601">
        <f>SUM(J3664:J3679)</f>
        <v>600000</v>
      </c>
    </row>
    <row r="3681" spans="3:10" hidden="1" x14ac:dyDescent="0.25">
      <c r="G3681" s="286"/>
      <c r="H3681" s="604"/>
      <c r="I3681" s="605"/>
      <c r="J3681" s="605"/>
    </row>
    <row r="3682" spans="3:10" hidden="1" x14ac:dyDescent="0.25">
      <c r="C3682" s="84"/>
      <c r="D3682" s="84"/>
      <c r="E3682" s="84"/>
      <c r="F3682" s="84"/>
      <c r="G3682" s="84"/>
      <c r="H3682" s="84"/>
      <c r="I3682" s="84"/>
      <c r="J3682" s="84"/>
    </row>
    <row r="3683" spans="3:10" hidden="1" x14ac:dyDescent="0.25">
      <c r="C3683" s="84"/>
      <c r="D3683" s="84"/>
      <c r="E3683" s="84"/>
      <c r="F3683" s="84"/>
      <c r="G3683" s="84"/>
      <c r="H3683" s="84"/>
      <c r="I3683" s="84"/>
      <c r="J3683" s="84"/>
    </row>
    <row r="3684" spans="3:10" hidden="1" x14ac:dyDescent="0.25">
      <c r="C3684" s="84"/>
      <c r="D3684" s="84"/>
      <c r="E3684" s="84"/>
      <c r="F3684" s="84"/>
      <c r="G3684" s="84"/>
      <c r="H3684" s="84"/>
      <c r="I3684" s="84"/>
      <c r="J3684" s="84"/>
    </row>
    <row r="3685" spans="3:10" hidden="1" x14ac:dyDescent="0.25">
      <c r="C3685" s="84"/>
      <c r="D3685" s="84"/>
      <c r="E3685" s="84"/>
      <c r="F3685" s="84"/>
      <c r="G3685" s="84"/>
      <c r="H3685" s="84"/>
      <c r="I3685" s="84"/>
      <c r="J3685" s="84"/>
    </row>
    <row r="3686" spans="3:10" hidden="1" x14ac:dyDescent="0.25">
      <c r="C3686" s="84"/>
      <c r="D3686" s="84"/>
      <c r="E3686" s="84"/>
      <c r="F3686" s="84"/>
      <c r="G3686" s="84"/>
      <c r="H3686" s="84"/>
      <c r="I3686" s="84"/>
      <c r="J3686" s="84"/>
    </row>
    <row r="3687" spans="3:10" hidden="1" x14ac:dyDescent="0.25">
      <c r="C3687" s="84"/>
      <c r="D3687" s="84"/>
      <c r="E3687" s="84"/>
      <c r="F3687" s="84"/>
      <c r="G3687" s="84"/>
      <c r="H3687" s="84"/>
      <c r="I3687" s="84"/>
      <c r="J3687" s="84"/>
    </row>
    <row r="3688" spans="3:10" hidden="1" x14ac:dyDescent="0.25">
      <c r="C3688" s="84"/>
      <c r="D3688" s="84"/>
      <c r="E3688" s="84"/>
      <c r="F3688" s="84"/>
      <c r="G3688" s="84"/>
      <c r="H3688" s="84"/>
      <c r="I3688" s="84"/>
      <c r="J3688" s="84"/>
    </row>
    <row r="3689" spans="3:10" hidden="1" x14ac:dyDescent="0.25">
      <c r="C3689" s="84"/>
      <c r="D3689" s="84"/>
      <c r="E3689" s="84"/>
      <c r="F3689" s="84"/>
      <c r="G3689" s="84"/>
      <c r="H3689" s="84"/>
      <c r="I3689" s="84"/>
      <c r="J3689" s="84"/>
    </row>
    <row r="3690" spans="3:10" hidden="1" x14ac:dyDescent="0.25">
      <c r="C3690" s="84"/>
      <c r="D3690" s="84"/>
      <c r="E3690" s="84"/>
      <c r="F3690" s="84"/>
      <c r="G3690" s="84"/>
      <c r="H3690" s="84"/>
      <c r="I3690" s="84"/>
      <c r="J3690" s="84"/>
    </row>
    <row r="3691" spans="3:10" hidden="1" x14ac:dyDescent="0.25">
      <c r="C3691" s="84"/>
      <c r="D3691" s="84"/>
      <c r="E3691" s="84"/>
      <c r="F3691" s="84"/>
      <c r="G3691" s="84"/>
      <c r="H3691" s="84"/>
      <c r="I3691" s="84"/>
      <c r="J3691" s="84"/>
    </row>
    <row r="3692" spans="3:10" hidden="1" x14ac:dyDescent="0.25">
      <c r="C3692" s="84"/>
      <c r="D3692" s="84"/>
      <c r="E3692" s="84"/>
      <c r="F3692" s="84"/>
      <c r="G3692" s="84"/>
      <c r="H3692" s="84"/>
      <c r="I3692" s="84"/>
      <c r="J3692" s="84"/>
    </row>
    <row r="3693" spans="3:10" hidden="1" x14ac:dyDescent="0.25">
      <c r="C3693" s="84"/>
      <c r="D3693" s="84"/>
      <c r="E3693" s="84"/>
      <c r="F3693" s="84"/>
      <c r="G3693" s="84"/>
      <c r="H3693" s="84"/>
      <c r="I3693" s="84"/>
      <c r="J3693" s="84"/>
    </row>
    <row r="3694" spans="3:10" hidden="1" x14ac:dyDescent="0.25">
      <c r="C3694" s="84"/>
      <c r="D3694" s="84"/>
      <c r="E3694" s="84"/>
      <c r="F3694" s="84"/>
      <c r="G3694" s="84"/>
      <c r="H3694" s="84"/>
      <c r="I3694" s="84"/>
      <c r="J3694" s="84"/>
    </row>
    <row r="3695" spans="3:10" hidden="1" x14ac:dyDescent="0.25">
      <c r="C3695" s="84"/>
      <c r="D3695" s="84"/>
      <c r="E3695" s="84"/>
      <c r="F3695" s="84"/>
      <c r="G3695" s="84"/>
      <c r="H3695" s="84"/>
      <c r="I3695" s="84"/>
      <c r="J3695" s="84"/>
    </row>
    <row r="3696" spans="3:10" hidden="1" x14ac:dyDescent="0.25">
      <c r="C3696" s="84"/>
      <c r="D3696" s="84"/>
      <c r="E3696" s="84"/>
      <c r="F3696" s="84"/>
      <c r="G3696" s="84"/>
      <c r="H3696" s="84"/>
      <c r="I3696" s="84"/>
      <c r="J3696" s="84"/>
    </row>
    <row r="3697" spans="3:10" hidden="1" x14ac:dyDescent="0.25">
      <c r="C3697" s="84"/>
      <c r="D3697" s="84"/>
      <c r="E3697" s="84"/>
      <c r="F3697" s="84"/>
      <c r="G3697" s="84"/>
      <c r="H3697" s="84"/>
      <c r="I3697" s="84"/>
      <c r="J3697" s="84"/>
    </row>
    <row r="3698" spans="3:10" hidden="1" x14ac:dyDescent="0.25">
      <c r="C3698" s="84"/>
      <c r="D3698" s="84"/>
      <c r="E3698" s="84"/>
      <c r="F3698" s="84"/>
      <c r="G3698" s="84"/>
      <c r="H3698" s="84"/>
      <c r="I3698" s="84"/>
      <c r="J3698" s="84"/>
    </row>
    <row r="3699" spans="3:10" hidden="1" x14ac:dyDescent="0.25">
      <c r="C3699" s="84"/>
      <c r="D3699" s="84"/>
      <c r="E3699" s="84"/>
      <c r="F3699" s="84"/>
      <c r="G3699" s="84"/>
      <c r="H3699" s="84"/>
      <c r="I3699" s="84"/>
      <c r="J3699" s="84"/>
    </row>
    <row r="3700" spans="3:10" hidden="1" x14ac:dyDescent="0.25">
      <c r="C3700" s="84"/>
      <c r="D3700" s="84"/>
      <c r="E3700" s="84"/>
      <c r="F3700" s="84"/>
      <c r="G3700" s="84"/>
      <c r="H3700" s="84"/>
      <c r="I3700" s="84"/>
      <c r="J3700" s="84"/>
    </row>
    <row r="3701" spans="3:10" hidden="1" x14ac:dyDescent="0.25">
      <c r="C3701" s="84"/>
      <c r="D3701" s="84"/>
      <c r="E3701" s="84"/>
      <c r="F3701" s="84"/>
      <c r="G3701" s="84"/>
      <c r="H3701" s="84"/>
      <c r="I3701" s="84"/>
      <c r="J3701" s="84"/>
    </row>
    <row r="3702" spans="3:10" hidden="1" x14ac:dyDescent="0.25">
      <c r="C3702" s="84"/>
      <c r="D3702" s="84"/>
      <c r="E3702" s="84"/>
      <c r="F3702" s="84"/>
      <c r="G3702" s="84"/>
      <c r="H3702" s="84"/>
      <c r="I3702" s="84"/>
      <c r="J3702" s="84"/>
    </row>
    <row r="3703" spans="3:10" hidden="1" x14ac:dyDescent="0.25">
      <c r="C3703" s="84"/>
      <c r="D3703" s="84"/>
      <c r="E3703" s="84"/>
      <c r="F3703" s="84"/>
      <c r="G3703" s="84"/>
      <c r="H3703" s="84"/>
      <c r="I3703" s="84"/>
      <c r="J3703" s="84"/>
    </row>
    <row r="3704" spans="3:10" hidden="1" x14ac:dyDescent="0.25">
      <c r="C3704" s="84"/>
      <c r="D3704" s="84"/>
      <c r="E3704" s="84"/>
      <c r="F3704" s="84"/>
      <c r="G3704" s="84"/>
      <c r="H3704" s="84"/>
      <c r="I3704" s="84"/>
      <c r="J3704" s="84"/>
    </row>
    <row r="3705" spans="3:10" hidden="1" x14ac:dyDescent="0.25">
      <c r="C3705" s="84"/>
      <c r="D3705" s="84"/>
      <c r="E3705" s="84"/>
      <c r="F3705" s="84"/>
      <c r="G3705" s="84"/>
      <c r="H3705" s="84"/>
      <c r="I3705" s="84"/>
      <c r="J3705" s="84"/>
    </row>
    <row r="3706" spans="3:10" hidden="1" x14ac:dyDescent="0.25">
      <c r="C3706" s="84"/>
      <c r="D3706" s="84"/>
      <c r="E3706" s="84"/>
      <c r="F3706" s="84"/>
      <c r="G3706" s="84"/>
      <c r="H3706" s="84"/>
      <c r="I3706" s="84"/>
      <c r="J3706" s="84"/>
    </row>
    <row r="3707" spans="3:10" hidden="1" x14ac:dyDescent="0.25">
      <c r="C3707" s="84"/>
      <c r="D3707" s="84"/>
      <c r="E3707" s="84"/>
      <c r="F3707" s="84"/>
      <c r="G3707" s="84"/>
      <c r="H3707" s="84"/>
      <c r="I3707" s="84"/>
      <c r="J3707" s="84"/>
    </row>
    <row r="3708" spans="3:10" hidden="1" x14ac:dyDescent="0.25">
      <c r="C3708" s="84"/>
      <c r="D3708" s="84"/>
      <c r="E3708" s="84"/>
      <c r="F3708" s="84"/>
      <c r="G3708" s="84"/>
      <c r="H3708" s="84"/>
      <c r="I3708" s="84"/>
      <c r="J3708" s="84"/>
    </row>
    <row r="3709" spans="3:10" hidden="1" x14ac:dyDescent="0.25">
      <c r="C3709" s="84"/>
      <c r="D3709" s="84"/>
      <c r="E3709" s="84"/>
      <c r="F3709" s="84"/>
      <c r="G3709" s="84"/>
      <c r="H3709" s="84"/>
      <c r="I3709" s="84"/>
      <c r="J3709" s="84"/>
    </row>
    <row r="3710" spans="3:10" hidden="1" x14ac:dyDescent="0.25">
      <c r="C3710" s="84"/>
      <c r="D3710" s="84"/>
      <c r="E3710" s="84"/>
      <c r="F3710" s="84"/>
      <c r="G3710" s="84"/>
      <c r="H3710" s="84"/>
      <c r="I3710" s="84"/>
      <c r="J3710" s="84"/>
    </row>
    <row r="3711" spans="3:10" hidden="1" x14ac:dyDescent="0.25">
      <c r="C3711" s="84"/>
      <c r="D3711" s="84"/>
      <c r="E3711" s="84"/>
      <c r="F3711" s="84"/>
      <c r="G3711" s="84"/>
      <c r="H3711" s="84"/>
      <c r="I3711" s="84"/>
      <c r="J3711" s="84"/>
    </row>
    <row r="3712" spans="3:10" hidden="1" x14ac:dyDescent="0.25">
      <c r="C3712" s="84"/>
      <c r="D3712" s="84"/>
      <c r="E3712" s="84"/>
      <c r="F3712" s="84"/>
      <c r="G3712" s="84"/>
      <c r="H3712" s="84"/>
      <c r="I3712" s="84"/>
      <c r="J3712" s="84"/>
    </row>
    <row r="3713" spans="3:10" hidden="1" x14ac:dyDescent="0.25">
      <c r="C3713" s="84"/>
      <c r="D3713" s="84"/>
      <c r="E3713" s="84"/>
      <c r="F3713" s="84"/>
      <c r="G3713" s="84"/>
      <c r="H3713" s="84"/>
      <c r="I3713" s="84"/>
      <c r="J3713" s="84"/>
    </row>
    <row r="3714" spans="3:10" hidden="1" x14ac:dyDescent="0.25">
      <c r="C3714" s="84"/>
      <c r="D3714" s="84"/>
      <c r="E3714" s="84"/>
      <c r="F3714" s="84"/>
      <c r="G3714" s="84"/>
      <c r="H3714" s="84"/>
      <c r="I3714" s="84"/>
      <c r="J3714" s="84"/>
    </row>
    <row r="3715" spans="3:10" hidden="1" x14ac:dyDescent="0.25">
      <c r="C3715" s="84"/>
      <c r="D3715" s="84"/>
      <c r="E3715" s="84"/>
      <c r="F3715" s="84"/>
      <c r="G3715" s="84"/>
      <c r="H3715" s="84"/>
      <c r="I3715" s="84"/>
      <c r="J3715" s="84"/>
    </row>
    <row r="3716" spans="3:10" hidden="1" x14ac:dyDescent="0.25">
      <c r="C3716" s="84"/>
      <c r="D3716" s="84"/>
      <c r="E3716" s="84"/>
      <c r="F3716" s="84"/>
      <c r="G3716" s="84"/>
      <c r="H3716" s="84"/>
      <c r="I3716" s="84"/>
      <c r="J3716" s="84"/>
    </row>
    <row r="3717" spans="3:10" hidden="1" x14ac:dyDescent="0.25">
      <c r="C3717" s="84"/>
      <c r="D3717" s="84"/>
      <c r="E3717" s="84"/>
      <c r="F3717" s="84"/>
      <c r="G3717" s="84"/>
      <c r="H3717" s="84"/>
      <c r="I3717" s="84"/>
      <c r="J3717" s="84"/>
    </row>
    <row r="3718" spans="3:10" hidden="1" x14ac:dyDescent="0.25">
      <c r="C3718" s="84"/>
      <c r="D3718" s="84"/>
      <c r="E3718" s="84"/>
      <c r="F3718" s="84"/>
      <c r="G3718" s="84"/>
      <c r="H3718" s="84"/>
      <c r="I3718" s="84"/>
      <c r="J3718" s="84"/>
    </row>
    <row r="3719" spans="3:10" hidden="1" x14ac:dyDescent="0.25">
      <c r="C3719" s="84"/>
      <c r="D3719" s="84"/>
      <c r="E3719" s="84"/>
      <c r="F3719" s="84"/>
      <c r="G3719" s="84"/>
      <c r="H3719" s="84"/>
      <c r="I3719" s="84"/>
      <c r="J3719" s="84"/>
    </row>
    <row r="3720" spans="3:10" hidden="1" x14ac:dyDescent="0.25">
      <c r="C3720" s="84"/>
      <c r="D3720" s="84"/>
      <c r="E3720" s="84"/>
      <c r="F3720" s="84"/>
      <c r="G3720" s="84"/>
      <c r="H3720" s="84"/>
      <c r="I3720" s="84"/>
      <c r="J3720" s="84"/>
    </row>
    <row r="3721" spans="3:10" hidden="1" x14ac:dyDescent="0.25">
      <c r="C3721" s="84"/>
      <c r="D3721" s="84"/>
      <c r="E3721" s="84"/>
      <c r="F3721" s="84"/>
      <c r="G3721" s="84"/>
      <c r="H3721" s="84"/>
      <c r="I3721" s="84"/>
      <c r="J3721" s="84"/>
    </row>
    <row r="3722" spans="3:10" hidden="1" x14ac:dyDescent="0.25">
      <c r="C3722" s="84"/>
      <c r="D3722" s="84"/>
      <c r="E3722" s="84"/>
      <c r="F3722" s="84"/>
      <c r="G3722" s="84"/>
      <c r="H3722" s="84"/>
      <c r="I3722" s="84"/>
      <c r="J3722" s="84"/>
    </row>
    <row r="3723" spans="3:10" hidden="1" x14ac:dyDescent="0.25">
      <c r="C3723" s="84"/>
      <c r="D3723" s="84"/>
      <c r="E3723" s="84"/>
      <c r="F3723" s="84"/>
      <c r="G3723" s="84"/>
      <c r="H3723" s="84"/>
      <c r="I3723" s="84"/>
      <c r="J3723" s="84"/>
    </row>
    <row r="3724" spans="3:10" hidden="1" x14ac:dyDescent="0.25">
      <c r="C3724" s="84"/>
      <c r="D3724" s="84"/>
      <c r="E3724" s="84"/>
      <c r="F3724" s="84"/>
      <c r="G3724" s="84"/>
      <c r="H3724" s="84"/>
      <c r="I3724" s="84"/>
      <c r="J3724" s="84"/>
    </row>
    <row r="3725" spans="3:10" hidden="1" x14ac:dyDescent="0.25">
      <c r="C3725" s="84"/>
      <c r="D3725" s="84"/>
      <c r="E3725" s="84"/>
      <c r="F3725" s="84"/>
      <c r="G3725" s="84"/>
      <c r="H3725" s="84"/>
      <c r="I3725" s="84"/>
      <c r="J3725" s="84"/>
    </row>
    <row r="3726" spans="3:10" hidden="1" x14ac:dyDescent="0.25">
      <c r="C3726" s="84"/>
      <c r="D3726" s="84"/>
      <c r="E3726" s="84"/>
      <c r="F3726" s="84"/>
      <c r="G3726" s="84"/>
      <c r="H3726" s="84"/>
      <c r="I3726" s="84"/>
      <c r="J3726" s="84"/>
    </row>
    <row r="3727" spans="3:10" hidden="1" x14ac:dyDescent="0.25">
      <c r="C3727" s="84"/>
      <c r="D3727" s="84"/>
      <c r="E3727" s="84"/>
      <c r="F3727" s="84"/>
      <c r="G3727" s="84"/>
      <c r="H3727" s="84"/>
      <c r="I3727" s="84"/>
      <c r="J3727" s="84"/>
    </row>
    <row r="3728" spans="3:10" hidden="1" x14ac:dyDescent="0.25">
      <c r="C3728" s="84"/>
      <c r="D3728" s="84"/>
      <c r="E3728" s="84"/>
      <c r="F3728" s="84"/>
      <c r="G3728" s="84"/>
      <c r="H3728" s="84"/>
      <c r="I3728" s="84"/>
      <c r="J3728" s="84"/>
    </row>
    <row r="3729" spans="3:10" hidden="1" x14ac:dyDescent="0.25">
      <c r="C3729" s="84"/>
      <c r="D3729" s="84"/>
      <c r="E3729" s="84"/>
      <c r="F3729" s="84"/>
      <c r="G3729" s="84"/>
      <c r="H3729" s="84"/>
      <c r="I3729" s="84"/>
      <c r="J3729" s="84"/>
    </row>
    <row r="3730" spans="3:10" hidden="1" x14ac:dyDescent="0.25">
      <c r="C3730" s="84"/>
      <c r="D3730" s="84"/>
      <c r="E3730" s="84"/>
      <c r="F3730" s="84"/>
      <c r="G3730" s="84"/>
      <c r="H3730" s="84"/>
      <c r="I3730" s="84"/>
      <c r="J3730" s="84"/>
    </row>
    <row r="3731" spans="3:10" hidden="1" x14ac:dyDescent="0.25">
      <c r="C3731" s="84"/>
      <c r="D3731" s="84"/>
      <c r="E3731" s="84"/>
      <c r="F3731" s="84"/>
      <c r="G3731" s="84"/>
      <c r="H3731" s="84"/>
      <c r="I3731" s="84"/>
      <c r="J3731" s="84"/>
    </row>
    <row r="3732" spans="3:10" hidden="1" x14ac:dyDescent="0.25">
      <c r="C3732" s="84"/>
      <c r="D3732" s="84"/>
      <c r="E3732" s="84"/>
      <c r="F3732" s="84"/>
      <c r="G3732" s="84"/>
      <c r="H3732" s="84"/>
      <c r="I3732" s="84"/>
      <c r="J3732" s="84"/>
    </row>
    <row r="3733" spans="3:10" hidden="1" x14ac:dyDescent="0.25">
      <c r="C3733" s="84"/>
      <c r="D3733" s="84"/>
      <c r="E3733" s="84"/>
      <c r="F3733" s="84"/>
      <c r="G3733" s="84"/>
      <c r="H3733" s="84"/>
      <c r="I3733" s="84"/>
      <c r="J3733" s="84"/>
    </row>
    <row r="3734" spans="3:10" hidden="1" x14ac:dyDescent="0.25">
      <c r="C3734" s="84"/>
      <c r="D3734" s="84"/>
      <c r="E3734" s="84"/>
      <c r="F3734" s="84"/>
      <c r="G3734" s="84"/>
      <c r="H3734" s="84"/>
      <c r="I3734" s="84"/>
      <c r="J3734" s="84"/>
    </row>
    <row r="3735" spans="3:10" hidden="1" x14ac:dyDescent="0.25">
      <c r="C3735" s="84"/>
      <c r="D3735" s="84"/>
      <c r="E3735" s="84"/>
      <c r="F3735" s="84"/>
      <c r="G3735" s="84"/>
      <c r="H3735" s="84"/>
      <c r="I3735" s="84"/>
      <c r="J3735" s="84"/>
    </row>
    <row r="3736" spans="3:10" hidden="1" x14ac:dyDescent="0.25">
      <c r="C3736" s="84"/>
      <c r="D3736" s="84"/>
      <c r="E3736" s="84"/>
      <c r="F3736" s="84"/>
      <c r="G3736" s="84"/>
      <c r="H3736" s="84"/>
      <c r="I3736" s="84"/>
      <c r="J3736" s="84"/>
    </row>
    <row r="3737" spans="3:10" hidden="1" x14ac:dyDescent="0.25">
      <c r="C3737" s="84"/>
      <c r="D3737" s="84"/>
      <c r="E3737" s="84"/>
      <c r="F3737" s="84"/>
      <c r="G3737" s="84"/>
      <c r="H3737" s="84"/>
      <c r="I3737" s="84"/>
      <c r="J3737" s="84"/>
    </row>
    <row r="3738" spans="3:10" hidden="1" x14ac:dyDescent="0.25">
      <c r="C3738" s="84"/>
      <c r="D3738" s="84"/>
      <c r="E3738" s="84"/>
      <c r="F3738" s="84"/>
      <c r="G3738" s="84"/>
      <c r="H3738" s="84"/>
      <c r="I3738" s="84"/>
      <c r="J3738" s="84"/>
    </row>
    <row r="3739" spans="3:10" hidden="1" x14ac:dyDescent="0.25">
      <c r="C3739" s="84"/>
      <c r="D3739" s="84"/>
      <c r="E3739" s="84"/>
      <c r="F3739" s="84"/>
      <c r="G3739" s="84"/>
      <c r="H3739" s="84"/>
      <c r="I3739" s="84"/>
      <c r="J3739" s="84"/>
    </row>
    <row r="3740" spans="3:10" hidden="1" x14ac:dyDescent="0.25">
      <c r="C3740" s="84"/>
      <c r="D3740" s="84"/>
      <c r="E3740" s="84"/>
      <c r="F3740" s="84"/>
      <c r="G3740" s="84"/>
      <c r="H3740" s="84"/>
      <c r="I3740" s="84"/>
      <c r="J3740" s="84"/>
    </row>
    <row r="3741" spans="3:10" hidden="1" x14ac:dyDescent="0.25">
      <c r="C3741" s="84"/>
      <c r="D3741" s="84"/>
      <c r="E3741" s="84"/>
      <c r="F3741" s="84"/>
      <c r="G3741" s="84"/>
      <c r="H3741" s="84"/>
      <c r="I3741" s="84"/>
      <c r="J3741" s="84"/>
    </row>
    <row r="3742" spans="3:10" hidden="1" x14ac:dyDescent="0.25">
      <c r="C3742" s="84"/>
      <c r="D3742" s="84"/>
      <c r="E3742" s="84"/>
      <c r="F3742" s="84"/>
      <c r="G3742" s="84"/>
      <c r="H3742" s="84"/>
      <c r="I3742" s="84"/>
      <c r="J3742" s="84"/>
    </row>
    <row r="3743" spans="3:10" hidden="1" x14ac:dyDescent="0.25">
      <c r="C3743" s="84"/>
      <c r="D3743" s="84"/>
      <c r="E3743" s="84"/>
      <c r="F3743" s="84"/>
      <c r="G3743" s="84"/>
      <c r="H3743" s="84"/>
      <c r="I3743" s="84"/>
      <c r="J3743" s="84"/>
    </row>
    <row r="3744" spans="3:10" hidden="1" x14ac:dyDescent="0.25">
      <c r="C3744" s="84"/>
      <c r="D3744" s="84"/>
      <c r="E3744" s="84"/>
      <c r="F3744" s="84"/>
      <c r="G3744" s="84"/>
      <c r="H3744" s="84"/>
      <c r="I3744" s="84"/>
      <c r="J3744" s="84"/>
    </row>
    <row r="3745" spans="3:10" hidden="1" x14ac:dyDescent="0.25">
      <c r="C3745" s="84"/>
      <c r="D3745" s="84"/>
      <c r="E3745" s="84"/>
      <c r="F3745" s="84"/>
      <c r="G3745" s="84"/>
      <c r="H3745" s="84"/>
      <c r="I3745" s="84"/>
      <c r="J3745" s="84"/>
    </row>
    <row r="3746" spans="3:10" hidden="1" x14ac:dyDescent="0.25">
      <c r="C3746" s="84"/>
      <c r="D3746" s="84"/>
      <c r="E3746" s="84"/>
      <c r="F3746" s="84"/>
      <c r="G3746" s="84"/>
      <c r="H3746" s="84"/>
      <c r="I3746" s="84"/>
      <c r="J3746" s="84"/>
    </row>
    <row r="3747" spans="3:10" hidden="1" x14ac:dyDescent="0.25">
      <c r="C3747" s="84"/>
      <c r="D3747" s="84"/>
      <c r="E3747" s="84"/>
      <c r="F3747" s="84"/>
      <c r="G3747" s="84"/>
      <c r="H3747" s="84"/>
      <c r="I3747" s="84"/>
      <c r="J3747" s="84"/>
    </row>
    <row r="3748" spans="3:10" hidden="1" x14ac:dyDescent="0.25">
      <c r="C3748" s="84"/>
      <c r="D3748" s="84"/>
      <c r="E3748" s="84"/>
      <c r="F3748" s="84"/>
      <c r="G3748" s="84"/>
      <c r="H3748" s="84"/>
      <c r="I3748" s="84"/>
      <c r="J3748" s="84"/>
    </row>
    <row r="3749" spans="3:10" hidden="1" x14ac:dyDescent="0.25">
      <c r="C3749" s="84"/>
      <c r="D3749" s="84"/>
      <c r="E3749" s="84"/>
      <c r="F3749" s="84"/>
      <c r="G3749" s="84"/>
      <c r="H3749" s="84"/>
      <c r="I3749" s="84"/>
      <c r="J3749" s="84"/>
    </row>
    <row r="3750" spans="3:10" hidden="1" x14ac:dyDescent="0.25">
      <c r="C3750" s="84"/>
      <c r="D3750" s="84"/>
      <c r="E3750" s="84"/>
      <c r="F3750" s="84"/>
      <c r="G3750" s="84"/>
      <c r="H3750" s="84"/>
      <c r="I3750" s="84"/>
      <c r="J3750" s="84"/>
    </row>
    <row r="3751" spans="3:10" hidden="1" x14ac:dyDescent="0.25">
      <c r="C3751" s="84"/>
      <c r="D3751" s="84"/>
      <c r="E3751" s="84"/>
      <c r="F3751" s="84"/>
      <c r="G3751" s="84"/>
      <c r="H3751" s="84"/>
      <c r="I3751" s="84"/>
      <c r="J3751" s="84"/>
    </row>
    <row r="3752" spans="3:10" hidden="1" x14ac:dyDescent="0.25">
      <c r="C3752" s="84"/>
      <c r="D3752" s="84"/>
      <c r="E3752" s="84"/>
      <c r="F3752" s="84"/>
      <c r="G3752" s="84"/>
      <c r="H3752" s="84"/>
      <c r="I3752" s="84"/>
      <c r="J3752" s="84"/>
    </row>
    <row r="3753" spans="3:10" hidden="1" x14ac:dyDescent="0.25">
      <c r="C3753" s="84"/>
      <c r="D3753" s="84"/>
      <c r="E3753" s="84"/>
      <c r="F3753" s="84"/>
      <c r="G3753" s="84"/>
      <c r="H3753" s="84"/>
      <c r="I3753" s="84"/>
      <c r="J3753" s="84"/>
    </row>
    <row r="3754" spans="3:10" hidden="1" x14ac:dyDescent="0.25">
      <c r="C3754" s="84"/>
      <c r="D3754" s="84"/>
      <c r="E3754" s="84"/>
      <c r="F3754" s="84"/>
      <c r="G3754" s="84"/>
      <c r="H3754" s="84"/>
      <c r="I3754" s="84"/>
      <c r="J3754" s="84"/>
    </row>
    <row r="3755" spans="3:10" hidden="1" x14ac:dyDescent="0.25">
      <c r="C3755" s="84"/>
      <c r="D3755" s="84"/>
      <c r="E3755" s="84"/>
      <c r="F3755" s="84"/>
      <c r="G3755" s="84"/>
      <c r="H3755" s="84"/>
      <c r="I3755" s="84"/>
      <c r="J3755" s="84"/>
    </row>
    <row r="3756" spans="3:10" hidden="1" x14ac:dyDescent="0.25">
      <c r="C3756" s="84"/>
      <c r="D3756" s="84"/>
      <c r="E3756" s="84"/>
      <c r="F3756" s="84"/>
      <c r="G3756" s="84"/>
      <c r="H3756" s="84"/>
      <c r="I3756" s="84"/>
      <c r="J3756" s="84"/>
    </row>
    <row r="3757" spans="3:10" hidden="1" x14ac:dyDescent="0.25">
      <c r="C3757" s="84"/>
      <c r="D3757" s="84"/>
      <c r="E3757" s="84"/>
      <c r="F3757" s="84"/>
      <c r="G3757" s="84"/>
      <c r="H3757" s="84"/>
      <c r="I3757" s="84"/>
      <c r="J3757" s="84"/>
    </row>
    <row r="3758" spans="3:10" hidden="1" x14ac:dyDescent="0.25">
      <c r="C3758" s="84"/>
      <c r="D3758" s="84"/>
      <c r="E3758" s="84"/>
      <c r="F3758" s="84"/>
      <c r="G3758" s="84"/>
      <c r="H3758" s="84"/>
      <c r="I3758" s="84"/>
      <c r="J3758" s="84"/>
    </row>
    <row r="3759" spans="3:10" hidden="1" x14ac:dyDescent="0.25">
      <c r="C3759" s="84"/>
      <c r="D3759" s="84"/>
      <c r="E3759" s="84"/>
      <c r="F3759" s="84"/>
      <c r="G3759" s="84"/>
      <c r="H3759" s="84"/>
      <c r="I3759" s="84"/>
      <c r="J3759" s="84"/>
    </row>
    <row r="3760" spans="3:10" hidden="1" x14ac:dyDescent="0.25">
      <c r="C3760" s="84"/>
      <c r="D3760" s="84"/>
      <c r="E3760" s="84"/>
      <c r="F3760" s="84"/>
      <c r="G3760" s="84"/>
      <c r="H3760" s="84"/>
      <c r="I3760" s="84"/>
      <c r="J3760" s="84"/>
    </row>
    <row r="3761" spans="3:10" hidden="1" x14ac:dyDescent="0.25">
      <c r="C3761" s="84"/>
      <c r="D3761" s="84"/>
      <c r="E3761" s="84"/>
      <c r="F3761" s="84"/>
      <c r="G3761" s="84"/>
      <c r="H3761" s="84"/>
      <c r="I3761" s="84"/>
      <c r="J3761" s="84"/>
    </row>
    <row r="3762" spans="3:10" hidden="1" x14ac:dyDescent="0.25">
      <c r="C3762" s="84"/>
      <c r="D3762" s="84"/>
      <c r="E3762" s="84"/>
      <c r="F3762" s="84"/>
      <c r="G3762" s="84"/>
      <c r="H3762" s="84"/>
      <c r="I3762" s="84"/>
      <c r="J3762" s="84"/>
    </row>
    <row r="3763" spans="3:10" hidden="1" x14ac:dyDescent="0.25">
      <c r="C3763" s="84"/>
      <c r="D3763" s="84"/>
      <c r="E3763" s="84"/>
      <c r="F3763" s="84"/>
      <c r="G3763" s="84"/>
      <c r="H3763" s="84"/>
      <c r="I3763" s="84"/>
      <c r="J3763" s="84"/>
    </row>
    <row r="3764" spans="3:10" hidden="1" x14ac:dyDescent="0.25">
      <c r="C3764" s="84"/>
      <c r="D3764" s="84"/>
      <c r="E3764" s="84"/>
      <c r="F3764" s="84"/>
      <c r="G3764" s="84"/>
      <c r="H3764" s="84"/>
      <c r="I3764" s="84"/>
      <c r="J3764" s="84"/>
    </row>
    <row r="3765" spans="3:10" hidden="1" x14ac:dyDescent="0.25">
      <c r="C3765" s="84"/>
      <c r="D3765" s="84"/>
      <c r="E3765" s="84"/>
      <c r="F3765" s="84"/>
      <c r="G3765" s="84"/>
      <c r="H3765" s="84"/>
      <c r="I3765" s="84"/>
      <c r="J3765" s="84"/>
    </row>
    <row r="3766" spans="3:10" hidden="1" x14ac:dyDescent="0.25">
      <c r="C3766" s="84"/>
      <c r="D3766" s="84"/>
      <c r="E3766" s="84"/>
      <c r="F3766" s="84"/>
      <c r="G3766" s="84"/>
      <c r="H3766" s="84"/>
      <c r="I3766" s="84"/>
      <c r="J3766" s="84"/>
    </row>
    <row r="3767" spans="3:10" hidden="1" x14ac:dyDescent="0.25">
      <c r="C3767" s="84"/>
      <c r="D3767" s="84"/>
      <c r="E3767" s="84"/>
      <c r="F3767" s="84"/>
      <c r="G3767" s="84"/>
      <c r="H3767" s="84"/>
      <c r="I3767" s="84"/>
      <c r="J3767" s="84"/>
    </row>
    <row r="3768" spans="3:10" hidden="1" x14ac:dyDescent="0.25">
      <c r="C3768" s="84"/>
      <c r="D3768" s="84"/>
      <c r="E3768" s="84"/>
      <c r="F3768" s="84"/>
      <c r="G3768" s="84"/>
      <c r="H3768" s="84"/>
      <c r="I3768" s="84"/>
      <c r="J3768" s="84"/>
    </row>
    <row r="3769" spans="3:10" hidden="1" x14ac:dyDescent="0.25">
      <c r="C3769" s="84"/>
      <c r="D3769" s="84"/>
      <c r="E3769" s="84"/>
      <c r="F3769" s="84"/>
      <c r="G3769" s="84"/>
      <c r="H3769" s="84"/>
      <c r="I3769" s="84"/>
      <c r="J3769" s="84"/>
    </row>
    <row r="3770" spans="3:10" hidden="1" x14ac:dyDescent="0.25">
      <c r="C3770" s="84"/>
      <c r="D3770" s="84"/>
      <c r="E3770" s="84"/>
      <c r="F3770" s="84"/>
      <c r="G3770" s="84"/>
      <c r="H3770" s="84"/>
      <c r="I3770" s="84"/>
      <c r="J3770" s="84"/>
    </row>
    <row r="3771" spans="3:10" hidden="1" x14ac:dyDescent="0.25">
      <c r="C3771" s="84"/>
      <c r="D3771" s="84"/>
      <c r="E3771" s="84"/>
      <c r="F3771" s="84"/>
      <c r="G3771" s="84"/>
      <c r="H3771" s="84"/>
      <c r="I3771" s="84"/>
      <c r="J3771" s="84"/>
    </row>
    <row r="3772" spans="3:10" hidden="1" x14ac:dyDescent="0.25">
      <c r="C3772" s="84"/>
      <c r="D3772" s="84"/>
      <c r="E3772" s="84"/>
      <c r="F3772" s="84"/>
      <c r="G3772" s="84"/>
      <c r="H3772" s="84"/>
      <c r="I3772" s="84"/>
      <c r="J3772" s="84"/>
    </row>
    <row r="3773" spans="3:10" hidden="1" x14ac:dyDescent="0.25">
      <c r="C3773" s="84"/>
      <c r="D3773" s="84"/>
      <c r="E3773" s="84"/>
      <c r="F3773" s="84"/>
      <c r="G3773" s="84"/>
      <c r="H3773" s="84"/>
      <c r="I3773" s="84"/>
      <c r="J3773" s="84"/>
    </row>
    <row r="3774" spans="3:10" hidden="1" x14ac:dyDescent="0.25">
      <c r="C3774" s="84"/>
      <c r="D3774" s="84"/>
      <c r="E3774" s="84"/>
      <c r="F3774" s="84"/>
      <c r="G3774" s="84"/>
      <c r="H3774" s="84"/>
      <c r="I3774" s="84"/>
      <c r="J3774" s="84"/>
    </row>
    <row r="3775" spans="3:10" hidden="1" x14ac:dyDescent="0.25">
      <c r="C3775" s="84"/>
      <c r="D3775" s="84"/>
      <c r="E3775" s="84"/>
      <c r="F3775" s="84"/>
      <c r="G3775" s="84"/>
      <c r="H3775" s="84"/>
      <c r="I3775" s="84"/>
      <c r="J3775" s="84"/>
    </row>
    <row r="3776" spans="3:10" hidden="1" x14ac:dyDescent="0.25">
      <c r="C3776" s="84"/>
      <c r="D3776" s="84"/>
      <c r="E3776" s="84"/>
      <c r="F3776" s="84"/>
      <c r="G3776" s="84"/>
      <c r="H3776" s="84"/>
      <c r="I3776" s="84"/>
      <c r="J3776" s="84"/>
    </row>
    <row r="3777" spans="3:10" hidden="1" x14ac:dyDescent="0.25">
      <c r="C3777" s="84"/>
      <c r="D3777" s="84"/>
      <c r="E3777" s="84"/>
      <c r="F3777" s="84"/>
      <c r="G3777" s="84"/>
      <c r="H3777" s="84"/>
      <c r="I3777" s="84"/>
      <c r="J3777" s="84"/>
    </row>
    <row r="3778" spans="3:10" hidden="1" x14ac:dyDescent="0.25">
      <c r="C3778" s="84"/>
      <c r="D3778" s="84"/>
      <c r="E3778" s="84"/>
      <c r="F3778" s="84"/>
      <c r="G3778" s="84"/>
      <c r="H3778" s="84"/>
      <c r="I3778" s="84"/>
      <c r="J3778" s="84"/>
    </row>
    <row r="3779" spans="3:10" ht="11.25" customHeight="1" x14ac:dyDescent="0.25">
      <c r="C3779" s="84"/>
      <c r="D3779" s="84"/>
      <c r="E3779" s="84"/>
      <c r="F3779" s="84"/>
      <c r="G3779" s="84"/>
      <c r="H3779" s="84"/>
      <c r="I3779" s="84"/>
      <c r="J3779" s="84"/>
    </row>
    <row r="3780" spans="3:10" hidden="1" x14ac:dyDescent="0.25">
      <c r="G3780" s="286"/>
      <c r="H3780" s="604"/>
      <c r="I3780" s="605"/>
      <c r="J3780" s="605"/>
    </row>
    <row r="3781" spans="3:10" hidden="1" x14ac:dyDescent="0.25">
      <c r="G3781" s="286"/>
      <c r="H3781" s="604"/>
      <c r="I3781" s="605"/>
      <c r="J3781" s="605"/>
    </row>
    <row r="3782" spans="3:10" hidden="1" x14ac:dyDescent="0.25">
      <c r="G3782" s="286"/>
      <c r="H3782" s="604"/>
      <c r="I3782" s="605"/>
      <c r="J3782" s="605"/>
    </row>
    <row r="3783" spans="3:10" hidden="1" x14ac:dyDescent="0.25">
      <c r="G3783" s="286"/>
      <c r="H3783" s="604"/>
      <c r="I3783" s="605"/>
      <c r="J3783" s="605"/>
    </row>
    <row r="3784" spans="3:10" hidden="1" x14ac:dyDescent="0.25">
      <c r="G3784" s="286"/>
      <c r="H3784" s="604"/>
      <c r="I3784" s="605"/>
      <c r="J3784" s="605"/>
    </row>
    <row r="3785" spans="3:10" hidden="1" x14ac:dyDescent="0.25">
      <c r="G3785" s="286"/>
      <c r="H3785" s="604"/>
      <c r="I3785" s="605"/>
      <c r="J3785" s="605"/>
    </row>
    <row r="3786" spans="3:10" hidden="1" x14ac:dyDescent="0.25">
      <c r="G3786" s="286"/>
      <c r="H3786" s="604"/>
      <c r="I3786" s="605"/>
      <c r="J3786" s="605"/>
    </row>
    <row r="3787" spans="3:10" hidden="1" x14ac:dyDescent="0.25">
      <c r="G3787" s="286"/>
      <c r="H3787" s="604"/>
      <c r="I3787" s="605"/>
      <c r="J3787" s="605"/>
    </row>
    <row r="3788" spans="3:10" hidden="1" x14ac:dyDescent="0.25">
      <c r="G3788" s="286"/>
      <c r="H3788" s="604"/>
      <c r="I3788" s="605"/>
      <c r="J3788" s="605"/>
    </row>
    <row r="3789" spans="3:10" hidden="1" x14ac:dyDescent="0.25">
      <c r="G3789" s="286"/>
      <c r="H3789" s="604"/>
      <c r="I3789" s="605"/>
      <c r="J3789" s="605"/>
    </row>
    <row r="3790" spans="3:10" hidden="1" x14ac:dyDescent="0.25">
      <c r="G3790" s="286"/>
      <c r="H3790" s="604"/>
      <c r="I3790" s="605"/>
      <c r="J3790" s="605"/>
    </row>
    <row r="3791" spans="3:10" hidden="1" x14ac:dyDescent="0.25">
      <c r="G3791" s="286"/>
      <c r="H3791" s="604"/>
      <c r="I3791" s="605"/>
      <c r="J3791" s="605"/>
    </row>
    <row r="3792" spans="3:10" hidden="1" x14ac:dyDescent="0.25">
      <c r="G3792" s="286"/>
      <c r="H3792" s="604"/>
      <c r="I3792" s="605"/>
      <c r="J3792" s="605"/>
    </row>
    <row r="3793" spans="7:10" hidden="1" x14ac:dyDescent="0.25">
      <c r="G3793" s="286"/>
      <c r="H3793" s="604"/>
      <c r="I3793" s="605"/>
      <c r="J3793" s="605"/>
    </row>
    <row r="3794" spans="7:10" hidden="1" x14ac:dyDescent="0.25">
      <c r="G3794" s="286"/>
      <c r="H3794" s="604"/>
      <c r="I3794" s="605"/>
      <c r="J3794" s="605"/>
    </row>
    <row r="3795" spans="7:10" hidden="1" x14ac:dyDescent="0.25">
      <c r="G3795" s="286"/>
      <c r="H3795" s="604"/>
      <c r="I3795" s="605"/>
      <c r="J3795" s="605"/>
    </row>
    <row r="3796" spans="7:10" hidden="1" x14ac:dyDescent="0.25">
      <c r="G3796" s="286"/>
      <c r="H3796" s="604"/>
      <c r="I3796" s="605"/>
      <c r="J3796" s="605"/>
    </row>
    <row r="3797" spans="7:10" hidden="1" x14ac:dyDescent="0.25">
      <c r="G3797" s="286"/>
      <c r="H3797" s="604"/>
      <c r="I3797" s="605"/>
      <c r="J3797" s="605"/>
    </row>
    <row r="3798" spans="7:10" hidden="1" x14ac:dyDescent="0.25">
      <c r="G3798" s="286"/>
      <c r="H3798" s="604"/>
      <c r="I3798" s="605"/>
      <c r="J3798" s="605"/>
    </row>
    <row r="3799" spans="7:10" hidden="1" x14ac:dyDescent="0.25">
      <c r="G3799" s="286"/>
      <c r="H3799" s="604"/>
      <c r="I3799" s="605"/>
      <c r="J3799" s="605"/>
    </row>
    <row r="3800" spans="7:10" hidden="1" x14ac:dyDescent="0.25">
      <c r="G3800" s="286"/>
      <c r="H3800" s="604"/>
      <c r="I3800" s="605"/>
      <c r="J3800" s="605"/>
    </row>
    <row r="3801" spans="7:10" hidden="1" x14ac:dyDescent="0.25">
      <c r="G3801" s="286"/>
      <c r="H3801" s="604"/>
      <c r="I3801" s="605"/>
      <c r="J3801" s="605"/>
    </row>
    <row r="3802" spans="7:10" hidden="1" x14ac:dyDescent="0.25">
      <c r="G3802" s="286"/>
      <c r="H3802" s="604"/>
      <c r="I3802" s="605"/>
      <c r="J3802" s="605"/>
    </row>
    <row r="3803" spans="7:10" hidden="1" x14ac:dyDescent="0.25">
      <c r="G3803" s="286"/>
      <c r="H3803" s="604"/>
      <c r="I3803" s="605"/>
      <c r="J3803" s="605"/>
    </row>
    <row r="3804" spans="7:10" hidden="1" x14ac:dyDescent="0.25">
      <c r="G3804" s="286"/>
      <c r="H3804" s="604"/>
      <c r="I3804" s="605"/>
      <c r="J3804" s="605"/>
    </row>
    <row r="3805" spans="7:10" hidden="1" x14ac:dyDescent="0.25">
      <c r="G3805" s="286"/>
      <c r="H3805" s="604"/>
      <c r="I3805" s="605"/>
      <c r="J3805" s="605"/>
    </row>
    <row r="3806" spans="7:10" hidden="1" x14ac:dyDescent="0.25">
      <c r="G3806" s="286"/>
      <c r="H3806" s="604"/>
      <c r="I3806" s="605"/>
      <c r="J3806" s="605"/>
    </row>
    <row r="3807" spans="7:10" hidden="1" x14ac:dyDescent="0.25">
      <c r="G3807" s="286"/>
      <c r="H3807" s="604"/>
      <c r="I3807" s="605"/>
      <c r="J3807" s="605"/>
    </row>
    <row r="3808" spans="7:10" hidden="1" x14ac:dyDescent="0.25">
      <c r="G3808" s="286"/>
      <c r="H3808" s="604"/>
      <c r="I3808" s="605"/>
      <c r="J3808" s="605"/>
    </row>
    <row r="3809" spans="1:25" hidden="1" x14ac:dyDescent="0.25">
      <c r="G3809" s="286"/>
      <c r="H3809" s="604"/>
      <c r="I3809" s="605"/>
      <c r="J3809" s="605"/>
    </row>
    <row r="3810" spans="1:25" hidden="1" x14ac:dyDescent="0.25">
      <c r="G3810" s="286"/>
      <c r="H3810" s="604"/>
      <c r="I3810" s="605"/>
      <c r="J3810" s="605"/>
    </row>
    <row r="3811" spans="1:25" hidden="1" x14ac:dyDescent="0.25">
      <c r="G3811" s="286"/>
      <c r="H3811" s="604"/>
      <c r="I3811" s="605"/>
      <c r="J3811" s="605"/>
    </row>
    <row r="3812" spans="1:25" hidden="1" x14ac:dyDescent="0.25">
      <c r="G3812" s="286"/>
      <c r="H3812" s="604"/>
      <c r="I3812" s="605"/>
      <c r="J3812" s="605"/>
    </row>
    <row r="3813" spans="1:25" hidden="1" x14ac:dyDescent="0.25">
      <c r="G3813" s="286"/>
      <c r="H3813" s="604"/>
      <c r="I3813" s="605"/>
      <c r="J3813" s="605"/>
    </row>
    <row r="3814" spans="1:25" hidden="1" x14ac:dyDescent="0.25">
      <c r="G3814" s="286"/>
      <c r="H3814" s="604"/>
      <c r="I3814" s="605"/>
      <c r="J3814" s="605"/>
    </row>
    <row r="3815" spans="1:25" hidden="1" x14ac:dyDescent="0.25">
      <c r="G3815" s="286"/>
      <c r="H3815" s="604"/>
      <c r="I3815" s="605"/>
      <c r="J3815" s="605"/>
    </row>
    <row r="3816" spans="1:25" hidden="1" x14ac:dyDescent="0.25">
      <c r="G3816" s="286"/>
      <c r="H3816" s="604"/>
      <c r="I3816" s="605"/>
      <c r="J3816" s="605"/>
    </row>
    <row r="3817" spans="1:25" hidden="1" x14ac:dyDescent="0.25">
      <c r="G3817" s="286"/>
      <c r="H3817" s="604"/>
      <c r="I3817" s="605"/>
      <c r="J3817" s="605"/>
    </row>
    <row r="3818" spans="1:25" hidden="1" x14ac:dyDescent="0.25">
      <c r="G3818" s="286"/>
      <c r="H3818" s="604"/>
      <c r="I3818" s="605"/>
      <c r="J3818" s="605"/>
    </row>
    <row r="3819" spans="1:25" hidden="1" x14ac:dyDescent="0.25">
      <c r="G3819" s="286"/>
      <c r="H3819" s="604"/>
      <c r="I3819" s="605"/>
      <c r="J3819" s="605"/>
    </row>
    <row r="3820" spans="1:25" hidden="1" x14ac:dyDescent="0.25">
      <c r="G3820" s="286"/>
      <c r="H3820" s="604"/>
      <c r="I3820" s="605"/>
      <c r="J3820" s="605"/>
    </row>
    <row r="3821" spans="1:25" hidden="1" x14ac:dyDescent="0.25">
      <c r="G3821" s="286"/>
      <c r="H3821" s="604"/>
      <c r="I3821" s="605"/>
      <c r="J3821" s="605"/>
    </row>
    <row r="3822" spans="1:25" s="716" customFormat="1" hidden="1" x14ac:dyDescent="0.25">
      <c r="A3822" s="713"/>
      <c r="B3822" s="714"/>
      <c r="C3822" s="715"/>
      <c r="G3822" s="717"/>
      <c r="H3822" s="718"/>
      <c r="I3822" s="719"/>
      <c r="J3822" s="719"/>
      <c r="K3822" s="720"/>
      <c r="L3822" s="720"/>
      <c r="M3822" s="720"/>
      <c r="N3822" s="720"/>
      <c r="O3822" s="720"/>
      <c r="P3822" s="720"/>
      <c r="Q3822" s="720"/>
      <c r="R3822" s="720"/>
      <c r="S3822" s="720"/>
      <c r="T3822" s="720"/>
      <c r="U3822" s="720"/>
      <c r="V3822" s="720"/>
      <c r="W3822" s="720"/>
      <c r="X3822" s="720"/>
      <c r="Y3822" s="720"/>
    </row>
    <row r="3823" spans="1:25" x14ac:dyDescent="0.25">
      <c r="C3823" s="228" t="s">
        <v>4140</v>
      </c>
      <c r="D3823" s="219"/>
      <c r="G3823" s="262" t="s">
        <v>4141</v>
      </c>
    </row>
    <row r="3824" spans="1:25" s="88" customFormat="1" ht="30" x14ac:dyDescent="0.25">
      <c r="A3824" s="297"/>
      <c r="B3824" s="256"/>
      <c r="C3824" s="316"/>
      <c r="D3824" s="336" t="s">
        <v>3908</v>
      </c>
      <c r="E3824" s="337"/>
      <c r="F3824" s="335"/>
      <c r="G3824" s="314" t="s">
        <v>4240</v>
      </c>
      <c r="H3824" s="627"/>
      <c r="I3824" s="610"/>
      <c r="J3824" s="628"/>
      <c r="K3824" s="533"/>
      <c r="L3824" s="533"/>
      <c r="M3824" s="533"/>
      <c r="N3824" s="533"/>
      <c r="O3824" s="533"/>
      <c r="P3824" s="533"/>
      <c r="Q3824" s="533"/>
      <c r="R3824" s="533"/>
      <c r="S3824" s="533"/>
      <c r="T3824" s="533"/>
      <c r="U3824" s="533"/>
      <c r="V3824" s="533"/>
      <c r="W3824" s="533"/>
      <c r="X3824" s="533"/>
      <c r="Y3824" s="533"/>
    </row>
    <row r="3825" spans="6:10" hidden="1" x14ac:dyDescent="0.25">
      <c r="F3825" s="263">
        <v>411</v>
      </c>
      <c r="G3825" s="295" t="s">
        <v>4189</v>
      </c>
      <c r="J3825" s="595">
        <f>SUM(H3825:I3825)</f>
        <v>0</v>
      </c>
    </row>
    <row r="3826" spans="6:10" hidden="1" x14ac:dyDescent="0.25">
      <c r="F3826" s="263">
        <v>412</v>
      </c>
      <c r="G3826" s="292" t="s">
        <v>3784</v>
      </c>
      <c r="J3826" s="595">
        <f t="shared" ref="J3826:J3884" si="115">SUM(H3826:I3826)</f>
        <v>0</v>
      </c>
    </row>
    <row r="3827" spans="6:10" hidden="1" x14ac:dyDescent="0.25">
      <c r="F3827" s="263">
        <v>413</v>
      </c>
      <c r="G3827" s="295" t="s">
        <v>4190</v>
      </c>
      <c r="J3827" s="595">
        <f t="shared" si="115"/>
        <v>0</v>
      </c>
    </row>
    <row r="3828" spans="6:10" hidden="1" x14ac:dyDescent="0.25">
      <c r="F3828" s="263">
        <v>414</v>
      </c>
      <c r="G3828" s="295" t="s">
        <v>3787</v>
      </c>
      <c r="J3828" s="595">
        <f t="shared" si="115"/>
        <v>0</v>
      </c>
    </row>
    <row r="3829" spans="6:10" hidden="1" x14ac:dyDescent="0.25">
      <c r="F3829" s="263">
        <v>415</v>
      </c>
      <c r="G3829" s="295" t="s">
        <v>4199</v>
      </c>
      <c r="J3829" s="595">
        <f t="shared" si="115"/>
        <v>0</v>
      </c>
    </row>
    <row r="3830" spans="6:10" hidden="1" x14ac:dyDescent="0.25">
      <c r="F3830" s="263">
        <v>416</v>
      </c>
      <c r="G3830" s="295" t="s">
        <v>4200</v>
      </c>
      <c r="J3830" s="595">
        <f t="shared" si="115"/>
        <v>0</v>
      </c>
    </row>
    <row r="3831" spans="6:10" hidden="1" x14ac:dyDescent="0.25">
      <c r="F3831" s="263">
        <v>417</v>
      </c>
      <c r="G3831" s="295" t="s">
        <v>4201</v>
      </c>
      <c r="J3831" s="595">
        <f t="shared" si="115"/>
        <v>0</v>
      </c>
    </row>
    <row r="3832" spans="6:10" hidden="1" x14ac:dyDescent="0.25">
      <c r="F3832" s="263">
        <v>418</v>
      </c>
      <c r="G3832" s="295" t="s">
        <v>3793</v>
      </c>
      <c r="J3832" s="595">
        <f t="shared" si="115"/>
        <v>0</v>
      </c>
    </row>
    <row r="3833" spans="6:10" hidden="1" x14ac:dyDescent="0.25">
      <c r="F3833" s="263">
        <v>421</v>
      </c>
      <c r="G3833" s="295" t="s">
        <v>3797</v>
      </c>
      <c r="J3833" s="595">
        <f t="shared" si="115"/>
        <v>0</v>
      </c>
    </row>
    <row r="3834" spans="6:10" hidden="1" x14ac:dyDescent="0.25">
      <c r="F3834" s="263">
        <v>422</v>
      </c>
      <c r="G3834" s="295" t="s">
        <v>3798</v>
      </c>
      <c r="J3834" s="595">
        <f t="shared" si="115"/>
        <v>0</v>
      </c>
    </row>
    <row r="3835" spans="6:10" hidden="1" x14ac:dyDescent="0.25">
      <c r="F3835" s="263">
        <v>423</v>
      </c>
      <c r="G3835" s="295" t="s">
        <v>3799</v>
      </c>
      <c r="J3835" s="595">
        <f t="shared" si="115"/>
        <v>0</v>
      </c>
    </row>
    <row r="3836" spans="6:10" hidden="1" x14ac:dyDescent="0.25">
      <c r="F3836" s="263">
        <v>424</v>
      </c>
      <c r="G3836" s="295" t="s">
        <v>3801</v>
      </c>
      <c r="J3836" s="595">
        <f t="shared" si="115"/>
        <v>0</v>
      </c>
    </row>
    <row r="3837" spans="6:10" hidden="1" x14ac:dyDescent="0.25">
      <c r="F3837" s="263">
        <v>425</v>
      </c>
      <c r="G3837" s="295" t="s">
        <v>4202</v>
      </c>
      <c r="J3837" s="595">
        <f t="shared" si="115"/>
        <v>0</v>
      </c>
    </row>
    <row r="3838" spans="6:10" hidden="1" x14ac:dyDescent="0.25">
      <c r="F3838" s="263">
        <v>426</v>
      </c>
      <c r="G3838" s="295" t="s">
        <v>3805</v>
      </c>
      <c r="J3838" s="595">
        <f t="shared" si="115"/>
        <v>0</v>
      </c>
    </row>
    <row r="3839" spans="6:10" hidden="1" x14ac:dyDescent="0.25">
      <c r="F3839" s="263">
        <v>431</v>
      </c>
      <c r="G3839" s="295" t="s">
        <v>4203</v>
      </c>
      <c r="J3839" s="595">
        <f t="shared" si="115"/>
        <v>0</v>
      </c>
    </row>
    <row r="3840" spans="6:10" hidden="1" x14ac:dyDescent="0.25">
      <c r="F3840" s="263">
        <v>432</v>
      </c>
      <c r="G3840" s="295" t="s">
        <v>4204</v>
      </c>
      <c r="J3840" s="595">
        <f t="shared" si="115"/>
        <v>0</v>
      </c>
    </row>
    <row r="3841" spans="6:10" hidden="1" x14ac:dyDescent="0.25">
      <c r="F3841" s="263">
        <v>433</v>
      </c>
      <c r="G3841" s="295" t="s">
        <v>4205</v>
      </c>
      <c r="J3841" s="595">
        <f t="shared" si="115"/>
        <v>0</v>
      </c>
    </row>
    <row r="3842" spans="6:10" hidden="1" x14ac:dyDescent="0.25">
      <c r="F3842" s="263">
        <v>434</v>
      </c>
      <c r="G3842" s="295" t="s">
        <v>4206</v>
      </c>
      <c r="J3842" s="595">
        <f t="shared" si="115"/>
        <v>0</v>
      </c>
    </row>
    <row r="3843" spans="6:10" hidden="1" x14ac:dyDescent="0.25">
      <c r="F3843" s="263">
        <v>435</v>
      </c>
      <c r="G3843" s="295" t="s">
        <v>3812</v>
      </c>
      <c r="J3843" s="595">
        <f t="shared" si="115"/>
        <v>0</v>
      </c>
    </row>
    <row r="3844" spans="6:10" hidden="1" x14ac:dyDescent="0.25">
      <c r="F3844" s="263">
        <v>441</v>
      </c>
      <c r="G3844" s="295" t="s">
        <v>4207</v>
      </c>
      <c r="J3844" s="595">
        <f t="shared" si="115"/>
        <v>0</v>
      </c>
    </row>
    <row r="3845" spans="6:10" hidden="1" x14ac:dyDescent="0.25">
      <c r="F3845" s="263">
        <v>442</v>
      </c>
      <c r="G3845" s="295" t="s">
        <v>4208</v>
      </c>
      <c r="J3845" s="595">
        <f t="shared" si="115"/>
        <v>0</v>
      </c>
    </row>
    <row r="3846" spans="6:10" hidden="1" x14ac:dyDescent="0.25">
      <c r="F3846" s="263">
        <v>443</v>
      </c>
      <c r="G3846" s="295" t="s">
        <v>3817</v>
      </c>
      <c r="J3846" s="595">
        <f t="shared" si="115"/>
        <v>0</v>
      </c>
    </row>
    <row r="3847" spans="6:10" hidden="1" x14ac:dyDescent="0.25">
      <c r="F3847" s="263">
        <v>444</v>
      </c>
      <c r="G3847" s="295" t="s">
        <v>3818</v>
      </c>
      <c r="J3847" s="595">
        <f t="shared" si="115"/>
        <v>0</v>
      </c>
    </row>
    <row r="3848" spans="6:10" ht="30" hidden="1" x14ac:dyDescent="0.25">
      <c r="F3848" s="263">
        <v>4511</v>
      </c>
      <c r="G3848" s="223" t="s">
        <v>1692</v>
      </c>
      <c r="J3848" s="595">
        <f t="shared" si="115"/>
        <v>0</v>
      </c>
    </row>
    <row r="3849" spans="6:10" ht="30" hidden="1" x14ac:dyDescent="0.25">
      <c r="F3849" s="263">
        <v>4512</v>
      </c>
      <c r="G3849" s="223" t="s">
        <v>1701</v>
      </c>
      <c r="J3849" s="595">
        <f t="shared" si="115"/>
        <v>0</v>
      </c>
    </row>
    <row r="3850" spans="6:10" hidden="1" x14ac:dyDescent="0.25">
      <c r="F3850" s="263">
        <v>452</v>
      </c>
      <c r="G3850" s="295" t="s">
        <v>4209</v>
      </c>
      <c r="J3850" s="595">
        <f t="shared" si="115"/>
        <v>0</v>
      </c>
    </row>
    <row r="3851" spans="6:10" hidden="1" x14ac:dyDescent="0.25">
      <c r="F3851" s="263">
        <v>453</v>
      </c>
      <c r="G3851" s="295" t="s">
        <v>4210</v>
      </c>
      <c r="J3851" s="595">
        <f t="shared" si="115"/>
        <v>0</v>
      </c>
    </row>
    <row r="3852" spans="6:10" hidden="1" x14ac:dyDescent="0.25">
      <c r="F3852" s="263">
        <v>454</v>
      </c>
      <c r="G3852" s="295" t="s">
        <v>3823</v>
      </c>
      <c r="J3852" s="595">
        <f t="shared" si="115"/>
        <v>0</v>
      </c>
    </row>
    <row r="3853" spans="6:10" hidden="1" x14ac:dyDescent="0.25">
      <c r="F3853" s="263">
        <v>461</v>
      </c>
      <c r="G3853" s="295" t="s">
        <v>4191</v>
      </c>
      <c r="J3853" s="595">
        <f t="shared" si="115"/>
        <v>0</v>
      </c>
    </row>
    <row r="3854" spans="6:10" hidden="1" x14ac:dyDescent="0.25">
      <c r="F3854" s="263">
        <v>462</v>
      </c>
      <c r="G3854" s="295" t="s">
        <v>3826</v>
      </c>
      <c r="J3854" s="595">
        <f t="shared" si="115"/>
        <v>0</v>
      </c>
    </row>
    <row r="3855" spans="6:10" hidden="1" x14ac:dyDescent="0.25">
      <c r="F3855" s="263">
        <v>4631</v>
      </c>
      <c r="G3855" s="295" t="s">
        <v>3827</v>
      </c>
      <c r="J3855" s="595">
        <f t="shared" si="115"/>
        <v>0</v>
      </c>
    </row>
    <row r="3856" spans="6:10" hidden="1" x14ac:dyDescent="0.25">
      <c r="F3856" s="263">
        <v>4632</v>
      </c>
      <c r="G3856" s="295" t="s">
        <v>3828</v>
      </c>
      <c r="J3856" s="595">
        <f t="shared" si="115"/>
        <v>0</v>
      </c>
    </row>
    <row r="3857" spans="5:10" hidden="1" x14ac:dyDescent="0.25">
      <c r="F3857" s="263">
        <v>464</v>
      </c>
      <c r="G3857" s="295" t="s">
        <v>3829</v>
      </c>
      <c r="J3857" s="595">
        <f t="shared" si="115"/>
        <v>0</v>
      </c>
    </row>
    <row r="3858" spans="5:10" hidden="1" x14ac:dyDescent="0.25">
      <c r="F3858" s="263">
        <v>465</v>
      </c>
      <c r="G3858" s="295" t="s">
        <v>4192</v>
      </c>
      <c r="J3858" s="595">
        <f t="shared" si="115"/>
        <v>0</v>
      </c>
    </row>
    <row r="3859" spans="5:10" ht="15.75" thickBot="1" x14ac:dyDescent="0.3">
      <c r="E3859" s="218">
        <v>51</v>
      </c>
      <c r="F3859" s="263">
        <v>481</v>
      </c>
      <c r="G3859" s="712" t="s">
        <v>3836</v>
      </c>
      <c r="H3859" s="594">
        <v>546000</v>
      </c>
      <c r="J3859" s="595">
        <f t="shared" si="115"/>
        <v>546000</v>
      </c>
    </row>
    <row r="3860" spans="5:10" ht="15.75" hidden="1" thickBot="1" x14ac:dyDescent="0.3">
      <c r="F3860" s="263">
        <v>481</v>
      </c>
      <c r="G3860" s="295" t="s">
        <v>4211</v>
      </c>
      <c r="J3860" s="595">
        <f t="shared" si="115"/>
        <v>0</v>
      </c>
    </row>
    <row r="3861" spans="5:10" ht="15.75" hidden="1" thickBot="1" x14ac:dyDescent="0.3">
      <c r="F3861" s="263">
        <v>482</v>
      </c>
      <c r="G3861" s="295" t="s">
        <v>4212</v>
      </c>
      <c r="J3861" s="595">
        <f t="shared" si="115"/>
        <v>0</v>
      </c>
    </row>
    <row r="3862" spans="5:10" ht="15.75" hidden="1" thickBot="1" x14ac:dyDescent="0.3">
      <c r="F3862" s="263">
        <v>483</v>
      </c>
      <c r="G3862" s="298" t="s">
        <v>4213</v>
      </c>
      <c r="J3862" s="595">
        <f t="shared" si="115"/>
        <v>0</v>
      </c>
    </row>
    <row r="3863" spans="5:10" ht="30.75" hidden="1" thickBot="1" x14ac:dyDescent="0.3">
      <c r="F3863" s="263">
        <v>484</v>
      </c>
      <c r="G3863" s="295" t="s">
        <v>4214</v>
      </c>
      <c r="J3863" s="595">
        <f t="shared" si="115"/>
        <v>0</v>
      </c>
    </row>
    <row r="3864" spans="5:10" ht="30.75" hidden="1" thickBot="1" x14ac:dyDescent="0.3">
      <c r="F3864" s="263">
        <v>485</v>
      </c>
      <c r="G3864" s="295" t="s">
        <v>4215</v>
      </c>
      <c r="J3864" s="595">
        <f t="shared" si="115"/>
        <v>0</v>
      </c>
    </row>
    <row r="3865" spans="5:10" ht="30.75" hidden="1" thickBot="1" x14ac:dyDescent="0.3">
      <c r="F3865" s="263">
        <v>489</v>
      </c>
      <c r="G3865" s="295" t="s">
        <v>3841</v>
      </c>
      <c r="J3865" s="595">
        <f t="shared" si="115"/>
        <v>0</v>
      </c>
    </row>
    <row r="3866" spans="5:10" ht="15.75" hidden="1" thickBot="1" x14ac:dyDescent="0.3">
      <c r="F3866" s="263">
        <v>494</v>
      </c>
      <c r="G3866" s="295" t="s">
        <v>4193</v>
      </c>
      <c r="J3866" s="595">
        <f t="shared" si="115"/>
        <v>0</v>
      </c>
    </row>
    <row r="3867" spans="5:10" ht="30.75" hidden="1" thickBot="1" x14ac:dyDescent="0.3">
      <c r="F3867" s="263">
        <v>495</v>
      </c>
      <c r="G3867" s="295" t="s">
        <v>4194</v>
      </c>
      <c r="J3867" s="595">
        <f t="shared" si="115"/>
        <v>0</v>
      </c>
    </row>
    <row r="3868" spans="5:10" ht="30.75" hidden="1" thickBot="1" x14ac:dyDescent="0.3">
      <c r="F3868" s="263">
        <v>496</v>
      </c>
      <c r="G3868" s="295" t="s">
        <v>4195</v>
      </c>
      <c r="J3868" s="595">
        <f t="shared" si="115"/>
        <v>0</v>
      </c>
    </row>
    <row r="3869" spans="5:10" ht="15.75" hidden="1" thickBot="1" x14ac:dyDescent="0.3">
      <c r="F3869" s="263">
        <v>499</v>
      </c>
      <c r="G3869" s="295" t="s">
        <v>4196</v>
      </c>
      <c r="J3869" s="595">
        <f t="shared" si="115"/>
        <v>0</v>
      </c>
    </row>
    <row r="3870" spans="5:10" ht="15.75" hidden="1" thickBot="1" x14ac:dyDescent="0.3">
      <c r="F3870" s="263">
        <v>511</v>
      </c>
      <c r="G3870" s="298" t="s">
        <v>4216</v>
      </c>
      <c r="J3870" s="595">
        <f t="shared" si="115"/>
        <v>0</v>
      </c>
    </row>
    <row r="3871" spans="5:10" ht="15.75" hidden="1" thickBot="1" x14ac:dyDescent="0.3">
      <c r="F3871" s="263">
        <v>512</v>
      </c>
      <c r="G3871" s="298" t="s">
        <v>4217</v>
      </c>
      <c r="J3871" s="595">
        <f t="shared" si="115"/>
        <v>0</v>
      </c>
    </row>
    <row r="3872" spans="5:10" ht="15.75" hidden="1" thickBot="1" x14ac:dyDescent="0.3">
      <c r="F3872" s="263">
        <v>513</v>
      </c>
      <c r="G3872" s="298" t="s">
        <v>4218</v>
      </c>
      <c r="J3872" s="595">
        <f t="shared" si="115"/>
        <v>0</v>
      </c>
    </row>
    <row r="3873" spans="5:10" ht="15.75" hidden="1" thickBot="1" x14ac:dyDescent="0.3">
      <c r="F3873" s="263">
        <v>514</v>
      </c>
      <c r="G3873" s="295" t="s">
        <v>4219</v>
      </c>
      <c r="J3873" s="595">
        <f t="shared" si="115"/>
        <v>0</v>
      </c>
    </row>
    <row r="3874" spans="5:10" ht="15.75" hidden="1" thickBot="1" x14ac:dyDescent="0.3">
      <c r="F3874" s="263">
        <v>515</v>
      </c>
      <c r="G3874" s="295" t="s">
        <v>3852</v>
      </c>
      <c r="J3874" s="595">
        <f t="shared" si="115"/>
        <v>0</v>
      </c>
    </row>
    <row r="3875" spans="5:10" ht="15.75" hidden="1" thickBot="1" x14ac:dyDescent="0.3">
      <c r="F3875" s="263">
        <v>521</v>
      </c>
      <c r="G3875" s="295" t="s">
        <v>4220</v>
      </c>
      <c r="J3875" s="595">
        <f t="shared" si="115"/>
        <v>0</v>
      </c>
    </row>
    <row r="3876" spans="5:10" ht="15.75" hidden="1" thickBot="1" x14ac:dyDescent="0.3">
      <c r="F3876" s="263">
        <v>522</v>
      </c>
      <c r="G3876" s="295" t="s">
        <v>4221</v>
      </c>
      <c r="J3876" s="595">
        <f t="shared" si="115"/>
        <v>0</v>
      </c>
    </row>
    <row r="3877" spans="5:10" ht="15.75" hidden="1" thickBot="1" x14ac:dyDescent="0.3">
      <c r="F3877" s="263">
        <v>523</v>
      </c>
      <c r="G3877" s="295" t="s">
        <v>3857</v>
      </c>
      <c r="J3877" s="595">
        <f t="shared" si="115"/>
        <v>0</v>
      </c>
    </row>
    <row r="3878" spans="5:10" ht="15.75" hidden="1" thickBot="1" x14ac:dyDescent="0.3">
      <c r="F3878" s="263">
        <v>531</v>
      </c>
      <c r="G3878" s="292" t="s">
        <v>4197</v>
      </c>
      <c r="J3878" s="595">
        <f t="shared" si="115"/>
        <v>0</v>
      </c>
    </row>
    <row r="3879" spans="5:10" ht="15.75" hidden="1" thickBot="1" x14ac:dyDescent="0.3">
      <c r="F3879" s="263">
        <v>541</v>
      </c>
      <c r="G3879" s="295" t="s">
        <v>4222</v>
      </c>
      <c r="J3879" s="595">
        <f t="shared" si="115"/>
        <v>0</v>
      </c>
    </row>
    <row r="3880" spans="5:10" ht="15.75" hidden="1" thickBot="1" x14ac:dyDescent="0.3">
      <c r="F3880" s="263">
        <v>542</v>
      </c>
      <c r="G3880" s="295" t="s">
        <v>4223</v>
      </c>
      <c r="J3880" s="595">
        <f t="shared" si="115"/>
        <v>0</v>
      </c>
    </row>
    <row r="3881" spans="5:10" ht="15.75" hidden="1" thickBot="1" x14ac:dyDescent="0.3">
      <c r="F3881" s="263">
        <v>543</v>
      </c>
      <c r="G3881" s="295" t="s">
        <v>3862</v>
      </c>
      <c r="J3881" s="595">
        <f t="shared" si="115"/>
        <v>0</v>
      </c>
    </row>
    <row r="3882" spans="5:10" ht="30.75" hidden="1" thickBot="1" x14ac:dyDescent="0.3">
      <c r="F3882" s="263">
        <v>551</v>
      </c>
      <c r="G3882" s="295" t="s">
        <v>4198</v>
      </c>
      <c r="J3882" s="595">
        <f t="shared" si="115"/>
        <v>0</v>
      </c>
    </row>
    <row r="3883" spans="5:10" ht="15.75" hidden="1" thickBot="1" x14ac:dyDescent="0.3">
      <c r="F3883" s="264">
        <v>611</v>
      </c>
      <c r="G3883" s="299" t="s">
        <v>3868</v>
      </c>
      <c r="J3883" s="595">
        <f t="shared" si="115"/>
        <v>0</v>
      </c>
    </row>
    <row r="3884" spans="5:10" ht="15.75" hidden="1" thickBot="1" x14ac:dyDescent="0.3">
      <c r="F3884" s="264">
        <v>620</v>
      </c>
      <c r="G3884" s="299" t="s">
        <v>88</v>
      </c>
      <c r="J3884" s="595">
        <f t="shared" si="115"/>
        <v>0</v>
      </c>
    </row>
    <row r="3885" spans="5:10" x14ac:dyDescent="0.25">
      <c r="E3885" s="293"/>
      <c r="F3885" s="301"/>
      <c r="G3885" s="326" t="s">
        <v>4390</v>
      </c>
      <c r="H3885" s="596"/>
      <c r="I3885" s="622"/>
      <c r="J3885" s="597"/>
    </row>
    <row r="3886" spans="5:10" ht="15.75" thickBot="1" x14ac:dyDescent="0.3">
      <c r="E3886" s="222"/>
      <c r="F3886" s="249" t="s">
        <v>234</v>
      </c>
      <c r="G3886" s="252" t="s">
        <v>235</v>
      </c>
      <c r="H3886" s="598">
        <f>SUM(H3825:H3884)</f>
        <v>546000</v>
      </c>
      <c r="I3886" s="599"/>
      <c r="J3886" s="599">
        <f>SUM(H3886:I3886)</f>
        <v>546000</v>
      </c>
    </row>
    <row r="3887" spans="5:10" ht="15.75" hidden="1" thickBot="1" x14ac:dyDescent="0.3">
      <c r="F3887" s="249" t="s">
        <v>236</v>
      </c>
      <c r="G3887" s="252" t="s">
        <v>237</v>
      </c>
      <c r="J3887" s="599">
        <f t="shared" ref="J3887:J3901" si="116">SUM(H3887:I3887)</f>
        <v>0</v>
      </c>
    </row>
    <row r="3888" spans="5:10" ht="15.75" hidden="1" thickBot="1" x14ac:dyDescent="0.3">
      <c r="F3888" s="249" t="s">
        <v>238</v>
      </c>
      <c r="G3888" s="252" t="s">
        <v>239</v>
      </c>
      <c r="J3888" s="599">
        <f t="shared" si="116"/>
        <v>0</v>
      </c>
    </row>
    <row r="3889" spans="5:10" ht="15.75" hidden="1" thickBot="1" x14ac:dyDescent="0.3">
      <c r="F3889" s="249" t="s">
        <v>240</v>
      </c>
      <c r="G3889" s="252" t="s">
        <v>241</v>
      </c>
      <c r="J3889" s="599">
        <f t="shared" si="116"/>
        <v>0</v>
      </c>
    </row>
    <row r="3890" spans="5:10" ht="15.75" hidden="1" thickBot="1" x14ac:dyDescent="0.3">
      <c r="F3890" s="249" t="s">
        <v>242</v>
      </c>
      <c r="G3890" s="252" t="s">
        <v>243</v>
      </c>
      <c r="J3890" s="599">
        <f t="shared" si="116"/>
        <v>0</v>
      </c>
    </row>
    <row r="3891" spans="5:10" ht="15.75" hidden="1" thickBot="1" x14ac:dyDescent="0.3">
      <c r="F3891" s="249" t="s">
        <v>244</v>
      </c>
      <c r="G3891" s="252" t="s">
        <v>245</v>
      </c>
      <c r="J3891" s="599">
        <f t="shared" si="116"/>
        <v>0</v>
      </c>
    </row>
    <row r="3892" spans="5:10" ht="15.75" hidden="1" thickBot="1" x14ac:dyDescent="0.3">
      <c r="F3892" s="249" t="s">
        <v>246</v>
      </c>
      <c r="G3892" s="252" t="s">
        <v>247</v>
      </c>
      <c r="J3892" s="599">
        <f t="shared" si="116"/>
        <v>0</v>
      </c>
    </row>
    <row r="3893" spans="5:10" ht="15.75" hidden="1" thickBot="1" x14ac:dyDescent="0.3">
      <c r="F3893" s="249" t="s">
        <v>248</v>
      </c>
      <c r="G3893" s="252" t="s">
        <v>249</v>
      </c>
      <c r="J3893" s="599">
        <f t="shared" si="116"/>
        <v>0</v>
      </c>
    </row>
    <row r="3894" spans="5:10" ht="15.75" hidden="1" thickBot="1" x14ac:dyDescent="0.3">
      <c r="F3894" s="249" t="s">
        <v>250</v>
      </c>
      <c r="G3894" s="252" t="s">
        <v>57</v>
      </c>
      <c r="J3894" s="599">
        <f t="shared" si="116"/>
        <v>0</v>
      </c>
    </row>
    <row r="3895" spans="5:10" ht="15.75" hidden="1" thickBot="1" x14ac:dyDescent="0.3">
      <c r="F3895" s="249" t="s">
        <v>251</v>
      </c>
      <c r="G3895" s="252" t="s">
        <v>252</v>
      </c>
      <c r="J3895" s="599">
        <f t="shared" si="116"/>
        <v>0</v>
      </c>
    </row>
    <row r="3896" spans="5:10" ht="15.75" hidden="1" thickBot="1" x14ac:dyDescent="0.3">
      <c r="F3896" s="249" t="s">
        <v>253</v>
      </c>
      <c r="G3896" s="252" t="s">
        <v>254</v>
      </c>
      <c r="J3896" s="599">
        <f t="shared" si="116"/>
        <v>0</v>
      </c>
    </row>
    <row r="3897" spans="5:10" ht="30.75" hidden="1" thickBot="1" x14ac:dyDescent="0.3">
      <c r="F3897" s="249" t="s">
        <v>255</v>
      </c>
      <c r="G3897" s="252" t="s">
        <v>256</v>
      </c>
      <c r="J3897" s="599">
        <f t="shared" si="116"/>
        <v>0</v>
      </c>
    </row>
    <row r="3898" spans="5:10" ht="15.75" hidden="1" thickBot="1" x14ac:dyDescent="0.3">
      <c r="F3898" s="249" t="s">
        <v>257</v>
      </c>
      <c r="G3898" s="252" t="s">
        <v>258</v>
      </c>
      <c r="J3898" s="599">
        <f t="shared" si="116"/>
        <v>0</v>
      </c>
    </row>
    <row r="3899" spans="5:10" ht="30.75" hidden="1" thickBot="1" x14ac:dyDescent="0.3">
      <c r="F3899" s="249" t="s">
        <v>259</v>
      </c>
      <c r="G3899" s="252" t="s">
        <v>260</v>
      </c>
      <c r="J3899" s="599">
        <f t="shared" si="116"/>
        <v>0</v>
      </c>
    </row>
    <row r="3900" spans="5:10" ht="15.75" hidden="1" thickBot="1" x14ac:dyDescent="0.3">
      <c r="F3900" s="249" t="s">
        <v>261</v>
      </c>
      <c r="G3900" s="252" t="s">
        <v>262</v>
      </c>
      <c r="J3900" s="599">
        <f t="shared" si="116"/>
        <v>0</v>
      </c>
    </row>
    <row r="3901" spans="5:10" ht="15.75" hidden="1" thickBot="1" x14ac:dyDescent="0.3">
      <c r="F3901" s="249" t="s">
        <v>263</v>
      </c>
      <c r="G3901" s="252" t="s">
        <v>264</v>
      </c>
      <c r="H3901" s="598"/>
      <c r="I3901" s="599"/>
      <c r="J3901" s="599">
        <f t="shared" si="116"/>
        <v>0</v>
      </c>
    </row>
    <row r="3902" spans="5:10" ht="15.75" thickBot="1" x14ac:dyDescent="0.3">
      <c r="G3902" s="229" t="s">
        <v>4391</v>
      </c>
      <c r="H3902" s="600">
        <f>SUM(H3886:H3901)</f>
        <v>546000</v>
      </c>
      <c r="I3902" s="601">
        <f>SUM(I3887:I3901)</f>
        <v>0</v>
      </c>
      <c r="J3902" s="601">
        <f>SUM(J3886:J3901)</f>
        <v>546000</v>
      </c>
    </row>
    <row r="3903" spans="5:10" ht="24" customHeight="1" collapsed="1" x14ac:dyDescent="0.25">
      <c r="E3903" s="260"/>
      <c r="F3903" s="264"/>
      <c r="G3903" s="231" t="s">
        <v>4277</v>
      </c>
      <c r="H3903" s="602"/>
      <c r="I3903" s="623"/>
      <c r="J3903" s="603"/>
    </row>
    <row r="3904" spans="5:10" ht="15.75" thickBot="1" x14ac:dyDescent="0.3">
      <c r="E3904" s="222"/>
      <c r="F3904" s="249" t="s">
        <v>234</v>
      </c>
      <c r="G3904" s="252" t="s">
        <v>235</v>
      </c>
      <c r="H3904" s="598">
        <f>SUM(H3825:H3884)</f>
        <v>546000</v>
      </c>
      <c r="I3904" s="599"/>
      <c r="J3904" s="599">
        <f>SUM(H3904:I3904)</f>
        <v>546000</v>
      </c>
    </row>
    <row r="3905" spans="6:10" ht="15.75" hidden="1" thickBot="1" x14ac:dyDescent="0.3">
      <c r="F3905" s="249" t="s">
        <v>236</v>
      </c>
      <c r="G3905" s="252" t="s">
        <v>237</v>
      </c>
      <c r="J3905" s="599">
        <f t="shared" ref="J3905:J3919" si="117">SUM(H3905:I3905)</f>
        <v>0</v>
      </c>
    </row>
    <row r="3906" spans="6:10" ht="15.75" hidden="1" thickBot="1" x14ac:dyDescent="0.3">
      <c r="F3906" s="249" t="s">
        <v>238</v>
      </c>
      <c r="G3906" s="252" t="s">
        <v>239</v>
      </c>
      <c r="J3906" s="599">
        <f t="shared" si="117"/>
        <v>0</v>
      </c>
    </row>
    <row r="3907" spans="6:10" ht="15.75" hidden="1" thickBot="1" x14ac:dyDescent="0.3">
      <c r="F3907" s="249" t="s">
        <v>240</v>
      </c>
      <c r="G3907" s="252" t="s">
        <v>241</v>
      </c>
      <c r="J3907" s="599">
        <f t="shared" si="117"/>
        <v>0</v>
      </c>
    </row>
    <row r="3908" spans="6:10" ht="15.75" hidden="1" thickBot="1" x14ac:dyDescent="0.3">
      <c r="F3908" s="249" t="s">
        <v>242</v>
      </c>
      <c r="G3908" s="252" t="s">
        <v>243</v>
      </c>
      <c r="J3908" s="599">
        <f t="shared" si="117"/>
        <v>0</v>
      </c>
    </row>
    <row r="3909" spans="6:10" ht="15.75" hidden="1" thickBot="1" x14ac:dyDescent="0.3">
      <c r="F3909" s="249" t="s">
        <v>244</v>
      </c>
      <c r="G3909" s="252" t="s">
        <v>245</v>
      </c>
      <c r="J3909" s="599">
        <f t="shared" si="117"/>
        <v>0</v>
      </c>
    </row>
    <row r="3910" spans="6:10" ht="15.75" hidden="1" thickBot="1" x14ac:dyDescent="0.3">
      <c r="F3910" s="249" t="s">
        <v>246</v>
      </c>
      <c r="G3910" s="252" t="s">
        <v>247</v>
      </c>
      <c r="J3910" s="599">
        <f t="shared" si="117"/>
        <v>0</v>
      </c>
    </row>
    <row r="3911" spans="6:10" ht="15.75" hidden="1" thickBot="1" x14ac:dyDescent="0.3">
      <c r="F3911" s="249" t="s">
        <v>248</v>
      </c>
      <c r="G3911" s="252" t="s">
        <v>249</v>
      </c>
      <c r="J3911" s="599">
        <f t="shared" si="117"/>
        <v>0</v>
      </c>
    </row>
    <row r="3912" spans="6:10" ht="15.75" hidden="1" thickBot="1" x14ac:dyDescent="0.3">
      <c r="F3912" s="249" t="s">
        <v>250</v>
      </c>
      <c r="G3912" s="252" t="s">
        <v>57</v>
      </c>
      <c r="J3912" s="599">
        <f t="shared" si="117"/>
        <v>0</v>
      </c>
    </row>
    <row r="3913" spans="6:10" ht="15.75" hidden="1" thickBot="1" x14ac:dyDescent="0.3">
      <c r="F3913" s="249" t="s">
        <v>251</v>
      </c>
      <c r="G3913" s="252" t="s">
        <v>252</v>
      </c>
      <c r="J3913" s="599">
        <f t="shared" si="117"/>
        <v>0</v>
      </c>
    </row>
    <row r="3914" spans="6:10" ht="15.75" hidden="1" thickBot="1" x14ac:dyDescent="0.3">
      <c r="F3914" s="249" t="s">
        <v>253</v>
      </c>
      <c r="G3914" s="252" t="s">
        <v>254</v>
      </c>
      <c r="J3914" s="599">
        <f t="shared" si="117"/>
        <v>0</v>
      </c>
    </row>
    <row r="3915" spans="6:10" ht="30.75" hidden="1" thickBot="1" x14ac:dyDescent="0.3">
      <c r="F3915" s="249" t="s">
        <v>255</v>
      </c>
      <c r="G3915" s="252" t="s">
        <v>256</v>
      </c>
      <c r="J3915" s="599">
        <f t="shared" si="117"/>
        <v>0</v>
      </c>
    </row>
    <row r="3916" spans="6:10" ht="15.75" hidden="1" thickBot="1" x14ac:dyDescent="0.3">
      <c r="F3916" s="249" t="s">
        <v>257</v>
      </c>
      <c r="G3916" s="252" t="s">
        <v>258</v>
      </c>
      <c r="J3916" s="599">
        <f t="shared" si="117"/>
        <v>0</v>
      </c>
    </row>
    <row r="3917" spans="6:10" ht="30.75" hidden="1" thickBot="1" x14ac:dyDescent="0.3">
      <c r="F3917" s="249" t="s">
        <v>259</v>
      </c>
      <c r="G3917" s="252" t="s">
        <v>260</v>
      </c>
      <c r="J3917" s="599">
        <f t="shared" si="117"/>
        <v>0</v>
      </c>
    </row>
    <row r="3918" spans="6:10" ht="15.75" hidden="1" thickBot="1" x14ac:dyDescent="0.3">
      <c r="F3918" s="249" t="s">
        <v>261</v>
      </c>
      <c r="G3918" s="252" t="s">
        <v>262</v>
      </c>
      <c r="J3918" s="599">
        <f t="shared" si="117"/>
        <v>0</v>
      </c>
    </row>
    <row r="3919" spans="6:10" ht="15.75" hidden="1" thickBot="1" x14ac:dyDescent="0.3">
      <c r="F3919" s="249" t="s">
        <v>263</v>
      </c>
      <c r="G3919" s="252" t="s">
        <v>264</v>
      </c>
      <c r="H3919" s="598"/>
      <c r="I3919" s="599"/>
      <c r="J3919" s="599">
        <f t="shared" si="117"/>
        <v>0</v>
      </c>
    </row>
    <row r="3920" spans="6:10" ht="15.75" collapsed="1" thickBot="1" x14ac:dyDescent="0.3">
      <c r="G3920" s="229" t="s">
        <v>4278</v>
      </c>
      <c r="H3920" s="600">
        <f>SUM(H3904:H3919)</f>
        <v>546000</v>
      </c>
      <c r="I3920" s="601">
        <f>SUM(I3905:I3919)</f>
        <v>0</v>
      </c>
      <c r="J3920" s="601">
        <f>SUM(J3904:J3919)</f>
        <v>546000</v>
      </c>
    </row>
    <row r="3921" spans="3:10" x14ac:dyDescent="0.25">
      <c r="G3921" s="286"/>
      <c r="H3921" s="604"/>
      <c r="I3921" s="605"/>
      <c r="J3921" s="605"/>
    </row>
    <row r="3922" spans="3:10" x14ac:dyDescent="0.25">
      <c r="C3922" s="722" t="s">
        <v>4801</v>
      </c>
      <c r="G3922" s="286" t="s">
        <v>5155</v>
      </c>
      <c r="H3922" s="604"/>
      <c r="I3922" s="605"/>
      <c r="J3922" s="605"/>
    </row>
    <row r="3923" spans="3:10" ht="30" x14ac:dyDescent="0.25">
      <c r="D3923" s="721" t="s">
        <v>3908</v>
      </c>
      <c r="G3923" s="314" t="s">
        <v>4240</v>
      </c>
      <c r="H3923" s="604"/>
      <c r="I3923" s="605"/>
      <c r="J3923" s="605"/>
    </row>
    <row r="3924" spans="3:10" hidden="1" x14ac:dyDescent="0.25">
      <c r="F3924" s="218">
        <v>411</v>
      </c>
      <c r="G3924" s="286" t="s">
        <v>4189</v>
      </c>
      <c r="H3924" s="604"/>
      <c r="I3924" s="605"/>
      <c r="J3924" s="605">
        <f t="shared" ref="J3924:J3955" si="118">SUM(H3924:I3924)</f>
        <v>0</v>
      </c>
    </row>
    <row r="3925" spans="3:10" hidden="1" x14ac:dyDescent="0.25">
      <c r="F3925" s="218">
        <v>412</v>
      </c>
      <c r="G3925" s="286" t="s">
        <v>3784</v>
      </c>
      <c r="H3925" s="604"/>
      <c r="I3925" s="605"/>
      <c r="J3925" s="605">
        <f t="shared" si="118"/>
        <v>0</v>
      </c>
    </row>
    <row r="3926" spans="3:10" hidden="1" x14ac:dyDescent="0.25">
      <c r="F3926" s="218">
        <v>413</v>
      </c>
      <c r="G3926" s="286" t="s">
        <v>4190</v>
      </c>
      <c r="H3926" s="604"/>
      <c r="I3926" s="605"/>
      <c r="J3926" s="605">
        <f t="shared" si="118"/>
        <v>0</v>
      </c>
    </row>
    <row r="3927" spans="3:10" hidden="1" x14ac:dyDescent="0.25">
      <c r="F3927" s="218">
        <v>414</v>
      </c>
      <c r="G3927" s="286" t="s">
        <v>3787</v>
      </c>
      <c r="H3927" s="604"/>
      <c r="I3927" s="605"/>
      <c r="J3927" s="605">
        <f t="shared" si="118"/>
        <v>0</v>
      </c>
    </row>
    <row r="3928" spans="3:10" hidden="1" x14ac:dyDescent="0.25">
      <c r="F3928" s="218">
        <v>415</v>
      </c>
      <c r="G3928" s="286" t="s">
        <v>4199</v>
      </c>
      <c r="H3928" s="604"/>
      <c r="I3928" s="605"/>
      <c r="J3928" s="605">
        <f t="shared" si="118"/>
        <v>0</v>
      </c>
    </row>
    <row r="3929" spans="3:10" hidden="1" x14ac:dyDescent="0.25">
      <c r="F3929" s="218">
        <v>416</v>
      </c>
      <c r="G3929" s="286" t="s">
        <v>4200</v>
      </c>
      <c r="H3929" s="604"/>
      <c r="I3929" s="605"/>
      <c r="J3929" s="605">
        <f t="shared" si="118"/>
        <v>0</v>
      </c>
    </row>
    <row r="3930" spans="3:10" hidden="1" x14ac:dyDescent="0.25">
      <c r="F3930" s="218">
        <v>417</v>
      </c>
      <c r="G3930" s="286" t="s">
        <v>4201</v>
      </c>
      <c r="H3930" s="604"/>
      <c r="I3930" s="605"/>
      <c r="J3930" s="605">
        <f t="shared" si="118"/>
        <v>0</v>
      </c>
    </row>
    <row r="3931" spans="3:10" hidden="1" x14ac:dyDescent="0.25">
      <c r="F3931" s="218">
        <v>418</v>
      </c>
      <c r="G3931" s="286" t="s">
        <v>3793</v>
      </c>
      <c r="H3931" s="604"/>
      <c r="I3931" s="605"/>
      <c r="J3931" s="605">
        <f t="shared" si="118"/>
        <v>0</v>
      </c>
    </row>
    <row r="3932" spans="3:10" hidden="1" x14ac:dyDescent="0.25">
      <c r="F3932" s="218">
        <v>421</v>
      </c>
      <c r="G3932" s="286" t="s">
        <v>3797</v>
      </c>
      <c r="H3932" s="604"/>
      <c r="I3932" s="605"/>
      <c r="J3932" s="605">
        <f t="shared" si="118"/>
        <v>0</v>
      </c>
    </row>
    <row r="3933" spans="3:10" hidden="1" x14ac:dyDescent="0.25">
      <c r="F3933" s="218">
        <v>422</v>
      </c>
      <c r="G3933" s="286" t="s">
        <v>3798</v>
      </c>
      <c r="H3933" s="604"/>
      <c r="I3933" s="605"/>
      <c r="J3933" s="605">
        <f t="shared" si="118"/>
        <v>0</v>
      </c>
    </row>
    <row r="3934" spans="3:10" hidden="1" x14ac:dyDescent="0.25">
      <c r="F3934" s="218">
        <v>423</v>
      </c>
      <c r="G3934" s="286" t="s">
        <v>3799</v>
      </c>
      <c r="H3934" s="604"/>
      <c r="I3934" s="605"/>
      <c r="J3934" s="605">
        <f t="shared" si="118"/>
        <v>0</v>
      </c>
    </row>
    <row r="3935" spans="3:10" hidden="1" x14ac:dyDescent="0.25">
      <c r="F3935" s="218">
        <v>424</v>
      </c>
      <c r="G3935" s="286" t="s">
        <v>3801</v>
      </c>
      <c r="H3935" s="604"/>
      <c r="I3935" s="605"/>
      <c r="J3935" s="605">
        <f t="shared" si="118"/>
        <v>0</v>
      </c>
    </row>
    <row r="3936" spans="3:10" hidden="1" x14ac:dyDescent="0.25">
      <c r="F3936" s="218">
        <v>425</v>
      </c>
      <c r="G3936" s="286" t="s">
        <v>4202</v>
      </c>
      <c r="H3936" s="604"/>
      <c r="I3936" s="605"/>
      <c r="J3936" s="605">
        <f t="shared" si="118"/>
        <v>0</v>
      </c>
    </row>
    <row r="3937" spans="6:10" hidden="1" x14ac:dyDescent="0.25">
      <c r="F3937" s="218">
        <v>426</v>
      </c>
      <c r="G3937" s="286" t="s">
        <v>3805</v>
      </c>
      <c r="H3937" s="604"/>
      <c r="I3937" s="605"/>
      <c r="J3937" s="605">
        <f t="shared" si="118"/>
        <v>0</v>
      </c>
    </row>
    <row r="3938" spans="6:10" hidden="1" x14ac:dyDescent="0.25">
      <c r="F3938" s="218">
        <v>431</v>
      </c>
      <c r="G3938" s="286" t="s">
        <v>4203</v>
      </c>
      <c r="H3938" s="604"/>
      <c r="I3938" s="605"/>
      <c r="J3938" s="605">
        <f t="shared" si="118"/>
        <v>0</v>
      </c>
    </row>
    <row r="3939" spans="6:10" hidden="1" x14ac:dyDescent="0.25">
      <c r="F3939" s="218">
        <v>432</v>
      </c>
      <c r="G3939" s="286" t="s">
        <v>4204</v>
      </c>
      <c r="H3939" s="604"/>
      <c r="I3939" s="605"/>
      <c r="J3939" s="605">
        <f t="shared" si="118"/>
        <v>0</v>
      </c>
    </row>
    <row r="3940" spans="6:10" hidden="1" x14ac:dyDescent="0.25">
      <c r="F3940" s="218">
        <v>433</v>
      </c>
      <c r="G3940" s="286" t="s">
        <v>4205</v>
      </c>
      <c r="H3940" s="604"/>
      <c r="I3940" s="605"/>
      <c r="J3940" s="605">
        <f t="shared" si="118"/>
        <v>0</v>
      </c>
    </row>
    <row r="3941" spans="6:10" hidden="1" x14ac:dyDescent="0.25">
      <c r="F3941" s="218">
        <v>434</v>
      </c>
      <c r="G3941" s="286" t="s">
        <v>4206</v>
      </c>
      <c r="H3941" s="604"/>
      <c r="I3941" s="605"/>
      <c r="J3941" s="605">
        <f t="shared" si="118"/>
        <v>0</v>
      </c>
    </row>
    <row r="3942" spans="6:10" hidden="1" x14ac:dyDescent="0.25">
      <c r="F3942" s="218">
        <v>435</v>
      </c>
      <c r="G3942" s="286" t="s">
        <v>3812</v>
      </c>
      <c r="H3942" s="604"/>
      <c r="I3942" s="605"/>
      <c r="J3942" s="605">
        <f t="shared" si="118"/>
        <v>0</v>
      </c>
    </row>
    <row r="3943" spans="6:10" hidden="1" x14ac:dyDescent="0.25">
      <c r="F3943" s="218">
        <v>441</v>
      </c>
      <c r="G3943" s="286" t="s">
        <v>4207</v>
      </c>
      <c r="H3943" s="604"/>
      <c r="I3943" s="605"/>
      <c r="J3943" s="605">
        <f t="shared" si="118"/>
        <v>0</v>
      </c>
    </row>
    <row r="3944" spans="6:10" hidden="1" x14ac:dyDescent="0.25">
      <c r="F3944" s="218">
        <v>442</v>
      </c>
      <c r="G3944" s="286" t="s">
        <v>4208</v>
      </c>
      <c r="H3944" s="604"/>
      <c r="I3944" s="605"/>
      <c r="J3944" s="605">
        <f t="shared" si="118"/>
        <v>0</v>
      </c>
    </row>
    <row r="3945" spans="6:10" hidden="1" x14ac:dyDescent="0.25">
      <c r="F3945" s="218">
        <v>443</v>
      </c>
      <c r="G3945" s="286" t="s">
        <v>3817</v>
      </c>
      <c r="H3945" s="604"/>
      <c r="I3945" s="605"/>
      <c r="J3945" s="605">
        <f t="shared" si="118"/>
        <v>0</v>
      </c>
    </row>
    <row r="3946" spans="6:10" hidden="1" x14ac:dyDescent="0.25">
      <c r="F3946" s="218">
        <v>444</v>
      </c>
      <c r="G3946" s="286" t="s">
        <v>3818</v>
      </c>
      <c r="H3946" s="604"/>
      <c r="I3946" s="605"/>
      <c r="J3946" s="605">
        <f t="shared" si="118"/>
        <v>0</v>
      </c>
    </row>
    <row r="3947" spans="6:10" ht="28.5" hidden="1" x14ac:dyDescent="0.25">
      <c r="F3947" s="218">
        <v>4511</v>
      </c>
      <c r="G3947" s="286" t="s">
        <v>1692</v>
      </c>
      <c r="H3947" s="604"/>
      <c r="I3947" s="605"/>
      <c r="J3947" s="605">
        <f t="shared" si="118"/>
        <v>0</v>
      </c>
    </row>
    <row r="3948" spans="6:10" ht="28.5" hidden="1" x14ac:dyDescent="0.25">
      <c r="F3948" s="218">
        <v>4512</v>
      </c>
      <c r="G3948" s="286" t="s">
        <v>1701</v>
      </c>
      <c r="H3948" s="604"/>
      <c r="I3948" s="605"/>
      <c r="J3948" s="605">
        <f t="shared" si="118"/>
        <v>0</v>
      </c>
    </row>
    <row r="3949" spans="6:10" hidden="1" x14ac:dyDescent="0.25">
      <c r="F3949" s="218">
        <v>452</v>
      </c>
      <c r="G3949" s="286" t="s">
        <v>4209</v>
      </c>
      <c r="H3949" s="604"/>
      <c r="I3949" s="605"/>
      <c r="J3949" s="605">
        <f t="shared" si="118"/>
        <v>0</v>
      </c>
    </row>
    <row r="3950" spans="6:10" ht="17.25" hidden="1" customHeight="1" x14ac:dyDescent="0.25">
      <c r="F3950" s="218">
        <v>453</v>
      </c>
      <c r="G3950" s="286" t="s">
        <v>4210</v>
      </c>
      <c r="H3950" s="604"/>
      <c r="I3950" s="605"/>
      <c r="J3950" s="605">
        <f t="shared" si="118"/>
        <v>0</v>
      </c>
    </row>
    <row r="3951" spans="6:10" hidden="1" x14ac:dyDescent="0.25">
      <c r="F3951" s="218">
        <v>454</v>
      </c>
      <c r="G3951" s="286" t="s">
        <v>3823</v>
      </c>
      <c r="H3951" s="604"/>
      <c r="I3951" s="605"/>
      <c r="J3951" s="605">
        <f t="shared" si="118"/>
        <v>0</v>
      </c>
    </row>
    <row r="3952" spans="6:10" hidden="1" x14ac:dyDescent="0.25">
      <c r="F3952" s="218">
        <v>461</v>
      </c>
      <c r="G3952" s="286" t="s">
        <v>4191</v>
      </c>
      <c r="H3952" s="604"/>
      <c r="I3952" s="605"/>
      <c r="J3952" s="605">
        <f t="shared" si="118"/>
        <v>0</v>
      </c>
    </row>
    <row r="3953" spans="5:10" hidden="1" x14ac:dyDescent="0.25">
      <c r="F3953" s="218">
        <v>462</v>
      </c>
      <c r="G3953" s="286" t="s">
        <v>3826</v>
      </c>
      <c r="H3953" s="604"/>
      <c r="I3953" s="605"/>
      <c r="J3953" s="605">
        <f t="shared" si="118"/>
        <v>0</v>
      </c>
    </row>
    <row r="3954" spans="5:10" hidden="1" x14ac:dyDescent="0.25">
      <c r="F3954" s="218">
        <v>4631</v>
      </c>
      <c r="G3954" s="286" t="s">
        <v>3827</v>
      </c>
      <c r="H3954" s="604"/>
      <c r="I3954" s="605"/>
      <c r="J3954" s="605">
        <f t="shared" si="118"/>
        <v>0</v>
      </c>
    </row>
    <row r="3955" spans="5:10" ht="15.75" thickBot="1" x14ac:dyDescent="0.3">
      <c r="E3955" s="218">
        <v>52</v>
      </c>
      <c r="F3955" s="218">
        <v>4632</v>
      </c>
      <c r="G3955" s="723" t="s">
        <v>3828</v>
      </c>
      <c r="H3955" s="725">
        <v>1500000</v>
      </c>
      <c r="I3955" s="726"/>
      <c r="J3955" s="729">
        <f t="shared" si="118"/>
        <v>1500000</v>
      </c>
    </row>
    <row r="3956" spans="5:10" ht="28.5" hidden="1" x14ac:dyDescent="0.25">
      <c r="F3956" s="218">
        <v>464</v>
      </c>
      <c r="G3956" s="286" t="s">
        <v>3829</v>
      </c>
      <c r="H3956" s="604"/>
      <c r="I3956" s="605"/>
      <c r="J3956" s="605">
        <f t="shared" ref="J3956:J3983" si="119">SUM(H3956:I3956)</f>
        <v>0</v>
      </c>
    </row>
    <row r="3957" spans="5:10" hidden="1" x14ac:dyDescent="0.25">
      <c r="F3957" s="218">
        <v>465</v>
      </c>
      <c r="G3957" s="286" t="s">
        <v>4192</v>
      </c>
      <c r="H3957" s="604"/>
      <c r="I3957" s="605"/>
      <c r="J3957" s="605">
        <f t="shared" si="119"/>
        <v>0</v>
      </c>
    </row>
    <row r="3958" spans="5:10" hidden="1" x14ac:dyDescent="0.25">
      <c r="F3958" s="218">
        <v>472</v>
      </c>
      <c r="G3958" s="286" t="s">
        <v>3833</v>
      </c>
      <c r="H3958" s="604"/>
      <c r="I3958" s="605"/>
      <c r="J3958" s="605">
        <f t="shared" si="119"/>
        <v>0</v>
      </c>
    </row>
    <row r="3959" spans="5:10" hidden="1" x14ac:dyDescent="0.25">
      <c r="F3959" s="218">
        <v>481</v>
      </c>
      <c r="G3959" s="286" t="s">
        <v>4211</v>
      </c>
      <c r="H3959" s="604"/>
      <c r="I3959" s="605"/>
      <c r="J3959" s="605">
        <f t="shared" si="119"/>
        <v>0</v>
      </c>
    </row>
    <row r="3960" spans="5:10" hidden="1" x14ac:dyDescent="0.25">
      <c r="F3960" s="218">
        <v>482</v>
      </c>
      <c r="G3960" s="286" t="s">
        <v>4212</v>
      </c>
      <c r="H3960" s="604"/>
      <c r="I3960" s="605"/>
      <c r="J3960" s="605">
        <f t="shared" si="119"/>
        <v>0</v>
      </c>
    </row>
    <row r="3961" spans="5:10" hidden="1" x14ac:dyDescent="0.25">
      <c r="F3961" s="218">
        <v>483</v>
      </c>
      <c r="G3961" s="286" t="s">
        <v>4213</v>
      </c>
      <c r="H3961" s="604"/>
      <c r="I3961" s="605"/>
      <c r="J3961" s="605">
        <f t="shared" si="119"/>
        <v>0</v>
      </c>
    </row>
    <row r="3962" spans="5:10" ht="28.5" hidden="1" x14ac:dyDescent="0.25">
      <c r="F3962" s="218">
        <v>484</v>
      </c>
      <c r="G3962" s="286" t="s">
        <v>4214</v>
      </c>
      <c r="H3962" s="604"/>
      <c r="I3962" s="605"/>
      <c r="J3962" s="605">
        <f t="shared" si="119"/>
        <v>0</v>
      </c>
    </row>
    <row r="3963" spans="5:10" ht="28.5" hidden="1" x14ac:dyDescent="0.25">
      <c r="F3963" s="218">
        <v>485</v>
      </c>
      <c r="G3963" s="286" t="s">
        <v>4215</v>
      </c>
      <c r="H3963" s="604"/>
      <c r="I3963" s="605"/>
      <c r="J3963" s="605">
        <f t="shared" si="119"/>
        <v>0</v>
      </c>
    </row>
    <row r="3964" spans="5:10" ht="28.5" hidden="1" x14ac:dyDescent="0.25">
      <c r="F3964" s="218">
        <v>489</v>
      </c>
      <c r="G3964" s="286" t="s">
        <v>3841</v>
      </c>
      <c r="H3964" s="604"/>
      <c r="I3964" s="605"/>
      <c r="J3964" s="605">
        <f t="shared" si="119"/>
        <v>0</v>
      </c>
    </row>
    <row r="3965" spans="5:10" ht="28.5" hidden="1" x14ac:dyDescent="0.25">
      <c r="F3965" s="218">
        <v>494</v>
      </c>
      <c r="G3965" s="286" t="s">
        <v>4193</v>
      </c>
      <c r="H3965" s="604"/>
      <c r="I3965" s="605"/>
      <c r="J3965" s="605">
        <f t="shared" si="119"/>
        <v>0</v>
      </c>
    </row>
    <row r="3966" spans="5:10" ht="28.5" hidden="1" x14ac:dyDescent="0.25">
      <c r="F3966" s="218">
        <v>495</v>
      </c>
      <c r="G3966" s="286" t="s">
        <v>4194</v>
      </c>
      <c r="H3966" s="604"/>
      <c r="I3966" s="605"/>
      <c r="J3966" s="605">
        <f t="shared" si="119"/>
        <v>0</v>
      </c>
    </row>
    <row r="3967" spans="5:10" ht="28.5" hidden="1" x14ac:dyDescent="0.25">
      <c r="F3967" s="218">
        <v>496</v>
      </c>
      <c r="G3967" s="286" t="s">
        <v>4195</v>
      </c>
      <c r="H3967" s="604"/>
      <c r="I3967" s="605"/>
      <c r="J3967" s="605">
        <f t="shared" si="119"/>
        <v>0</v>
      </c>
    </row>
    <row r="3968" spans="5:10" ht="28.5" hidden="1" x14ac:dyDescent="0.25">
      <c r="F3968" s="218">
        <v>499</v>
      </c>
      <c r="G3968" s="286" t="s">
        <v>4196</v>
      </c>
      <c r="H3968" s="604"/>
      <c r="I3968" s="605"/>
      <c r="J3968" s="605">
        <f t="shared" si="119"/>
        <v>0</v>
      </c>
    </row>
    <row r="3969" spans="6:10" hidden="1" x14ac:dyDescent="0.25">
      <c r="F3969" s="218">
        <v>511</v>
      </c>
      <c r="G3969" s="286" t="s">
        <v>4216</v>
      </c>
      <c r="H3969" s="604"/>
      <c r="I3969" s="605"/>
      <c r="J3969" s="605">
        <f t="shared" si="119"/>
        <v>0</v>
      </c>
    </row>
    <row r="3970" spans="6:10" hidden="1" x14ac:dyDescent="0.25">
      <c r="F3970" s="218">
        <v>512</v>
      </c>
      <c r="G3970" s="286" t="s">
        <v>4217</v>
      </c>
      <c r="H3970" s="604"/>
      <c r="I3970" s="605"/>
      <c r="J3970" s="605">
        <f t="shared" si="119"/>
        <v>0</v>
      </c>
    </row>
    <row r="3971" spans="6:10" hidden="1" x14ac:dyDescent="0.25">
      <c r="F3971" s="218">
        <v>513</v>
      </c>
      <c r="G3971" s="286" t="s">
        <v>4218</v>
      </c>
      <c r="H3971" s="604"/>
      <c r="I3971" s="605"/>
      <c r="J3971" s="605">
        <f t="shared" si="119"/>
        <v>0</v>
      </c>
    </row>
    <row r="3972" spans="6:10" hidden="1" x14ac:dyDescent="0.25">
      <c r="F3972" s="218">
        <v>514</v>
      </c>
      <c r="G3972" s="286" t="s">
        <v>4219</v>
      </c>
      <c r="H3972" s="604"/>
      <c r="I3972" s="605"/>
      <c r="J3972" s="605">
        <f t="shared" si="119"/>
        <v>0</v>
      </c>
    </row>
    <row r="3973" spans="6:10" hidden="1" x14ac:dyDescent="0.25">
      <c r="F3973" s="218">
        <v>515</v>
      </c>
      <c r="G3973" s="286" t="s">
        <v>3852</v>
      </c>
      <c r="H3973" s="604"/>
      <c r="I3973" s="605"/>
      <c r="J3973" s="605">
        <f t="shared" si="119"/>
        <v>0</v>
      </c>
    </row>
    <row r="3974" spans="6:10" hidden="1" x14ac:dyDescent="0.25">
      <c r="F3974" s="218">
        <v>521</v>
      </c>
      <c r="G3974" s="286" t="s">
        <v>4220</v>
      </c>
      <c r="H3974" s="604"/>
      <c r="I3974" s="605"/>
      <c r="J3974" s="605">
        <f t="shared" si="119"/>
        <v>0</v>
      </c>
    </row>
    <row r="3975" spans="6:10" hidden="1" x14ac:dyDescent="0.25">
      <c r="F3975" s="218">
        <v>522</v>
      </c>
      <c r="G3975" s="286" t="s">
        <v>4221</v>
      </c>
      <c r="H3975" s="604"/>
      <c r="I3975" s="605"/>
      <c r="J3975" s="605">
        <f t="shared" si="119"/>
        <v>0</v>
      </c>
    </row>
    <row r="3976" spans="6:10" hidden="1" x14ac:dyDescent="0.25">
      <c r="F3976" s="218">
        <v>523</v>
      </c>
      <c r="G3976" s="286" t="s">
        <v>3857</v>
      </c>
      <c r="H3976" s="604"/>
      <c r="I3976" s="605"/>
      <c r="J3976" s="605">
        <f t="shared" si="119"/>
        <v>0</v>
      </c>
    </row>
    <row r="3977" spans="6:10" hidden="1" x14ac:dyDescent="0.25">
      <c r="F3977" s="218">
        <v>531</v>
      </c>
      <c r="G3977" s="286" t="s">
        <v>4197</v>
      </c>
      <c r="H3977" s="604"/>
      <c r="I3977" s="605"/>
      <c r="J3977" s="605">
        <f t="shared" si="119"/>
        <v>0</v>
      </c>
    </row>
    <row r="3978" spans="6:10" hidden="1" x14ac:dyDescent="0.25">
      <c r="F3978" s="218">
        <v>541</v>
      </c>
      <c r="G3978" s="286" t="s">
        <v>4222</v>
      </c>
      <c r="H3978" s="604"/>
      <c r="I3978" s="605"/>
      <c r="J3978" s="605">
        <f t="shared" si="119"/>
        <v>0</v>
      </c>
    </row>
    <row r="3979" spans="6:10" hidden="1" x14ac:dyDescent="0.25">
      <c r="F3979" s="218">
        <v>542</v>
      </c>
      <c r="G3979" s="286" t="s">
        <v>4223</v>
      </c>
      <c r="H3979" s="604"/>
      <c r="I3979" s="605"/>
      <c r="J3979" s="605">
        <f t="shared" si="119"/>
        <v>0</v>
      </c>
    </row>
    <row r="3980" spans="6:10" hidden="1" x14ac:dyDescent="0.25">
      <c r="F3980" s="218">
        <v>543</v>
      </c>
      <c r="G3980" s="286" t="s">
        <v>3862</v>
      </c>
      <c r="H3980" s="604"/>
      <c r="I3980" s="605"/>
      <c r="J3980" s="605">
        <f t="shared" si="119"/>
        <v>0</v>
      </c>
    </row>
    <row r="3981" spans="6:10" ht="42.75" hidden="1" x14ac:dyDescent="0.25">
      <c r="F3981" s="218">
        <v>551</v>
      </c>
      <c r="G3981" s="286" t="s">
        <v>4198</v>
      </c>
      <c r="H3981" s="604"/>
      <c r="I3981" s="605"/>
      <c r="J3981" s="605">
        <f t="shared" si="119"/>
        <v>0</v>
      </c>
    </row>
    <row r="3982" spans="6:10" hidden="1" x14ac:dyDescent="0.25">
      <c r="F3982" s="218">
        <v>611</v>
      </c>
      <c r="G3982" s="286" t="s">
        <v>3868</v>
      </c>
      <c r="H3982" s="604"/>
      <c r="I3982" s="605"/>
      <c r="J3982" s="605">
        <f t="shared" si="119"/>
        <v>0</v>
      </c>
    </row>
    <row r="3983" spans="6:10" hidden="1" x14ac:dyDescent="0.25">
      <c r="F3983" s="218">
        <v>620</v>
      </c>
      <c r="G3983" s="286" t="s">
        <v>88</v>
      </c>
      <c r="H3983" s="604"/>
      <c r="I3983" s="605"/>
      <c r="J3983" s="605">
        <f t="shared" si="119"/>
        <v>0</v>
      </c>
    </row>
    <row r="3984" spans="6:10" x14ac:dyDescent="0.25">
      <c r="G3984" s="286" t="s">
        <v>4390</v>
      </c>
      <c r="H3984" s="604"/>
      <c r="I3984" s="605"/>
      <c r="J3984" s="605"/>
    </row>
    <row r="3985" spans="6:10" ht="15.75" thickBot="1" x14ac:dyDescent="0.3">
      <c r="F3985" s="222" t="s">
        <v>234</v>
      </c>
      <c r="G3985" s="723" t="s">
        <v>235</v>
      </c>
      <c r="H3985" s="725">
        <f>SUM(H3924:H3983)</f>
        <v>1500000</v>
      </c>
      <c r="I3985" s="726"/>
      <c r="J3985" s="729">
        <f t="shared" ref="J3985:J4000" si="120">SUM(H3985:I3985)</f>
        <v>1500000</v>
      </c>
    </row>
    <row r="3986" spans="6:10" hidden="1" x14ac:dyDescent="0.25">
      <c r="F3986" s="218" t="s">
        <v>236</v>
      </c>
      <c r="G3986" s="286" t="s">
        <v>237</v>
      </c>
      <c r="H3986" s="604"/>
      <c r="I3986" s="605"/>
      <c r="J3986" s="605">
        <f t="shared" si="120"/>
        <v>0</v>
      </c>
    </row>
    <row r="3987" spans="6:10" hidden="1" x14ac:dyDescent="0.25">
      <c r="F3987" s="218" t="s">
        <v>238</v>
      </c>
      <c r="G3987" s="286" t="s">
        <v>239</v>
      </c>
      <c r="H3987" s="604"/>
      <c r="I3987" s="605"/>
      <c r="J3987" s="605">
        <f t="shared" si="120"/>
        <v>0</v>
      </c>
    </row>
    <row r="3988" spans="6:10" hidden="1" x14ac:dyDescent="0.25">
      <c r="F3988" s="218" t="s">
        <v>240</v>
      </c>
      <c r="G3988" s="286" t="s">
        <v>241</v>
      </c>
      <c r="H3988" s="604"/>
      <c r="I3988" s="605"/>
      <c r="J3988" s="605">
        <f t="shared" si="120"/>
        <v>0</v>
      </c>
    </row>
    <row r="3989" spans="6:10" hidden="1" x14ac:dyDescent="0.25">
      <c r="F3989" s="218" t="s">
        <v>242</v>
      </c>
      <c r="G3989" s="286" t="s">
        <v>243</v>
      </c>
      <c r="H3989" s="604"/>
      <c r="I3989" s="605"/>
      <c r="J3989" s="605">
        <f t="shared" si="120"/>
        <v>0</v>
      </c>
    </row>
    <row r="3990" spans="6:10" hidden="1" x14ac:dyDescent="0.25">
      <c r="F3990" s="218" t="s">
        <v>244</v>
      </c>
      <c r="G3990" s="286" t="s">
        <v>245</v>
      </c>
      <c r="H3990" s="604"/>
      <c r="I3990" s="605"/>
      <c r="J3990" s="605">
        <f t="shared" si="120"/>
        <v>0</v>
      </c>
    </row>
    <row r="3991" spans="6:10" hidden="1" x14ac:dyDescent="0.25">
      <c r="F3991" s="218" t="s">
        <v>246</v>
      </c>
      <c r="G3991" s="286" t="s">
        <v>247</v>
      </c>
      <c r="H3991" s="604"/>
      <c r="I3991" s="605"/>
      <c r="J3991" s="605">
        <f t="shared" si="120"/>
        <v>0</v>
      </c>
    </row>
    <row r="3992" spans="6:10" hidden="1" x14ac:dyDescent="0.25">
      <c r="F3992" s="218" t="s">
        <v>248</v>
      </c>
      <c r="G3992" s="286" t="s">
        <v>249</v>
      </c>
      <c r="H3992" s="604"/>
      <c r="I3992" s="605"/>
      <c r="J3992" s="605">
        <f t="shared" si="120"/>
        <v>0</v>
      </c>
    </row>
    <row r="3993" spans="6:10" hidden="1" x14ac:dyDescent="0.25">
      <c r="F3993" s="218" t="s">
        <v>250</v>
      </c>
      <c r="G3993" s="286" t="s">
        <v>57</v>
      </c>
      <c r="H3993" s="604"/>
      <c r="I3993" s="605"/>
      <c r="J3993" s="605">
        <f t="shared" si="120"/>
        <v>0</v>
      </c>
    </row>
    <row r="3994" spans="6:10" hidden="1" x14ac:dyDescent="0.25">
      <c r="F3994" s="218" t="s">
        <v>251</v>
      </c>
      <c r="G3994" s="286" t="s">
        <v>252</v>
      </c>
      <c r="H3994" s="604"/>
      <c r="I3994" s="605"/>
      <c r="J3994" s="605">
        <f t="shared" si="120"/>
        <v>0</v>
      </c>
    </row>
    <row r="3995" spans="6:10" hidden="1" x14ac:dyDescent="0.25">
      <c r="F3995" s="218" t="s">
        <v>253</v>
      </c>
      <c r="G3995" s="286" t="s">
        <v>254</v>
      </c>
      <c r="H3995" s="604"/>
      <c r="I3995" s="605"/>
      <c r="J3995" s="605">
        <f t="shared" si="120"/>
        <v>0</v>
      </c>
    </row>
    <row r="3996" spans="6:10" ht="28.5" hidden="1" x14ac:dyDescent="0.25">
      <c r="F3996" s="218" t="s">
        <v>255</v>
      </c>
      <c r="G3996" s="286" t="s">
        <v>256</v>
      </c>
      <c r="H3996" s="604"/>
      <c r="I3996" s="605"/>
      <c r="J3996" s="605">
        <f t="shared" si="120"/>
        <v>0</v>
      </c>
    </row>
    <row r="3997" spans="6:10" hidden="1" x14ac:dyDescent="0.25">
      <c r="F3997" s="218" t="s">
        <v>257</v>
      </c>
      <c r="G3997" s="286" t="s">
        <v>258</v>
      </c>
      <c r="H3997" s="604"/>
      <c r="I3997" s="605"/>
      <c r="J3997" s="605">
        <f t="shared" si="120"/>
        <v>0</v>
      </c>
    </row>
    <row r="3998" spans="6:10" ht="28.5" hidden="1" x14ac:dyDescent="0.25">
      <c r="F3998" s="218" t="s">
        <v>259</v>
      </c>
      <c r="G3998" s="286" t="s">
        <v>260</v>
      </c>
      <c r="H3998" s="604"/>
      <c r="I3998" s="605"/>
      <c r="J3998" s="605">
        <f t="shared" si="120"/>
        <v>0</v>
      </c>
    </row>
    <row r="3999" spans="6:10" hidden="1" x14ac:dyDescent="0.25">
      <c r="F3999" s="218" t="s">
        <v>261</v>
      </c>
      <c r="G3999" s="286" t="s">
        <v>262</v>
      </c>
      <c r="H3999" s="604"/>
      <c r="I3999" s="605"/>
      <c r="J3999" s="605">
        <f t="shared" si="120"/>
        <v>0</v>
      </c>
    </row>
    <row r="4000" spans="6:10" hidden="1" x14ac:dyDescent="0.25">
      <c r="F4000" s="218" t="s">
        <v>263</v>
      </c>
      <c r="G4000" s="286" t="s">
        <v>264</v>
      </c>
      <c r="H4000" s="604"/>
      <c r="I4000" s="605"/>
      <c r="J4000" s="605">
        <f t="shared" si="120"/>
        <v>0</v>
      </c>
    </row>
    <row r="4001" spans="6:10" ht="15.75" thickBot="1" x14ac:dyDescent="0.3">
      <c r="G4001" s="727" t="s">
        <v>4391</v>
      </c>
      <c r="H4001" s="728">
        <f>SUM(H3985:H4000)</f>
        <v>1500000</v>
      </c>
      <c r="I4001" s="726">
        <f>SUM(I3986:I4000)</f>
        <v>0</v>
      </c>
      <c r="J4001" s="726">
        <f>SUM(J3985:J4000)</f>
        <v>1500000</v>
      </c>
    </row>
    <row r="4002" spans="6:10" x14ac:dyDescent="0.25">
      <c r="G4002" s="286" t="s">
        <v>5201</v>
      </c>
      <c r="H4002" s="604"/>
      <c r="I4002" s="605"/>
      <c r="J4002" s="605"/>
    </row>
    <row r="4003" spans="6:10" ht="15.75" thickBot="1" x14ac:dyDescent="0.3">
      <c r="F4003" s="218" t="s">
        <v>234</v>
      </c>
      <c r="G4003" s="723" t="s">
        <v>235</v>
      </c>
      <c r="H4003" s="725">
        <f>SUM(H3924:H3983)</f>
        <v>1500000</v>
      </c>
      <c r="I4003" s="726"/>
      <c r="J4003" s="729">
        <f t="shared" ref="J4003:J4018" si="121">SUM(H4003:I4003)</f>
        <v>1500000</v>
      </c>
    </row>
    <row r="4004" spans="6:10" hidden="1" x14ac:dyDescent="0.25">
      <c r="F4004" s="218" t="s">
        <v>236</v>
      </c>
      <c r="G4004" s="286" t="s">
        <v>237</v>
      </c>
      <c r="H4004" s="604"/>
      <c r="I4004" s="605"/>
      <c r="J4004" s="605">
        <f t="shared" si="121"/>
        <v>0</v>
      </c>
    </row>
    <row r="4005" spans="6:10" hidden="1" x14ac:dyDescent="0.25">
      <c r="F4005" s="218" t="s">
        <v>238</v>
      </c>
      <c r="G4005" s="286" t="s">
        <v>239</v>
      </c>
      <c r="H4005" s="604"/>
      <c r="I4005" s="605"/>
      <c r="J4005" s="605">
        <f t="shared" si="121"/>
        <v>0</v>
      </c>
    </row>
    <row r="4006" spans="6:10" hidden="1" x14ac:dyDescent="0.25">
      <c r="F4006" s="218" t="s">
        <v>240</v>
      </c>
      <c r="G4006" s="286" t="s">
        <v>241</v>
      </c>
      <c r="H4006" s="604"/>
      <c r="I4006" s="605"/>
      <c r="J4006" s="605">
        <f t="shared" si="121"/>
        <v>0</v>
      </c>
    </row>
    <row r="4007" spans="6:10" hidden="1" x14ac:dyDescent="0.25">
      <c r="F4007" s="218" t="s">
        <v>242</v>
      </c>
      <c r="G4007" s="286" t="s">
        <v>243</v>
      </c>
      <c r="H4007" s="604"/>
      <c r="I4007" s="605"/>
      <c r="J4007" s="605">
        <f t="shared" si="121"/>
        <v>0</v>
      </c>
    </row>
    <row r="4008" spans="6:10" hidden="1" x14ac:dyDescent="0.25">
      <c r="F4008" s="218" t="s">
        <v>244</v>
      </c>
      <c r="G4008" s="286" t="s">
        <v>245</v>
      </c>
      <c r="H4008" s="604"/>
      <c r="I4008" s="605"/>
      <c r="J4008" s="605">
        <f t="shared" si="121"/>
        <v>0</v>
      </c>
    </row>
    <row r="4009" spans="6:10" hidden="1" x14ac:dyDescent="0.25">
      <c r="F4009" s="218" t="s">
        <v>246</v>
      </c>
      <c r="G4009" s="286" t="s">
        <v>247</v>
      </c>
      <c r="H4009" s="604"/>
      <c r="I4009" s="605"/>
      <c r="J4009" s="605">
        <f t="shared" si="121"/>
        <v>0</v>
      </c>
    </row>
    <row r="4010" spans="6:10" hidden="1" x14ac:dyDescent="0.25">
      <c r="F4010" s="218" t="s">
        <v>248</v>
      </c>
      <c r="G4010" s="286" t="s">
        <v>249</v>
      </c>
      <c r="H4010" s="604"/>
      <c r="I4010" s="605"/>
      <c r="J4010" s="605">
        <f t="shared" si="121"/>
        <v>0</v>
      </c>
    </row>
    <row r="4011" spans="6:10" hidden="1" x14ac:dyDescent="0.25">
      <c r="F4011" s="218" t="s">
        <v>250</v>
      </c>
      <c r="G4011" s="286" t="s">
        <v>57</v>
      </c>
      <c r="H4011" s="604"/>
      <c r="I4011" s="605"/>
      <c r="J4011" s="605">
        <f t="shared" si="121"/>
        <v>0</v>
      </c>
    </row>
    <row r="4012" spans="6:10" hidden="1" x14ac:dyDescent="0.25">
      <c r="F4012" s="218" t="s">
        <v>251</v>
      </c>
      <c r="G4012" s="286" t="s">
        <v>252</v>
      </c>
      <c r="H4012" s="604"/>
      <c r="I4012" s="605"/>
      <c r="J4012" s="605">
        <f t="shared" si="121"/>
        <v>0</v>
      </c>
    </row>
    <row r="4013" spans="6:10" hidden="1" x14ac:dyDescent="0.25">
      <c r="F4013" s="218" t="s">
        <v>253</v>
      </c>
      <c r="G4013" s="286" t="s">
        <v>254</v>
      </c>
      <c r="H4013" s="604"/>
      <c r="I4013" s="605"/>
      <c r="J4013" s="605">
        <f t="shared" si="121"/>
        <v>0</v>
      </c>
    </row>
    <row r="4014" spans="6:10" ht="28.5" hidden="1" x14ac:dyDescent="0.25">
      <c r="F4014" s="218" t="s">
        <v>255</v>
      </c>
      <c r="G4014" s="286" t="s">
        <v>256</v>
      </c>
      <c r="H4014" s="604"/>
      <c r="I4014" s="605"/>
      <c r="J4014" s="605">
        <f t="shared" si="121"/>
        <v>0</v>
      </c>
    </row>
    <row r="4015" spans="6:10" hidden="1" x14ac:dyDescent="0.25">
      <c r="F4015" s="218" t="s">
        <v>257</v>
      </c>
      <c r="G4015" s="286" t="s">
        <v>258</v>
      </c>
      <c r="H4015" s="604"/>
      <c r="I4015" s="605"/>
      <c r="J4015" s="605">
        <f t="shared" si="121"/>
        <v>0</v>
      </c>
    </row>
    <row r="4016" spans="6:10" ht="28.5" hidden="1" x14ac:dyDescent="0.25">
      <c r="F4016" s="218" t="s">
        <v>259</v>
      </c>
      <c r="G4016" s="286" t="s">
        <v>260</v>
      </c>
      <c r="H4016" s="604"/>
      <c r="I4016" s="605"/>
      <c r="J4016" s="605">
        <f t="shared" si="121"/>
        <v>0</v>
      </c>
    </row>
    <row r="4017" spans="3:10" hidden="1" x14ac:dyDescent="0.25">
      <c r="F4017" s="218" t="s">
        <v>261</v>
      </c>
      <c r="G4017" s="286" t="s">
        <v>262</v>
      </c>
      <c r="H4017" s="604"/>
      <c r="I4017" s="605"/>
      <c r="J4017" s="605">
        <f t="shared" si="121"/>
        <v>0</v>
      </c>
    </row>
    <row r="4018" spans="3:10" hidden="1" x14ac:dyDescent="0.25">
      <c r="F4018" s="218" t="s">
        <v>263</v>
      </c>
      <c r="G4018" s="286" t="s">
        <v>264</v>
      </c>
      <c r="H4018" s="604"/>
      <c r="I4018" s="605"/>
      <c r="J4018" s="605">
        <f t="shared" si="121"/>
        <v>0</v>
      </c>
    </row>
    <row r="4019" spans="3:10" ht="15.75" thickBot="1" x14ac:dyDescent="0.3">
      <c r="G4019" s="727" t="s">
        <v>5202</v>
      </c>
      <c r="H4019" s="728">
        <f>SUM(H4003:H4018)</f>
        <v>1500000</v>
      </c>
      <c r="I4019" s="726">
        <f>SUM(I4004:I4018)</f>
        <v>0</v>
      </c>
      <c r="J4019" s="726">
        <f>SUM(J4003:J4018)</f>
        <v>1500000</v>
      </c>
    </row>
    <row r="4020" spans="3:10" x14ac:dyDescent="0.25">
      <c r="G4020" s="286"/>
      <c r="H4020" s="604"/>
      <c r="I4020" s="605"/>
      <c r="J4020" s="605"/>
    </row>
    <row r="4021" spans="3:10" x14ac:dyDescent="0.25">
      <c r="C4021" s="722" t="s">
        <v>4802</v>
      </c>
      <c r="G4021" s="286" t="s">
        <v>5150</v>
      </c>
      <c r="H4021" s="604"/>
      <c r="I4021" s="605"/>
      <c r="J4021" s="605"/>
    </row>
    <row r="4022" spans="3:10" ht="30" x14ac:dyDescent="0.25">
      <c r="D4022" s="218" t="s">
        <v>3908</v>
      </c>
      <c r="G4022" s="724" t="s">
        <v>4240</v>
      </c>
      <c r="H4022" s="604"/>
      <c r="I4022" s="605"/>
      <c r="J4022" s="605"/>
    </row>
    <row r="4023" spans="3:10" hidden="1" x14ac:dyDescent="0.25">
      <c r="F4023" s="218">
        <v>411</v>
      </c>
      <c r="G4023" s="286" t="s">
        <v>4189</v>
      </c>
      <c r="H4023" s="604"/>
      <c r="I4023" s="605"/>
      <c r="J4023" s="605">
        <f t="shared" ref="J4023:J4054" si="122">SUM(H4023:I4023)</f>
        <v>0</v>
      </c>
    </row>
    <row r="4024" spans="3:10" hidden="1" x14ac:dyDescent="0.25">
      <c r="F4024" s="218">
        <v>412</v>
      </c>
      <c r="G4024" s="286" t="s">
        <v>3784</v>
      </c>
      <c r="H4024" s="604"/>
      <c r="I4024" s="605"/>
      <c r="J4024" s="605">
        <f t="shared" si="122"/>
        <v>0</v>
      </c>
    </row>
    <row r="4025" spans="3:10" hidden="1" x14ac:dyDescent="0.25">
      <c r="F4025" s="218">
        <v>413</v>
      </c>
      <c r="G4025" s="286" t="s">
        <v>4190</v>
      </c>
      <c r="H4025" s="604"/>
      <c r="I4025" s="605"/>
      <c r="J4025" s="605">
        <f t="shared" si="122"/>
        <v>0</v>
      </c>
    </row>
    <row r="4026" spans="3:10" hidden="1" x14ac:dyDescent="0.25">
      <c r="F4026" s="218">
        <v>414</v>
      </c>
      <c r="G4026" s="286" t="s">
        <v>3787</v>
      </c>
      <c r="H4026" s="604"/>
      <c r="I4026" s="605"/>
      <c r="J4026" s="605">
        <f t="shared" si="122"/>
        <v>0</v>
      </c>
    </row>
    <row r="4027" spans="3:10" hidden="1" x14ac:dyDescent="0.25">
      <c r="F4027" s="218">
        <v>415</v>
      </c>
      <c r="G4027" s="286" t="s">
        <v>4199</v>
      </c>
      <c r="H4027" s="604"/>
      <c r="I4027" s="605"/>
      <c r="J4027" s="605">
        <f t="shared" si="122"/>
        <v>0</v>
      </c>
    </row>
    <row r="4028" spans="3:10" hidden="1" x14ac:dyDescent="0.25">
      <c r="F4028" s="218">
        <v>416</v>
      </c>
      <c r="G4028" s="286" t="s">
        <v>4200</v>
      </c>
      <c r="H4028" s="604"/>
      <c r="I4028" s="605"/>
      <c r="J4028" s="605">
        <f t="shared" si="122"/>
        <v>0</v>
      </c>
    </row>
    <row r="4029" spans="3:10" hidden="1" x14ac:dyDescent="0.25">
      <c r="F4029" s="218">
        <v>417</v>
      </c>
      <c r="G4029" s="286" t="s">
        <v>4201</v>
      </c>
      <c r="H4029" s="604"/>
      <c r="I4029" s="605"/>
      <c r="J4029" s="605">
        <f t="shared" si="122"/>
        <v>0</v>
      </c>
    </row>
    <row r="4030" spans="3:10" hidden="1" x14ac:dyDescent="0.25">
      <c r="F4030" s="218">
        <v>418</v>
      </c>
      <c r="G4030" s="286" t="s">
        <v>3793</v>
      </c>
      <c r="H4030" s="604"/>
      <c r="I4030" s="605"/>
      <c r="J4030" s="605">
        <f t="shared" si="122"/>
        <v>0</v>
      </c>
    </row>
    <row r="4031" spans="3:10" hidden="1" x14ac:dyDescent="0.25">
      <c r="F4031" s="218">
        <v>421</v>
      </c>
      <c r="G4031" s="286" t="s">
        <v>3797</v>
      </c>
      <c r="H4031" s="604"/>
      <c r="I4031" s="605"/>
      <c r="J4031" s="605">
        <f t="shared" si="122"/>
        <v>0</v>
      </c>
    </row>
    <row r="4032" spans="3:10" hidden="1" x14ac:dyDescent="0.25">
      <c r="F4032" s="218">
        <v>422</v>
      </c>
      <c r="G4032" s="286" t="s">
        <v>3798</v>
      </c>
      <c r="H4032" s="604"/>
      <c r="I4032" s="605"/>
      <c r="J4032" s="605">
        <f t="shared" si="122"/>
        <v>0</v>
      </c>
    </row>
    <row r="4033" spans="6:10" hidden="1" x14ac:dyDescent="0.25">
      <c r="F4033" s="218">
        <v>423</v>
      </c>
      <c r="G4033" s="286" t="s">
        <v>3799</v>
      </c>
      <c r="H4033" s="604"/>
      <c r="I4033" s="605"/>
      <c r="J4033" s="605">
        <f t="shared" si="122"/>
        <v>0</v>
      </c>
    </row>
    <row r="4034" spans="6:10" hidden="1" x14ac:dyDescent="0.25">
      <c r="F4034" s="218">
        <v>424</v>
      </c>
      <c r="G4034" s="286" t="s">
        <v>3801</v>
      </c>
      <c r="H4034" s="604"/>
      <c r="I4034" s="605"/>
      <c r="J4034" s="605">
        <f t="shared" si="122"/>
        <v>0</v>
      </c>
    </row>
    <row r="4035" spans="6:10" hidden="1" x14ac:dyDescent="0.25">
      <c r="F4035" s="218">
        <v>425</v>
      </c>
      <c r="G4035" s="286" t="s">
        <v>4202</v>
      </c>
      <c r="H4035" s="604"/>
      <c r="I4035" s="605"/>
      <c r="J4035" s="605">
        <f t="shared" si="122"/>
        <v>0</v>
      </c>
    </row>
    <row r="4036" spans="6:10" hidden="1" x14ac:dyDescent="0.25">
      <c r="F4036" s="218">
        <v>426</v>
      </c>
      <c r="G4036" s="286" t="s">
        <v>3805</v>
      </c>
      <c r="H4036" s="604"/>
      <c r="I4036" s="605"/>
      <c r="J4036" s="605">
        <f t="shared" si="122"/>
        <v>0</v>
      </c>
    </row>
    <row r="4037" spans="6:10" hidden="1" x14ac:dyDescent="0.25">
      <c r="F4037" s="218">
        <v>431</v>
      </c>
      <c r="G4037" s="286" t="s">
        <v>4203</v>
      </c>
      <c r="H4037" s="604"/>
      <c r="I4037" s="605"/>
      <c r="J4037" s="605">
        <f t="shared" si="122"/>
        <v>0</v>
      </c>
    </row>
    <row r="4038" spans="6:10" hidden="1" x14ac:dyDescent="0.25">
      <c r="F4038" s="218">
        <v>432</v>
      </c>
      <c r="G4038" s="286" t="s">
        <v>4204</v>
      </c>
      <c r="H4038" s="604"/>
      <c r="I4038" s="605"/>
      <c r="J4038" s="605">
        <f t="shared" si="122"/>
        <v>0</v>
      </c>
    </row>
    <row r="4039" spans="6:10" hidden="1" x14ac:dyDescent="0.25">
      <c r="F4039" s="218">
        <v>433</v>
      </c>
      <c r="G4039" s="286" t="s">
        <v>4205</v>
      </c>
      <c r="H4039" s="604"/>
      <c r="I4039" s="605"/>
      <c r="J4039" s="605">
        <f t="shared" si="122"/>
        <v>0</v>
      </c>
    </row>
    <row r="4040" spans="6:10" hidden="1" x14ac:dyDescent="0.25">
      <c r="F4040" s="218">
        <v>434</v>
      </c>
      <c r="G4040" s="286" t="s">
        <v>4206</v>
      </c>
      <c r="H4040" s="604"/>
      <c r="I4040" s="605"/>
      <c r="J4040" s="605">
        <f t="shared" si="122"/>
        <v>0</v>
      </c>
    </row>
    <row r="4041" spans="6:10" hidden="1" x14ac:dyDescent="0.25">
      <c r="F4041" s="218">
        <v>435</v>
      </c>
      <c r="G4041" s="286" t="s">
        <v>3812</v>
      </c>
      <c r="H4041" s="604"/>
      <c r="I4041" s="605"/>
      <c r="J4041" s="605">
        <f t="shared" si="122"/>
        <v>0</v>
      </c>
    </row>
    <row r="4042" spans="6:10" hidden="1" x14ac:dyDescent="0.25">
      <c r="F4042" s="218">
        <v>441</v>
      </c>
      <c r="G4042" s="286" t="s">
        <v>4207</v>
      </c>
      <c r="H4042" s="604"/>
      <c r="I4042" s="605"/>
      <c r="J4042" s="605">
        <f t="shared" si="122"/>
        <v>0</v>
      </c>
    </row>
    <row r="4043" spans="6:10" hidden="1" x14ac:dyDescent="0.25">
      <c r="F4043" s="218">
        <v>442</v>
      </c>
      <c r="G4043" s="286" t="s">
        <v>4208</v>
      </c>
      <c r="H4043" s="604"/>
      <c r="I4043" s="605"/>
      <c r="J4043" s="605">
        <f t="shared" si="122"/>
        <v>0</v>
      </c>
    </row>
    <row r="4044" spans="6:10" hidden="1" x14ac:dyDescent="0.25">
      <c r="F4044" s="218">
        <v>443</v>
      </c>
      <c r="G4044" s="286" t="s">
        <v>3817</v>
      </c>
      <c r="H4044" s="604"/>
      <c r="I4044" s="605"/>
      <c r="J4044" s="605">
        <f t="shared" si="122"/>
        <v>0</v>
      </c>
    </row>
    <row r="4045" spans="6:10" hidden="1" x14ac:dyDescent="0.25">
      <c r="F4045" s="218">
        <v>444</v>
      </c>
      <c r="G4045" s="286" t="s">
        <v>3818</v>
      </c>
      <c r="H4045" s="604"/>
      <c r="I4045" s="605"/>
      <c r="J4045" s="605">
        <f t="shared" si="122"/>
        <v>0</v>
      </c>
    </row>
    <row r="4046" spans="6:10" ht="28.5" hidden="1" x14ac:dyDescent="0.25">
      <c r="F4046" s="218">
        <v>4511</v>
      </c>
      <c r="G4046" s="286" t="s">
        <v>1692</v>
      </c>
      <c r="H4046" s="604"/>
      <c r="I4046" s="605"/>
      <c r="J4046" s="605">
        <f t="shared" si="122"/>
        <v>0</v>
      </c>
    </row>
    <row r="4047" spans="6:10" ht="28.5" hidden="1" x14ac:dyDescent="0.25">
      <c r="F4047" s="218">
        <v>4512</v>
      </c>
      <c r="G4047" s="286" t="s">
        <v>1701</v>
      </c>
      <c r="H4047" s="604"/>
      <c r="I4047" s="605"/>
      <c r="J4047" s="605">
        <f t="shared" si="122"/>
        <v>0</v>
      </c>
    </row>
    <row r="4048" spans="6:10" hidden="1" x14ac:dyDescent="0.25">
      <c r="F4048" s="218">
        <v>452</v>
      </c>
      <c r="G4048" s="286" t="s">
        <v>4209</v>
      </c>
      <c r="H4048" s="604"/>
      <c r="I4048" s="605"/>
      <c r="J4048" s="605">
        <f t="shared" si="122"/>
        <v>0</v>
      </c>
    </row>
    <row r="4049" spans="5:10" hidden="1" x14ac:dyDescent="0.25">
      <c r="F4049" s="218">
        <v>453</v>
      </c>
      <c r="G4049" s="286" t="s">
        <v>4210</v>
      </c>
      <c r="H4049" s="604"/>
      <c r="I4049" s="605"/>
      <c r="J4049" s="605">
        <f t="shared" si="122"/>
        <v>0</v>
      </c>
    </row>
    <row r="4050" spans="5:10" hidden="1" x14ac:dyDescent="0.25">
      <c r="F4050" s="218">
        <v>454</v>
      </c>
      <c r="G4050" s="286" t="s">
        <v>3823</v>
      </c>
      <c r="H4050" s="604"/>
      <c r="I4050" s="605"/>
      <c r="J4050" s="605">
        <f t="shared" si="122"/>
        <v>0</v>
      </c>
    </row>
    <row r="4051" spans="5:10" hidden="1" x14ac:dyDescent="0.25">
      <c r="F4051" s="218">
        <v>461</v>
      </c>
      <c r="G4051" s="286" t="s">
        <v>4191</v>
      </c>
      <c r="H4051" s="604"/>
      <c r="I4051" s="605"/>
      <c r="J4051" s="605">
        <f t="shared" si="122"/>
        <v>0</v>
      </c>
    </row>
    <row r="4052" spans="5:10" hidden="1" x14ac:dyDescent="0.25">
      <c r="F4052" s="218">
        <v>462</v>
      </c>
      <c r="G4052" s="286" t="s">
        <v>3826</v>
      </c>
      <c r="H4052" s="604"/>
      <c r="I4052" s="605"/>
      <c r="J4052" s="605">
        <f t="shared" si="122"/>
        <v>0</v>
      </c>
    </row>
    <row r="4053" spans="5:10" hidden="1" x14ac:dyDescent="0.25">
      <c r="F4053" s="218">
        <v>4631</v>
      </c>
      <c r="G4053" s="286" t="s">
        <v>3827</v>
      </c>
      <c r="H4053" s="604"/>
      <c r="I4053" s="605"/>
      <c r="J4053" s="605">
        <f t="shared" si="122"/>
        <v>0</v>
      </c>
    </row>
    <row r="4054" spans="5:10" hidden="1" x14ac:dyDescent="0.25">
      <c r="F4054" s="218">
        <v>4632</v>
      </c>
      <c r="G4054" s="286" t="s">
        <v>3828</v>
      </c>
      <c r="H4054" s="604"/>
      <c r="I4054" s="605"/>
      <c r="J4054" s="605">
        <f t="shared" si="122"/>
        <v>0</v>
      </c>
    </row>
    <row r="4055" spans="5:10" ht="28.5" hidden="1" x14ac:dyDescent="0.25">
      <c r="F4055" s="218">
        <v>464</v>
      </c>
      <c r="G4055" s="286" t="s">
        <v>3829</v>
      </c>
      <c r="H4055" s="604"/>
      <c r="I4055" s="605"/>
      <c r="J4055" s="605">
        <f t="shared" ref="J4055:J4082" si="123">SUM(H4055:I4055)</f>
        <v>0</v>
      </c>
    </row>
    <row r="4056" spans="5:10" hidden="1" x14ac:dyDescent="0.25">
      <c r="F4056" s="218">
        <v>465</v>
      </c>
      <c r="G4056" s="286" t="s">
        <v>4192</v>
      </c>
      <c r="H4056" s="604"/>
      <c r="I4056" s="605"/>
      <c r="J4056" s="605">
        <f t="shared" si="123"/>
        <v>0</v>
      </c>
    </row>
    <row r="4057" spans="5:10" hidden="1" x14ac:dyDescent="0.25">
      <c r="F4057" s="218">
        <v>471</v>
      </c>
      <c r="G4057" s="286" t="s">
        <v>3833</v>
      </c>
      <c r="H4057" s="604"/>
      <c r="I4057" s="605"/>
      <c r="J4057" s="605">
        <f t="shared" si="123"/>
        <v>0</v>
      </c>
    </row>
    <row r="4058" spans="5:10" ht="15.75" thickBot="1" x14ac:dyDescent="0.3">
      <c r="E4058" s="218">
        <v>53</v>
      </c>
      <c r="F4058" s="218">
        <v>481</v>
      </c>
      <c r="G4058" s="723" t="s">
        <v>4211</v>
      </c>
      <c r="H4058" s="725">
        <v>1726000</v>
      </c>
      <c r="I4058" s="726"/>
      <c r="J4058" s="729">
        <f t="shared" si="123"/>
        <v>1726000</v>
      </c>
    </row>
    <row r="4059" spans="5:10" hidden="1" x14ac:dyDescent="0.25">
      <c r="F4059" s="218">
        <v>482</v>
      </c>
      <c r="G4059" s="286" t="s">
        <v>4212</v>
      </c>
      <c r="H4059" s="604"/>
      <c r="I4059" s="605"/>
      <c r="J4059" s="605">
        <f t="shared" si="123"/>
        <v>0</v>
      </c>
    </row>
    <row r="4060" spans="5:10" hidden="1" x14ac:dyDescent="0.25">
      <c r="F4060" s="218">
        <v>483</v>
      </c>
      <c r="G4060" s="286" t="s">
        <v>4213</v>
      </c>
      <c r="H4060" s="604"/>
      <c r="I4060" s="605"/>
      <c r="J4060" s="605">
        <f t="shared" si="123"/>
        <v>0</v>
      </c>
    </row>
    <row r="4061" spans="5:10" ht="28.5" hidden="1" x14ac:dyDescent="0.25">
      <c r="F4061" s="218">
        <v>484</v>
      </c>
      <c r="G4061" s="286" t="s">
        <v>4214</v>
      </c>
      <c r="H4061" s="604"/>
      <c r="I4061" s="605"/>
      <c r="J4061" s="605">
        <f t="shared" si="123"/>
        <v>0</v>
      </c>
    </row>
    <row r="4062" spans="5:10" ht="28.5" hidden="1" x14ac:dyDescent="0.25">
      <c r="F4062" s="218">
        <v>485</v>
      </c>
      <c r="G4062" s="286" t="s">
        <v>4215</v>
      </c>
      <c r="H4062" s="604"/>
      <c r="I4062" s="605"/>
      <c r="J4062" s="605">
        <f t="shared" si="123"/>
        <v>0</v>
      </c>
    </row>
    <row r="4063" spans="5:10" ht="28.5" hidden="1" x14ac:dyDescent="0.25">
      <c r="F4063" s="218">
        <v>489</v>
      </c>
      <c r="G4063" s="286" t="s">
        <v>3841</v>
      </c>
      <c r="H4063" s="604"/>
      <c r="I4063" s="605"/>
      <c r="J4063" s="605">
        <f t="shared" si="123"/>
        <v>0</v>
      </c>
    </row>
    <row r="4064" spans="5:10" ht="28.5" hidden="1" x14ac:dyDescent="0.25">
      <c r="F4064" s="218">
        <v>494</v>
      </c>
      <c r="G4064" s="286" t="s">
        <v>4193</v>
      </c>
      <c r="H4064" s="604"/>
      <c r="I4064" s="605"/>
      <c r="J4064" s="605">
        <f t="shared" si="123"/>
        <v>0</v>
      </c>
    </row>
    <row r="4065" spans="6:10" ht="28.5" hidden="1" x14ac:dyDescent="0.25">
      <c r="F4065" s="218">
        <v>495</v>
      </c>
      <c r="G4065" s="286" t="s">
        <v>4194</v>
      </c>
      <c r="H4065" s="604"/>
      <c r="I4065" s="605"/>
      <c r="J4065" s="605">
        <f t="shared" si="123"/>
        <v>0</v>
      </c>
    </row>
    <row r="4066" spans="6:10" ht="28.5" hidden="1" x14ac:dyDescent="0.25">
      <c r="F4066" s="218">
        <v>496</v>
      </c>
      <c r="G4066" s="286" t="s">
        <v>4195</v>
      </c>
      <c r="H4066" s="604"/>
      <c r="I4066" s="605"/>
      <c r="J4066" s="605">
        <f t="shared" si="123"/>
        <v>0</v>
      </c>
    </row>
    <row r="4067" spans="6:10" ht="28.5" hidden="1" x14ac:dyDescent="0.25">
      <c r="F4067" s="218">
        <v>499</v>
      </c>
      <c r="G4067" s="286" t="s">
        <v>4196</v>
      </c>
      <c r="H4067" s="604"/>
      <c r="I4067" s="605"/>
      <c r="J4067" s="605">
        <f t="shared" si="123"/>
        <v>0</v>
      </c>
    </row>
    <row r="4068" spans="6:10" hidden="1" x14ac:dyDescent="0.25">
      <c r="F4068" s="218">
        <v>511</v>
      </c>
      <c r="G4068" s="286" t="s">
        <v>4216</v>
      </c>
      <c r="H4068" s="604"/>
      <c r="I4068" s="605"/>
      <c r="J4068" s="605">
        <f t="shared" si="123"/>
        <v>0</v>
      </c>
    </row>
    <row r="4069" spans="6:10" hidden="1" x14ac:dyDescent="0.25">
      <c r="F4069" s="218">
        <v>512</v>
      </c>
      <c r="G4069" s="286" t="s">
        <v>4217</v>
      </c>
      <c r="H4069" s="604"/>
      <c r="I4069" s="605"/>
      <c r="J4069" s="605">
        <f t="shared" si="123"/>
        <v>0</v>
      </c>
    </row>
    <row r="4070" spans="6:10" hidden="1" x14ac:dyDescent="0.25">
      <c r="F4070" s="218">
        <v>513</v>
      </c>
      <c r="G4070" s="286" t="s">
        <v>4218</v>
      </c>
      <c r="H4070" s="604"/>
      <c r="I4070" s="605"/>
      <c r="J4070" s="605">
        <f t="shared" si="123"/>
        <v>0</v>
      </c>
    </row>
    <row r="4071" spans="6:10" hidden="1" x14ac:dyDescent="0.25">
      <c r="F4071" s="218">
        <v>514</v>
      </c>
      <c r="G4071" s="286" t="s">
        <v>4219</v>
      </c>
      <c r="H4071" s="604"/>
      <c r="I4071" s="605"/>
      <c r="J4071" s="605">
        <f t="shared" si="123"/>
        <v>0</v>
      </c>
    </row>
    <row r="4072" spans="6:10" hidden="1" x14ac:dyDescent="0.25">
      <c r="F4072" s="218">
        <v>515</v>
      </c>
      <c r="G4072" s="286" t="s">
        <v>3852</v>
      </c>
      <c r="H4072" s="604"/>
      <c r="I4072" s="605"/>
      <c r="J4072" s="605">
        <f t="shared" si="123"/>
        <v>0</v>
      </c>
    </row>
    <row r="4073" spans="6:10" hidden="1" x14ac:dyDescent="0.25">
      <c r="F4073" s="218">
        <v>521</v>
      </c>
      <c r="G4073" s="286" t="s">
        <v>4220</v>
      </c>
      <c r="H4073" s="604"/>
      <c r="I4073" s="605"/>
      <c r="J4073" s="605">
        <f t="shared" si="123"/>
        <v>0</v>
      </c>
    </row>
    <row r="4074" spans="6:10" hidden="1" x14ac:dyDescent="0.25">
      <c r="F4074" s="218">
        <v>522</v>
      </c>
      <c r="G4074" s="286" t="s">
        <v>4221</v>
      </c>
      <c r="H4074" s="604"/>
      <c r="I4074" s="605"/>
      <c r="J4074" s="605">
        <f t="shared" si="123"/>
        <v>0</v>
      </c>
    </row>
    <row r="4075" spans="6:10" hidden="1" x14ac:dyDescent="0.25">
      <c r="F4075" s="218">
        <v>523</v>
      </c>
      <c r="G4075" s="286" t="s">
        <v>3857</v>
      </c>
      <c r="H4075" s="604"/>
      <c r="I4075" s="605"/>
      <c r="J4075" s="605">
        <f t="shared" si="123"/>
        <v>0</v>
      </c>
    </row>
    <row r="4076" spans="6:10" hidden="1" x14ac:dyDescent="0.25">
      <c r="F4076" s="218">
        <v>531</v>
      </c>
      <c r="G4076" s="286" t="s">
        <v>4197</v>
      </c>
      <c r="H4076" s="604"/>
      <c r="I4076" s="605"/>
      <c r="J4076" s="605">
        <f t="shared" si="123"/>
        <v>0</v>
      </c>
    </row>
    <row r="4077" spans="6:10" hidden="1" x14ac:dyDescent="0.25">
      <c r="F4077" s="218">
        <v>541</v>
      </c>
      <c r="G4077" s="286" t="s">
        <v>4222</v>
      </c>
      <c r="H4077" s="604"/>
      <c r="I4077" s="605"/>
      <c r="J4077" s="605">
        <f t="shared" si="123"/>
        <v>0</v>
      </c>
    </row>
    <row r="4078" spans="6:10" hidden="1" x14ac:dyDescent="0.25">
      <c r="F4078" s="218">
        <v>542</v>
      </c>
      <c r="G4078" s="286" t="s">
        <v>4223</v>
      </c>
      <c r="H4078" s="604"/>
      <c r="I4078" s="605"/>
      <c r="J4078" s="605">
        <f t="shared" si="123"/>
        <v>0</v>
      </c>
    </row>
    <row r="4079" spans="6:10" hidden="1" x14ac:dyDescent="0.25">
      <c r="F4079" s="218">
        <v>543</v>
      </c>
      <c r="G4079" s="286" t="s">
        <v>3862</v>
      </c>
      <c r="H4079" s="604"/>
      <c r="I4079" s="605"/>
      <c r="J4079" s="605">
        <f t="shared" si="123"/>
        <v>0</v>
      </c>
    </row>
    <row r="4080" spans="6:10" ht="42.75" hidden="1" x14ac:dyDescent="0.25">
      <c r="F4080" s="218">
        <v>551</v>
      </c>
      <c r="G4080" s="286" t="s">
        <v>4198</v>
      </c>
      <c r="H4080" s="604"/>
      <c r="I4080" s="605"/>
      <c r="J4080" s="605">
        <f t="shared" si="123"/>
        <v>0</v>
      </c>
    </row>
    <row r="4081" spans="6:10" hidden="1" x14ac:dyDescent="0.25">
      <c r="F4081" s="218">
        <v>611</v>
      </c>
      <c r="G4081" s="286" t="s">
        <v>3868</v>
      </c>
      <c r="H4081" s="604"/>
      <c r="I4081" s="605"/>
      <c r="J4081" s="605">
        <f t="shared" si="123"/>
        <v>0</v>
      </c>
    </row>
    <row r="4082" spans="6:10" hidden="1" x14ac:dyDescent="0.25">
      <c r="F4082" s="218">
        <v>620</v>
      </c>
      <c r="G4082" s="286" t="s">
        <v>88</v>
      </c>
      <c r="H4082" s="604"/>
      <c r="I4082" s="605"/>
      <c r="J4082" s="605">
        <f t="shared" si="123"/>
        <v>0</v>
      </c>
    </row>
    <row r="4083" spans="6:10" x14ac:dyDescent="0.25">
      <c r="G4083" s="286" t="s">
        <v>4390</v>
      </c>
      <c r="H4083" s="604"/>
      <c r="I4083" s="605"/>
      <c r="J4083" s="605"/>
    </row>
    <row r="4084" spans="6:10" ht="15.75" thickBot="1" x14ac:dyDescent="0.3">
      <c r="F4084" s="218" t="s">
        <v>234</v>
      </c>
      <c r="G4084" s="723" t="s">
        <v>235</v>
      </c>
      <c r="H4084" s="725">
        <f>SUM(H4023:H4082)</f>
        <v>1726000</v>
      </c>
      <c r="I4084" s="726"/>
      <c r="J4084" s="729">
        <f t="shared" ref="J4084:J4099" si="124">SUM(H4084:I4084)</f>
        <v>1726000</v>
      </c>
    </row>
    <row r="4085" spans="6:10" hidden="1" x14ac:dyDescent="0.25">
      <c r="F4085" s="218" t="s">
        <v>236</v>
      </c>
      <c r="G4085" s="286" t="s">
        <v>237</v>
      </c>
      <c r="H4085" s="604"/>
      <c r="I4085" s="605"/>
      <c r="J4085" s="605">
        <f t="shared" si="124"/>
        <v>0</v>
      </c>
    </row>
    <row r="4086" spans="6:10" hidden="1" x14ac:dyDescent="0.25">
      <c r="F4086" s="218" t="s">
        <v>238</v>
      </c>
      <c r="G4086" s="286" t="s">
        <v>239</v>
      </c>
      <c r="H4086" s="604"/>
      <c r="I4086" s="605"/>
      <c r="J4086" s="605">
        <f t="shared" si="124"/>
        <v>0</v>
      </c>
    </row>
    <row r="4087" spans="6:10" hidden="1" x14ac:dyDescent="0.25">
      <c r="F4087" s="218" t="s">
        <v>240</v>
      </c>
      <c r="G4087" s="286" t="s">
        <v>241</v>
      </c>
      <c r="H4087" s="604"/>
      <c r="I4087" s="605"/>
      <c r="J4087" s="605">
        <f t="shared" si="124"/>
        <v>0</v>
      </c>
    </row>
    <row r="4088" spans="6:10" hidden="1" x14ac:dyDescent="0.25">
      <c r="F4088" s="218" t="s">
        <v>242</v>
      </c>
      <c r="G4088" s="286" t="s">
        <v>243</v>
      </c>
      <c r="H4088" s="604"/>
      <c r="I4088" s="605"/>
      <c r="J4088" s="605">
        <f t="shared" si="124"/>
        <v>0</v>
      </c>
    </row>
    <row r="4089" spans="6:10" hidden="1" x14ac:dyDescent="0.25">
      <c r="F4089" s="218" t="s">
        <v>244</v>
      </c>
      <c r="G4089" s="286" t="s">
        <v>245</v>
      </c>
      <c r="H4089" s="604"/>
      <c r="I4089" s="605"/>
      <c r="J4089" s="605">
        <f t="shared" si="124"/>
        <v>0</v>
      </c>
    </row>
    <row r="4090" spans="6:10" hidden="1" x14ac:dyDescent="0.25">
      <c r="F4090" s="218" t="s">
        <v>246</v>
      </c>
      <c r="G4090" s="286" t="s">
        <v>247</v>
      </c>
      <c r="H4090" s="604"/>
      <c r="I4090" s="605"/>
      <c r="J4090" s="605">
        <f t="shared" si="124"/>
        <v>0</v>
      </c>
    </row>
    <row r="4091" spans="6:10" hidden="1" x14ac:dyDescent="0.25">
      <c r="F4091" s="218" t="s">
        <v>248</v>
      </c>
      <c r="G4091" s="286" t="s">
        <v>249</v>
      </c>
      <c r="H4091" s="604"/>
      <c r="I4091" s="605"/>
      <c r="J4091" s="605">
        <f t="shared" si="124"/>
        <v>0</v>
      </c>
    </row>
    <row r="4092" spans="6:10" hidden="1" x14ac:dyDescent="0.25">
      <c r="F4092" s="218" t="s">
        <v>250</v>
      </c>
      <c r="G4092" s="286" t="s">
        <v>57</v>
      </c>
      <c r="H4092" s="604"/>
      <c r="I4092" s="605"/>
      <c r="J4092" s="605">
        <f t="shared" si="124"/>
        <v>0</v>
      </c>
    </row>
    <row r="4093" spans="6:10" hidden="1" x14ac:dyDescent="0.25">
      <c r="F4093" s="218" t="s">
        <v>251</v>
      </c>
      <c r="G4093" s="286" t="s">
        <v>252</v>
      </c>
      <c r="H4093" s="604"/>
      <c r="I4093" s="605"/>
      <c r="J4093" s="605">
        <f t="shared" si="124"/>
        <v>0</v>
      </c>
    </row>
    <row r="4094" spans="6:10" hidden="1" x14ac:dyDescent="0.25">
      <c r="F4094" s="218" t="s">
        <v>253</v>
      </c>
      <c r="G4094" s="286" t="s">
        <v>254</v>
      </c>
      <c r="H4094" s="604"/>
      <c r="I4094" s="605"/>
      <c r="J4094" s="605">
        <f t="shared" si="124"/>
        <v>0</v>
      </c>
    </row>
    <row r="4095" spans="6:10" ht="28.5" hidden="1" x14ac:dyDescent="0.25">
      <c r="F4095" s="218" t="s">
        <v>255</v>
      </c>
      <c r="G4095" s="286" t="s">
        <v>256</v>
      </c>
      <c r="H4095" s="604"/>
      <c r="I4095" s="605"/>
      <c r="J4095" s="605">
        <f t="shared" si="124"/>
        <v>0</v>
      </c>
    </row>
    <row r="4096" spans="6:10" hidden="1" x14ac:dyDescent="0.25">
      <c r="F4096" s="218" t="s">
        <v>257</v>
      </c>
      <c r="G4096" s="286" t="s">
        <v>258</v>
      </c>
      <c r="H4096" s="604"/>
      <c r="I4096" s="605"/>
      <c r="J4096" s="605">
        <f t="shared" si="124"/>
        <v>0</v>
      </c>
    </row>
    <row r="4097" spans="6:10" ht="28.5" hidden="1" x14ac:dyDescent="0.25">
      <c r="F4097" s="218" t="s">
        <v>259</v>
      </c>
      <c r="G4097" s="286" t="s">
        <v>260</v>
      </c>
      <c r="H4097" s="604"/>
      <c r="I4097" s="605"/>
      <c r="J4097" s="605">
        <f t="shared" si="124"/>
        <v>0</v>
      </c>
    </row>
    <row r="4098" spans="6:10" hidden="1" x14ac:dyDescent="0.25">
      <c r="F4098" s="218" t="s">
        <v>261</v>
      </c>
      <c r="G4098" s="286" t="s">
        <v>262</v>
      </c>
      <c r="H4098" s="604"/>
      <c r="I4098" s="605"/>
      <c r="J4098" s="605">
        <f t="shared" si="124"/>
        <v>0</v>
      </c>
    </row>
    <row r="4099" spans="6:10" hidden="1" x14ac:dyDescent="0.25">
      <c r="F4099" s="218" t="s">
        <v>263</v>
      </c>
      <c r="G4099" s="286" t="s">
        <v>264</v>
      </c>
      <c r="H4099" s="604"/>
      <c r="I4099" s="605"/>
      <c r="J4099" s="605">
        <f t="shared" si="124"/>
        <v>0</v>
      </c>
    </row>
    <row r="4100" spans="6:10" ht="15.75" thickBot="1" x14ac:dyDescent="0.3">
      <c r="G4100" s="727" t="s">
        <v>4391</v>
      </c>
      <c r="H4100" s="728">
        <f>SUM(H4084:H4099)</f>
        <v>1726000</v>
      </c>
      <c r="I4100" s="726">
        <f>SUM(I4085:I4099)</f>
        <v>0</v>
      </c>
      <c r="J4100" s="726">
        <f>SUM(J4084:J4099)</f>
        <v>1726000</v>
      </c>
    </row>
    <row r="4101" spans="6:10" x14ac:dyDescent="0.25">
      <c r="G4101" s="286" t="s">
        <v>5149</v>
      </c>
      <c r="H4101" s="604"/>
      <c r="I4101" s="605"/>
      <c r="J4101" s="605"/>
    </row>
    <row r="4102" spans="6:10" ht="15.75" thickBot="1" x14ac:dyDescent="0.3">
      <c r="F4102" s="218" t="s">
        <v>234</v>
      </c>
      <c r="G4102" s="723" t="s">
        <v>235</v>
      </c>
      <c r="H4102" s="725">
        <f>SUM(H4023:H4082)</f>
        <v>1726000</v>
      </c>
      <c r="I4102" s="726"/>
      <c r="J4102" s="729">
        <f t="shared" ref="J4102:J4117" si="125">SUM(H4102:I4102)</f>
        <v>1726000</v>
      </c>
    </row>
    <row r="4103" spans="6:10" hidden="1" x14ac:dyDescent="0.25">
      <c r="F4103" s="218" t="s">
        <v>236</v>
      </c>
      <c r="G4103" s="286" t="s">
        <v>237</v>
      </c>
      <c r="H4103" s="604"/>
      <c r="I4103" s="605"/>
      <c r="J4103" s="605">
        <f t="shared" si="125"/>
        <v>0</v>
      </c>
    </row>
    <row r="4104" spans="6:10" hidden="1" x14ac:dyDescent="0.25">
      <c r="F4104" s="218" t="s">
        <v>238</v>
      </c>
      <c r="G4104" s="286" t="s">
        <v>239</v>
      </c>
      <c r="H4104" s="604"/>
      <c r="I4104" s="605"/>
      <c r="J4104" s="605">
        <f t="shared" si="125"/>
        <v>0</v>
      </c>
    </row>
    <row r="4105" spans="6:10" hidden="1" x14ac:dyDescent="0.25">
      <c r="F4105" s="218" t="s">
        <v>240</v>
      </c>
      <c r="G4105" s="286" t="s">
        <v>241</v>
      </c>
      <c r="H4105" s="604"/>
      <c r="I4105" s="605"/>
      <c r="J4105" s="605">
        <f t="shared" si="125"/>
        <v>0</v>
      </c>
    </row>
    <row r="4106" spans="6:10" hidden="1" x14ac:dyDescent="0.25">
      <c r="F4106" s="218" t="s">
        <v>242</v>
      </c>
      <c r="G4106" s="286" t="s">
        <v>243</v>
      </c>
      <c r="H4106" s="604"/>
      <c r="I4106" s="605"/>
      <c r="J4106" s="605">
        <f t="shared" si="125"/>
        <v>0</v>
      </c>
    </row>
    <row r="4107" spans="6:10" hidden="1" x14ac:dyDescent="0.25">
      <c r="F4107" s="218" t="s">
        <v>244</v>
      </c>
      <c r="G4107" s="286" t="s">
        <v>245</v>
      </c>
      <c r="H4107" s="604"/>
      <c r="I4107" s="605"/>
      <c r="J4107" s="605">
        <f t="shared" si="125"/>
        <v>0</v>
      </c>
    </row>
    <row r="4108" spans="6:10" hidden="1" x14ac:dyDescent="0.25">
      <c r="F4108" s="218" t="s">
        <v>246</v>
      </c>
      <c r="G4108" s="286" t="s">
        <v>247</v>
      </c>
      <c r="H4108" s="604"/>
      <c r="I4108" s="605"/>
      <c r="J4108" s="605">
        <f t="shared" si="125"/>
        <v>0</v>
      </c>
    </row>
    <row r="4109" spans="6:10" hidden="1" x14ac:dyDescent="0.25">
      <c r="F4109" s="218" t="s">
        <v>248</v>
      </c>
      <c r="G4109" s="286" t="s">
        <v>249</v>
      </c>
      <c r="H4109" s="604"/>
      <c r="I4109" s="605"/>
      <c r="J4109" s="605">
        <f t="shared" si="125"/>
        <v>0</v>
      </c>
    </row>
    <row r="4110" spans="6:10" hidden="1" x14ac:dyDescent="0.25">
      <c r="F4110" s="218" t="s">
        <v>250</v>
      </c>
      <c r="G4110" s="286" t="s">
        <v>57</v>
      </c>
      <c r="H4110" s="604"/>
      <c r="I4110" s="605"/>
      <c r="J4110" s="605">
        <f t="shared" si="125"/>
        <v>0</v>
      </c>
    </row>
    <row r="4111" spans="6:10" hidden="1" x14ac:dyDescent="0.25">
      <c r="F4111" s="218" t="s">
        <v>251</v>
      </c>
      <c r="G4111" s="286" t="s">
        <v>252</v>
      </c>
      <c r="H4111" s="604"/>
      <c r="I4111" s="605"/>
      <c r="J4111" s="605">
        <f t="shared" si="125"/>
        <v>0</v>
      </c>
    </row>
    <row r="4112" spans="6:10" hidden="1" x14ac:dyDescent="0.25">
      <c r="F4112" s="218" t="s">
        <v>253</v>
      </c>
      <c r="G4112" s="286" t="s">
        <v>254</v>
      </c>
      <c r="H4112" s="604"/>
      <c r="I4112" s="605"/>
      <c r="J4112" s="605">
        <f t="shared" si="125"/>
        <v>0</v>
      </c>
    </row>
    <row r="4113" spans="3:10" ht="28.5" hidden="1" x14ac:dyDescent="0.25">
      <c r="F4113" s="218" t="s">
        <v>255</v>
      </c>
      <c r="G4113" s="286" t="s">
        <v>256</v>
      </c>
      <c r="H4113" s="604"/>
      <c r="I4113" s="605"/>
      <c r="J4113" s="605">
        <f t="shared" si="125"/>
        <v>0</v>
      </c>
    </row>
    <row r="4114" spans="3:10" hidden="1" x14ac:dyDescent="0.25">
      <c r="F4114" s="218" t="s">
        <v>257</v>
      </c>
      <c r="G4114" s="286" t="s">
        <v>258</v>
      </c>
      <c r="H4114" s="604"/>
      <c r="I4114" s="605"/>
      <c r="J4114" s="605">
        <f t="shared" si="125"/>
        <v>0</v>
      </c>
    </row>
    <row r="4115" spans="3:10" ht="28.5" hidden="1" x14ac:dyDescent="0.25">
      <c r="F4115" s="218" t="s">
        <v>259</v>
      </c>
      <c r="G4115" s="286" t="s">
        <v>260</v>
      </c>
      <c r="H4115" s="604"/>
      <c r="I4115" s="605"/>
      <c r="J4115" s="605">
        <f t="shared" si="125"/>
        <v>0</v>
      </c>
    </row>
    <row r="4116" spans="3:10" hidden="1" x14ac:dyDescent="0.25">
      <c r="F4116" s="218" t="s">
        <v>261</v>
      </c>
      <c r="G4116" s="286" t="s">
        <v>262</v>
      </c>
      <c r="H4116" s="604"/>
      <c r="I4116" s="605"/>
      <c r="J4116" s="605">
        <f t="shared" si="125"/>
        <v>0</v>
      </c>
    </row>
    <row r="4117" spans="3:10" hidden="1" x14ac:dyDescent="0.25">
      <c r="F4117" s="218" t="s">
        <v>263</v>
      </c>
      <c r="G4117" s="286" t="s">
        <v>264</v>
      </c>
      <c r="H4117" s="604"/>
      <c r="I4117" s="605"/>
      <c r="J4117" s="605">
        <f t="shared" si="125"/>
        <v>0</v>
      </c>
    </row>
    <row r="4118" spans="3:10" ht="15.75" thickBot="1" x14ac:dyDescent="0.3">
      <c r="G4118" s="727" t="s">
        <v>5148</v>
      </c>
      <c r="H4118" s="728">
        <f>SUM(H4102:H4117)</f>
        <v>1726000</v>
      </c>
      <c r="I4118" s="726">
        <f>SUM(I4103:I4117)</f>
        <v>0</v>
      </c>
      <c r="J4118" s="726">
        <f>SUM(J4102:J4117)</f>
        <v>1726000</v>
      </c>
    </row>
    <row r="4119" spans="3:10" x14ac:dyDescent="0.25">
      <c r="G4119" s="286"/>
      <c r="H4119" s="604"/>
      <c r="I4119" s="605"/>
      <c r="J4119" s="605"/>
    </row>
    <row r="4120" spans="3:10" x14ac:dyDescent="0.25">
      <c r="C4120" s="722" t="s">
        <v>4803</v>
      </c>
      <c r="G4120" s="286" t="s">
        <v>5153</v>
      </c>
      <c r="H4120" s="604"/>
      <c r="I4120" s="605"/>
      <c r="J4120" s="605"/>
    </row>
    <row r="4121" spans="3:10" ht="30" x14ac:dyDescent="0.25">
      <c r="D4121" s="218" t="s">
        <v>3908</v>
      </c>
      <c r="G4121" s="724" t="s">
        <v>4240</v>
      </c>
      <c r="H4121" s="604"/>
      <c r="I4121" s="605"/>
      <c r="J4121" s="605"/>
    </row>
    <row r="4122" spans="3:10" hidden="1" x14ac:dyDescent="0.25">
      <c r="F4122" s="218">
        <v>411</v>
      </c>
      <c r="G4122" s="286" t="s">
        <v>4189</v>
      </c>
      <c r="H4122" s="604"/>
      <c r="I4122" s="605"/>
      <c r="J4122" s="605">
        <f t="shared" ref="J4122:J4153" si="126">SUM(H4122:I4122)</f>
        <v>0</v>
      </c>
    </row>
    <row r="4123" spans="3:10" hidden="1" x14ac:dyDescent="0.25">
      <c r="F4123" s="218">
        <v>412</v>
      </c>
      <c r="G4123" s="286" t="s">
        <v>3784</v>
      </c>
      <c r="H4123" s="604"/>
      <c r="I4123" s="605"/>
      <c r="J4123" s="605">
        <f t="shared" si="126"/>
        <v>0</v>
      </c>
    </row>
    <row r="4124" spans="3:10" hidden="1" x14ac:dyDescent="0.25">
      <c r="F4124" s="218">
        <v>413</v>
      </c>
      <c r="G4124" s="286" t="s">
        <v>4190</v>
      </c>
      <c r="H4124" s="604"/>
      <c r="I4124" s="605"/>
      <c r="J4124" s="605">
        <f t="shared" si="126"/>
        <v>0</v>
      </c>
    </row>
    <row r="4125" spans="3:10" hidden="1" x14ac:dyDescent="0.25">
      <c r="F4125" s="218">
        <v>414</v>
      </c>
      <c r="G4125" s="286" t="s">
        <v>3787</v>
      </c>
      <c r="H4125" s="604"/>
      <c r="I4125" s="605"/>
      <c r="J4125" s="605">
        <f t="shared" si="126"/>
        <v>0</v>
      </c>
    </row>
    <row r="4126" spans="3:10" hidden="1" x14ac:dyDescent="0.25">
      <c r="F4126" s="218">
        <v>415</v>
      </c>
      <c r="G4126" s="286" t="s">
        <v>4199</v>
      </c>
      <c r="H4126" s="604"/>
      <c r="I4126" s="605"/>
      <c r="J4126" s="605">
        <f t="shared" si="126"/>
        <v>0</v>
      </c>
    </row>
    <row r="4127" spans="3:10" hidden="1" x14ac:dyDescent="0.25">
      <c r="F4127" s="218">
        <v>416</v>
      </c>
      <c r="G4127" s="286" t="s">
        <v>4200</v>
      </c>
      <c r="H4127" s="604"/>
      <c r="I4127" s="605"/>
      <c r="J4127" s="605">
        <f t="shared" si="126"/>
        <v>0</v>
      </c>
    </row>
    <row r="4128" spans="3:10" hidden="1" x14ac:dyDescent="0.25">
      <c r="F4128" s="218">
        <v>417</v>
      </c>
      <c r="G4128" s="286" t="s">
        <v>4201</v>
      </c>
      <c r="H4128" s="604"/>
      <c r="I4128" s="605"/>
      <c r="J4128" s="605">
        <f t="shared" si="126"/>
        <v>0</v>
      </c>
    </row>
    <row r="4129" spans="6:10" hidden="1" x14ac:dyDescent="0.25">
      <c r="F4129" s="218">
        <v>418</v>
      </c>
      <c r="G4129" s="286" t="s">
        <v>3793</v>
      </c>
      <c r="H4129" s="604"/>
      <c r="I4129" s="605"/>
      <c r="J4129" s="605">
        <f t="shared" si="126"/>
        <v>0</v>
      </c>
    </row>
    <row r="4130" spans="6:10" hidden="1" x14ac:dyDescent="0.25">
      <c r="F4130" s="218">
        <v>421</v>
      </c>
      <c r="G4130" s="286" t="s">
        <v>3797</v>
      </c>
      <c r="H4130" s="604"/>
      <c r="I4130" s="605"/>
      <c r="J4130" s="605">
        <f t="shared" si="126"/>
        <v>0</v>
      </c>
    </row>
    <row r="4131" spans="6:10" hidden="1" x14ac:dyDescent="0.25">
      <c r="F4131" s="218">
        <v>422</v>
      </c>
      <c r="G4131" s="286" t="s">
        <v>3798</v>
      </c>
      <c r="H4131" s="604"/>
      <c r="I4131" s="605"/>
      <c r="J4131" s="605">
        <f t="shared" si="126"/>
        <v>0</v>
      </c>
    </row>
    <row r="4132" spans="6:10" hidden="1" x14ac:dyDescent="0.25">
      <c r="F4132" s="218">
        <v>423</v>
      </c>
      <c r="G4132" s="286" t="s">
        <v>3799</v>
      </c>
      <c r="H4132" s="604"/>
      <c r="I4132" s="605"/>
      <c r="J4132" s="605">
        <f t="shared" si="126"/>
        <v>0</v>
      </c>
    </row>
    <row r="4133" spans="6:10" hidden="1" x14ac:dyDescent="0.25">
      <c r="F4133" s="218">
        <v>424</v>
      </c>
      <c r="G4133" s="286" t="s">
        <v>3801</v>
      </c>
      <c r="H4133" s="604"/>
      <c r="I4133" s="605"/>
      <c r="J4133" s="605">
        <f t="shared" si="126"/>
        <v>0</v>
      </c>
    </row>
    <row r="4134" spans="6:10" hidden="1" x14ac:dyDescent="0.25">
      <c r="F4134" s="218">
        <v>425</v>
      </c>
      <c r="G4134" s="286" t="s">
        <v>4202</v>
      </c>
      <c r="H4134" s="604"/>
      <c r="I4134" s="605"/>
      <c r="J4134" s="605">
        <f t="shared" si="126"/>
        <v>0</v>
      </c>
    </row>
    <row r="4135" spans="6:10" hidden="1" x14ac:dyDescent="0.25">
      <c r="F4135" s="218">
        <v>426</v>
      </c>
      <c r="G4135" s="286" t="s">
        <v>3805</v>
      </c>
      <c r="H4135" s="604"/>
      <c r="I4135" s="605"/>
      <c r="J4135" s="605">
        <f t="shared" si="126"/>
        <v>0</v>
      </c>
    </row>
    <row r="4136" spans="6:10" hidden="1" x14ac:dyDescent="0.25">
      <c r="F4136" s="218">
        <v>431</v>
      </c>
      <c r="G4136" s="286" t="s">
        <v>4203</v>
      </c>
      <c r="H4136" s="604"/>
      <c r="I4136" s="605"/>
      <c r="J4136" s="605">
        <f t="shared" si="126"/>
        <v>0</v>
      </c>
    </row>
    <row r="4137" spans="6:10" hidden="1" x14ac:dyDescent="0.25">
      <c r="F4137" s="218">
        <v>432</v>
      </c>
      <c r="G4137" s="286" t="s">
        <v>4204</v>
      </c>
      <c r="H4137" s="604"/>
      <c r="I4137" s="605"/>
      <c r="J4137" s="605">
        <f t="shared" si="126"/>
        <v>0</v>
      </c>
    </row>
    <row r="4138" spans="6:10" hidden="1" x14ac:dyDescent="0.25">
      <c r="F4138" s="218">
        <v>433</v>
      </c>
      <c r="G4138" s="286" t="s">
        <v>4205</v>
      </c>
      <c r="H4138" s="604"/>
      <c r="I4138" s="605"/>
      <c r="J4138" s="605">
        <f t="shared" si="126"/>
        <v>0</v>
      </c>
    </row>
    <row r="4139" spans="6:10" hidden="1" x14ac:dyDescent="0.25">
      <c r="F4139" s="218">
        <v>434</v>
      </c>
      <c r="G4139" s="286" t="s">
        <v>4206</v>
      </c>
      <c r="H4139" s="604"/>
      <c r="I4139" s="605"/>
      <c r="J4139" s="605">
        <f t="shared" si="126"/>
        <v>0</v>
      </c>
    </row>
    <row r="4140" spans="6:10" hidden="1" x14ac:dyDescent="0.25">
      <c r="F4140" s="218">
        <v>435</v>
      </c>
      <c r="G4140" s="286" t="s">
        <v>3812</v>
      </c>
      <c r="H4140" s="604"/>
      <c r="I4140" s="605"/>
      <c r="J4140" s="605">
        <f t="shared" si="126"/>
        <v>0</v>
      </c>
    </row>
    <row r="4141" spans="6:10" hidden="1" x14ac:dyDescent="0.25">
      <c r="F4141" s="218">
        <v>441</v>
      </c>
      <c r="G4141" s="286" t="s">
        <v>4207</v>
      </c>
      <c r="H4141" s="604"/>
      <c r="I4141" s="605"/>
      <c r="J4141" s="605">
        <f t="shared" si="126"/>
        <v>0</v>
      </c>
    </row>
    <row r="4142" spans="6:10" hidden="1" x14ac:dyDescent="0.25">
      <c r="F4142" s="218">
        <v>442</v>
      </c>
      <c r="G4142" s="286" t="s">
        <v>4208</v>
      </c>
      <c r="H4142" s="604"/>
      <c r="I4142" s="605"/>
      <c r="J4142" s="605">
        <f t="shared" si="126"/>
        <v>0</v>
      </c>
    </row>
    <row r="4143" spans="6:10" hidden="1" x14ac:dyDescent="0.25">
      <c r="F4143" s="218">
        <v>443</v>
      </c>
      <c r="G4143" s="286" t="s">
        <v>3817</v>
      </c>
      <c r="H4143" s="604"/>
      <c r="I4143" s="605"/>
      <c r="J4143" s="605">
        <f t="shared" si="126"/>
        <v>0</v>
      </c>
    </row>
    <row r="4144" spans="6:10" hidden="1" x14ac:dyDescent="0.25">
      <c r="F4144" s="218">
        <v>444</v>
      </c>
      <c r="G4144" s="286" t="s">
        <v>3818</v>
      </c>
      <c r="H4144" s="604"/>
      <c r="I4144" s="605"/>
      <c r="J4144" s="605">
        <f t="shared" si="126"/>
        <v>0</v>
      </c>
    </row>
    <row r="4145" spans="5:10" ht="28.5" hidden="1" x14ac:dyDescent="0.25">
      <c r="F4145" s="218">
        <v>4511</v>
      </c>
      <c r="G4145" s="286" t="s">
        <v>1692</v>
      </c>
      <c r="H4145" s="604"/>
      <c r="I4145" s="605"/>
      <c r="J4145" s="605">
        <f t="shared" si="126"/>
        <v>0</v>
      </c>
    </row>
    <row r="4146" spans="5:10" ht="28.5" hidden="1" x14ac:dyDescent="0.25">
      <c r="F4146" s="218">
        <v>4512</v>
      </c>
      <c r="G4146" s="286" t="s">
        <v>1701</v>
      </c>
      <c r="H4146" s="604"/>
      <c r="I4146" s="605"/>
      <c r="J4146" s="605">
        <f t="shared" si="126"/>
        <v>0</v>
      </c>
    </row>
    <row r="4147" spans="5:10" hidden="1" x14ac:dyDescent="0.25">
      <c r="F4147" s="218">
        <v>452</v>
      </c>
      <c r="G4147" s="286" t="s">
        <v>4209</v>
      </c>
      <c r="H4147" s="604"/>
      <c r="I4147" s="605"/>
      <c r="J4147" s="605">
        <f t="shared" si="126"/>
        <v>0</v>
      </c>
    </row>
    <row r="4148" spans="5:10" hidden="1" x14ac:dyDescent="0.25">
      <c r="F4148" s="218">
        <v>453</v>
      </c>
      <c r="G4148" s="286" t="s">
        <v>4210</v>
      </c>
      <c r="H4148" s="604"/>
      <c r="I4148" s="605"/>
      <c r="J4148" s="605">
        <f t="shared" si="126"/>
        <v>0</v>
      </c>
    </row>
    <row r="4149" spans="5:10" hidden="1" x14ac:dyDescent="0.25">
      <c r="F4149" s="218">
        <v>454</v>
      </c>
      <c r="G4149" s="286" t="s">
        <v>3823</v>
      </c>
      <c r="H4149" s="604"/>
      <c r="I4149" s="605"/>
      <c r="J4149" s="605">
        <f t="shared" si="126"/>
        <v>0</v>
      </c>
    </row>
    <row r="4150" spans="5:10" hidden="1" x14ac:dyDescent="0.25">
      <c r="F4150" s="218">
        <v>461</v>
      </c>
      <c r="G4150" s="286" t="s">
        <v>4191</v>
      </c>
      <c r="H4150" s="604"/>
      <c r="I4150" s="605"/>
      <c r="J4150" s="605">
        <f t="shared" si="126"/>
        <v>0</v>
      </c>
    </row>
    <row r="4151" spans="5:10" hidden="1" x14ac:dyDescent="0.25">
      <c r="F4151" s="218">
        <v>462</v>
      </c>
      <c r="G4151" s="286" t="s">
        <v>3826</v>
      </c>
      <c r="H4151" s="604"/>
      <c r="I4151" s="605"/>
      <c r="J4151" s="605">
        <f t="shared" si="126"/>
        <v>0</v>
      </c>
    </row>
    <row r="4152" spans="5:10" hidden="1" x14ac:dyDescent="0.25">
      <c r="F4152" s="218">
        <v>4631</v>
      </c>
      <c r="G4152" s="286" t="s">
        <v>3827</v>
      </c>
      <c r="H4152" s="604"/>
      <c r="I4152" s="605"/>
      <c r="J4152" s="605">
        <f t="shared" si="126"/>
        <v>0</v>
      </c>
    </row>
    <row r="4153" spans="5:10" hidden="1" x14ac:dyDescent="0.25">
      <c r="F4153" s="218">
        <v>4632</v>
      </c>
      <c r="G4153" s="286" t="s">
        <v>3828</v>
      </c>
      <c r="H4153" s="604"/>
      <c r="I4153" s="605"/>
      <c r="J4153" s="605">
        <f t="shared" si="126"/>
        <v>0</v>
      </c>
    </row>
    <row r="4154" spans="5:10" ht="28.5" hidden="1" x14ac:dyDescent="0.25">
      <c r="F4154" s="218">
        <v>464</v>
      </c>
      <c r="G4154" s="286" t="s">
        <v>3829</v>
      </c>
      <c r="H4154" s="604"/>
      <c r="I4154" s="605"/>
      <c r="J4154" s="605">
        <f t="shared" ref="J4154:J4181" si="127">SUM(H4154:I4154)</f>
        <v>0</v>
      </c>
    </row>
    <row r="4155" spans="5:10" hidden="1" x14ac:dyDescent="0.25">
      <c r="F4155" s="218">
        <v>465</v>
      </c>
      <c r="G4155" s="286" t="s">
        <v>4192</v>
      </c>
      <c r="H4155" s="604"/>
      <c r="I4155" s="605"/>
      <c r="J4155" s="605">
        <f t="shared" si="127"/>
        <v>0</v>
      </c>
    </row>
    <row r="4156" spans="5:10" hidden="1" x14ac:dyDescent="0.25">
      <c r="F4156" s="218">
        <v>471</v>
      </c>
      <c r="G4156" s="286" t="s">
        <v>3833</v>
      </c>
      <c r="H4156" s="604"/>
      <c r="I4156" s="605"/>
      <c r="J4156" s="605">
        <f t="shared" si="127"/>
        <v>0</v>
      </c>
    </row>
    <row r="4157" spans="5:10" ht="15.75" thickBot="1" x14ac:dyDescent="0.3">
      <c r="E4157" s="218">
        <v>54</v>
      </c>
      <c r="F4157" s="218">
        <v>481</v>
      </c>
      <c r="G4157" s="723" t="s">
        <v>4211</v>
      </c>
      <c r="H4157" s="725">
        <v>400000</v>
      </c>
      <c r="I4157" s="726"/>
      <c r="J4157" s="729">
        <f t="shared" si="127"/>
        <v>400000</v>
      </c>
    </row>
    <row r="4158" spans="5:10" hidden="1" x14ac:dyDescent="0.25">
      <c r="F4158" s="218">
        <v>482</v>
      </c>
      <c r="G4158" s="286" t="s">
        <v>4212</v>
      </c>
      <c r="H4158" s="604"/>
      <c r="I4158" s="605"/>
      <c r="J4158" s="605">
        <f t="shared" si="127"/>
        <v>0</v>
      </c>
    </row>
    <row r="4159" spans="5:10" hidden="1" x14ac:dyDescent="0.25">
      <c r="F4159" s="218">
        <v>483</v>
      </c>
      <c r="G4159" s="286" t="s">
        <v>4213</v>
      </c>
      <c r="H4159" s="604"/>
      <c r="I4159" s="605"/>
      <c r="J4159" s="605">
        <f t="shared" si="127"/>
        <v>0</v>
      </c>
    </row>
    <row r="4160" spans="5:10" ht="28.5" hidden="1" x14ac:dyDescent="0.25">
      <c r="F4160" s="218">
        <v>484</v>
      </c>
      <c r="G4160" s="286" t="s">
        <v>4214</v>
      </c>
      <c r="H4160" s="604"/>
      <c r="I4160" s="605"/>
      <c r="J4160" s="605">
        <f t="shared" si="127"/>
        <v>0</v>
      </c>
    </row>
    <row r="4161" spans="6:10" ht="28.5" hidden="1" x14ac:dyDescent="0.25">
      <c r="F4161" s="218">
        <v>485</v>
      </c>
      <c r="G4161" s="286" t="s">
        <v>4215</v>
      </c>
      <c r="H4161" s="604"/>
      <c r="I4161" s="605"/>
      <c r="J4161" s="605">
        <f t="shared" si="127"/>
        <v>0</v>
      </c>
    </row>
    <row r="4162" spans="6:10" ht="28.5" hidden="1" x14ac:dyDescent="0.25">
      <c r="F4162" s="218">
        <v>489</v>
      </c>
      <c r="G4162" s="286" t="s">
        <v>3841</v>
      </c>
      <c r="H4162" s="604"/>
      <c r="I4162" s="605"/>
      <c r="J4162" s="605">
        <f t="shared" si="127"/>
        <v>0</v>
      </c>
    </row>
    <row r="4163" spans="6:10" ht="28.5" hidden="1" x14ac:dyDescent="0.25">
      <c r="F4163" s="218">
        <v>494</v>
      </c>
      <c r="G4163" s="286" t="s">
        <v>4193</v>
      </c>
      <c r="H4163" s="604"/>
      <c r="I4163" s="605"/>
      <c r="J4163" s="605">
        <f t="shared" si="127"/>
        <v>0</v>
      </c>
    </row>
    <row r="4164" spans="6:10" ht="28.5" hidden="1" x14ac:dyDescent="0.25">
      <c r="F4164" s="218">
        <v>495</v>
      </c>
      <c r="G4164" s="286" t="s">
        <v>4194</v>
      </c>
      <c r="H4164" s="604"/>
      <c r="I4164" s="605"/>
      <c r="J4164" s="605">
        <f t="shared" si="127"/>
        <v>0</v>
      </c>
    </row>
    <row r="4165" spans="6:10" ht="28.5" hidden="1" x14ac:dyDescent="0.25">
      <c r="F4165" s="218">
        <v>496</v>
      </c>
      <c r="G4165" s="286" t="s">
        <v>4195</v>
      </c>
      <c r="H4165" s="604"/>
      <c r="I4165" s="605"/>
      <c r="J4165" s="605">
        <f t="shared" si="127"/>
        <v>0</v>
      </c>
    </row>
    <row r="4166" spans="6:10" ht="28.5" hidden="1" x14ac:dyDescent="0.25">
      <c r="F4166" s="218">
        <v>499</v>
      </c>
      <c r="G4166" s="286" t="s">
        <v>4196</v>
      </c>
      <c r="H4166" s="604"/>
      <c r="I4166" s="605"/>
      <c r="J4166" s="605">
        <f t="shared" si="127"/>
        <v>0</v>
      </c>
    </row>
    <row r="4167" spans="6:10" hidden="1" x14ac:dyDescent="0.25">
      <c r="F4167" s="218">
        <v>511</v>
      </c>
      <c r="G4167" s="286" t="s">
        <v>4216</v>
      </c>
      <c r="H4167" s="604"/>
      <c r="I4167" s="605"/>
      <c r="J4167" s="605">
        <f t="shared" si="127"/>
        <v>0</v>
      </c>
    </row>
    <row r="4168" spans="6:10" hidden="1" x14ac:dyDescent="0.25">
      <c r="F4168" s="218">
        <v>512</v>
      </c>
      <c r="G4168" s="286" t="s">
        <v>4217</v>
      </c>
      <c r="H4168" s="604"/>
      <c r="I4168" s="605"/>
      <c r="J4168" s="605">
        <f t="shared" si="127"/>
        <v>0</v>
      </c>
    </row>
    <row r="4169" spans="6:10" hidden="1" x14ac:dyDescent="0.25">
      <c r="F4169" s="218">
        <v>513</v>
      </c>
      <c r="G4169" s="286" t="s">
        <v>4218</v>
      </c>
      <c r="H4169" s="604"/>
      <c r="I4169" s="605"/>
      <c r="J4169" s="605">
        <f t="shared" si="127"/>
        <v>0</v>
      </c>
    </row>
    <row r="4170" spans="6:10" hidden="1" x14ac:dyDescent="0.25">
      <c r="F4170" s="218">
        <v>514</v>
      </c>
      <c r="G4170" s="286" t="s">
        <v>4219</v>
      </c>
      <c r="H4170" s="604"/>
      <c r="I4170" s="605"/>
      <c r="J4170" s="605">
        <f t="shared" si="127"/>
        <v>0</v>
      </c>
    </row>
    <row r="4171" spans="6:10" hidden="1" x14ac:dyDescent="0.25">
      <c r="F4171" s="218">
        <v>515</v>
      </c>
      <c r="G4171" s="286" t="s">
        <v>3852</v>
      </c>
      <c r="H4171" s="604"/>
      <c r="I4171" s="605"/>
      <c r="J4171" s="605">
        <f t="shared" si="127"/>
        <v>0</v>
      </c>
    </row>
    <row r="4172" spans="6:10" hidden="1" x14ac:dyDescent="0.25">
      <c r="F4172" s="218">
        <v>521</v>
      </c>
      <c r="G4172" s="286" t="s">
        <v>4220</v>
      </c>
      <c r="H4172" s="604"/>
      <c r="I4172" s="605"/>
      <c r="J4172" s="605">
        <f t="shared" si="127"/>
        <v>0</v>
      </c>
    </row>
    <row r="4173" spans="6:10" hidden="1" x14ac:dyDescent="0.25">
      <c r="F4173" s="218">
        <v>522</v>
      </c>
      <c r="G4173" s="286" t="s">
        <v>4221</v>
      </c>
      <c r="H4173" s="604"/>
      <c r="I4173" s="605"/>
      <c r="J4173" s="605">
        <f t="shared" si="127"/>
        <v>0</v>
      </c>
    </row>
    <row r="4174" spans="6:10" hidden="1" x14ac:dyDescent="0.25">
      <c r="F4174" s="218">
        <v>523</v>
      </c>
      <c r="G4174" s="286" t="s">
        <v>3857</v>
      </c>
      <c r="H4174" s="604"/>
      <c r="I4174" s="605"/>
      <c r="J4174" s="605">
        <f t="shared" si="127"/>
        <v>0</v>
      </c>
    </row>
    <row r="4175" spans="6:10" hidden="1" x14ac:dyDescent="0.25">
      <c r="F4175" s="218">
        <v>531</v>
      </c>
      <c r="G4175" s="286" t="s">
        <v>4197</v>
      </c>
      <c r="H4175" s="604"/>
      <c r="I4175" s="605"/>
      <c r="J4175" s="605">
        <f t="shared" si="127"/>
        <v>0</v>
      </c>
    </row>
    <row r="4176" spans="6:10" hidden="1" x14ac:dyDescent="0.25">
      <c r="F4176" s="218">
        <v>541</v>
      </c>
      <c r="G4176" s="286" t="s">
        <v>4222</v>
      </c>
      <c r="H4176" s="604"/>
      <c r="I4176" s="605"/>
      <c r="J4176" s="605">
        <f t="shared" si="127"/>
        <v>0</v>
      </c>
    </row>
    <row r="4177" spans="6:10" hidden="1" x14ac:dyDescent="0.25">
      <c r="F4177" s="218">
        <v>542</v>
      </c>
      <c r="G4177" s="286" t="s">
        <v>4223</v>
      </c>
      <c r="H4177" s="604"/>
      <c r="I4177" s="605"/>
      <c r="J4177" s="605">
        <f t="shared" si="127"/>
        <v>0</v>
      </c>
    </row>
    <row r="4178" spans="6:10" hidden="1" x14ac:dyDescent="0.25">
      <c r="F4178" s="218">
        <v>543</v>
      </c>
      <c r="G4178" s="286" t="s">
        <v>3862</v>
      </c>
      <c r="H4178" s="604"/>
      <c r="I4178" s="605"/>
      <c r="J4178" s="605">
        <f t="shared" si="127"/>
        <v>0</v>
      </c>
    </row>
    <row r="4179" spans="6:10" ht="42.75" hidden="1" x14ac:dyDescent="0.25">
      <c r="F4179" s="218">
        <v>551</v>
      </c>
      <c r="G4179" s="286" t="s">
        <v>4198</v>
      </c>
      <c r="H4179" s="604"/>
      <c r="I4179" s="605"/>
      <c r="J4179" s="605">
        <f t="shared" si="127"/>
        <v>0</v>
      </c>
    </row>
    <row r="4180" spans="6:10" hidden="1" x14ac:dyDescent="0.25">
      <c r="F4180" s="218">
        <v>611</v>
      </c>
      <c r="G4180" s="286" t="s">
        <v>3868</v>
      </c>
      <c r="H4180" s="604"/>
      <c r="I4180" s="605"/>
      <c r="J4180" s="605">
        <f t="shared" si="127"/>
        <v>0</v>
      </c>
    </row>
    <row r="4181" spans="6:10" hidden="1" x14ac:dyDescent="0.25">
      <c r="F4181" s="218">
        <v>620</v>
      </c>
      <c r="G4181" s="286" t="s">
        <v>88</v>
      </c>
      <c r="H4181" s="604"/>
      <c r="I4181" s="605"/>
      <c r="J4181" s="605">
        <f t="shared" si="127"/>
        <v>0</v>
      </c>
    </row>
    <row r="4182" spans="6:10" x14ac:dyDescent="0.25">
      <c r="G4182" s="286" t="s">
        <v>4390</v>
      </c>
      <c r="H4182" s="604"/>
      <c r="I4182" s="605"/>
      <c r="J4182" s="605"/>
    </row>
    <row r="4183" spans="6:10" ht="15.75" thickBot="1" x14ac:dyDescent="0.3">
      <c r="F4183" s="218" t="s">
        <v>234</v>
      </c>
      <c r="G4183" s="723" t="s">
        <v>235</v>
      </c>
      <c r="H4183" s="725">
        <f>SUM(H4122:H4181)</f>
        <v>400000</v>
      </c>
      <c r="I4183" s="726"/>
      <c r="J4183" s="729">
        <f t="shared" ref="J4183:J4198" si="128">SUM(H4183:I4183)</f>
        <v>400000</v>
      </c>
    </row>
    <row r="4184" spans="6:10" hidden="1" x14ac:dyDescent="0.25">
      <c r="F4184" s="218" t="s">
        <v>236</v>
      </c>
      <c r="G4184" s="286" t="s">
        <v>237</v>
      </c>
      <c r="H4184" s="604"/>
      <c r="I4184" s="605"/>
      <c r="J4184" s="605">
        <f t="shared" si="128"/>
        <v>0</v>
      </c>
    </row>
    <row r="4185" spans="6:10" hidden="1" x14ac:dyDescent="0.25">
      <c r="F4185" s="218" t="s">
        <v>238</v>
      </c>
      <c r="G4185" s="286" t="s">
        <v>239</v>
      </c>
      <c r="H4185" s="604"/>
      <c r="I4185" s="605"/>
      <c r="J4185" s="605">
        <f t="shared" si="128"/>
        <v>0</v>
      </c>
    </row>
    <row r="4186" spans="6:10" hidden="1" x14ac:dyDescent="0.25">
      <c r="F4186" s="218" t="s">
        <v>240</v>
      </c>
      <c r="G4186" s="286" t="s">
        <v>241</v>
      </c>
      <c r="H4186" s="604"/>
      <c r="I4186" s="605"/>
      <c r="J4186" s="605">
        <f t="shared" si="128"/>
        <v>0</v>
      </c>
    </row>
    <row r="4187" spans="6:10" hidden="1" x14ac:dyDescent="0.25">
      <c r="F4187" s="218" t="s">
        <v>242</v>
      </c>
      <c r="G4187" s="286" t="s">
        <v>243</v>
      </c>
      <c r="H4187" s="604"/>
      <c r="I4187" s="605"/>
      <c r="J4187" s="605">
        <f t="shared" si="128"/>
        <v>0</v>
      </c>
    </row>
    <row r="4188" spans="6:10" hidden="1" x14ac:dyDescent="0.25">
      <c r="F4188" s="218" t="s">
        <v>244</v>
      </c>
      <c r="G4188" s="286" t="s">
        <v>245</v>
      </c>
      <c r="H4188" s="604"/>
      <c r="I4188" s="605"/>
      <c r="J4188" s="605">
        <f t="shared" si="128"/>
        <v>0</v>
      </c>
    </row>
    <row r="4189" spans="6:10" hidden="1" x14ac:dyDescent="0.25">
      <c r="F4189" s="218" t="s">
        <v>246</v>
      </c>
      <c r="G4189" s="286" t="s">
        <v>247</v>
      </c>
      <c r="H4189" s="604"/>
      <c r="I4189" s="605"/>
      <c r="J4189" s="605">
        <f t="shared" si="128"/>
        <v>0</v>
      </c>
    </row>
    <row r="4190" spans="6:10" hidden="1" x14ac:dyDescent="0.25">
      <c r="F4190" s="218" t="s">
        <v>248</v>
      </c>
      <c r="G4190" s="286" t="s">
        <v>249</v>
      </c>
      <c r="H4190" s="604"/>
      <c r="I4190" s="605"/>
      <c r="J4190" s="605">
        <f t="shared" si="128"/>
        <v>0</v>
      </c>
    </row>
    <row r="4191" spans="6:10" hidden="1" x14ac:dyDescent="0.25">
      <c r="F4191" s="218" t="s">
        <v>250</v>
      </c>
      <c r="G4191" s="286" t="s">
        <v>57</v>
      </c>
      <c r="H4191" s="604"/>
      <c r="I4191" s="605"/>
      <c r="J4191" s="605">
        <f t="shared" si="128"/>
        <v>0</v>
      </c>
    </row>
    <row r="4192" spans="6:10" hidden="1" x14ac:dyDescent="0.25">
      <c r="F4192" s="218" t="s">
        <v>251</v>
      </c>
      <c r="G4192" s="286" t="s">
        <v>252</v>
      </c>
      <c r="H4192" s="604"/>
      <c r="I4192" s="605"/>
      <c r="J4192" s="605">
        <f t="shared" si="128"/>
        <v>0</v>
      </c>
    </row>
    <row r="4193" spans="6:10" hidden="1" x14ac:dyDescent="0.25">
      <c r="F4193" s="218" t="s">
        <v>253</v>
      </c>
      <c r="G4193" s="286" t="s">
        <v>254</v>
      </c>
      <c r="H4193" s="604"/>
      <c r="I4193" s="605"/>
      <c r="J4193" s="605">
        <f t="shared" si="128"/>
        <v>0</v>
      </c>
    </row>
    <row r="4194" spans="6:10" ht="28.5" hidden="1" x14ac:dyDescent="0.25">
      <c r="F4194" s="218" t="s">
        <v>255</v>
      </c>
      <c r="G4194" s="286" t="s">
        <v>256</v>
      </c>
      <c r="H4194" s="604"/>
      <c r="I4194" s="605"/>
      <c r="J4194" s="605">
        <f t="shared" si="128"/>
        <v>0</v>
      </c>
    </row>
    <row r="4195" spans="6:10" hidden="1" x14ac:dyDescent="0.25">
      <c r="F4195" s="218" t="s">
        <v>257</v>
      </c>
      <c r="G4195" s="286" t="s">
        <v>258</v>
      </c>
      <c r="H4195" s="604"/>
      <c r="I4195" s="605"/>
      <c r="J4195" s="605">
        <f t="shared" si="128"/>
        <v>0</v>
      </c>
    </row>
    <row r="4196" spans="6:10" ht="28.5" hidden="1" x14ac:dyDescent="0.25">
      <c r="F4196" s="218" t="s">
        <v>259</v>
      </c>
      <c r="G4196" s="286" t="s">
        <v>260</v>
      </c>
      <c r="H4196" s="604"/>
      <c r="I4196" s="605"/>
      <c r="J4196" s="605">
        <f t="shared" si="128"/>
        <v>0</v>
      </c>
    </row>
    <row r="4197" spans="6:10" hidden="1" x14ac:dyDescent="0.25">
      <c r="F4197" s="218" t="s">
        <v>261</v>
      </c>
      <c r="G4197" s="286" t="s">
        <v>262</v>
      </c>
      <c r="H4197" s="604"/>
      <c r="I4197" s="605"/>
      <c r="J4197" s="605">
        <f t="shared" si="128"/>
        <v>0</v>
      </c>
    </row>
    <row r="4198" spans="6:10" hidden="1" x14ac:dyDescent="0.25">
      <c r="F4198" s="218" t="s">
        <v>263</v>
      </c>
      <c r="G4198" s="286" t="s">
        <v>264</v>
      </c>
      <c r="H4198" s="604"/>
      <c r="I4198" s="605"/>
      <c r="J4198" s="605">
        <f t="shared" si="128"/>
        <v>0</v>
      </c>
    </row>
    <row r="4199" spans="6:10" ht="15.75" thickBot="1" x14ac:dyDescent="0.3">
      <c r="G4199" s="727" t="s">
        <v>4391</v>
      </c>
      <c r="H4199" s="728">
        <f>SUM(H4183:H4198)</f>
        <v>400000</v>
      </c>
      <c r="I4199" s="726">
        <f>SUM(I4184:I4198)</f>
        <v>0</v>
      </c>
      <c r="J4199" s="726">
        <f>SUM(J4183:J4198)</f>
        <v>400000</v>
      </c>
    </row>
    <row r="4200" spans="6:10" x14ac:dyDescent="0.25">
      <c r="G4200" s="286" t="s">
        <v>5151</v>
      </c>
      <c r="H4200" s="604"/>
      <c r="I4200" s="605"/>
      <c r="J4200" s="605"/>
    </row>
    <row r="4201" spans="6:10" ht="15.75" thickBot="1" x14ac:dyDescent="0.3">
      <c r="F4201" s="218" t="s">
        <v>234</v>
      </c>
      <c r="G4201" s="723" t="s">
        <v>235</v>
      </c>
      <c r="H4201" s="725">
        <f>SUM(H4122:H4181)</f>
        <v>400000</v>
      </c>
      <c r="I4201" s="726"/>
      <c r="J4201" s="729">
        <f t="shared" ref="J4201:J4216" si="129">SUM(H4201:I4201)</f>
        <v>400000</v>
      </c>
    </row>
    <row r="4202" spans="6:10" hidden="1" x14ac:dyDescent="0.25">
      <c r="F4202" s="218" t="s">
        <v>236</v>
      </c>
      <c r="G4202" s="286" t="s">
        <v>237</v>
      </c>
      <c r="H4202" s="604"/>
      <c r="I4202" s="605"/>
      <c r="J4202" s="605">
        <f t="shared" si="129"/>
        <v>0</v>
      </c>
    </row>
    <row r="4203" spans="6:10" hidden="1" x14ac:dyDescent="0.25">
      <c r="F4203" s="218" t="s">
        <v>238</v>
      </c>
      <c r="G4203" s="286" t="s">
        <v>239</v>
      </c>
      <c r="H4203" s="604"/>
      <c r="I4203" s="605"/>
      <c r="J4203" s="605">
        <f t="shared" si="129"/>
        <v>0</v>
      </c>
    </row>
    <row r="4204" spans="6:10" hidden="1" x14ac:dyDescent="0.25">
      <c r="F4204" s="218" t="s">
        <v>240</v>
      </c>
      <c r="G4204" s="286" t="s">
        <v>241</v>
      </c>
      <c r="H4204" s="604"/>
      <c r="I4204" s="605"/>
      <c r="J4204" s="605">
        <f t="shared" si="129"/>
        <v>0</v>
      </c>
    </row>
    <row r="4205" spans="6:10" hidden="1" x14ac:dyDescent="0.25">
      <c r="F4205" s="218" t="s">
        <v>242</v>
      </c>
      <c r="G4205" s="286" t="s">
        <v>243</v>
      </c>
      <c r="H4205" s="604"/>
      <c r="I4205" s="605"/>
      <c r="J4205" s="605">
        <f t="shared" si="129"/>
        <v>0</v>
      </c>
    </row>
    <row r="4206" spans="6:10" hidden="1" x14ac:dyDescent="0.25">
      <c r="F4206" s="218" t="s">
        <v>244</v>
      </c>
      <c r="G4206" s="286" t="s">
        <v>245</v>
      </c>
      <c r="H4206" s="604"/>
      <c r="I4206" s="605"/>
      <c r="J4206" s="605">
        <f t="shared" si="129"/>
        <v>0</v>
      </c>
    </row>
    <row r="4207" spans="6:10" hidden="1" x14ac:dyDescent="0.25">
      <c r="F4207" s="218" t="s">
        <v>246</v>
      </c>
      <c r="G4207" s="286" t="s">
        <v>247</v>
      </c>
      <c r="H4207" s="604"/>
      <c r="I4207" s="605"/>
      <c r="J4207" s="605">
        <f t="shared" si="129"/>
        <v>0</v>
      </c>
    </row>
    <row r="4208" spans="6:10" hidden="1" x14ac:dyDescent="0.25">
      <c r="F4208" s="218" t="s">
        <v>248</v>
      </c>
      <c r="G4208" s="286" t="s">
        <v>249</v>
      </c>
      <c r="H4208" s="604"/>
      <c r="I4208" s="605"/>
      <c r="J4208" s="605">
        <f t="shared" si="129"/>
        <v>0</v>
      </c>
    </row>
    <row r="4209" spans="6:10" hidden="1" x14ac:dyDescent="0.25">
      <c r="F4209" s="218" t="s">
        <v>250</v>
      </c>
      <c r="G4209" s="286" t="s">
        <v>57</v>
      </c>
      <c r="H4209" s="604"/>
      <c r="I4209" s="605"/>
      <c r="J4209" s="605">
        <f t="shared" si="129"/>
        <v>0</v>
      </c>
    </row>
    <row r="4210" spans="6:10" hidden="1" x14ac:dyDescent="0.25">
      <c r="F4210" s="218" t="s">
        <v>251</v>
      </c>
      <c r="G4210" s="286" t="s">
        <v>252</v>
      </c>
      <c r="H4210" s="604"/>
      <c r="I4210" s="605"/>
      <c r="J4210" s="605">
        <f t="shared" si="129"/>
        <v>0</v>
      </c>
    </row>
    <row r="4211" spans="6:10" hidden="1" x14ac:dyDescent="0.25">
      <c r="F4211" s="218" t="s">
        <v>253</v>
      </c>
      <c r="G4211" s="286" t="s">
        <v>254</v>
      </c>
      <c r="H4211" s="604"/>
      <c r="I4211" s="605"/>
      <c r="J4211" s="605">
        <f t="shared" si="129"/>
        <v>0</v>
      </c>
    </row>
    <row r="4212" spans="6:10" ht="28.5" hidden="1" x14ac:dyDescent="0.25">
      <c r="F4212" s="218" t="s">
        <v>255</v>
      </c>
      <c r="G4212" s="286" t="s">
        <v>256</v>
      </c>
      <c r="H4212" s="604"/>
      <c r="I4212" s="605"/>
      <c r="J4212" s="605">
        <f t="shared" si="129"/>
        <v>0</v>
      </c>
    </row>
    <row r="4213" spans="6:10" hidden="1" x14ac:dyDescent="0.25">
      <c r="F4213" s="218" t="s">
        <v>257</v>
      </c>
      <c r="G4213" s="286" t="s">
        <v>258</v>
      </c>
      <c r="H4213" s="604"/>
      <c r="I4213" s="605"/>
      <c r="J4213" s="605">
        <f t="shared" si="129"/>
        <v>0</v>
      </c>
    </row>
    <row r="4214" spans="6:10" ht="28.5" hidden="1" x14ac:dyDescent="0.25">
      <c r="F4214" s="218" t="s">
        <v>259</v>
      </c>
      <c r="G4214" s="286" t="s">
        <v>260</v>
      </c>
      <c r="H4214" s="604"/>
      <c r="I4214" s="605"/>
      <c r="J4214" s="605">
        <f t="shared" si="129"/>
        <v>0</v>
      </c>
    </row>
    <row r="4215" spans="6:10" hidden="1" x14ac:dyDescent="0.25">
      <c r="F4215" s="218" t="s">
        <v>261</v>
      </c>
      <c r="G4215" s="286" t="s">
        <v>262</v>
      </c>
      <c r="H4215" s="604"/>
      <c r="I4215" s="605"/>
      <c r="J4215" s="605">
        <f t="shared" si="129"/>
        <v>0</v>
      </c>
    </row>
    <row r="4216" spans="6:10" hidden="1" x14ac:dyDescent="0.25">
      <c r="F4216" s="218" t="s">
        <v>263</v>
      </c>
      <c r="G4216" s="286" t="s">
        <v>264</v>
      </c>
      <c r="H4216" s="604"/>
      <c r="I4216" s="605"/>
      <c r="J4216" s="605">
        <f t="shared" si="129"/>
        <v>0</v>
      </c>
    </row>
    <row r="4217" spans="6:10" ht="15.75" thickBot="1" x14ac:dyDescent="0.3">
      <c r="G4217" s="727" t="s">
        <v>5152</v>
      </c>
      <c r="H4217" s="728">
        <f>SUM(H4201:H4216)</f>
        <v>400000</v>
      </c>
      <c r="I4217" s="726">
        <f>SUM(I4202:I4216)</f>
        <v>0</v>
      </c>
      <c r="J4217" s="726">
        <f>SUM(J4201:J4216)</f>
        <v>400000</v>
      </c>
    </row>
    <row r="4218" spans="6:10" hidden="1" x14ac:dyDescent="0.25">
      <c r="G4218" s="286"/>
      <c r="H4218" s="604"/>
      <c r="I4218" s="605"/>
      <c r="J4218" s="605"/>
    </row>
    <row r="4219" spans="6:10" hidden="1" x14ac:dyDescent="0.25">
      <c r="G4219" s="286"/>
      <c r="H4219" s="604"/>
      <c r="I4219" s="605"/>
      <c r="J4219" s="605"/>
    </row>
    <row r="4220" spans="6:10" hidden="1" x14ac:dyDescent="0.25">
      <c r="G4220" s="286"/>
      <c r="H4220" s="604"/>
      <c r="I4220" s="605"/>
      <c r="J4220" s="605"/>
    </row>
    <row r="4221" spans="6:10" hidden="1" x14ac:dyDescent="0.25">
      <c r="G4221" s="286"/>
      <c r="H4221" s="604"/>
      <c r="I4221" s="605"/>
      <c r="J4221" s="605"/>
    </row>
    <row r="4222" spans="6:10" hidden="1" x14ac:dyDescent="0.25">
      <c r="G4222" s="286"/>
      <c r="H4222" s="604"/>
      <c r="I4222" s="605"/>
      <c r="J4222" s="605"/>
    </row>
    <row r="4223" spans="6:10" hidden="1" x14ac:dyDescent="0.25">
      <c r="G4223" s="286"/>
      <c r="H4223" s="604"/>
      <c r="I4223" s="605"/>
      <c r="J4223" s="605"/>
    </row>
    <row r="4224" spans="6:10" hidden="1" x14ac:dyDescent="0.25">
      <c r="G4224" s="286"/>
      <c r="H4224" s="604"/>
      <c r="I4224" s="605"/>
      <c r="J4224" s="605"/>
    </row>
    <row r="4225" spans="1:25" hidden="1" x14ac:dyDescent="0.25">
      <c r="G4225" s="286"/>
      <c r="H4225" s="604"/>
      <c r="I4225" s="605"/>
      <c r="J4225" s="605"/>
    </row>
    <row r="4226" spans="1:25" hidden="1" x14ac:dyDescent="0.25">
      <c r="G4226" s="286"/>
      <c r="H4226" s="604"/>
      <c r="I4226" s="605"/>
      <c r="J4226" s="605"/>
    </row>
    <row r="4227" spans="1:25" s="88" customFormat="1" hidden="1" x14ac:dyDescent="0.25">
      <c r="A4227" s="261"/>
      <c r="B4227" s="256"/>
      <c r="C4227" s="316"/>
      <c r="D4227" s="251"/>
      <c r="E4227" s="251"/>
      <c r="F4227" s="257"/>
      <c r="G4227" s="294"/>
      <c r="H4227" s="627"/>
      <c r="I4227" s="610"/>
      <c r="J4227" s="628"/>
      <c r="K4227" s="533"/>
      <c r="L4227" s="533"/>
      <c r="M4227" s="533"/>
      <c r="N4227" s="533"/>
      <c r="O4227" s="533"/>
      <c r="P4227" s="533"/>
      <c r="Q4227" s="533"/>
      <c r="R4227" s="533"/>
      <c r="S4227" s="533"/>
      <c r="T4227" s="533"/>
      <c r="U4227" s="533"/>
      <c r="V4227" s="533"/>
      <c r="W4227" s="533"/>
      <c r="X4227" s="533"/>
      <c r="Y4227" s="533"/>
    </row>
    <row r="4228" spans="1:25" s="88" customFormat="1" x14ac:dyDescent="0.25">
      <c r="A4228" s="261"/>
      <c r="B4228" s="256"/>
      <c r="C4228" s="316"/>
      <c r="D4228" s="251"/>
      <c r="E4228" s="251"/>
      <c r="F4228" s="264"/>
      <c r="G4228" s="250" t="s">
        <v>4272</v>
      </c>
      <c r="H4228" s="606"/>
      <c r="I4228" s="624"/>
      <c r="J4228" s="607"/>
      <c r="K4228" s="533"/>
      <c r="L4228" s="533"/>
      <c r="M4228" s="533"/>
      <c r="N4228" s="533"/>
      <c r="O4228" s="533"/>
      <c r="P4228" s="533"/>
      <c r="Q4228" s="533"/>
      <c r="R4228" s="533"/>
      <c r="S4228" s="533"/>
      <c r="T4228" s="533"/>
      <c r="U4228" s="533"/>
      <c r="V4228" s="533"/>
      <c r="W4228" s="533"/>
      <c r="X4228" s="533"/>
      <c r="Y4228" s="533"/>
    </row>
    <row r="4229" spans="1:25" s="88" customFormat="1" ht="15.75" thickBot="1" x14ac:dyDescent="0.3">
      <c r="A4229" s="261"/>
      <c r="B4229" s="256"/>
      <c r="C4229" s="316"/>
      <c r="D4229" s="251"/>
      <c r="E4229" s="251"/>
      <c r="F4229" s="249" t="s">
        <v>234</v>
      </c>
      <c r="G4229" s="252" t="s">
        <v>235</v>
      </c>
      <c r="H4229" s="598">
        <f>SUM(H4217,H4118,H4019,H3920,H3680,H3580)</f>
        <v>9429000</v>
      </c>
      <c r="I4229" s="599"/>
      <c r="J4229" s="599">
        <f>SUM(H4229:I4229)</f>
        <v>9429000</v>
      </c>
      <c r="K4229" s="533"/>
      <c r="L4229" s="533"/>
      <c r="M4229" s="533"/>
      <c r="N4229" s="533"/>
      <c r="O4229" s="533"/>
      <c r="P4229" s="533"/>
      <c r="Q4229" s="533"/>
      <c r="R4229" s="533"/>
      <c r="S4229" s="533"/>
      <c r="T4229" s="533"/>
      <c r="U4229" s="533"/>
      <c r="V4229" s="533"/>
      <c r="W4229" s="533"/>
      <c r="X4229" s="533"/>
      <c r="Y4229" s="533"/>
    </row>
    <row r="4230" spans="1:25" s="88" customFormat="1" ht="15.75" hidden="1" thickBot="1" x14ac:dyDescent="0.3">
      <c r="A4230" s="261"/>
      <c r="B4230" s="256"/>
      <c r="C4230" s="316"/>
      <c r="D4230" s="251"/>
      <c r="E4230" s="251"/>
      <c r="F4230" s="249" t="s">
        <v>236</v>
      </c>
      <c r="G4230" s="252" t="s">
        <v>237</v>
      </c>
      <c r="H4230" s="594"/>
      <c r="I4230" s="595"/>
      <c r="J4230" s="599">
        <f t="shared" ref="J4230:J4244" si="130">SUM(H4230:I4230)</f>
        <v>0</v>
      </c>
      <c r="K4230" s="533"/>
      <c r="L4230" s="533"/>
      <c r="M4230" s="533"/>
      <c r="N4230" s="533"/>
      <c r="O4230" s="533"/>
      <c r="P4230" s="533"/>
      <c r="Q4230" s="533"/>
      <c r="R4230" s="533"/>
      <c r="S4230" s="533"/>
      <c r="T4230" s="533"/>
      <c r="U4230" s="533"/>
      <c r="V4230" s="533"/>
      <c r="W4230" s="533"/>
      <c r="X4230" s="533"/>
      <c r="Y4230" s="533"/>
    </row>
    <row r="4231" spans="1:25" s="88" customFormat="1" ht="15.75" hidden="1" thickBot="1" x14ac:dyDescent="0.3">
      <c r="A4231" s="261"/>
      <c r="B4231" s="256"/>
      <c r="C4231" s="316"/>
      <c r="D4231" s="251"/>
      <c r="E4231" s="251"/>
      <c r="F4231" s="249" t="s">
        <v>238</v>
      </c>
      <c r="G4231" s="252" t="s">
        <v>239</v>
      </c>
      <c r="H4231" s="594"/>
      <c r="I4231" s="595"/>
      <c r="J4231" s="599">
        <f t="shared" si="130"/>
        <v>0</v>
      </c>
      <c r="K4231" s="533"/>
      <c r="L4231" s="533"/>
      <c r="M4231" s="533"/>
      <c r="N4231" s="533"/>
      <c r="O4231" s="533"/>
      <c r="P4231" s="533"/>
      <c r="Q4231" s="533"/>
      <c r="R4231" s="533"/>
      <c r="S4231" s="533"/>
      <c r="T4231" s="533"/>
      <c r="U4231" s="533"/>
      <c r="V4231" s="533"/>
      <c r="W4231" s="533"/>
      <c r="X4231" s="533"/>
      <c r="Y4231" s="533"/>
    </row>
    <row r="4232" spans="1:25" s="88" customFormat="1" ht="15.75" hidden="1" thickBot="1" x14ac:dyDescent="0.3">
      <c r="A4232" s="261"/>
      <c r="B4232" s="256"/>
      <c r="C4232" s="316"/>
      <c r="D4232" s="251"/>
      <c r="E4232" s="251"/>
      <c r="F4232" s="249" t="s">
        <v>240</v>
      </c>
      <c r="G4232" s="252" t="s">
        <v>241</v>
      </c>
      <c r="H4232" s="594"/>
      <c r="I4232" s="595"/>
      <c r="J4232" s="599">
        <f t="shared" si="130"/>
        <v>0</v>
      </c>
      <c r="K4232" s="533"/>
      <c r="L4232" s="533"/>
      <c r="M4232" s="533"/>
      <c r="N4232" s="533"/>
      <c r="O4232" s="533"/>
      <c r="P4232" s="533"/>
      <c r="Q4232" s="533"/>
      <c r="R4232" s="533"/>
      <c r="S4232" s="533"/>
      <c r="T4232" s="533"/>
      <c r="U4232" s="533"/>
      <c r="V4232" s="533"/>
      <c r="W4232" s="533"/>
      <c r="X4232" s="533"/>
      <c r="Y4232" s="533"/>
    </row>
    <row r="4233" spans="1:25" s="88" customFormat="1" ht="15.75" hidden="1" thickBot="1" x14ac:dyDescent="0.3">
      <c r="A4233" s="261"/>
      <c r="B4233" s="256"/>
      <c r="C4233" s="316"/>
      <c r="D4233" s="251"/>
      <c r="E4233" s="251"/>
      <c r="F4233" s="249" t="s">
        <v>242</v>
      </c>
      <c r="G4233" s="252" t="s">
        <v>243</v>
      </c>
      <c r="H4233" s="594"/>
      <c r="I4233" s="595"/>
      <c r="J4233" s="599">
        <f t="shared" si="130"/>
        <v>0</v>
      </c>
      <c r="K4233" s="533"/>
      <c r="L4233" s="533"/>
      <c r="M4233" s="533"/>
      <c r="N4233" s="533"/>
      <c r="O4233" s="533"/>
      <c r="P4233" s="533"/>
      <c r="Q4233" s="533"/>
      <c r="R4233" s="533"/>
      <c r="S4233" s="533"/>
      <c r="T4233" s="533"/>
      <c r="U4233" s="533"/>
      <c r="V4233" s="533"/>
      <c r="W4233" s="533"/>
      <c r="X4233" s="533"/>
      <c r="Y4233" s="533"/>
    </row>
    <row r="4234" spans="1:25" s="88" customFormat="1" ht="15.75" hidden="1" thickBot="1" x14ac:dyDescent="0.3">
      <c r="A4234" s="261"/>
      <c r="B4234" s="256"/>
      <c r="C4234" s="316"/>
      <c r="D4234" s="251"/>
      <c r="E4234" s="251"/>
      <c r="F4234" s="249" t="s">
        <v>244</v>
      </c>
      <c r="G4234" s="252" t="s">
        <v>245</v>
      </c>
      <c r="H4234" s="594"/>
      <c r="I4234" s="595"/>
      <c r="J4234" s="599">
        <f t="shared" si="130"/>
        <v>0</v>
      </c>
      <c r="K4234" s="533"/>
      <c r="L4234" s="533"/>
      <c r="M4234" s="533"/>
      <c r="N4234" s="533"/>
      <c r="O4234" s="533"/>
      <c r="P4234" s="533"/>
      <c r="Q4234" s="533"/>
      <c r="R4234" s="533"/>
      <c r="S4234" s="533"/>
      <c r="T4234" s="533"/>
      <c r="U4234" s="533"/>
      <c r="V4234" s="533"/>
      <c r="W4234" s="533"/>
      <c r="X4234" s="533"/>
      <c r="Y4234" s="533"/>
    </row>
    <row r="4235" spans="1:25" s="88" customFormat="1" ht="15.75" hidden="1" thickBot="1" x14ac:dyDescent="0.3">
      <c r="A4235" s="261"/>
      <c r="B4235" s="256"/>
      <c r="C4235" s="316"/>
      <c r="D4235" s="251"/>
      <c r="E4235" s="251"/>
      <c r="F4235" s="249" t="s">
        <v>246</v>
      </c>
      <c r="G4235" s="252" t="s">
        <v>247</v>
      </c>
      <c r="H4235" s="594"/>
      <c r="I4235" s="595"/>
      <c r="J4235" s="599">
        <f t="shared" si="130"/>
        <v>0</v>
      </c>
      <c r="K4235" s="533"/>
      <c r="L4235" s="533"/>
      <c r="M4235" s="533"/>
      <c r="N4235" s="533"/>
      <c r="O4235" s="533"/>
      <c r="P4235" s="533"/>
      <c r="Q4235" s="533"/>
      <c r="R4235" s="533"/>
      <c r="S4235" s="533"/>
      <c r="T4235" s="533"/>
      <c r="U4235" s="533"/>
      <c r="V4235" s="533"/>
      <c r="W4235" s="533"/>
      <c r="X4235" s="533"/>
      <c r="Y4235" s="533"/>
    </row>
    <row r="4236" spans="1:25" s="88" customFormat="1" ht="15.75" hidden="1" thickBot="1" x14ac:dyDescent="0.3">
      <c r="A4236" s="261"/>
      <c r="B4236" s="256"/>
      <c r="C4236" s="316"/>
      <c r="D4236" s="251"/>
      <c r="E4236" s="251"/>
      <c r="F4236" s="249" t="s">
        <v>248</v>
      </c>
      <c r="G4236" s="252" t="s">
        <v>249</v>
      </c>
      <c r="H4236" s="594"/>
      <c r="I4236" s="595"/>
      <c r="J4236" s="599">
        <f t="shared" si="130"/>
        <v>0</v>
      </c>
      <c r="K4236" s="533"/>
      <c r="L4236" s="533"/>
      <c r="M4236" s="533"/>
      <c r="N4236" s="533"/>
      <c r="O4236" s="533"/>
      <c r="P4236" s="533"/>
      <c r="Q4236" s="533"/>
      <c r="R4236" s="533"/>
      <c r="S4236" s="533"/>
      <c r="T4236" s="533"/>
      <c r="U4236" s="533"/>
      <c r="V4236" s="533"/>
      <c r="W4236" s="533"/>
      <c r="X4236" s="533"/>
      <c r="Y4236" s="533"/>
    </row>
    <row r="4237" spans="1:25" s="88" customFormat="1" ht="15.75" hidden="1" thickBot="1" x14ac:dyDescent="0.3">
      <c r="A4237" s="261"/>
      <c r="B4237" s="256"/>
      <c r="C4237" s="316"/>
      <c r="D4237" s="251"/>
      <c r="E4237" s="251"/>
      <c r="F4237" s="249" t="s">
        <v>250</v>
      </c>
      <c r="G4237" s="252" t="s">
        <v>57</v>
      </c>
      <c r="H4237" s="594"/>
      <c r="I4237" s="595"/>
      <c r="J4237" s="599">
        <f t="shared" si="130"/>
        <v>0</v>
      </c>
      <c r="K4237" s="533"/>
      <c r="L4237" s="533"/>
      <c r="M4237" s="533"/>
      <c r="N4237" s="533"/>
      <c r="O4237" s="533"/>
      <c r="P4237" s="533"/>
      <c r="Q4237" s="533"/>
      <c r="R4237" s="533"/>
      <c r="S4237" s="533"/>
      <c r="T4237" s="533"/>
      <c r="U4237" s="533"/>
      <c r="V4237" s="533"/>
      <c r="W4237" s="533"/>
      <c r="X4237" s="533"/>
      <c r="Y4237" s="533"/>
    </row>
    <row r="4238" spans="1:25" s="88" customFormat="1" ht="15.75" hidden="1" thickBot="1" x14ac:dyDescent="0.3">
      <c r="A4238" s="261"/>
      <c r="B4238" s="256"/>
      <c r="C4238" s="316"/>
      <c r="D4238" s="251"/>
      <c r="E4238" s="251"/>
      <c r="F4238" s="249" t="s">
        <v>251</v>
      </c>
      <c r="G4238" s="252" t="s">
        <v>252</v>
      </c>
      <c r="H4238" s="594"/>
      <c r="I4238" s="595"/>
      <c r="J4238" s="599">
        <f t="shared" si="130"/>
        <v>0</v>
      </c>
      <c r="K4238" s="533"/>
      <c r="L4238" s="533"/>
      <c r="M4238" s="533"/>
      <c r="N4238" s="533"/>
      <c r="O4238" s="533"/>
      <c r="P4238" s="533"/>
      <c r="Q4238" s="533"/>
      <c r="R4238" s="533"/>
      <c r="S4238" s="533"/>
      <c r="T4238" s="533"/>
      <c r="U4238" s="533"/>
      <c r="V4238" s="533"/>
      <c r="W4238" s="533"/>
      <c r="X4238" s="533"/>
      <c r="Y4238" s="533"/>
    </row>
    <row r="4239" spans="1:25" s="88" customFormat="1" hidden="1" x14ac:dyDescent="0.25">
      <c r="A4239" s="261"/>
      <c r="B4239" s="256"/>
      <c r="C4239" s="316"/>
      <c r="D4239" s="251"/>
      <c r="E4239" s="251"/>
      <c r="F4239" s="249" t="s">
        <v>253</v>
      </c>
      <c r="G4239" s="252" t="s">
        <v>254</v>
      </c>
      <c r="H4239" s="594"/>
      <c r="I4239" s="595"/>
      <c r="J4239" s="599">
        <f t="shared" si="130"/>
        <v>0</v>
      </c>
      <c r="K4239" s="533"/>
      <c r="L4239" s="533"/>
      <c r="M4239" s="533"/>
      <c r="N4239" s="533"/>
      <c r="O4239" s="533"/>
      <c r="P4239" s="533"/>
      <c r="Q4239" s="533"/>
      <c r="R4239" s="533"/>
      <c r="S4239" s="533"/>
      <c r="T4239" s="533"/>
      <c r="U4239" s="533"/>
      <c r="V4239" s="533"/>
      <c r="W4239" s="533"/>
      <c r="X4239" s="533"/>
      <c r="Y4239" s="533"/>
    </row>
    <row r="4240" spans="1:25" s="88" customFormat="1" ht="30" hidden="1" x14ac:dyDescent="0.25">
      <c r="A4240" s="261"/>
      <c r="B4240" s="256"/>
      <c r="C4240" s="316"/>
      <c r="D4240" s="251"/>
      <c r="E4240" s="251"/>
      <c r="F4240" s="249" t="s">
        <v>255</v>
      </c>
      <c r="G4240" s="252" t="s">
        <v>256</v>
      </c>
      <c r="H4240" s="594"/>
      <c r="I4240" s="595"/>
      <c r="J4240" s="599">
        <f t="shared" si="130"/>
        <v>0</v>
      </c>
      <c r="K4240" s="533"/>
      <c r="L4240" s="533"/>
      <c r="M4240" s="533"/>
      <c r="N4240" s="533"/>
      <c r="O4240" s="533"/>
      <c r="P4240" s="533"/>
      <c r="Q4240" s="533"/>
      <c r="R4240" s="533"/>
      <c r="S4240" s="533"/>
      <c r="T4240" s="533"/>
      <c r="U4240" s="533"/>
      <c r="V4240" s="533"/>
      <c r="W4240" s="533"/>
      <c r="X4240" s="533"/>
      <c r="Y4240" s="533"/>
    </row>
    <row r="4241" spans="1:25" s="88" customFormat="1" hidden="1" x14ac:dyDescent="0.25">
      <c r="A4241" s="261"/>
      <c r="B4241" s="256"/>
      <c r="C4241" s="316"/>
      <c r="D4241" s="251"/>
      <c r="E4241" s="251"/>
      <c r="F4241" s="249" t="s">
        <v>257</v>
      </c>
      <c r="G4241" s="252" t="s">
        <v>258</v>
      </c>
      <c r="H4241" s="594"/>
      <c r="I4241" s="595"/>
      <c r="J4241" s="599">
        <f t="shared" si="130"/>
        <v>0</v>
      </c>
      <c r="K4241" s="533"/>
      <c r="L4241" s="533"/>
      <c r="M4241" s="533"/>
      <c r="N4241" s="533"/>
      <c r="O4241" s="533"/>
      <c r="P4241" s="533"/>
      <c r="Q4241" s="533"/>
      <c r="R4241" s="533"/>
      <c r="S4241" s="533"/>
      <c r="T4241" s="533"/>
      <c r="U4241" s="533"/>
      <c r="V4241" s="533"/>
      <c r="W4241" s="533"/>
      <c r="X4241" s="533"/>
      <c r="Y4241" s="533"/>
    </row>
    <row r="4242" spans="1:25" s="88" customFormat="1" ht="30" hidden="1" x14ac:dyDescent="0.25">
      <c r="A4242" s="261"/>
      <c r="B4242" s="256"/>
      <c r="C4242" s="316"/>
      <c r="D4242" s="251"/>
      <c r="E4242" s="251"/>
      <c r="F4242" s="249" t="s">
        <v>259</v>
      </c>
      <c r="G4242" s="252" t="s">
        <v>260</v>
      </c>
      <c r="H4242" s="594"/>
      <c r="I4242" s="595"/>
      <c r="J4242" s="599">
        <f t="shared" si="130"/>
        <v>0</v>
      </c>
      <c r="K4242" s="533"/>
      <c r="L4242" s="533"/>
      <c r="M4242" s="533"/>
      <c r="N4242" s="533"/>
      <c r="O4242" s="533"/>
      <c r="P4242" s="533"/>
      <c r="Q4242" s="533"/>
      <c r="R4242" s="533"/>
      <c r="S4242" s="533"/>
      <c r="T4242" s="533"/>
      <c r="U4242" s="533"/>
      <c r="V4242" s="533"/>
      <c r="W4242" s="533"/>
      <c r="X4242" s="533"/>
      <c r="Y4242" s="533"/>
    </row>
    <row r="4243" spans="1:25" s="88" customFormat="1" hidden="1" x14ac:dyDescent="0.25">
      <c r="A4243" s="261"/>
      <c r="B4243" s="256"/>
      <c r="C4243" s="316"/>
      <c r="D4243" s="251"/>
      <c r="E4243" s="251"/>
      <c r="F4243" s="249" t="s">
        <v>261</v>
      </c>
      <c r="G4243" s="252" t="s">
        <v>262</v>
      </c>
      <c r="H4243" s="594"/>
      <c r="I4243" s="595"/>
      <c r="J4243" s="599">
        <f t="shared" si="130"/>
        <v>0</v>
      </c>
      <c r="K4243" s="533"/>
      <c r="L4243" s="533"/>
      <c r="M4243" s="533"/>
      <c r="N4243" s="533"/>
      <c r="O4243" s="533"/>
      <c r="P4243" s="533"/>
      <c r="Q4243" s="533"/>
      <c r="R4243" s="533"/>
      <c r="S4243" s="533"/>
      <c r="T4243" s="533"/>
      <c r="U4243" s="533"/>
      <c r="V4243" s="533"/>
      <c r="W4243" s="533"/>
      <c r="X4243" s="533"/>
      <c r="Y4243" s="533"/>
    </row>
    <row r="4244" spans="1:25" s="88" customFormat="1" ht="15.75" hidden="1" thickBot="1" x14ac:dyDescent="0.3">
      <c r="A4244" s="261"/>
      <c r="B4244" s="256"/>
      <c r="C4244" s="316"/>
      <c r="D4244" s="251"/>
      <c r="E4244" s="251"/>
      <c r="F4244" s="249" t="s">
        <v>263</v>
      </c>
      <c r="G4244" s="252" t="s">
        <v>264</v>
      </c>
      <c r="H4244" s="598"/>
      <c r="I4244" s="599"/>
      <c r="J4244" s="599">
        <f t="shared" si="130"/>
        <v>0</v>
      </c>
      <c r="K4244" s="533"/>
      <c r="L4244" s="533"/>
      <c r="M4244" s="533"/>
      <c r="N4244" s="533"/>
      <c r="O4244" s="533"/>
      <c r="P4244" s="533"/>
      <c r="Q4244" s="533"/>
      <c r="R4244" s="533"/>
      <c r="S4244" s="533"/>
      <c r="T4244" s="533"/>
      <c r="U4244" s="533"/>
      <c r="V4244" s="533"/>
      <c r="W4244" s="533"/>
      <c r="X4244" s="533"/>
      <c r="Y4244" s="533"/>
    </row>
    <row r="4245" spans="1:25" s="88" customFormat="1" ht="15.75" thickBot="1" x14ac:dyDescent="0.3">
      <c r="A4245" s="261"/>
      <c r="B4245" s="256"/>
      <c r="C4245" s="316"/>
      <c r="D4245" s="251"/>
      <c r="E4245" s="251"/>
      <c r="F4245" s="218"/>
      <c r="G4245" s="229" t="s">
        <v>4273</v>
      </c>
      <c r="H4245" s="600">
        <f>SUM(H4229:H4244)</f>
        <v>9429000</v>
      </c>
      <c r="I4245" s="601">
        <f>SUM(I4230:I4244)</f>
        <v>0</v>
      </c>
      <c r="J4245" s="601">
        <f>SUM(J4229:J4244)</f>
        <v>9429000</v>
      </c>
      <c r="K4245" s="533"/>
      <c r="L4245" s="533"/>
      <c r="M4245" s="533"/>
      <c r="N4245" s="533"/>
      <c r="O4245" s="533"/>
      <c r="P4245" s="533"/>
      <c r="Q4245" s="533"/>
      <c r="R4245" s="533"/>
      <c r="S4245" s="533"/>
      <c r="T4245" s="533"/>
      <c r="U4245" s="533"/>
      <c r="V4245" s="533"/>
      <c r="W4245" s="533"/>
      <c r="X4245" s="533"/>
      <c r="Y4245" s="533"/>
    </row>
    <row r="4246" spans="1:25" s="88" customFormat="1" x14ac:dyDescent="0.25">
      <c r="A4246" s="261"/>
      <c r="B4246" s="256"/>
      <c r="C4246" s="319"/>
      <c r="E4246" s="218"/>
      <c r="G4246" s="311"/>
      <c r="H4246" s="627"/>
      <c r="I4246" s="610"/>
      <c r="J4246" s="628"/>
      <c r="K4246" s="533"/>
      <c r="L4246" s="533"/>
      <c r="M4246" s="533"/>
      <c r="N4246" s="533"/>
      <c r="O4246" s="533"/>
      <c r="P4246" s="533"/>
      <c r="Q4246" s="533"/>
      <c r="R4246" s="533"/>
      <c r="S4246" s="533"/>
      <c r="T4246" s="533"/>
      <c r="U4246" s="533"/>
      <c r="V4246" s="533"/>
      <c r="W4246" s="533"/>
      <c r="X4246" s="533"/>
      <c r="Y4246" s="533"/>
    </row>
    <row r="4247" spans="1:25" s="88" customFormat="1" hidden="1" x14ac:dyDescent="0.25">
      <c r="A4247" s="261"/>
      <c r="B4247" s="256"/>
      <c r="C4247" s="316"/>
      <c r="D4247" s="251"/>
      <c r="E4247" s="251"/>
      <c r="F4247" s="257"/>
      <c r="G4247" s="294"/>
      <c r="H4247" s="627"/>
      <c r="I4247" s="610"/>
      <c r="J4247" s="628"/>
      <c r="K4247" s="533"/>
      <c r="L4247" s="533"/>
      <c r="M4247" s="533"/>
      <c r="N4247" s="533"/>
      <c r="O4247" s="533"/>
      <c r="P4247" s="533"/>
      <c r="Q4247" s="533"/>
      <c r="R4247" s="533"/>
      <c r="S4247" s="533"/>
      <c r="T4247" s="533"/>
      <c r="U4247" s="533"/>
      <c r="V4247" s="533"/>
      <c r="W4247" s="533"/>
      <c r="X4247" s="533"/>
      <c r="Y4247" s="533"/>
    </row>
    <row r="4248" spans="1:25" s="88" customFormat="1" x14ac:dyDescent="0.25">
      <c r="A4248" s="261"/>
      <c r="B4248" s="256"/>
      <c r="C4248" s="265" t="s">
        <v>3599</v>
      </c>
      <c r="D4248" s="265"/>
      <c r="E4248" s="248"/>
      <c r="F4248" s="248"/>
      <c r="G4248" s="306" t="s">
        <v>4279</v>
      </c>
      <c r="H4248" s="611"/>
      <c r="I4248" s="612"/>
      <c r="J4248" s="612"/>
      <c r="K4248" s="533"/>
      <c r="L4248" s="533"/>
      <c r="M4248" s="533"/>
      <c r="N4248" s="533"/>
      <c r="O4248" s="533"/>
      <c r="P4248" s="533"/>
      <c r="Q4248" s="533"/>
      <c r="R4248" s="533"/>
      <c r="S4248" s="533"/>
      <c r="T4248" s="533"/>
      <c r="U4248" s="533"/>
      <c r="V4248" s="533"/>
      <c r="W4248" s="533"/>
      <c r="X4248" s="533"/>
      <c r="Y4248" s="533"/>
    </row>
    <row r="4249" spans="1:25" ht="19.5" customHeight="1" x14ac:dyDescent="0.25">
      <c r="C4249" s="228" t="s">
        <v>4147</v>
      </c>
      <c r="D4249" s="219"/>
      <c r="G4249" s="262" t="s">
        <v>4142</v>
      </c>
    </row>
    <row r="4250" spans="1:25" s="88" customFormat="1" x14ac:dyDescent="0.25">
      <c r="A4250" s="261"/>
      <c r="B4250" s="256"/>
      <c r="C4250" s="265"/>
      <c r="D4250" s="334" t="s">
        <v>4022</v>
      </c>
      <c r="E4250" s="329"/>
      <c r="F4250" s="329"/>
      <c r="G4250" s="330" t="s">
        <v>202</v>
      </c>
      <c r="H4250" s="611"/>
      <c r="I4250" s="612"/>
      <c r="J4250" s="612"/>
      <c r="K4250" s="533"/>
      <c r="L4250" s="533"/>
      <c r="M4250" s="533"/>
      <c r="N4250" s="533"/>
      <c r="O4250" s="533"/>
      <c r="P4250" s="533"/>
      <c r="Q4250" s="533"/>
      <c r="R4250" s="533"/>
      <c r="S4250" s="533"/>
      <c r="T4250" s="533"/>
      <c r="U4250" s="533"/>
      <c r="V4250" s="533"/>
      <c r="W4250" s="533"/>
      <c r="X4250" s="533"/>
      <c r="Y4250" s="533"/>
    </row>
    <row r="4251" spans="1:25" hidden="1" x14ac:dyDescent="0.25">
      <c r="F4251" s="263">
        <v>411</v>
      </c>
      <c r="G4251" s="295" t="s">
        <v>4189</v>
      </c>
      <c r="J4251" s="595">
        <f>SUM(H4251:I4251)</f>
        <v>0</v>
      </c>
    </row>
    <row r="4252" spans="1:25" hidden="1" x14ac:dyDescent="0.25">
      <c r="F4252" s="263">
        <v>412</v>
      </c>
      <c r="G4252" s="292" t="s">
        <v>3784</v>
      </c>
      <c r="J4252" s="595">
        <f t="shared" ref="J4252:J4310" si="131">SUM(H4252:I4252)</f>
        <v>0</v>
      </c>
    </row>
    <row r="4253" spans="1:25" hidden="1" x14ac:dyDescent="0.25">
      <c r="F4253" s="263">
        <v>413</v>
      </c>
      <c r="G4253" s="295" t="s">
        <v>4190</v>
      </c>
      <c r="J4253" s="595">
        <f t="shared" si="131"/>
        <v>0</v>
      </c>
    </row>
    <row r="4254" spans="1:25" hidden="1" x14ac:dyDescent="0.25">
      <c r="F4254" s="263">
        <v>414</v>
      </c>
      <c r="G4254" s="295" t="s">
        <v>3787</v>
      </c>
      <c r="J4254" s="595">
        <f t="shared" si="131"/>
        <v>0</v>
      </c>
    </row>
    <row r="4255" spans="1:25" hidden="1" x14ac:dyDescent="0.25">
      <c r="F4255" s="263">
        <v>415</v>
      </c>
      <c r="G4255" s="295" t="s">
        <v>4199</v>
      </c>
      <c r="J4255" s="595">
        <f t="shared" si="131"/>
        <v>0</v>
      </c>
    </row>
    <row r="4256" spans="1:25" hidden="1" x14ac:dyDescent="0.25">
      <c r="F4256" s="263">
        <v>416</v>
      </c>
      <c r="G4256" s="295" t="s">
        <v>4200</v>
      </c>
      <c r="J4256" s="595">
        <f t="shared" si="131"/>
        <v>0</v>
      </c>
    </row>
    <row r="4257" spans="5:10" hidden="1" x14ac:dyDescent="0.25">
      <c r="F4257" s="263">
        <v>417</v>
      </c>
      <c r="G4257" s="295" t="s">
        <v>4201</v>
      </c>
      <c r="J4257" s="595">
        <f t="shared" si="131"/>
        <v>0</v>
      </c>
    </row>
    <row r="4258" spans="5:10" hidden="1" x14ac:dyDescent="0.25">
      <c r="F4258" s="263">
        <v>418</v>
      </c>
      <c r="G4258" s="295" t="s">
        <v>3793</v>
      </c>
      <c r="J4258" s="595">
        <f t="shared" si="131"/>
        <v>0</v>
      </c>
    </row>
    <row r="4259" spans="5:10" hidden="1" x14ac:dyDescent="0.25">
      <c r="F4259" s="263">
        <v>421</v>
      </c>
      <c r="G4259" s="295" t="s">
        <v>3797</v>
      </c>
      <c r="J4259" s="595">
        <f t="shared" si="131"/>
        <v>0</v>
      </c>
    </row>
    <row r="4260" spans="5:10" hidden="1" x14ac:dyDescent="0.25">
      <c r="F4260" s="263">
        <v>422</v>
      </c>
      <c r="G4260" s="295" t="s">
        <v>3798</v>
      </c>
      <c r="J4260" s="595">
        <f t="shared" si="131"/>
        <v>0</v>
      </c>
    </row>
    <row r="4261" spans="5:10" hidden="1" x14ac:dyDescent="0.25">
      <c r="F4261" s="263">
        <v>423</v>
      </c>
      <c r="G4261" s="295" t="s">
        <v>3799</v>
      </c>
      <c r="J4261" s="595">
        <f t="shared" si="131"/>
        <v>0</v>
      </c>
    </row>
    <row r="4262" spans="5:10" x14ac:dyDescent="0.25">
      <c r="E4262" s="218">
        <v>55</v>
      </c>
      <c r="F4262" s="263">
        <v>464</v>
      </c>
      <c r="G4262" t="s">
        <v>1759</v>
      </c>
      <c r="H4262" s="594">
        <v>2350000</v>
      </c>
      <c r="J4262" s="595">
        <f t="shared" si="131"/>
        <v>2350000</v>
      </c>
    </row>
    <row r="4263" spans="5:10" ht="15.75" thickBot="1" x14ac:dyDescent="0.3">
      <c r="E4263" s="218">
        <v>56</v>
      </c>
      <c r="F4263" s="263">
        <v>464</v>
      </c>
      <c r="G4263" t="s">
        <v>1770</v>
      </c>
      <c r="H4263" s="594">
        <v>800000</v>
      </c>
      <c r="J4263" s="595">
        <f t="shared" si="131"/>
        <v>800000</v>
      </c>
    </row>
    <row r="4264" spans="5:10" hidden="1" x14ac:dyDescent="0.25">
      <c r="F4264" s="263">
        <v>426</v>
      </c>
      <c r="G4264" s="295" t="s">
        <v>3805</v>
      </c>
      <c r="J4264" s="595">
        <f t="shared" si="131"/>
        <v>0</v>
      </c>
    </row>
    <row r="4265" spans="5:10" hidden="1" x14ac:dyDescent="0.25">
      <c r="F4265" s="263">
        <v>431</v>
      </c>
      <c r="G4265" s="295" t="s">
        <v>4203</v>
      </c>
      <c r="J4265" s="595">
        <f t="shared" si="131"/>
        <v>0</v>
      </c>
    </row>
    <row r="4266" spans="5:10" hidden="1" x14ac:dyDescent="0.25">
      <c r="F4266" s="263">
        <v>432</v>
      </c>
      <c r="G4266" s="295" t="s">
        <v>4204</v>
      </c>
      <c r="J4266" s="595">
        <f t="shared" si="131"/>
        <v>0</v>
      </c>
    </row>
    <row r="4267" spans="5:10" hidden="1" x14ac:dyDescent="0.25">
      <c r="F4267" s="263">
        <v>433</v>
      </c>
      <c r="G4267" s="295" t="s">
        <v>4205</v>
      </c>
      <c r="J4267" s="595">
        <f t="shared" si="131"/>
        <v>0</v>
      </c>
    </row>
    <row r="4268" spans="5:10" hidden="1" x14ac:dyDescent="0.25">
      <c r="F4268" s="263">
        <v>434</v>
      </c>
      <c r="G4268" s="295" t="s">
        <v>4206</v>
      </c>
      <c r="J4268" s="595">
        <f t="shared" si="131"/>
        <v>0</v>
      </c>
    </row>
    <row r="4269" spans="5:10" hidden="1" x14ac:dyDescent="0.25">
      <c r="F4269" s="263">
        <v>435</v>
      </c>
      <c r="G4269" s="295" t="s">
        <v>3812</v>
      </c>
      <c r="J4269" s="595">
        <f t="shared" si="131"/>
        <v>0</v>
      </c>
    </row>
    <row r="4270" spans="5:10" hidden="1" x14ac:dyDescent="0.25">
      <c r="F4270" s="263">
        <v>441</v>
      </c>
      <c r="G4270" s="295" t="s">
        <v>4207</v>
      </c>
      <c r="J4270" s="595">
        <f t="shared" si="131"/>
        <v>0</v>
      </c>
    </row>
    <row r="4271" spans="5:10" hidden="1" x14ac:dyDescent="0.25">
      <c r="F4271" s="263">
        <v>442</v>
      </c>
      <c r="G4271" s="295" t="s">
        <v>4208</v>
      </c>
      <c r="J4271" s="595">
        <f t="shared" si="131"/>
        <v>0</v>
      </c>
    </row>
    <row r="4272" spans="5:10" hidden="1" x14ac:dyDescent="0.25">
      <c r="F4272" s="263">
        <v>443</v>
      </c>
      <c r="G4272" s="295" t="s">
        <v>3817</v>
      </c>
      <c r="J4272" s="595">
        <f t="shared" si="131"/>
        <v>0</v>
      </c>
    </row>
    <row r="4273" spans="6:10" hidden="1" x14ac:dyDescent="0.25">
      <c r="F4273" s="263">
        <v>444</v>
      </c>
      <c r="G4273" s="295" t="s">
        <v>3818</v>
      </c>
      <c r="J4273" s="595">
        <f t="shared" si="131"/>
        <v>0</v>
      </c>
    </row>
    <row r="4274" spans="6:10" ht="30" hidden="1" x14ac:dyDescent="0.25">
      <c r="F4274" s="263">
        <v>4511</v>
      </c>
      <c r="G4274" s="223" t="s">
        <v>1692</v>
      </c>
      <c r="J4274" s="595">
        <f t="shared" si="131"/>
        <v>0</v>
      </c>
    </row>
    <row r="4275" spans="6:10" ht="30" hidden="1" x14ac:dyDescent="0.25">
      <c r="F4275" s="263">
        <v>4512</v>
      </c>
      <c r="G4275" s="223" t="s">
        <v>1701</v>
      </c>
      <c r="J4275" s="595">
        <f t="shared" si="131"/>
        <v>0</v>
      </c>
    </row>
    <row r="4276" spans="6:10" hidden="1" x14ac:dyDescent="0.25">
      <c r="F4276" s="263">
        <v>452</v>
      </c>
      <c r="G4276" s="295" t="s">
        <v>4209</v>
      </c>
      <c r="J4276" s="595">
        <f t="shared" si="131"/>
        <v>0</v>
      </c>
    </row>
    <row r="4277" spans="6:10" hidden="1" x14ac:dyDescent="0.25">
      <c r="F4277" s="263">
        <v>453</v>
      </c>
      <c r="G4277" s="295" t="s">
        <v>4210</v>
      </c>
      <c r="J4277" s="595">
        <f t="shared" si="131"/>
        <v>0</v>
      </c>
    </row>
    <row r="4278" spans="6:10" hidden="1" x14ac:dyDescent="0.25">
      <c r="F4278" s="263">
        <v>454</v>
      </c>
      <c r="G4278" s="295" t="s">
        <v>3823</v>
      </c>
      <c r="J4278" s="595">
        <f t="shared" si="131"/>
        <v>0</v>
      </c>
    </row>
    <row r="4279" spans="6:10" hidden="1" x14ac:dyDescent="0.25">
      <c r="F4279" s="263">
        <v>461</v>
      </c>
      <c r="G4279" s="295" t="s">
        <v>4191</v>
      </c>
      <c r="J4279" s="595">
        <f t="shared" si="131"/>
        <v>0</v>
      </c>
    </row>
    <row r="4280" spans="6:10" hidden="1" x14ac:dyDescent="0.25">
      <c r="F4280" s="263">
        <v>462</v>
      </c>
      <c r="G4280" s="295" t="s">
        <v>3826</v>
      </c>
      <c r="J4280" s="595">
        <f t="shared" si="131"/>
        <v>0</v>
      </c>
    </row>
    <row r="4281" spans="6:10" hidden="1" x14ac:dyDescent="0.25">
      <c r="F4281" s="263">
        <v>4631</v>
      </c>
      <c r="G4281" s="295" t="s">
        <v>3827</v>
      </c>
      <c r="J4281" s="595">
        <f t="shared" si="131"/>
        <v>0</v>
      </c>
    </row>
    <row r="4282" spans="6:10" hidden="1" x14ac:dyDescent="0.25">
      <c r="F4282" s="263">
        <v>4632</v>
      </c>
      <c r="G4282" s="295" t="s">
        <v>3828</v>
      </c>
      <c r="J4282" s="595">
        <f t="shared" si="131"/>
        <v>0</v>
      </c>
    </row>
    <row r="4283" spans="6:10" hidden="1" x14ac:dyDescent="0.25">
      <c r="F4283" s="263">
        <v>464</v>
      </c>
      <c r="G4283" s="295" t="s">
        <v>3829</v>
      </c>
      <c r="J4283" s="595">
        <f t="shared" si="131"/>
        <v>0</v>
      </c>
    </row>
    <row r="4284" spans="6:10" hidden="1" x14ac:dyDescent="0.25">
      <c r="F4284" s="263">
        <v>465</v>
      </c>
      <c r="G4284" s="295" t="s">
        <v>4192</v>
      </c>
      <c r="J4284" s="595">
        <f t="shared" si="131"/>
        <v>0</v>
      </c>
    </row>
    <row r="4285" spans="6:10" hidden="1" x14ac:dyDescent="0.25">
      <c r="F4285" s="263">
        <v>472</v>
      </c>
      <c r="G4285" s="295" t="s">
        <v>3833</v>
      </c>
      <c r="J4285" s="595">
        <f t="shared" si="131"/>
        <v>0</v>
      </c>
    </row>
    <row r="4286" spans="6:10" hidden="1" x14ac:dyDescent="0.25">
      <c r="F4286" s="263">
        <v>481</v>
      </c>
      <c r="G4286" s="295" t="s">
        <v>4211</v>
      </c>
      <c r="J4286" s="595">
        <f t="shared" si="131"/>
        <v>0</v>
      </c>
    </row>
    <row r="4287" spans="6:10" hidden="1" x14ac:dyDescent="0.25">
      <c r="F4287" s="263">
        <v>482</v>
      </c>
      <c r="G4287" s="295" t="s">
        <v>4212</v>
      </c>
      <c r="J4287" s="595">
        <f t="shared" si="131"/>
        <v>0</v>
      </c>
    </row>
    <row r="4288" spans="6:10" hidden="1" x14ac:dyDescent="0.25">
      <c r="F4288" s="263">
        <v>483</v>
      </c>
      <c r="G4288" s="298" t="s">
        <v>4213</v>
      </c>
      <c r="J4288" s="595">
        <f t="shared" si="131"/>
        <v>0</v>
      </c>
    </row>
    <row r="4289" spans="6:10" ht="30" hidden="1" x14ac:dyDescent="0.25">
      <c r="F4289" s="263">
        <v>484</v>
      </c>
      <c r="G4289" s="295" t="s">
        <v>4214</v>
      </c>
      <c r="J4289" s="595">
        <f t="shared" si="131"/>
        <v>0</v>
      </c>
    </row>
    <row r="4290" spans="6:10" ht="30" hidden="1" x14ac:dyDescent="0.25">
      <c r="F4290" s="263">
        <v>485</v>
      </c>
      <c r="G4290" s="295" t="s">
        <v>4215</v>
      </c>
      <c r="J4290" s="595">
        <f t="shared" si="131"/>
        <v>0</v>
      </c>
    </row>
    <row r="4291" spans="6:10" ht="30" hidden="1" x14ac:dyDescent="0.25">
      <c r="F4291" s="263">
        <v>489</v>
      </c>
      <c r="G4291" s="295" t="s">
        <v>3841</v>
      </c>
      <c r="J4291" s="595">
        <f t="shared" si="131"/>
        <v>0</v>
      </c>
    </row>
    <row r="4292" spans="6:10" hidden="1" x14ac:dyDescent="0.25">
      <c r="F4292" s="263">
        <v>494</v>
      </c>
      <c r="G4292" s="295" t="s">
        <v>4193</v>
      </c>
      <c r="J4292" s="595">
        <f t="shared" si="131"/>
        <v>0</v>
      </c>
    </row>
    <row r="4293" spans="6:10" ht="30" hidden="1" x14ac:dyDescent="0.25">
      <c r="F4293" s="263">
        <v>495</v>
      </c>
      <c r="G4293" s="295" t="s">
        <v>4194</v>
      </c>
      <c r="J4293" s="595">
        <f t="shared" si="131"/>
        <v>0</v>
      </c>
    </row>
    <row r="4294" spans="6:10" ht="30" hidden="1" x14ac:dyDescent="0.25">
      <c r="F4294" s="263">
        <v>496</v>
      </c>
      <c r="G4294" s="295" t="s">
        <v>4195</v>
      </c>
      <c r="J4294" s="595">
        <f t="shared" si="131"/>
        <v>0</v>
      </c>
    </row>
    <row r="4295" spans="6:10" hidden="1" x14ac:dyDescent="0.25">
      <c r="F4295" s="263">
        <v>499</v>
      </c>
      <c r="G4295" s="295" t="s">
        <v>4196</v>
      </c>
      <c r="J4295" s="595">
        <f t="shared" si="131"/>
        <v>0</v>
      </c>
    </row>
    <row r="4296" spans="6:10" hidden="1" x14ac:dyDescent="0.25">
      <c r="F4296" s="263">
        <v>511</v>
      </c>
      <c r="G4296" s="298" t="s">
        <v>4216</v>
      </c>
      <c r="J4296" s="595">
        <f t="shared" si="131"/>
        <v>0</v>
      </c>
    </row>
    <row r="4297" spans="6:10" ht="15.75" hidden="1" thickBot="1" x14ac:dyDescent="0.3">
      <c r="F4297" s="263">
        <v>512</v>
      </c>
      <c r="G4297" s="298" t="s">
        <v>4217</v>
      </c>
      <c r="J4297" s="595">
        <f t="shared" si="131"/>
        <v>0</v>
      </c>
    </row>
    <row r="4298" spans="6:10" hidden="1" x14ac:dyDescent="0.25">
      <c r="F4298" s="263">
        <v>513</v>
      </c>
      <c r="G4298" s="298" t="s">
        <v>4218</v>
      </c>
      <c r="J4298" s="595">
        <f t="shared" si="131"/>
        <v>0</v>
      </c>
    </row>
    <row r="4299" spans="6:10" hidden="1" x14ac:dyDescent="0.25">
      <c r="F4299" s="263">
        <v>514</v>
      </c>
      <c r="G4299" s="295" t="s">
        <v>4219</v>
      </c>
      <c r="J4299" s="595">
        <f t="shared" si="131"/>
        <v>0</v>
      </c>
    </row>
    <row r="4300" spans="6:10" hidden="1" x14ac:dyDescent="0.25">
      <c r="F4300" s="263">
        <v>515</v>
      </c>
      <c r="G4300" s="295" t="s">
        <v>3852</v>
      </c>
      <c r="J4300" s="595">
        <f t="shared" si="131"/>
        <v>0</v>
      </c>
    </row>
    <row r="4301" spans="6:10" hidden="1" x14ac:dyDescent="0.25">
      <c r="F4301" s="263">
        <v>521</v>
      </c>
      <c r="G4301" s="295" t="s">
        <v>4220</v>
      </c>
      <c r="J4301" s="595">
        <f t="shared" si="131"/>
        <v>0</v>
      </c>
    </row>
    <row r="4302" spans="6:10" hidden="1" x14ac:dyDescent="0.25">
      <c r="F4302" s="263">
        <v>522</v>
      </c>
      <c r="G4302" s="295" t="s">
        <v>4221</v>
      </c>
      <c r="J4302" s="595">
        <f t="shared" si="131"/>
        <v>0</v>
      </c>
    </row>
    <row r="4303" spans="6:10" hidden="1" x14ac:dyDescent="0.25">
      <c r="F4303" s="263">
        <v>523</v>
      </c>
      <c r="G4303" s="295" t="s">
        <v>3857</v>
      </c>
      <c r="J4303" s="595">
        <f t="shared" si="131"/>
        <v>0</v>
      </c>
    </row>
    <row r="4304" spans="6:10" hidden="1" x14ac:dyDescent="0.25">
      <c r="F4304" s="263">
        <v>531</v>
      </c>
      <c r="G4304" s="292" t="s">
        <v>4197</v>
      </c>
      <c r="J4304" s="595">
        <f t="shared" si="131"/>
        <v>0</v>
      </c>
    </row>
    <row r="4305" spans="5:10" hidden="1" x14ac:dyDescent="0.25">
      <c r="F4305" s="263">
        <v>541</v>
      </c>
      <c r="G4305" s="295" t="s">
        <v>4222</v>
      </c>
      <c r="J4305" s="595">
        <f t="shared" si="131"/>
        <v>0</v>
      </c>
    </row>
    <row r="4306" spans="5:10" hidden="1" x14ac:dyDescent="0.25">
      <c r="F4306" s="263">
        <v>542</v>
      </c>
      <c r="G4306" s="295" t="s">
        <v>4223</v>
      </c>
      <c r="J4306" s="595">
        <f t="shared" si="131"/>
        <v>0</v>
      </c>
    </row>
    <row r="4307" spans="5:10" hidden="1" x14ac:dyDescent="0.25">
      <c r="F4307" s="263">
        <v>543</v>
      </c>
      <c r="G4307" s="295" t="s">
        <v>3862</v>
      </c>
      <c r="J4307" s="595">
        <f t="shared" si="131"/>
        <v>0</v>
      </c>
    </row>
    <row r="4308" spans="5:10" ht="30" hidden="1" x14ac:dyDescent="0.25">
      <c r="F4308" s="263">
        <v>551</v>
      </c>
      <c r="G4308" s="295" t="s">
        <v>4198</v>
      </c>
      <c r="J4308" s="595">
        <f t="shared" si="131"/>
        <v>0</v>
      </c>
    </row>
    <row r="4309" spans="5:10" hidden="1" x14ac:dyDescent="0.25">
      <c r="F4309" s="264">
        <v>611</v>
      </c>
      <c r="G4309" s="299" t="s">
        <v>3868</v>
      </c>
      <c r="J4309" s="595">
        <f t="shared" si="131"/>
        <v>0</v>
      </c>
    </row>
    <row r="4310" spans="5:10" ht="15.75" hidden="1" thickBot="1" x14ac:dyDescent="0.3">
      <c r="F4310" s="264">
        <v>620</v>
      </c>
      <c r="G4310" s="299" t="s">
        <v>88</v>
      </c>
      <c r="J4310" s="595">
        <f t="shared" si="131"/>
        <v>0</v>
      </c>
    </row>
    <row r="4311" spans="5:10" x14ac:dyDescent="0.25">
      <c r="E4311" s="293"/>
      <c r="F4311" s="301"/>
      <c r="G4311" s="326" t="s">
        <v>4392</v>
      </c>
      <c r="H4311" s="596"/>
      <c r="I4311" s="622"/>
      <c r="J4311" s="597"/>
    </row>
    <row r="4312" spans="5:10" ht="15.75" thickBot="1" x14ac:dyDescent="0.3">
      <c r="E4312" s="222"/>
      <c r="F4312" s="249" t="s">
        <v>234</v>
      </c>
      <c r="G4312" s="252" t="s">
        <v>235</v>
      </c>
      <c r="H4312" s="598">
        <f>SUM(H4251:H4310)</f>
        <v>3150000</v>
      </c>
      <c r="I4312" s="599"/>
      <c r="J4312" s="599">
        <f>SUM(H4312:I4312)</f>
        <v>3150000</v>
      </c>
    </row>
    <row r="4313" spans="5:10" hidden="1" x14ac:dyDescent="0.25">
      <c r="F4313" s="249" t="s">
        <v>236</v>
      </c>
      <c r="G4313" s="252" t="s">
        <v>237</v>
      </c>
      <c r="J4313" s="599">
        <f t="shared" ref="J4313:J4327" si="132">SUM(H4313:I4313)</f>
        <v>0</v>
      </c>
    </row>
    <row r="4314" spans="5:10" hidden="1" x14ac:dyDescent="0.25">
      <c r="F4314" s="249" t="s">
        <v>238</v>
      </c>
      <c r="G4314" s="252" t="s">
        <v>239</v>
      </c>
      <c r="J4314" s="599">
        <f t="shared" si="132"/>
        <v>0</v>
      </c>
    </row>
    <row r="4315" spans="5:10" hidden="1" x14ac:dyDescent="0.25">
      <c r="F4315" s="249" t="s">
        <v>240</v>
      </c>
      <c r="G4315" s="252" t="s">
        <v>241</v>
      </c>
      <c r="J4315" s="599">
        <f t="shared" si="132"/>
        <v>0</v>
      </c>
    </row>
    <row r="4316" spans="5:10" hidden="1" x14ac:dyDescent="0.25">
      <c r="F4316" s="249" t="s">
        <v>242</v>
      </c>
      <c r="G4316" s="252" t="s">
        <v>243</v>
      </c>
      <c r="J4316" s="599">
        <f t="shared" si="132"/>
        <v>0</v>
      </c>
    </row>
    <row r="4317" spans="5:10" hidden="1" x14ac:dyDescent="0.25">
      <c r="F4317" s="249" t="s">
        <v>244</v>
      </c>
      <c r="G4317" s="252" t="s">
        <v>245</v>
      </c>
      <c r="J4317" s="599">
        <f t="shared" si="132"/>
        <v>0</v>
      </c>
    </row>
    <row r="4318" spans="5:10" hidden="1" x14ac:dyDescent="0.25">
      <c r="F4318" s="249" t="s">
        <v>246</v>
      </c>
      <c r="G4318" s="252" t="s">
        <v>247</v>
      </c>
      <c r="J4318" s="599">
        <f t="shared" si="132"/>
        <v>0</v>
      </c>
    </row>
    <row r="4319" spans="5:10" hidden="1" x14ac:dyDescent="0.25">
      <c r="F4319" s="249" t="s">
        <v>248</v>
      </c>
      <c r="G4319" s="252" t="s">
        <v>249</v>
      </c>
      <c r="J4319" s="599">
        <f t="shared" si="132"/>
        <v>0</v>
      </c>
    </row>
    <row r="4320" spans="5:10" hidden="1" x14ac:dyDescent="0.25">
      <c r="F4320" s="249" t="s">
        <v>250</v>
      </c>
      <c r="G4320" s="252" t="s">
        <v>57</v>
      </c>
      <c r="J4320" s="599">
        <f t="shared" si="132"/>
        <v>0</v>
      </c>
    </row>
    <row r="4321" spans="5:10" hidden="1" x14ac:dyDescent="0.25">
      <c r="F4321" s="249" t="s">
        <v>251</v>
      </c>
      <c r="G4321" s="252" t="s">
        <v>252</v>
      </c>
      <c r="J4321" s="599">
        <f t="shared" si="132"/>
        <v>0</v>
      </c>
    </row>
    <row r="4322" spans="5:10" hidden="1" x14ac:dyDescent="0.25">
      <c r="F4322" s="249" t="s">
        <v>253</v>
      </c>
      <c r="G4322" s="252" t="s">
        <v>254</v>
      </c>
      <c r="J4322" s="599">
        <f t="shared" si="132"/>
        <v>0</v>
      </c>
    </row>
    <row r="4323" spans="5:10" ht="30" hidden="1" x14ac:dyDescent="0.25">
      <c r="F4323" s="249" t="s">
        <v>255</v>
      </c>
      <c r="G4323" s="252" t="s">
        <v>256</v>
      </c>
      <c r="J4323" s="599">
        <f t="shared" si="132"/>
        <v>0</v>
      </c>
    </row>
    <row r="4324" spans="5:10" hidden="1" x14ac:dyDescent="0.25">
      <c r="F4324" s="249" t="s">
        <v>257</v>
      </c>
      <c r="G4324" s="252" t="s">
        <v>258</v>
      </c>
      <c r="J4324" s="599">
        <f t="shared" si="132"/>
        <v>0</v>
      </c>
    </row>
    <row r="4325" spans="5:10" ht="30" hidden="1" x14ac:dyDescent="0.25">
      <c r="F4325" s="249" t="s">
        <v>259</v>
      </c>
      <c r="G4325" s="252" t="s">
        <v>260</v>
      </c>
      <c r="J4325" s="599">
        <f t="shared" si="132"/>
        <v>0</v>
      </c>
    </row>
    <row r="4326" spans="5:10" hidden="1" x14ac:dyDescent="0.25">
      <c r="F4326" s="249" t="s">
        <v>261</v>
      </c>
      <c r="G4326" s="252" t="s">
        <v>262</v>
      </c>
      <c r="J4326" s="599">
        <f t="shared" si="132"/>
        <v>0</v>
      </c>
    </row>
    <row r="4327" spans="5:10" ht="15.75" hidden="1" thickBot="1" x14ac:dyDescent="0.3">
      <c r="F4327" s="249" t="s">
        <v>263</v>
      </c>
      <c r="G4327" s="252" t="s">
        <v>264</v>
      </c>
      <c r="H4327" s="598"/>
      <c r="I4327" s="599"/>
      <c r="J4327" s="599">
        <f t="shared" si="132"/>
        <v>0</v>
      </c>
    </row>
    <row r="4328" spans="5:10" ht="15.75" thickBot="1" x14ac:dyDescent="0.3">
      <c r="G4328" s="229" t="s">
        <v>4393</v>
      </c>
      <c r="H4328" s="600">
        <f>SUM(H4312:H4327)</f>
        <v>3150000</v>
      </c>
      <c r="I4328" s="601">
        <f>SUM(I4313:I4327)</f>
        <v>0</v>
      </c>
      <c r="J4328" s="601">
        <f>SUM(J4312:J4327)</f>
        <v>3150000</v>
      </c>
    </row>
    <row r="4329" spans="5:10" ht="28.5" collapsed="1" x14ac:dyDescent="0.25">
      <c r="E4329" s="260"/>
      <c r="F4329" s="264"/>
      <c r="G4329" s="231" t="s">
        <v>4280</v>
      </c>
      <c r="H4329" s="602"/>
      <c r="I4329" s="623"/>
      <c r="J4329" s="603"/>
    </row>
    <row r="4330" spans="5:10" ht="15.75" thickBot="1" x14ac:dyDescent="0.3">
      <c r="E4330" s="222"/>
      <c r="F4330" s="249" t="s">
        <v>234</v>
      </c>
      <c r="G4330" s="252" t="s">
        <v>235</v>
      </c>
      <c r="H4330" s="598">
        <f>SUM(H4251:H4310)</f>
        <v>3150000</v>
      </c>
      <c r="I4330" s="599"/>
      <c r="J4330" s="599">
        <f>SUM(H4330:I4330)</f>
        <v>3150000</v>
      </c>
    </row>
    <row r="4331" spans="5:10" hidden="1" x14ac:dyDescent="0.25">
      <c r="F4331" s="249" t="s">
        <v>236</v>
      </c>
      <c r="G4331" s="252" t="s">
        <v>237</v>
      </c>
      <c r="J4331" s="599">
        <f t="shared" ref="J4331:J4345" si="133">SUM(H4331:I4331)</f>
        <v>0</v>
      </c>
    </row>
    <row r="4332" spans="5:10" hidden="1" x14ac:dyDescent="0.25">
      <c r="F4332" s="249" t="s">
        <v>238</v>
      </c>
      <c r="G4332" s="252" t="s">
        <v>239</v>
      </c>
      <c r="J4332" s="599">
        <f t="shared" si="133"/>
        <v>0</v>
      </c>
    </row>
    <row r="4333" spans="5:10" hidden="1" x14ac:dyDescent="0.25">
      <c r="F4333" s="249" t="s">
        <v>240</v>
      </c>
      <c r="G4333" s="252" t="s">
        <v>241</v>
      </c>
      <c r="J4333" s="599">
        <f t="shared" si="133"/>
        <v>0</v>
      </c>
    </row>
    <row r="4334" spans="5:10" hidden="1" x14ac:dyDescent="0.25">
      <c r="F4334" s="249" t="s">
        <v>242</v>
      </c>
      <c r="G4334" s="252" t="s">
        <v>243</v>
      </c>
      <c r="J4334" s="599">
        <f t="shared" si="133"/>
        <v>0</v>
      </c>
    </row>
    <row r="4335" spans="5:10" hidden="1" x14ac:dyDescent="0.25">
      <c r="F4335" s="249" t="s">
        <v>244</v>
      </c>
      <c r="G4335" s="252" t="s">
        <v>245</v>
      </c>
      <c r="J4335" s="599">
        <f t="shared" si="133"/>
        <v>0</v>
      </c>
    </row>
    <row r="4336" spans="5:10" hidden="1" x14ac:dyDescent="0.25">
      <c r="F4336" s="249" t="s">
        <v>246</v>
      </c>
      <c r="G4336" s="252" t="s">
        <v>247</v>
      </c>
      <c r="J4336" s="599">
        <f t="shared" si="133"/>
        <v>0</v>
      </c>
    </row>
    <row r="4337" spans="1:25" hidden="1" x14ac:dyDescent="0.25">
      <c r="F4337" s="249" t="s">
        <v>248</v>
      </c>
      <c r="G4337" s="252" t="s">
        <v>249</v>
      </c>
      <c r="J4337" s="599">
        <f t="shared" si="133"/>
        <v>0</v>
      </c>
    </row>
    <row r="4338" spans="1:25" hidden="1" x14ac:dyDescent="0.25">
      <c r="F4338" s="249" t="s">
        <v>250</v>
      </c>
      <c r="G4338" s="252" t="s">
        <v>57</v>
      </c>
      <c r="J4338" s="599">
        <f t="shared" si="133"/>
        <v>0</v>
      </c>
    </row>
    <row r="4339" spans="1:25" hidden="1" x14ac:dyDescent="0.25">
      <c r="F4339" s="249" t="s">
        <v>251</v>
      </c>
      <c r="G4339" s="252" t="s">
        <v>252</v>
      </c>
      <c r="J4339" s="599">
        <f t="shared" si="133"/>
        <v>0</v>
      </c>
    </row>
    <row r="4340" spans="1:25" hidden="1" x14ac:dyDescent="0.25">
      <c r="F4340" s="249" t="s">
        <v>253</v>
      </c>
      <c r="G4340" s="252" t="s">
        <v>254</v>
      </c>
      <c r="J4340" s="599">
        <f t="shared" si="133"/>
        <v>0</v>
      </c>
    </row>
    <row r="4341" spans="1:25" ht="30" hidden="1" x14ac:dyDescent="0.25">
      <c r="F4341" s="249" t="s">
        <v>255</v>
      </c>
      <c r="G4341" s="252" t="s">
        <v>256</v>
      </c>
      <c r="J4341" s="599">
        <f t="shared" si="133"/>
        <v>0</v>
      </c>
    </row>
    <row r="4342" spans="1:25" hidden="1" x14ac:dyDescent="0.25">
      <c r="F4342" s="249" t="s">
        <v>257</v>
      </c>
      <c r="G4342" s="252" t="s">
        <v>258</v>
      </c>
      <c r="J4342" s="599">
        <f t="shared" si="133"/>
        <v>0</v>
      </c>
    </row>
    <row r="4343" spans="1:25" ht="30" hidden="1" x14ac:dyDescent="0.25">
      <c r="F4343" s="249" t="s">
        <v>259</v>
      </c>
      <c r="G4343" s="252" t="s">
        <v>260</v>
      </c>
      <c r="J4343" s="599">
        <f t="shared" si="133"/>
        <v>0</v>
      </c>
    </row>
    <row r="4344" spans="1:25" hidden="1" x14ac:dyDescent="0.25">
      <c r="F4344" s="249" t="s">
        <v>261</v>
      </c>
      <c r="G4344" s="252" t="s">
        <v>262</v>
      </c>
      <c r="J4344" s="599">
        <f t="shared" si="133"/>
        <v>0</v>
      </c>
    </row>
    <row r="4345" spans="1:25" ht="15.75" hidden="1" thickBot="1" x14ac:dyDescent="0.3">
      <c r="F4345" s="249" t="s">
        <v>263</v>
      </c>
      <c r="G4345" s="252" t="s">
        <v>264</v>
      </c>
      <c r="H4345" s="598"/>
      <c r="I4345" s="599"/>
      <c r="J4345" s="599">
        <f t="shared" si="133"/>
        <v>0</v>
      </c>
    </row>
    <row r="4346" spans="1:25" ht="15.75" collapsed="1" thickBot="1" x14ac:dyDescent="0.3">
      <c r="G4346" s="229" t="s">
        <v>4281</v>
      </c>
      <c r="H4346" s="600">
        <f>SUM(H4330:H4345)</f>
        <v>3150000</v>
      </c>
      <c r="I4346" s="601">
        <f>SUM(I4331:I4345)</f>
        <v>0</v>
      </c>
      <c r="J4346" s="601">
        <f>SUM(J4330:J4345)</f>
        <v>3150000</v>
      </c>
    </row>
    <row r="4347" spans="1:25" s="88" customFormat="1" hidden="1" x14ac:dyDescent="0.25">
      <c r="A4347" s="261"/>
      <c r="B4347" s="256"/>
      <c r="C4347" s="316"/>
      <c r="D4347" s="251"/>
      <c r="E4347" s="251"/>
      <c r="F4347" s="257"/>
      <c r="G4347" s="294"/>
      <c r="H4347" s="627"/>
      <c r="I4347" s="610"/>
      <c r="J4347" s="628"/>
      <c r="K4347" s="533"/>
      <c r="L4347" s="533"/>
      <c r="M4347" s="533"/>
      <c r="N4347" s="533"/>
      <c r="O4347" s="533"/>
      <c r="P4347" s="533"/>
      <c r="Q4347" s="533"/>
      <c r="R4347" s="533"/>
      <c r="S4347" s="533"/>
      <c r="T4347" s="533"/>
      <c r="U4347" s="533"/>
      <c r="V4347" s="533"/>
      <c r="W4347" s="533"/>
      <c r="X4347" s="533"/>
      <c r="Y4347" s="533"/>
    </row>
    <row r="4348" spans="1:25" hidden="1" x14ac:dyDescent="0.25">
      <c r="C4348" s="228" t="s">
        <v>4831</v>
      </c>
      <c r="D4348" s="219"/>
      <c r="G4348" s="262" t="s">
        <v>5106</v>
      </c>
    </row>
    <row r="4349" spans="1:25" hidden="1" x14ac:dyDescent="0.25">
      <c r="C4349" s="228"/>
      <c r="D4349" s="312">
        <v>733</v>
      </c>
      <c r="E4349" s="312"/>
      <c r="F4349" s="312"/>
      <c r="G4349" s="333" t="s">
        <v>200</v>
      </c>
    </row>
    <row r="4350" spans="1:25" hidden="1" x14ac:dyDescent="0.25">
      <c r="F4350" s="263">
        <v>411</v>
      </c>
      <c r="G4350" s="295" t="s">
        <v>4189</v>
      </c>
      <c r="J4350" s="595">
        <f>SUM(H4350:I4350)</f>
        <v>0</v>
      </c>
    </row>
    <row r="4351" spans="1:25" hidden="1" x14ac:dyDescent="0.25">
      <c r="F4351" s="263">
        <v>412</v>
      </c>
      <c r="G4351" s="292" t="s">
        <v>3784</v>
      </c>
      <c r="J4351" s="595">
        <f t="shared" ref="J4351:J4409" si="134">SUM(H4351:I4351)</f>
        <v>0</v>
      </c>
    </row>
    <row r="4352" spans="1:25" hidden="1" x14ac:dyDescent="0.25">
      <c r="F4352" s="263">
        <v>413</v>
      </c>
      <c r="G4352" s="295" t="s">
        <v>4190</v>
      </c>
      <c r="J4352" s="595">
        <f t="shared" si="134"/>
        <v>0</v>
      </c>
    </row>
    <row r="4353" spans="6:10" hidden="1" x14ac:dyDescent="0.25">
      <c r="F4353" s="263">
        <v>414</v>
      </c>
      <c r="G4353" s="295" t="s">
        <v>3787</v>
      </c>
      <c r="J4353" s="595">
        <f t="shared" si="134"/>
        <v>0</v>
      </c>
    </row>
    <row r="4354" spans="6:10" hidden="1" x14ac:dyDescent="0.25">
      <c r="F4354" s="263">
        <v>415</v>
      </c>
      <c r="G4354" s="295" t="s">
        <v>4199</v>
      </c>
      <c r="J4354" s="595">
        <f t="shared" si="134"/>
        <v>0</v>
      </c>
    </row>
    <row r="4355" spans="6:10" hidden="1" x14ac:dyDescent="0.25">
      <c r="F4355" s="263">
        <v>416</v>
      </c>
      <c r="G4355" s="295" t="s">
        <v>4200</v>
      </c>
      <c r="J4355" s="595">
        <f t="shared" si="134"/>
        <v>0</v>
      </c>
    </row>
    <row r="4356" spans="6:10" hidden="1" x14ac:dyDescent="0.25">
      <c r="F4356" s="263">
        <v>417</v>
      </c>
      <c r="G4356" s="295" t="s">
        <v>4201</v>
      </c>
      <c r="J4356" s="595">
        <f t="shared" si="134"/>
        <v>0</v>
      </c>
    </row>
    <row r="4357" spans="6:10" hidden="1" x14ac:dyDescent="0.25">
      <c r="F4357" s="263">
        <v>418</v>
      </c>
      <c r="G4357" s="295" t="s">
        <v>3793</v>
      </c>
      <c r="J4357" s="595">
        <f t="shared" si="134"/>
        <v>0</v>
      </c>
    </row>
    <row r="4358" spans="6:10" hidden="1" x14ac:dyDescent="0.25">
      <c r="F4358" s="263">
        <v>421</v>
      </c>
      <c r="G4358" s="295" t="s">
        <v>3797</v>
      </c>
      <c r="J4358" s="595">
        <f t="shared" si="134"/>
        <v>0</v>
      </c>
    </row>
    <row r="4359" spans="6:10" hidden="1" x14ac:dyDescent="0.25">
      <c r="F4359" s="263">
        <v>422</v>
      </c>
      <c r="G4359" s="295" t="s">
        <v>3798</v>
      </c>
      <c r="J4359" s="595">
        <f t="shared" si="134"/>
        <v>0</v>
      </c>
    </row>
    <row r="4360" spans="6:10" hidden="1" x14ac:dyDescent="0.25">
      <c r="F4360" s="263">
        <v>423</v>
      </c>
      <c r="G4360" s="295" t="s">
        <v>3799</v>
      </c>
      <c r="J4360" s="595">
        <f t="shared" si="134"/>
        <v>0</v>
      </c>
    </row>
    <row r="4361" spans="6:10" ht="15.75" hidden="1" thickBot="1" x14ac:dyDescent="0.3">
      <c r="F4361" s="263">
        <v>424</v>
      </c>
      <c r="G4361" s="295" t="s">
        <v>3801</v>
      </c>
      <c r="J4361" s="595">
        <f t="shared" si="134"/>
        <v>0</v>
      </c>
    </row>
    <row r="4362" spans="6:10" hidden="1" x14ac:dyDescent="0.25">
      <c r="F4362" s="263">
        <v>425</v>
      </c>
      <c r="G4362" s="295" t="s">
        <v>4202</v>
      </c>
      <c r="J4362" s="595">
        <f t="shared" si="134"/>
        <v>0</v>
      </c>
    </row>
    <row r="4363" spans="6:10" hidden="1" x14ac:dyDescent="0.25">
      <c r="F4363" s="263">
        <v>426</v>
      </c>
      <c r="G4363" s="295" t="s">
        <v>3805</v>
      </c>
      <c r="J4363" s="595">
        <f t="shared" si="134"/>
        <v>0</v>
      </c>
    </row>
    <row r="4364" spans="6:10" hidden="1" x14ac:dyDescent="0.25">
      <c r="F4364" s="263">
        <v>431</v>
      </c>
      <c r="G4364" s="295" t="s">
        <v>4203</v>
      </c>
      <c r="J4364" s="595">
        <f t="shared" si="134"/>
        <v>0</v>
      </c>
    </row>
    <row r="4365" spans="6:10" hidden="1" x14ac:dyDescent="0.25">
      <c r="F4365" s="263">
        <v>432</v>
      </c>
      <c r="G4365" s="295" t="s">
        <v>4204</v>
      </c>
      <c r="J4365" s="595">
        <f t="shared" si="134"/>
        <v>0</v>
      </c>
    </row>
    <row r="4366" spans="6:10" hidden="1" x14ac:dyDescent="0.25">
      <c r="F4366" s="263">
        <v>433</v>
      </c>
      <c r="G4366" s="295" t="s">
        <v>4205</v>
      </c>
      <c r="J4366" s="595">
        <f t="shared" si="134"/>
        <v>0</v>
      </c>
    </row>
    <row r="4367" spans="6:10" hidden="1" x14ac:dyDescent="0.25">
      <c r="F4367" s="263">
        <v>434</v>
      </c>
      <c r="G4367" s="295" t="s">
        <v>4206</v>
      </c>
      <c r="J4367" s="595">
        <f t="shared" si="134"/>
        <v>0</v>
      </c>
    </row>
    <row r="4368" spans="6:10" hidden="1" x14ac:dyDescent="0.25">
      <c r="F4368" s="263">
        <v>435</v>
      </c>
      <c r="G4368" s="295" t="s">
        <v>3812</v>
      </c>
      <c r="J4368" s="595">
        <f t="shared" si="134"/>
        <v>0</v>
      </c>
    </row>
    <row r="4369" spans="6:10" hidden="1" x14ac:dyDescent="0.25">
      <c r="F4369" s="263">
        <v>441</v>
      </c>
      <c r="G4369" s="295" t="s">
        <v>4207</v>
      </c>
      <c r="J4369" s="595">
        <f t="shared" si="134"/>
        <v>0</v>
      </c>
    </row>
    <row r="4370" spans="6:10" hidden="1" x14ac:dyDescent="0.25">
      <c r="F4370" s="263">
        <v>442</v>
      </c>
      <c r="G4370" s="295" t="s">
        <v>4208</v>
      </c>
      <c r="J4370" s="595">
        <f t="shared" si="134"/>
        <v>0</v>
      </c>
    </row>
    <row r="4371" spans="6:10" hidden="1" x14ac:dyDescent="0.25">
      <c r="F4371" s="263">
        <v>443</v>
      </c>
      <c r="G4371" s="295" t="s">
        <v>3817</v>
      </c>
      <c r="J4371" s="595">
        <f t="shared" si="134"/>
        <v>0</v>
      </c>
    </row>
    <row r="4372" spans="6:10" hidden="1" x14ac:dyDescent="0.25">
      <c r="F4372" s="263">
        <v>444</v>
      </c>
      <c r="G4372" s="295" t="s">
        <v>3818</v>
      </c>
      <c r="J4372" s="595">
        <f t="shared" si="134"/>
        <v>0</v>
      </c>
    </row>
    <row r="4373" spans="6:10" ht="30" hidden="1" x14ac:dyDescent="0.25">
      <c r="F4373" s="263">
        <v>4511</v>
      </c>
      <c r="G4373" s="223" t="s">
        <v>1692</v>
      </c>
      <c r="J4373" s="595">
        <f t="shared" si="134"/>
        <v>0</v>
      </c>
    </row>
    <row r="4374" spans="6:10" ht="30" hidden="1" x14ac:dyDescent="0.25">
      <c r="F4374" s="263">
        <v>4512</v>
      </c>
      <c r="G4374" s="223" t="s">
        <v>1701</v>
      </c>
      <c r="J4374" s="595">
        <f t="shared" si="134"/>
        <v>0</v>
      </c>
    </row>
    <row r="4375" spans="6:10" hidden="1" x14ac:dyDescent="0.25">
      <c r="F4375" s="263">
        <v>452</v>
      </c>
      <c r="G4375" s="295" t="s">
        <v>4209</v>
      </c>
      <c r="J4375" s="595">
        <f t="shared" si="134"/>
        <v>0</v>
      </c>
    </row>
    <row r="4376" spans="6:10" hidden="1" x14ac:dyDescent="0.25">
      <c r="F4376" s="263">
        <v>453</v>
      </c>
      <c r="G4376" s="295" t="s">
        <v>4210</v>
      </c>
      <c r="J4376" s="595">
        <f t="shared" si="134"/>
        <v>0</v>
      </c>
    </row>
    <row r="4377" spans="6:10" hidden="1" x14ac:dyDescent="0.25">
      <c r="F4377" s="263">
        <v>454</v>
      </c>
      <c r="G4377" s="295" t="s">
        <v>3823</v>
      </c>
      <c r="J4377" s="595">
        <f t="shared" si="134"/>
        <v>0</v>
      </c>
    </row>
    <row r="4378" spans="6:10" hidden="1" x14ac:dyDescent="0.25">
      <c r="F4378" s="263">
        <v>461</v>
      </c>
      <c r="G4378" s="295" t="s">
        <v>4191</v>
      </c>
      <c r="J4378" s="595">
        <f t="shared" si="134"/>
        <v>0</v>
      </c>
    </row>
    <row r="4379" spans="6:10" hidden="1" x14ac:dyDescent="0.25">
      <c r="F4379" s="263">
        <v>462</v>
      </c>
      <c r="G4379" s="295" t="s">
        <v>3826</v>
      </c>
      <c r="J4379" s="595">
        <f t="shared" si="134"/>
        <v>0</v>
      </c>
    </row>
    <row r="4380" spans="6:10" hidden="1" x14ac:dyDescent="0.25">
      <c r="F4380" s="263">
        <v>4631</v>
      </c>
      <c r="G4380" s="295" t="s">
        <v>3827</v>
      </c>
      <c r="J4380" s="595">
        <f t="shared" si="134"/>
        <v>0</v>
      </c>
    </row>
    <row r="4381" spans="6:10" hidden="1" x14ac:dyDescent="0.25">
      <c r="F4381" s="263">
        <v>4632</v>
      </c>
      <c r="G4381" s="295" t="s">
        <v>3828</v>
      </c>
      <c r="J4381" s="595">
        <f t="shared" si="134"/>
        <v>0</v>
      </c>
    </row>
    <row r="4382" spans="6:10" hidden="1" x14ac:dyDescent="0.25">
      <c r="F4382" s="263">
        <v>464</v>
      </c>
      <c r="G4382" s="295" t="s">
        <v>3829</v>
      </c>
      <c r="J4382" s="595">
        <f t="shared" si="134"/>
        <v>0</v>
      </c>
    </row>
    <row r="4383" spans="6:10" hidden="1" x14ac:dyDescent="0.25">
      <c r="F4383" s="263">
        <v>465</v>
      </c>
      <c r="G4383" s="295" t="s">
        <v>4192</v>
      </c>
      <c r="J4383" s="595">
        <f t="shared" si="134"/>
        <v>0</v>
      </c>
    </row>
    <row r="4384" spans="6:10" hidden="1" x14ac:dyDescent="0.25">
      <c r="F4384" s="263">
        <v>472</v>
      </c>
      <c r="G4384" s="295" t="s">
        <v>3833</v>
      </c>
      <c r="J4384" s="595">
        <f t="shared" si="134"/>
        <v>0</v>
      </c>
    </row>
    <row r="4385" spans="6:10" hidden="1" x14ac:dyDescent="0.25">
      <c r="F4385" s="263">
        <v>481</v>
      </c>
      <c r="G4385" s="295" t="s">
        <v>4211</v>
      </c>
      <c r="J4385" s="595">
        <f t="shared" si="134"/>
        <v>0</v>
      </c>
    </row>
    <row r="4386" spans="6:10" hidden="1" x14ac:dyDescent="0.25">
      <c r="F4386" s="263">
        <v>482</v>
      </c>
      <c r="G4386" s="295" t="s">
        <v>4212</v>
      </c>
      <c r="J4386" s="595">
        <f t="shared" si="134"/>
        <v>0</v>
      </c>
    </row>
    <row r="4387" spans="6:10" hidden="1" x14ac:dyDescent="0.25">
      <c r="F4387" s="263">
        <v>483</v>
      </c>
      <c r="G4387" s="298" t="s">
        <v>4213</v>
      </c>
      <c r="J4387" s="595">
        <f t="shared" si="134"/>
        <v>0</v>
      </c>
    </row>
    <row r="4388" spans="6:10" ht="30" hidden="1" x14ac:dyDescent="0.25">
      <c r="F4388" s="263">
        <v>484</v>
      </c>
      <c r="G4388" s="295" t="s">
        <v>4214</v>
      </c>
      <c r="J4388" s="595">
        <f t="shared" si="134"/>
        <v>0</v>
      </c>
    </row>
    <row r="4389" spans="6:10" ht="30" hidden="1" x14ac:dyDescent="0.25">
      <c r="F4389" s="263">
        <v>485</v>
      </c>
      <c r="G4389" s="295" t="s">
        <v>4215</v>
      </c>
      <c r="J4389" s="595">
        <f t="shared" si="134"/>
        <v>0</v>
      </c>
    </row>
    <row r="4390" spans="6:10" ht="30" hidden="1" x14ac:dyDescent="0.25">
      <c r="F4390" s="263">
        <v>489</v>
      </c>
      <c r="G4390" s="295" t="s">
        <v>3841</v>
      </c>
      <c r="J4390" s="595">
        <f t="shared" si="134"/>
        <v>0</v>
      </c>
    </row>
    <row r="4391" spans="6:10" hidden="1" x14ac:dyDescent="0.25">
      <c r="F4391" s="263">
        <v>494</v>
      </c>
      <c r="G4391" s="295" t="s">
        <v>4193</v>
      </c>
      <c r="J4391" s="595">
        <f t="shared" si="134"/>
        <v>0</v>
      </c>
    </row>
    <row r="4392" spans="6:10" ht="30" hidden="1" x14ac:dyDescent="0.25">
      <c r="F4392" s="263">
        <v>495</v>
      </c>
      <c r="G4392" s="295" t="s">
        <v>4194</v>
      </c>
      <c r="J4392" s="595">
        <f t="shared" si="134"/>
        <v>0</v>
      </c>
    </row>
    <row r="4393" spans="6:10" ht="30" hidden="1" x14ac:dyDescent="0.25">
      <c r="F4393" s="263">
        <v>496</v>
      </c>
      <c r="G4393" s="295" t="s">
        <v>4195</v>
      </c>
      <c r="J4393" s="595">
        <f t="shared" si="134"/>
        <v>0</v>
      </c>
    </row>
    <row r="4394" spans="6:10" hidden="1" x14ac:dyDescent="0.25">
      <c r="F4394" s="263">
        <v>499</v>
      </c>
      <c r="G4394" s="295" t="s">
        <v>4196</v>
      </c>
      <c r="J4394" s="595">
        <f t="shared" si="134"/>
        <v>0</v>
      </c>
    </row>
    <row r="4395" spans="6:10" hidden="1" x14ac:dyDescent="0.25">
      <c r="F4395" s="263">
        <v>511</v>
      </c>
      <c r="G4395" s="298" t="s">
        <v>4216</v>
      </c>
      <c r="J4395" s="595">
        <f t="shared" si="134"/>
        <v>0</v>
      </c>
    </row>
    <row r="4396" spans="6:10" hidden="1" x14ac:dyDescent="0.25">
      <c r="F4396" s="263">
        <v>512</v>
      </c>
      <c r="G4396" s="298" t="s">
        <v>4217</v>
      </c>
      <c r="J4396" s="595">
        <f t="shared" si="134"/>
        <v>0</v>
      </c>
    </row>
    <row r="4397" spans="6:10" hidden="1" x14ac:dyDescent="0.25">
      <c r="F4397" s="263">
        <v>513</v>
      </c>
      <c r="G4397" s="298" t="s">
        <v>4218</v>
      </c>
      <c r="J4397" s="595">
        <f t="shared" si="134"/>
        <v>0</v>
      </c>
    </row>
    <row r="4398" spans="6:10" hidden="1" x14ac:dyDescent="0.25">
      <c r="F4398" s="263">
        <v>514</v>
      </c>
      <c r="G4398" s="295" t="s">
        <v>4219</v>
      </c>
      <c r="J4398" s="595">
        <f t="shared" si="134"/>
        <v>0</v>
      </c>
    </row>
    <row r="4399" spans="6:10" hidden="1" x14ac:dyDescent="0.25">
      <c r="F4399" s="263">
        <v>515</v>
      </c>
      <c r="G4399" s="295" t="s">
        <v>3852</v>
      </c>
      <c r="J4399" s="595">
        <f t="shared" si="134"/>
        <v>0</v>
      </c>
    </row>
    <row r="4400" spans="6:10" hidden="1" x14ac:dyDescent="0.25">
      <c r="F4400" s="263">
        <v>521</v>
      </c>
      <c r="G4400" s="295" t="s">
        <v>4220</v>
      </c>
      <c r="J4400" s="595">
        <f t="shared" si="134"/>
        <v>0</v>
      </c>
    </row>
    <row r="4401" spans="5:10" hidden="1" x14ac:dyDescent="0.25">
      <c r="F4401" s="263">
        <v>522</v>
      </c>
      <c r="G4401" s="295" t="s">
        <v>4221</v>
      </c>
      <c r="J4401" s="595">
        <f t="shared" si="134"/>
        <v>0</v>
      </c>
    </row>
    <row r="4402" spans="5:10" hidden="1" x14ac:dyDescent="0.25">
      <c r="F4402" s="263">
        <v>523</v>
      </c>
      <c r="G4402" s="295" t="s">
        <v>3857</v>
      </c>
      <c r="J4402" s="595">
        <f t="shared" si="134"/>
        <v>0</v>
      </c>
    </row>
    <row r="4403" spans="5:10" hidden="1" x14ac:dyDescent="0.25">
      <c r="F4403" s="263">
        <v>531</v>
      </c>
      <c r="G4403" s="292" t="s">
        <v>4197</v>
      </c>
      <c r="J4403" s="595">
        <f t="shared" si="134"/>
        <v>0</v>
      </c>
    </row>
    <row r="4404" spans="5:10" hidden="1" x14ac:dyDescent="0.25">
      <c r="F4404" s="263">
        <v>541</v>
      </c>
      <c r="G4404" s="295" t="s">
        <v>4222</v>
      </c>
      <c r="J4404" s="595">
        <f t="shared" si="134"/>
        <v>0</v>
      </c>
    </row>
    <row r="4405" spans="5:10" hidden="1" x14ac:dyDescent="0.25">
      <c r="F4405" s="263">
        <v>542</v>
      </c>
      <c r="G4405" s="295" t="s">
        <v>4223</v>
      </c>
      <c r="J4405" s="595">
        <f t="shared" si="134"/>
        <v>0</v>
      </c>
    </row>
    <row r="4406" spans="5:10" hidden="1" x14ac:dyDescent="0.25">
      <c r="F4406" s="263">
        <v>543</v>
      </c>
      <c r="G4406" s="295" t="s">
        <v>3862</v>
      </c>
      <c r="J4406" s="595">
        <f t="shared" si="134"/>
        <v>0</v>
      </c>
    </row>
    <row r="4407" spans="5:10" ht="30" hidden="1" x14ac:dyDescent="0.25">
      <c r="F4407" s="263">
        <v>551</v>
      </c>
      <c r="G4407" s="295" t="s">
        <v>4198</v>
      </c>
      <c r="J4407" s="595">
        <f t="shared" si="134"/>
        <v>0</v>
      </c>
    </row>
    <row r="4408" spans="5:10" hidden="1" x14ac:dyDescent="0.25">
      <c r="F4408" s="264">
        <v>611</v>
      </c>
      <c r="G4408" s="299" t="s">
        <v>3868</v>
      </c>
      <c r="J4408" s="595">
        <f t="shared" si="134"/>
        <v>0</v>
      </c>
    </row>
    <row r="4409" spans="5:10" ht="15.75" hidden="1" thickBot="1" x14ac:dyDescent="0.3">
      <c r="F4409" s="264">
        <v>620</v>
      </c>
      <c r="G4409" s="299" t="s">
        <v>88</v>
      </c>
      <c r="J4409" s="595">
        <f t="shared" si="134"/>
        <v>0</v>
      </c>
    </row>
    <row r="4410" spans="5:10" hidden="1" x14ac:dyDescent="0.25">
      <c r="E4410" s="293"/>
      <c r="F4410" s="301"/>
      <c r="G4410" s="326" t="s">
        <v>4496</v>
      </c>
      <c r="H4410" s="596"/>
      <c r="I4410" s="622"/>
      <c r="J4410" s="597"/>
    </row>
    <row r="4411" spans="5:10" ht="15.75" hidden="1" thickBot="1" x14ac:dyDescent="0.3">
      <c r="E4411" s="222"/>
      <c r="F4411" s="249" t="s">
        <v>234</v>
      </c>
      <c r="G4411" s="252" t="s">
        <v>235</v>
      </c>
      <c r="H4411" s="598">
        <f>SUM(H4350:H4409)</f>
        <v>0</v>
      </c>
      <c r="I4411" s="599"/>
      <c r="J4411" s="599">
        <f>SUM(H4411:I4411)</f>
        <v>0</v>
      </c>
    </row>
    <row r="4412" spans="5:10" hidden="1" x14ac:dyDescent="0.25">
      <c r="F4412" s="249" t="s">
        <v>236</v>
      </c>
      <c r="G4412" s="252" t="s">
        <v>237</v>
      </c>
      <c r="J4412" s="599">
        <f t="shared" ref="J4412:J4426" si="135">SUM(H4412:I4412)</f>
        <v>0</v>
      </c>
    </row>
    <row r="4413" spans="5:10" hidden="1" x14ac:dyDescent="0.25">
      <c r="F4413" s="249" t="s">
        <v>238</v>
      </c>
      <c r="G4413" s="252" t="s">
        <v>239</v>
      </c>
      <c r="J4413" s="599">
        <f t="shared" si="135"/>
        <v>0</v>
      </c>
    </row>
    <row r="4414" spans="5:10" hidden="1" x14ac:dyDescent="0.25">
      <c r="F4414" s="249" t="s">
        <v>240</v>
      </c>
      <c r="G4414" s="252" t="s">
        <v>241</v>
      </c>
      <c r="J4414" s="599">
        <f t="shared" si="135"/>
        <v>0</v>
      </c>
    </row>
    <row r="4415" spans="5:10" hidden="1" x14ac:dyDescent="0.25">
      <c r="F4415" s="249" t="s">
        <v>242</v>
      </c>
      <c r="G4415" s="252" t="s">
        <v>243</v>
      </c>
      <c r="J4415" s="599">
        <f t="shared" si="135"/>
        <v>0</v>
      </c>
    </row>
    <row r="4416" spans="5:10" hidden="1" x14ac:dyDescent="0.25">
      <c r="F4416" s="249" t="s">
        <v>244</v>
      </c>
      <c r="G4416" s="252" t="s">
        <v>245</v>
      </c>
      <c r="J4416" s="599">
        <f t="shared" si="135"/>
        <v>0</v>
      </c>
    </row>
    <row r="4417" spans="5:10" hidden="1" x14ac:dyDescent="0.25">
      <c r="F4417" s="249" t="s">
        <v>246</v>
      </c>
      <c r="G4417" s="252" t="s">
        <v>247</v>
      </c>
      <c r="J4417" s="599">
        <f t="shared" si="135"/>
        <v>0</v>
      </c>
    </row>
    <row r="4418" spans="5:10" hidden="1" x14ac:dyDescent="0.25">
      <c r="F4418" s="249" t="s">
        <v>248</v>
      </c>
      <c r="G4418" s="252" t="s">
        <v>249</v>
      </c>
      <c r="J4418" s="599">
        <f t="shared" si="135"/>
        <v>0</v>
      </c>
    </row>
    <row r="4419" spans="5:10" hidden="1" x14ac:dyDescent="0.25">
      <c r="F4419" s="249" t="s">
        <v>250</v>
      </c>
      <c r="G4419" s="252" t="s">
        <v>57</v>
      </c>
      <c r="J4419" s="599">
        <f t="shared" si="135"/>
        <v>0</v>
      </c>
    </row>
    <row r="4420" spans="5:10" hidden="1" x14ac:dyDescent="0.25">
      <c r="F4420" s="249" t="s">
        <v>251</v>
      </c>
      <c r="G4420" s="252" t="s">
        <v>252</v>
      </c>
      <c r="J4420" s="599">
        <f t="shared" si="135"/>
        <v>0</v>
      </c>
    </row>
    <row r="4421" spans="5:10" hidden="1" x14ac:dyDescent="0.25">
      <c r="F4421" s="249" t="s">
        <v>253</v>
      </c>
      <c r="G4421" s="252" t="s">
        <v>254</v>
      </c>
      <c r="J4421" s="599">
        <f t="shared" si="135"/>
        <v>0</v>
      </c>
    </row>
    <row r="4422" spans="5:10" ht="30" hidden="1" x14ac:dyDescent="0.25">
      <c r="F4422" s="249" t="s">
        <v>255</v>
      </c>
      <c r="G4422" s="252" t="s">
        <v>256</v>
      </c>
      <c r="J4422" s="599">
        <f t="shared" si="135"/>
        <v>0</v>
      </c>
    </row>
    <row r="4423" spans="5:10" hidden="1" x14ac:dyDescent="0.25">
      <c r="F4423" s="249" t="s">
        <v>257</v>
      </c>
      <c r="G4423" s="252" t="s">
        <v>258</v>
      </c>
      <c r="J4423" s="599">
        <f t="shared" si="135"/>
        <v>0</v>
      </c>
    </row>
    <row r="4424" spans="5:10" ht="30" hidden="1" x14ac:dyDescent="0.25">
      <c r="F4424" s="249" t="s">
        <v>259</v>
      </c>
      <c r="G4424" s="252" t="s">
        <v>260</v>
      </c>
      <c r="J4424" s="599">
        <f t="shared" si="135"/>
        <v>0</v>
      </c>
    </row>
    <row r="4425" spans="5:10" hidden="1" x14ac:dyDescent="0.25">
      <c r="F4425" s="249" t="s">
        <v>261</v>
      </c>
      <c r="G4425" s="252" t="s">
        <v>262</v>
      </c>
      <c r="J4425" s="599">
        <f t="shared" si="135"/>
        <v>0</v>
      </c>
    </row>
    <row r="4426" spans="5:10" ht="15.75" hidden="1" thickBot="1" x14ac:dyDescent="0.3">
      <c r="F4426" s="249" t="s">
        <v>263</v>
      </c>
      <c r="G4426" s="252" t="s">
        <v>264</v>
      </c>
      <c r="H4426" s="598"/>
      <c r="I4426" s="599"/>
      <c r="J4426" s="599">
        <f t="shared" si="135"/>
        <v>0</v>
      </c>
    </row>
    <row r="4427" spans="5:10" ht="15.75" hidden="1" thickBot="1" x14ac:dyDescent="0.3">
      <c r="G4427" s="229" t="s">
        <v>4394</v>
      </c>
      <c r="H4427" s="600">
        <f>SUM(H4411:H4426)</f>
        <v>0</v>
      </c>
      <c r="I4427" s="601">
        <f>SUM(I4412:I4426)</f>
        <v>0</v>
      </c>
      <c r="J4427" s="601">
        <f>SUM(J4411:J4426)</f>
        <v>0</v>
      </c>
    </row>
    <row r="4428" spans="5:10" hidden="1" collapsed="1" x14ac:dyDescent="0.25">
      <c r="E4428" s="260"/>
      <c r="F4428" s="264"/>
      <c r="G4428" s="231" t="s">
        <v>5072</v>
      </c>
      <c r="H4428" s="602"/>
      <c r="I4428" s="623"/>
      <c r="J4428" s="603"/>
    </row>
    <row r="4429" spans="5:10" ht="15.75" hidden="1" thickBot="1" x14ac:dyDescent="0.3">
      <c r="E4429" s="222"/>
      <c r="F4429" s="249" t="s">
        <v>234</v>
      </c>
      <c r="G4429" s="252" t="s">
        <v>235</v>
      </c>
      <c r="H4429" s="598">
        <f>SUM(H4350:H4409)</f>
        <v>0</v>
      </c>
      <c r="I4429" s="599"/>
      <c r="J4429" s="599">
        <f>SUM(H4429:I4429)</f>
        <v>0</v>
      </c>
    </row>
    <row r="4430" spans="5:10" hidden="1" x14ac:dyDescent="0.25">
      <c r="F4430" s="249" t="s">
        <v>236</v>
      </c>
      <c r="G4430" s="252" t="s">
        <v>237</v>
      </c>
      <c r="J4430" s="599">
        <f t="shared" ref="J4430:J4444" si="136">SUM(H4430:I4430)</f>
        <v>0</v>
      </c>
    </row>
    <row r="4431" spans="5:10" hidden="1" x14ac:dyDescent="0.25">
      <c r="F4431" s="249" t="s">
        <v>238</v>
      </c>
      <c r="G4431" s="252" t="s">
        <v>239</v>
      </c>
      <c r="J4431" s="599">
        <f t="shared" si="136"/>
        <v>0</v>
      </c>
    </row>
    <row r="4432" spans="5:10" hidden="1" x14ac:dyDescent="0.25">
      <c r="F4432" s="249" t="s">
        <v>240</v>
      </c>
      <c r="G4432" s="252" t="s">
        <v>241</v>
      </c>
      <c r="J4432" s="599">
        <f t="shared" si="136"/>
        <v>0</v>
      </c>
    </row>
    <row r="4433" spans="1:25" hidden="1" x14ac:dyDescent="0.25">
      <c r="F4433" s="249" t="s">
        <v>242</v>
      </c>
      <c r="G4433" s="252" t="s">
        <v>243</v>
      </c>
      <c r="J4433" s="599">
        <f t="shared" si="136"/>
        <v>0</v>
      </c>
    </row>
    <row r="4434" spans="1:25" hidden="1" x14ac:dyDescent="0.25">
      <c r="F4434" s="249" t="s">
        <v>244</v>
      </c>
      <c r="G4434" s="252" t="s">
        <v>245</v>
      </c>
      <c r="J4434" s="599">
        <f t="shared" si="136"/>
        <v>0</v>
      </c>
    </row>
    <row r="4435" spans="1:25" hidden="1" x14ac:dyDescent="0.25">
      <c r="F4435" s="249" t="s">
        <v>246</v>
      </c>
      <c r="G4435" s="252" t="s">
        <v>247</v>
      </c>
      <c r="J4435" s="599">
        <f t="shared" si="136"/>
        <v>0</v>
      </c>
    </row>
    <row r="4436" spans="1:25" hidden="1" x14ac:dyDescent="0.25">
      <c r="F4436" s="249" t="s">
        <v>248</v>
      </c>
      <c r="G4436" s="252" t="s">
        <v>249</v>
      </c>
      <c r="J4436" s="599">
        <f t="shared" si="136"/>
        <v>0</v>
      </c>
    </row>
    <row r="4437" spans="1:25" hidden="1" x14ac:dyDescent="0.25">
      <c r="F4437" s="249" t="s">
        <v>250</v>
      </c>
      <c r="G4437" s="252" t="s">
        <v>57</v>
      </c>
      <c r="J4437" s="599">
        <f t="shared" si="136"/>
        <v>0</v>
      </c>
    </row>
    <row r="4438" spans="1:25" hidden="1" x14ac:dyDescent="0.25">
      <c r="F4438" s="249" t="s">
        <v>251</v>
      </c>
      <c r="G4438" s="252" t="s">
        <v>252</v>
      </c>
      <c r="J4438" s="599">
        <f t="shared" si="136"/>
        <v>0</v>
      </c>
    </row>
    <row r="4439" spans="1:25" hidden="1" x14ac:dyDescent="0.25">
      <c r="F4439" s="249" t="s">
        <v>253</v>
      </c>
      <c r="G4439" s="252" t="s">
        <v>254</v>
      </c>
      <c r="J4439" s="599">
        <f t="shared" si="136"/>
        <v>0</v>
      </c>
    </row>
    <row r="4440" spans="1:25" ht="30" hidden="1" x14ac:dyDescent="0.25">
      <c r="F4440" s="249" t="s">
        <v>255</v>
      </c>
      <c r="G4440" s="252" t="s">
        <v>256</v>
      </c>
      <c r="J4440" s="599">
        <f t="shared" si="136"/>
        <v>0</v>
      </c>
    </row>
    <row r="4441" spans="1:25" hidden="1" x14ac:dyDescent="0.25">
      <c r="F4441" s="249" t="s">
        <v>257</v>
      </c>
      <c r="G4441" s="252" t="s">
        <v>258</v>
      </c>
      <c r="J4441" s="599">
        <f t="shared" si="136"/>
        <v>0</v>
      </c>
    </row>
    <row r="4442" spans="1:25" ht="30" hidden="1" x14ac:dyDescent="0.25">
      <c r="F4442" s="249" t="s">
        <v>259</v>
      </c>
      <c r="G4442" s="252" t="s">
        <v>260</v>
      </c>
      <c r="J4442" s="599">
        <f t="shared" si="136"/>
        <v>0</v>
      </c>
    </row>
    <row r="4443" spans="1:25" hidden="1" x14ac:dyDescent="0.25">
      <c r="F4443" s="249" t="s">
        <v>261</v>
      </c>
      <c r="G4443" s="252" t="s">
        <v>262</v>
      </c>
      <c r="J4443" s="599">
        <f t="shared" si="136"/>
        <v>0</v>
      </c>
    </row>
    <row r="4444" spans="1:25" ht="15.75" hidden="1" thickBot="1" x14ac:dyDescent="0.3">
      <c r="F4444" s="249" t="s">
        <v>263</v>
      </c>
      <c r="G4444" s="252" t="s">
        <v>264</v>
      </c>
      <c r="H4444" s="598"/>
      <c r="I4444" s="599"/>
      <c r="J4444" s="599">
        <f t="shared" si="136"/>
        <v>0</v>
      </c>
    </row>
    <row r="4445" spans="1:25" ht="15.75" hidden="1" collapsed="1" thickBot="1" x14ac:dyDescent="0.3">
      <c r="G4445" s="229" t="s">
        <v>5035</v>
      </c>
      <c r="H4445" s="600">
        <f>SUM(H4429:H4444)</f>
        <v>0</v>
      </c>
      <c r="I4445" s="601">
        <f>SUM(I4430:I4444)</f>
        <v>0</v>
      </c>
      <c r="J4445" s="601">
        <f>SUM(J4429:J4444)</f>
        <v>0</v>
      </c>
    </row>
    <row r="4446" spans="1:25" s="88" customFormat="1" hidden="1" x14ac:dyDescent="0.25">
      <c r="A4446" s="261"/>
      <c r="B4446" s="256"/>
      <c r="C4446" s="316"/>
      <c r="D4446" s="251"/>
      <c r="E4446" s="251"/>
      <c r="F4446" s="257"/>
      <c r="G4446" s="294"/>
      <c r="H4446" s="627"/>
      <c r="I4446" s="610"/>
      <c r="J4446" s="628"/>
      <c r="K4446" s="533"/>
      <c r="L4446" s="533"/>
      <c r="M4446" s="533"/>
      <c r="N4446" s="533"/>
      <c r="O4446" s="533"/>
      <c r="P4446" s="533"/>
      <c r="Q4446" s="533"/>
      <c r="R4446" s="533"/>
      <c r="S4446" s="533"/>
      <c r="T4446" s="533"/>
      <c r="U4446" s="533"/>
      <c r="V4446" s="533"/>
      <c r="W4446" s="533"/>
      <c r="X4446" s="533"/>
      <c r="Y4446" s="533"/>
    </row>
    <row r="4447" spans="1:25" s="88" customFormat="1" x14ac:dyDescent="0.25">
      <c r="A4447" s="261"/>
      <c r="B4447" s="256"/>
      <c r="C4447" s="316"/>
      <c r="D4447" s="251"/>
      <c r="E4447" s="251"/>
      <c r="F4447" s="264"/>
      <c r="G4447" s="250" t="s">
        <v>4288</v>
      </c>
      <c r="H4447" s="606"/>
      <c r="I4447" s="624"/>
      <c r="J4447" s="607"/>
      <c r="K4447" s="533"/>
      <c r="L4447" s="533"/>
      <c r="M4447" s="533"/>
      <c r="N4447" s="533"/>
      <c r="O4447" s="533"/>
      <c r="P4447" s="533"/>
      <c r="Q4447" s="533"/>
      <c r="R4447" s="533"/>
      <c r="S4447" s="533"/>
      <c r="T4447" s="533"/>
      <c r="U4447" s="533"/>
      <c r="V4447" s="533"/>
      <c r="W4447" s="533"/>
      <c r="X4447" s="533"/>
      <c r="Y4447" s="533"/>
    </row>
    <row r="4448" spans="1:25" s="88" customFormat="1" ht="15.75" thickBot="1" x14ac:dyDescent="0.3">
      <c r="A4448" s="261"/>
      <c r="B4448" s="256"/>
      <c r="C4448" s="316"/>
      <c r="D4448" s="251"/>
      <c r="E4448" s="251"/>
      <c r="F4448" s="249" t="s">
        <v>234</v>
      </c>
      <c r="G4448" s="252" t="s">
        <v>235</v>
      </c>
      <c r="H4448" s="598">
        <f>SUM(H4429,H4330)</f>
        <v>3150000</v>
      </c>
      <c r="I4448" s="599"/>
      <c r="J4448" s="599">
        <f>SUM(H4448:I4448)</f>
        <v>3150000</v>
      </c>
      <c r="K4448" s="533"/>
      <c r="L4448" s="533"/>
      <c r="M4448" s="533"/>
      <c r="N4448" s="533"/>
      <c r="O4448" s="533"/>
      <c r="P4448" s="533"/>
      <c r="Q4448" s="533"/>
      <c r="R4448" s="533"/>
      <c r="S4448" s="533"/>
      <c r="T4448" s="533"/>
      <c r="U4448" s="533"/>
      <c r="V4448" s="533"/>
      <c r="W4448" s="533"/>
      <c r="X4448" s="533"/>
      <c r="Y4448" s="533"/>
    </row>
    <row r="4449" spans="1:25" s="88" customFormat="1" hidden="1" x14ac:dyDescent="0.25">
      <c r="A4449" s="261"/>
      <c r="B4449" s="256"/>
      <c r="C4449" s="316"/>
      <c r="D4449" s="251"/>
      <c r="E4449" s="251"/>
      <c r="F4449" s="249" t="s">
        <v>236</v>
      </c>
      <c r="G4449" s="252" t="s">
        <v>237</v>
      </c>
      <c r="H4449" s="594"/>
      <c r="I4449" s="595"/>
      <c r="J4449" s="599">
        <f t="shared" ref="J4449:J4463" si="137">SUM(H4449:I4449)</f>
        <v>0</v>
      </c>
      <c r="K4449" s="533"/>
      <c r="L4449" s="533"/>
      <c r="M4449" s="533"/>
      <c r="N4449" s="533"/>
      <c r="O4449" s="533"/>
      <c r="P4449" s="533"/>
      <c r="Q4449" s="533"/>
      <c r="R4449" s="533"/>
      <c r="S4449" s="533"/>
      <c r="T4449" s="533"/>
      <c r="U4449" s="533"/>
      <c r="V4449" s="533"/>
      <c r="W4449" s="533"/>
      <c r="X4449" s="533"/>
      <c r="Y4449" s="533"/>
    </row>
    <row r="4450" spans="1:25" s="88" customFormat="1" hidden="1" x14ac:dyDescent="0.25">
      <c r="A4450" s="261"/>
      <c r="B4450" s="256"/>
      <c r="C4450" s="316"/>
      <c r="D4450" s="251"/>
      <c r="E4450" s="251"/>
      <c r="F4450" s="249" t="s">
        <v>238</v>
      </c>
      <c r="G4450" s="252" t="s">
        <v>239</v>
      </c>
      <c r="H4450" s="594"/>
      <c r="I4450" s="595"/>
      <c r="J4450" s="599">
        <f t="shared" si="137"/>
        <v>0</v>
      </c>
      <c r="K4450" s="533"/>
      <c r="L4450" s="533"/>
      <c r="M4450" s="533"/>
      <c r="N4450" s="533"/>
      <c r="O4450" s="533"/>
      <c r="P4450" s="533"/>
      <c r="Q4450" s="533"/>
      <c r="R4450" s="533"/>
      <c r="S4450" s="533"/>
      <c r="T4450" s="533"/>
      <c r="U4450" s="533"/>
      <c r="V4450" s="533"/>
      <c r="W4450" s="533"/>
      <c r="X4450" s="533"/>
      <c r="Y4450" s="533"/>
    </row>
    <row r="4451" spans="1:25" s="88" customFormat="1" hidden="1" x14ac:dyDescent="0.25">
      <c r="A4451" s="261"/>
      <c r="B4451" s="256"/>
      <c r="C4451" s="316"/>
      <c r="D4451" s="251"/>
      <c r="E4451" s="251"/>
      <c r="F4451" s="249" t="s">
        <v>240</v>
      </c>
      <c r="G4451" s="252" t="s">
        <v>241</v>
      </c>
      <c r="H4451" s="594"/>
      <c r="I4451" s="595"/>
      <c r="J4451" s="599">
        <f t="shared" si="137"/>
        <v>0</v>
      </c>
      <c r="K4451" s="533"/>
      <c r="L4451" s="533"/>
      <c r="M4451" s="533"/>
      <c r="N4451" s="533"/>
      <c r="O4451" s="533"/>
      <c r="P4451" s="533"/>
      <c r="Q4451" s="533"/>
      <c r="R4451" s="533"/>
      <c r="S4451" s="533"/>
      <c r="T4451" s="533"/>
      <c r="U4451" s="533"/>
      <c r="V4451" s="533"/>
      <c r="W4451" s="533"/>
      <c r="X4451" s="533"/>
      <c r="Y4451" s="533"/>
    </row>
    <row r="4452" spans="1:25" s="88" customFormat="1" hidden="1" x14ac:dyDescent="0.25">
      <c r="A4452" s="261"/>
      <c r="B4452" s="256"/>
      <c r="C4452" s="316"/>
      <c r="D4452" s="251"/>
      <c r="E4452" s="251"/>
      <c r="F4452" s="249" t="s">
        <v>242</v>
      </c>
      <c r="G4452" s="252" t="s">
        <v>243</v>
      </c>
      <c r="H4452" s="594"/>
      <c r="I4452" s="595"/>
      <c r="J4452" s="599">
        <f t="shared" si="137"/>
        <v>0</v>
      </c>
      <c r="K4452" s="533"/>
      <c r="L4452" s="533"/>
      <c r="M4452" s="533"/>
      <c r="N4452" s="533"/>
      <c r="O4452" s="533"/>
      <c r="P4452" s="533"/>
      <c r="Q4452" s="533"/>
      <c r="R4452" s="533"/>
      <c r="S4452" s="533"/>
      <c r="T4452" s="533"/>
      <c r="U4452" s="533"/>
      <c r="V4452" s="533"/>
      <c r="W4452" s="533"/>
      <c r="X4452" s="533"/>
      <c r="Y4452" s="533"/>
    </row>
    <row r="4453" spans="1:25" s="88" customFormat="1" hidden="1" x14ac:dyDescent="0.25">
      <c r="A4453" s="261"/>
      <c r="B4453" s="256"/>
      <c r="C4453" s="316"/>
      <c r="D4453" s="251"/>
      <c r="E4453" s="251"/>
      <c r="F4453" s="249" t="s">
        <v>244</v>
      </c>
      <c r="G4453" s="252" t="s">
        <v>245</v>
      </c>
      <c r="H4453" s="594"/>
      <c r="I4453" s="595"/>
      <c r="J4453" s="599">
        <f t="shared" si="137"/>
        <v>0</v>
      </c>
      <c r="K4453" s="533"/>
      <c r="L4453" s="533"/>
      <c r="M4453" s="533"/>
      <c r="N4453" s="533"/>
      <c r="O4453" s="533"/>
      <c r="P4453" s="533"/>
      <c r="Q4453" s="533"/>
      <c r="R4453" s="533"/>
      <c r="S4453" s="533"/>
      <c r="T4453" s="533"/>
      <c r="U4453" s="533"/>
      <c r="V4453" s="533"/>
      <c r="W4453" s="533"/>
      <c r="X4453" s="533"/>
      <c r="Y4453" s="533"/>
    </row>
    <row r="4454" spans="1:25" s="88" customFormat="1" hidden="1" x14ac:dyDescent="0.25">
      <c r="A4454" s="261"/>
      <c r="B4454" s="256"/>
      <c r="C4454" s="316"/>
      <c r="D4454" s="251"/>
      <c r="E4454" s="251"/>
      <c r="F4454" s="249" t="s">
        <v>246</v>
      </c>
      <c r="G4454" s="252" t="s">
        <v>247</v>
      </c>
      <c r="H4454" s="594"/>
      <c r="I4454" s="595"/>
      <c r="J4454" s="599">
        <f t="shared" si="137"/>
        <v>0</v>
      </c>
      <c r="K4454" s="533"/>
      <c r="L4454" s="533"/>
      <c r="M4454" s="533"/>
      <c r="N4454" s="533"/>
      <c r="O4454" s="533"/>
      <c r="P4454" s="533"/>
      <c r="Q4454" s="533"/>
      <c r="R4454" s="533"/>
      <c r="S4454" s="533"/>
      <c r="T4454" s="533"/>
      <c r="U4454" s="533"/>
      <c r="V4454" s="533"/>
      <c r="W4454" s="533"/>
      <c r="X4454" s="533"/>
      <c r="Y4454" s="533"/>
    </row>
    <row r="4455" spans="1:25" s="88" customFormat="1" hidden="1" x14ac:dyDescent="0.25">
      <c r="A4455" s="261"/>
      <c r="B4455" s="256"/>
      <c r="C4455" s="316"/>
      <c r="D4455" s="251"/>
      <c r="E4455" s="251"/>
      <c r="F4455" s="249" t="s">
        <v>248</v>
      </c>
      <c r="G4455" s="252" t="s">
        <v>249</v>
      </c>
      <c r="H4455" s="594"/>
      <c r="I4455" s="595"/>
      <c r="J4455" s="599">
        <f t="shared" si="137"/>
        <v>0</v>
      </c>
      <c r="K4455" s="533"/>
      <c r="L4455" s="533"/>
      <c r="M4455" s="533"/>
      <c r="N4455" s="533"/>
      <c r="O4455" s="533"/>
      <c r="P4455" s="533"/>
      <c r="Q4455" s="533"/>
      <c r="R4455" s="533"/>
      <c r="S4455" s="533"/>
      <c r="T4455" s="533"/>
      <c r="U4455" s="533"/>
      <c r="V4455" s="533"/>
      <c r="W4455" s="533"/>
      <c r="X4455" s="533"/>
      <c r="Y4455" s="533"/>
    </row>
    <row r="4456" spans="1:25" s="88" customFormat="1" hidden="1" x14ac:dyDescent="0.25">
      <c r="A4456" s="261"/>
      <c r="B4456" s="256"/>
      <c r="C4456" s="316"/>
      <c r="D4456" s="251"/>
      <c r="E4456" s="251"/>
      <c r="F4456" s="249" t="s">
        <v>250</v>
      </c>
      <c r="G4456" s="252" t="s">
        <v>57</v>
      </c>
      <c r="H4456" s="594"/>
      <c r="I4456" s="595"/>
      <c r="J4456" s="599">
        <f t="shared" si="137"/>
        <v>0</v>
      </c>
      <c r="K4456" s="533"/>
      <c r="L4456" s="533"/>
      <c r="M4456" s="533"/>
      <c r="N4456" s="533"/>
      <c r="O4456" s="533"/>
      <c r="P4456" s="533"/>
      <c r="Q4456" s="533"/>
      <c r="R4456" s="533"/>
      <c r="S4456" s="533"/>
      <c r="T4456" s="533"/>
      <c r="U4456" s="533"/>
      <c r="V4456" s="533"/>
      <c r="W4456" s="533"/>
      <c r="X4456" s="533"/>
      <c r="Y4456" s="533"/>
    </row>
    <row r="4457" spans="1:25" s="88" customFormat="1" hidden="1" x14ac:dyDescent="0.25">
      <c r="A4457" s="261"/>
      <c r="B4457" s="256"/>
      <c r="C4457" s="316"/>
      <c r="D4457" s="251"/>
      <c r="E4457" s="251"/>
      <c r="F4457" s="249" t="s">
        <v>251</v>
      </c>
      <c r="G4457" s="252" t="s">
        <v>252</v>
      </c>
      <c r="H4457" s="594"/>
      <c r="I4457" s="595"/>
      <c r="J4457" s="599">
        <f t="shared" si="137"/>
        <v>0</v>
      </c>
      <c r="K4457" s="533"/>
      <c r="L4457" s="533"/>
      <c r="M4457" s="533"/>
      <c r="N4457" s="533"/>
      <c r="O4457" s="533"/>
      <c r="P4457" s="533"/>
      <c r="Q4457" s="533"/>
      <c r="R4457" s="533"/>
      <c r="S4457" s="533"/>
      <c r="T4457" s="533"/>
      <c r="U4457" s="533"/>
      <c r="V4457" s="533"/>
      <c r="W4457" s="533"/>
      <c r="X4457" s="533"/>
      <c r="Y4457" s="533"/>
    </row>
    <row r="4458" spans="1:25" s="88" customFormat="1" hidden="1" x14ac:dyDescent="0.25">
      <c r="A4458" s="261"/>
      <c r="B4458" s="256"/>
      <c r="C4458" s="316"/>
      <c r="D4458" s="251"/>
      <c r="E4458" s="251"/>
      <c r="F4458" s="249" t="s">
        <v>253</v>
      </c>
      <c r="G4458" s="252" t="s">
        <v>254</v>
      </c>
      <c r="H4458" s="594"/>
      <c r="I4458" s="595"/>
      <c r="J4458" s="599">
        <f t="shared" si="137"/>
        <v>0</v>
      </c>
      <c r="K4458" s="533"/>
      <c r="L4458" s="533"/>
      <c r="M4458" s="533"/>
      <c r="N4458" s="533"/>
      <c r="O4458" s="533"/>
      <c r="P4458" s="533"/>
      <c r="Q4458" s="533"/>
      <c r="R4458" s="533"/>
      <c r="S4458" s="533"/>
      <c r="T4458" s="533"/>
      <c r="U4458" s="533"/>
      <c r="V4458" s="533"/>
      <c r="W4458" s="533"/>
      <c r="X4458" s="533"/>
      <c r="Y4458" s="533"/>
    </row>
    <row r="4459" spans="1:25" s="88" customFormat="1" ht="30" hidden="1" x14ac:dyDescent="0.25">
      <c r="A4459" s="261"/>
      <c r="B4459" s="256"/>
      <c r="C4459" s="316"/>
      <c r="D4459" s="251"/>
      <c r="E4459" s="251"/>
      <c r="F4459" s="249" t="s">
        <v>255</v>
      </c>
      <c r="G4459" s="252" t="s">
        <v>256</v>
      </c>
      <c r="H4459" s="594"/>
      <c r="I4459" s="595"/>
      <c r="J4459" s="599">
        <f t="shared" si="137"/>
        <v>0</v>
      </c>
      <c r="K4459" s="533"/>
      <c r="L4459" s="533"/>
      <c r="M4459" s="533"/>
      <c r="N4459" s="533"/>
      <c r="O4459" s="533"/>
      <c r="P4459" s="533"/>
      <c r="Q4459" s="533"/>
      <c r="R4459" s="533"/>
      <c r="S4459" s="533"/>
      <c r="T4459" s="533"/>
      <c r="U4459" s="533"/>
      <c r="V4459" s="533"/>
      <c r="W4459" s="533"/>
      <c r="X4459" s="533"/>
      <c r="Y4459" s="533"/>
    </row>
    <row r="4460" spans="1:25" s="88" customFormat="1" hidden="1" x14ac:dyDescent="0.25">
      <c r="A4460" s="261"/>
      <c r="B4460" s="256"/>
      <c r="C4460" s="316"/>
      <c r="D4460" s="251"/>
      <c r="E4460" s="251"/>
      <c r="F4460" s="249" t="s">
        <v>257</v>
      </c>
      <c r="G4460" s="252" t="s">
        <v>258</v>
      </c>
      <c r="H4460" s="594"/>
      <c r="I4460" s="595"/>
      <c r="J4460" s="599">
        <f t="shared" si="137"/>
        <v>0</v>
      </c>
      <c r="K4460" s="533"/>
      <c r="L4460" s="533"/>
      <c r="M4460" s="533"/>
      <c r="N4460" s="533"/>
      <c r="O4460" s="533"/>
      <c r="P4460" s="533"/>
      <c r="Q4460" s="533"/>
      <c r="R4460" s="533"/>
      <c r="S4460" s="533"/>
      <c r="T4460" s="533"/>
      <c r="U4460" s="533"/>
      <c r="V4460" s="533"/>
      <c r="W4460" s="533"/>
      <c r="X4460" s="533"/>
      <c r="Y4460" s="533"/>
    </row>
    <row r="4461" spans="1:25" s="88" customFormat="1" ht="30" hidden="1" x14ac:dyDescent="0.25">
      <c r="A4461" s="261"/>
      <c r="B4461" s="256"/>
      <c r="C4461" s="316"/>
      <c r="D4461" s="251"/>
      <c r="E4461" s="251"/>
      <c r="F4461" s="249" t="s">
        <v>259</v>
      </c>
      <c r="G4461" s="252" t="s">
        <v>260</v>
      </c>
      <c r="H4461" s="594"/>
      <c r="I4461" s="595"/>
      <c r="J4461" s="599">
        <f t="shared" si="137"/>
        <v>0</v>
      </c>
      <c r="K4461" s="533"/>
      <c r="L4461" s="533"/>
      <c r="M4461" s="533"/>
      <c r="N4461" s="533"/>
      <c r="O4461" s="533"/>
      <c r="P4461" s="533"/>
      <c r="Q4461" s="533"/>
      <c r="R4461" s="533"/>
      <c r="S4461" s="533"/>
      <c r="T4461" s="533"/>
      <c r="U4461" s="533"/>
      <c r="V4461" s="533"/>
      <c r="W4461" s="533"/>
      <c r="X4461" s="533"/>
      <c r="Y4461" s="533"/>
    </row>
    <row r="4462" spans="1:25" s="88" customFormat="1" hidden="1" x14ac:dyDescent="0.25">
      <c r="A4462" s="261"/>
      <c r="B4462" s="256"/>
      <c r="C4462" s="316"/>
      <c r="D4462" s="251"/>
      <c r="E4462" s="251"/>
      <c r="F4462" s="249" t="s">
        <v>261</v>
      </c>
      <c r="G4462" s="252" t="s">
        <v>262</v>
      </c>
      <c r="H4462" s="594"/>
      <c r="I4462" s="595"/>
      <c r="J4462" s="599">
        <f t="shared" si="137"/>
        <v>0</v>
      </c>
      <c r="K4462" s="533"/>
      <c r="L4462" s="533"/>
      <c r="M4462" s="533"/>
      <c r="N4462" s="533"/>
      <c r="O4462" s="533"/>
      <c r="P4462" s="533"/>
      <c r="Q4462" s="533"/>
      <c r="R4462" s="533"/>
      <c r="S4462" s="533"/>
      <c r="T4462" s="533"/>
      <c r="U4462" s="533"/>
      <c r="V4462" s="533"/>
      <c r="W4462" s="533"/>
      <c r="X4462" s="533"/>
      <c r="Y4462" s="533"/>
    </row>
    <row r="4463" spans="1:25" s="88" customFormat="1" ht="15.75" hidden="1" thickBot="1" x14ac:dyDescent="0.3">
      <c r="A4463" s="261"/>
      <c r="B4463" s="256"/>
      <c r="C4463" s="316"/>
      <c r="D4463" s="251"/>
      <c r="E4463" s="251"/>
      <c r="F4463" s="249" t="s">
        <v>263</v>
      </c>
      <c r="G4463" s="252" t="s">
        <v>264</v>
      </c>
      <c r="H4463" s="598"/>
      <c r="I4463" s="599"/>
      <c r="J4463" s="599">
        <f t="shared" si="137"/>
        <v>0</v>
      </c>
      <c r="K4463" s="533"/>
      <c r="L4463" s="533"/>
      <c r="M4463" s="533"/>
      <c r="N4463" s="533"/>
      <c r="O4463" s="533"/>
      <c r="P4463" s="533"/>
      <c r="Q4463" s="533"/>
      <c r="R4463" s="533"/>
      <c r="S4463" s="533"/>
      <c r="T4463" s="533"/>
      <c r="U4463" s="533"/>
      <c r="V4463" s="533"/>
      <c r="W4463" s="533"/>
      <c r="X4463" s="533"/>
      <c r="Y4463" s="533"/>
    </row>
    <row r="4464" spans="1:25" s="88" customFormat="1" ht="15.75" thickBot="1" x14ac:dyDescent="0.3">
      <c r="A4464" s="261"/>
      <c r="B4464" s="256"/>
      <c r="C4464" s="316"/>
      <c r="D4464" s="251"/>
      <c r="E4464" s="251"/>
      <c r="F4464" s="218"/>
      <c r="G4464" s="229" t="s">
        <v>4289</v>
      </c>
      <c r="H4464" s="600">
        <f>SUM(H4448:H4463)</f>
        <v>3150000</v>
      </c>
      <c r="I4464" s="601">
        <f>SUM(I4449:I4463)</f>
        <v>0</v>
      </c>
      <c r="J4464" s="601">
        <f>SUM(J4448:J4463)</f>
        <v>3150000</v>
      </c>
      <c r="K4464" s="533"/>
      <c r="L4464" s="533"/>
      <c r="M4464" s="533"/>
      <c r="N4464" s="533"/>
      <c r="O4464" s="533"/>
      <c r="P4464" s="533"/>
      <c r="Q4464" s="533"/>
      <c r="R4464" s="533"/>
      <c r="S4464" s="533"/>
      <c r="T4464" s="533"/>
      <c r="U4464" s="533"/>
      <c r="V4464" s="533"/>
      <c r="W4464" s="533"/>
      <c r="X4464" s="533"/>
      <c r="Y4464" s="533"/>
    </row>
    <row r="4465" spans="1:25" s="88" customFormat="1" x14ac:dyDescent="0.25">
      <c r="A4465" s="261"/>
      <c r="B4465" s="256"/>
      <c r="C4465" s="316"/>
      <c r="D4465" s="251"/>
      <c r="E4465" s="251"/>
      <c r="F4465" s="257"/>
      <c r="G4465" s="294"/>
      <c r="H4465" s="627"/>
      <c r="I4465" s="610"/>
      <c r="J4465" s="628"/>
      <c r="K4465" s="533"/>
      <c r="L4465" s="533"/>
      <c r="M4465" s="533"/>
      <c r="N4465" s="533"/>
      <c r="O4465" s="533"/>
      <c r="P4465" s="533"/>
      <c r="Q4465" s="533"/>
      <c r="R4465" s="533"/>
      <c r="S4465" s="533"/>
      <c r="T4465" s="533"/>
      <c r="U4465" s="533"/>
      <c r="V4465" s="533"/>
      <c r="W4465" s="533"/>
      <c r="X4465" s="533"/>
      <c r="Y4465" s="533"/>
    </row>
    <row r="4466" spans="1:25" s="88" customFormat="1" hidden="1" x14ac:dyDescent="0.25">
      <c r="A4466" s="421"/>
      <c r="B4466" s="256"/>
      <c r="C4466" s="316"/>
      <c r="D4466" s="251"/>
      <c r="E4466" s="251"/>
      <c r="F4466" s="257"/>
      <c r="G4466" s="419"/>
      <c r="H4466" s="627"/>
      <c r="I4466" s="610"/>
      <c r="J4466" s="628"/>
      <c r="K4466" s="533"/>
      <c r="L4466" s="533"/>
      <c r="M4466" s="533"/>
      <c r="N4466" s="533"/>
      <c r="O4466" s="533"/>
      <c r="P4466" s="533"/>
      <c r="Q4466" s="533"/>
      <c r="R4466" s="533"/>
      <c r="S4466" s="533"/>
      <c r="T4466" s="533"/>
      <c r="U4466" s="533"/>
      <c r="V4466" s="533"/>
      <c r="W4466" s="533"/>
      <c r="X4466" s="533"/>
      <c r="Y4466" s="533"/>
    </row>
    <row r="4467" spans="1:25" x14ac:dyDescent="0.25">
      <c r="C4467" s="228" t="s">
        <v>3605</v>
      </c>
      <c r="D4467" s="219"/>
      <c r="G4467" s="409" t="s">
        <v>4333</v>
      </c>
    </row>
    <row r="4468" spans="1:25" ht="21.75" customHeight="1" x14ac:dyDescent="0.25">
      <c r="C4468" s="228" t="s">
        <v>4148</v>
      </c>
      <c r="D4468" s="219"/>
      <c r="G4468" s="409" t="s">
        <v>4149</v>
      </c>
    </row>
    <row r="4469" spans="1:25" s="88" customFormat="1" x14ac:dyDescent="0.25">
      <c r="A4469" s="411"/>
      <c r="B4469" s="256"/>
      <c r="C4469" s="265"/>
      <c r="D4469" s="334" t="s">
        <v>4029</v>
      </c>
      <c r="E4469" s="329"/>
      <c r="F4469" s="329"/>
      <c r="G4469" s="330" t="s">
        <v>206</v>
      </c>
      <c r="H4469" s="611"/>
      <c r="I4469" s="612"/>
      <c r="J4469" s="612"/>
      <c r="K4469" s="533"/>
      <c r="L4469" s="533"/>
      <c r="M4469" s="533"/>
      <c r="N4469" s="533"/>
      <c r="O4469" s="533"/>
      <c r="P4469" s="533"/>
      <c r="Q4469" s="533"/>
      <c r="R4469" s="533"/>
      <c r="S4469" s="533"/>
      <c r="T4469" s="533"/>
      <c r="U4469" s="533"/>
      <c r="V4469" s="533"/>
      <c r="W4469" s="533"/>
      <c r="X4469" s="533"/>
      <c r="Y4469" s="533"/>
    </row>
    <row r="4470" spans="1:25" hidden="1" x14ac:dyDescent="0.25">
      <c r="C4470" s="228"/>
      <c r="F4470" s="414">
        <v>411</v>
      </c>
      <c r="G4470" s="410" t="s">
        <v>4189</v>
      </c>
      <c r="J4470" s="595">
        <f>SUM(H4470:I4470)</f>
        <v>0</v>
      </c>
    </row>
    <row r="4471" spans="1:25" hidden="1" x14ac:dyDescent="0.25">
      <c r="C4471" s="228"/>
      <c r="F4471" s="414">
        <v>412</v>
      </c>
      <c r="G4471" s="407" t="s">
        <v>3784</v>
      </c>
      <c r="J4471" s="595">
        <f t="shared" ref="J4471:J4529" si="138">SUM(H4471:I4471)</f>
        <v>0</v>
      </c>
    </row>
    <row r="4472" spans="1:25" hidden="1" x14ac:dyDescent="0.25">
      <c r="C4472" s="228"/>
      <c r="F4472" s="414">
        <v>413</v>
      </c>
      <c r="G4472" s="410" t="s">
        <v>4190</v>
      </c>
      <c r="J4472" s="595">
        <f t="shared" si="138"/>
        <v>0</v>
      </c>
    </row>
    <row r="4473" spans="1:25" hidden="1" x14ac:dyDescent="0.25">
      <c r="C4473" s="228"/>
      <c r="F4473" s="414">
        <v>414</v>
      </c>
      <c r="G4473" s="410" t="s">
        <v>3787</v>
      </c>
      <c r="J4473" s="595">
        <f t="shared" si="138"/>
        <v>0</v>
      </c>
    </row>
    <row r="4474" spans="1:25" hidden="1" x14ac:dyDescent="0.25">
      <c r="C4474" s="228"/>
      <c r="F4474" s="414">
        <v>415</v>
      </c>
      <c r="G4474" s="410" t="s">
        <v>4199</v>
      </c>
      <c r="J4474" s="595">
        <f t="shared" si="138"/>
        <v>0</v>
      </c>
    </row>
    <row r="4475" spans="1:25" hidden="1" x14ac:dyDescent="0.25">
      <c r="C4475" s="228"/>
      <c r="F4475" s="414">
        <v>416</v>
      </c>
      <c r="G4475" s="410" t="s">
        <v>4200</v>
      </c>
      <c r="J4475" s="595">
        <f t="shared" si="138"/>
        <v>0</v>
      </c>
    </row>
    <row r="4476" spans="1:25" hidden="1" x14ac:dyDescent="0.25">
      <c r="C4476" s="228"/>
      <c r="F4476" s="414">
        <v>417</v>
      </c>
      <c r="G4476" s="410" t="s">
        <v>4201</v>
      </c>
      <c r="J4476" s="595">
        <f t="shared" si="138"/>
        <v>0</v>
      </c>
    </row>
    <row r="4477" spans="1:25" hidden="1" x14ac:dyDescent="0.25">
      <c r="C4477" s="228"/>
      <c r="F4477" s="414">
        <v>418</v>
      </c>
      <c r="G4477" s="410" t="s">
        <v>3793</v>
      </c>
      <c r="J4477" s="595">
        <f t="shared" si="138"/>
        <v>0</v>
      </c>
    </row>
    <row r="4478" spans="1:25" hidden="1" x14ac:dyDescent="0.25">
      <c r="C4478" s="228"/>
      <c r="F4478" s="414">
        <v>421</v>
      </c>
      <c r="G4478" s="410" t="s">
        <v>3797</v>
      </c>
      <c r="J4478" s="595">
        <f t="shared" si="138"/>
        <v>0</v>
      </c>
    </row>
    <row r="4479" spans="1:25" hidden="1" x14ac:dyDescent="0.25">
      <c r="C4479" s="228"/>
      <c r="F4479" s="414">
        <v>422</v>
      </c>
      <c r="G4479" s="410" t="s">
        <v>3798</v>
      </c>
      <c r="J4479" s="595">
        <f t="shared" si="138"/>
        <v>0</v>
      </c>
    </row>
    <row r="4480" spans="1:25" hidden="1" x14ac:dyDescent="0.25">
      <c r="C4480" s="228"/>
      <c r="F4480" s="414">
        <v>423</v>
      </c>
      <c r="G4480" s="410" t="s">
        <v>3799</v>
      </c>
      <c r="J4480" s="595">
        <f t="shared" si="138"/>
        <v>0</v>
      </c>
    </row>
    <row r="4481" spans="3:10" hidden="1" x14ac:dyDescent="0.25">
      <c r="C4481" s="228"/>
      <c r="F4481" s="414">
        <v>424</v>
      </c>
      <c r="G4481" s="410" t="s">
        <v>3801</v>
      </c>
      <c r="J4481" s="595">
        <f t="shared" si="138"/>
        <v>0</v>
      </c>
    </row>
    <row r="4482" spans="3:10" hidden="1" x14ac:dyDescent="0.25">
      <c r="C4482" s="228"/>
      <c r="F4482" s="414">
        <v>425</v>
      </c>
      <c r="G4482" s="410" t="s">
        <v>4202</v>
      </c>
      <c r="J4482" s="595">
        <f t="shared" si="138"/>
        <v>0</v>
      </c>
    </row>
    <row r="4483" spans="3:10" hidden="1" x14ac:dyDescent="0.25">
      <c r="C4483" s="228"/>
      <c r="F4483" s="414">
        <v>426</v>
      </c>
      <c r="G4483" s="410" t="s">
        <v>3805</v>
      </c>
      <c r="J4483" s="595">
        <f t="shared" si="138"/>
        <v>0</v>
      </c>
    </row>
    <row r="4484" spans="3:10" hidden="1" x14ac:dyDescent="0.25">
      <c r="C4484" s="228"/>
      <c r="F4484" s="414">
        <v>431</v>
      </c>
      <c r="G4484" s="410" t="s">
        <v>4203</v>
      </c>
      <c r="J4484" s="595">
        <f t="shared" si="138"/>
        <v>0</v>
      </c>
    </row>
    <row r="4485" spans="3:10" hidden="1" x14ac:dyDescent="0.25">
      <c r="C4485" s="228"/>
      <c r="F4485" s="414">
        <v>432</v>
      </c>
      <c r="G4485" s="410" t="s">
        <v>4204</v>
      </c>
      <c r="J4485" s="595">
        <f t="shared" si="138"/>
        <v>0</v>
      </c>
    </row>
    <row r="4486" spans="3:10" hidden="1" x14ac:dyDescent="0.25">
      <c r="C4486" s="228"/>
      <c r="F4486" s="414">
        <v>433</v>
      </c>
      <c r="G4486" s="410" t="s">
        <v>4205</v>
      </c>
      <c r="J4486" s="595">
        <f t="shared" si="138"/>
        <v>0</v>
      </c>
    </row>
    <row r="4487" spans="3:10" hidden="1" x14ac:dyDescent="0.25">
      <c r="C4487" s="228"/>
      <c r="F4487" s="414">
        <v>434</v>
      </c>
      <c r="G4487" s="410" t="s">
        <v>4206</v>
      </c>
      <c r="J4487" s="595">
        <f t="shared" si="138"/>
        <v>0</v>
      </c>
    </row>
    <row r="4488" spans="3:10" hidden="1" x14ac:dyDescent="0.25">
      <c r="C4488" s="228"/>
      <c r="F4488" s="414">
        <v>435</v>
      </c>
      <c r="G4488" s="410" t="s">
        <v>3812</v>
      </c>
      <c r="J4488" s="595">
        <f t="shared" si="138"/>
        <v>0</v>
      </c>
    </row>
    <row r="4489" spans="3:10" hidden="1" x14ac:dyDescent="0.25">
      <c r="C4489" s="228"/>
      <c r="F4489" s="414">
        <v>441</v>
      </c>
      <c r="G4489" s="410" t="s">
        <v>4207</v>
      </c>
      <c r="J4489" s="595">
        <f t="shared" si="138"/>
        <v>0</v>
      </c>
    </row>
    <row r="4490" spans="3:10" hidden="1" x14ac:dyDescent="0.25">
      <c r="C4490" s="228"/>
      <c r="F4490" s="414">
        <v>442</v>
      </c>
      <c r="G4490" s="410" t="s">
        <v>4208</v>
      </c>
      <c r="J4490" s="595">
        <f t="shared" si="138"/>
        <v>0</v>
      </c>
    </row>
    <row r="4491" spans="3:10" hidden="1" x14ac:dyDescent="0.25">
      <c r="C4491" s="228"/>
      <c r="F4491" s="414">
        <v>443</v>
      </c>
      <c r="G4491" s="410" t="s">
        <v>3817</v>
      </c>
      <c r="J4491" s="595">
        <f t="shared" si="138"/>
        <v>0</v>
      </c>
    </row>
    <row r="4492" spans="3:10" hidden="1" x14ac:dyDescent="0.25">
      <c r="C4492" s="228"/>
      <c r="F4492" s="414">
        <v>444</v>
      </c>
      <c r="G4492" s="410" t="s">
        <v>3818</v>
      </c>
      <c r="J4492" s="595">
        <f t="shared" si="138"/>
        <v>0</v>
      </c>
    </row>
    <row r="4493" spans="3:10" ht="30" hidden="1" x14ac:dyDescent="0.25">
      <c r="C4493" s="228"/>
      <c r="F4493" s="414">
        <v>4511</v>
      </c>
      <c r="G4493" s="223" t="s">
        <v>1692</v>
      </c>
      <c r="J4493" s="595">
        <f t="shared" si="138"/>
        <v>0</v>
      </c>
    </row>
    <row r="4494" spans="3:10" ht="16.5" hidden="1" customHeight="1" x14ac:dyDescent="0.25">
      <c r="C4494" s="228"/>
      <c r="F4494" s="414">
        <v>4512</v>
      </c>
      <c r="G4494" s="223" t="s">
        <v>1701</v>
      </c>
      <c r="J4494" s="595">
        <f t="shared" si="138"/>
        <v>0</v>
      </c>
    </row>
    <row r="4495" spans="3:10" hidden="1" x14ac:dyDescent="0.25">
      <c r="C4495" s="228"/>
      <c r="F4495" s="414">
        <v>452</v>
      </c>
      <c r="G4495" s="410" t="s">
        <v>4209</v>
      </c>
      <c r="J4495" s="595">
        <f t="shared" si="138"/>
        <v>0</v>
      </c>
    </row>
    <row r="4496" spans="3:10" hidden="1" x14ac:dyDescent="0.25">
      <c r="C4496" s="228"/>
      <c r="F4496" s="414">
        <v>453</v>
      </c>
      <c r="G4496" s="410" t="s">
        <v>4210</v>
      </c>
      <c r="J4496" s="595">
        <f t="shared" si="138"/>
        <v>0</v>
      </c>
    </row>
    <row r="4497" spans="3:10" hidden="1" x14ac:dyDescent="0.25">
      <c r="C4497" s="228"/>
      <c r="F4497" s="414">
        <v>454</v>
      </c>
      <c r="G4497" s="410" t="s">
        <v>3823</v>
      </c>
      <c r="J4497" s="595">
        <f t="shared" si="138"/>
        <v>0</v>
      </c>
    </row>
    <row r="4498" spans="3:10" hidden="1" x14ac:dyDescent="0.25">
      <c r="C4498" s="228"/>
      <c r="F4498" s="414">
        <v>461</v>
      </c>
      <c r="G4498" s="410" t="s">
        <v>4191</v>
      </c>
      <c r="J4498" s="595">
        <f t="shared" si="138"/>
        <v>0</v>
      </c>
    </row>
    <row r="4499" spans="3:10" hidden="1" x14ac:dyDescent="0.25">
      <c r="C4499" s="228"/>
      <c r="F4499" s="414">
        <v>462</v>
      </c>
      <c r="G4499" s="410" t="s">
        <v>3826</v>
      </c>
      <c r="J4499" s="595">
        <f t="shared" si="138"/>
        <v>0</v>
      </c>
    </row>
    <row r="4500" spans="3:10" hidden="1" x14ac:dyDescent="0.25">
      <c r="C4500" s="228"/>
      <c r="F4500" s="414">
        <v>4631</v>
      </c>
      <c r="G4500" s="410" t="s">
        <v>3827</v>
      </c>
      <c r="J4500" s="595">
        <f t="shared" si="138"/>
        <v>0</v>
      </c>
    </row>
    <row r="4501" spans="3:10" hidden="1" x14ac:dyDescent="0.25">
      <c r="C4501" s="228"/>
      <c r="F4501" s="414">
        <v>4632</v>
      </c>
      <c r="G4501" s="410" t="s">
        <v>3828</v>
      </c>
      <c r="J4501" s="595">
        <f t="shared" si="138"/>
        <v>0</v>
      </c>
    </row>
    <row r="4502" spans="3:10" hidden="1" x14ac:dyDescent="0.25">
      <c r="C4502" s="228"/>
      <c r="F4502" s="414">
        <v>464</v>
      </c>
      <c r="G4502" s="410" t="s">
        <v>3829</v>
      </c>
      <c r="J4502" s="595">
        <f t="shared" si="138"/>
        <v>0</v>
      </c>
    </row>
    <row r="4503" spans="3:10" hidden="1" x14ac:dyDescent="0.25">
      <c r="C4503" s="228"/>
      <c r="F4503" s="414">
        <v>465</v>
      </c>
      <c r="G4503" s="410" t="s">
        <v>4192</v>
      </c>
      <c r="J4503" s="595">
        <f t="shared" si="138"/>
        <v>0</v>
      </c>
    </row>
    <row r="4504" spans="3:10" hidden="1" x14ac:dyDescent="0.25">
      <c r="C4504" s="228"/>
      <c r="F4504" s="414">
        <v>472</v>
      </c>
      <c r="G4504" s="410" t="s">
        <v>3833</v>
      </c>
      <c r="J4504" s="595">
        <f t="shared" si="138"/>
        <v>0</v>
      </c>
    </row>
    <row r="4505" spans="3:10" ht="15.75" thickBot="1" x14ac:dyDescent="0.3">
      <c r="C4505" s="228"/>
      <c r="E4505" s="218">
        <v>57</v>
      </c>
      <c r="F4505" s="414">
        <v>481</v>
      </c>
      <c r="G4505" s="410" t="s">
        <v>4211</v>
      </c>
      <c r="H4505" s="594">
        <v>8000000</v>
      </c>
      <c r="J4505" s="595">
        <f t="shared" si="138"/>
        <v>8000000</v>
      </c>
    </row>
    <row r="4506" spans="3:10" hidden="1" x14ac:dyDescent="0.25">
      <c r="C4506" s="228"/>
      <c r="F4506" s="414">
        <v>482</v>
      </c>
      <c r="G4506" s="410" t="s">
        <v>4212</v>
      </c>
      <c r="J4506" s="595">
        <f t="shared" si="138"/>
        <v>0</v>
      </c>
    </row>
    <row r="4507" spans="3:10" hidden="1" x14ac:dyDescent="0.25">
      <c r="C4507" s="228"/>
      <c r="F4507" s="414">
        <v>483</v>
      </c>
      <c r="G4507" s="412" t="s">
        <v>4213</v>
      </c>
      <c r="J4507" s="595">
        <f t="shared" si="138"/>
        <v>0</v>
      </c>
    </row>
    <row r="4508" spans="3:10" ht="30" hidden="1" x14ac:dyDescent="0.25">
      <c r="C4508" s="228"/>
      <c r="F4508" s="414">
        <v>484</v>
      </c>
      <c r="G4508" s="410" t="s">
        <v>4214</v>
      </c>
      <c r="J4508" s="595">
        <f t="shared" si="138"/>
        <v>0</v>
      </c>
    </row>
    <row r="4509" spans="3:10" ht="30" hidden="1" x14ac:dyDescent="0.25">
      <c r="C4509" s="228"/>
      <c r="F4509" s="414">
        <v>485</v>
      </c>
      <c r="G4509" s="410" t="s">
        <v>4215</v>
      </c>
      <c r="J4509" s="595">
        <f t="shared" si="138"/>
        <v>0</v>
      </c>
    </row>
    <row r="4510" spans="3:10" ht="30" hidden="1" x14ac:dyDescent="0.25">
      <c r="C4510" s="228"/>
      <c r="F4510" s="414">
        <v>489</v>
      </c>
      <c r="G4510" s="410" t="s">
        <v>3841</v>
      </c>
      <c r="J4510" s="595">
        <f t="shared" si="138"/>
        <v>0</v>
      </c>
    </row>
    <row r="4511" spans="3:10" hidden="1" x14ac:dyDescent="0.25">
      <c r="C4511" s="228"/>
      <c r="F4511" s="414">
        <v>494</v>
      </c>
      <c r="G4511" s="410" t="s">
        <v>4193</v>
      </c>
      <c r="J4511" s="595">
        <f t="shared" si="138"/>
        <v>0</v>
      </c>
    </row>
    <row r="4512" spans="3:10" ht="30" hidden="1" x14ac:dyDescent="0.25">
      <c r="C4512" s="228"/>
      <c r="F4512" s="414">
        <v>495</v>
      </c>
      <c r="G4512" s="410" t="s">
        <v>4194</v>
      </c>
      <c r="J4512" s="595">
        <f t="shared" si="138"/>
        <v>0</v>
      </c>
    </row>
    <row r="4513" spans="3:10" ht="30" hidden="1" x14ac:dyDescent="0.25">
      <c r="C4513" s="228"/>
      <c r="F4513" s="414">
        <v>496</v>
      </c>
      <c r="G4513" s="410" t="s">
        <v>4195</v>
      </c>
      <c r="J4513" s="595">
        <f t="shared" si="138"/>
        <v>0</v>
      </c>
    </row>
    <row r="4514" spans="3:10" hidden="1" x14ac:dyDescent="0.25">
      <c r="C4514" s="228"/>
      <c r="F4514" s="414">
        <v>499</v>
      </c>
      <c r="G4514" s="410" t="s">
        <v>4196</v>
      </c>
      <c r="J4514" s="595">
        <f t="shared" si="138"/>
        <v>0</v>
      </c>
    </row>
    <row r="4515" spans="3:10" hidden="1" x14ac:dyDescent="0.25">
      <c r="C4515" s="228"/>
      <c r="F4515" s="414">
        <v>511</v>
      </c>
      <c r="G4515" s="412" t="s">
        <v>4216</v>
      </c>
      <c r="J4515" s="595">
        <f t="shared" si="138"/>
        <v>0</v>
      </c>
    </row>
    <row r="4516" spans="3:10" hidden="1" x14ac:dyDescent="0.25">
      <c r="C4516" s="228"/>
      <c r="F4516" s="414">
        <v>512</v>
      </c>
      <c r="G4516" s="412" t="s">
        <v>4217</v>
      </c>
      <c r="J4516" s="595">
        <f t="shared" si="138"/>
        <v>0</v>
      </c>
    </row>
    <row r="4517" spans="3:10" hidden="1" x14ac:dyDescent="0.25">
      <c r="C4517" s="228"/>
      <c r="F4517" s="414">
        <v>513</v>
      </c>
      <c r="G4517" s="412" t="s">
        <v>4218</v>
      </c>
      <c r="J4517" s="595">
        <f t="shared" si="138"/>
        <v>0</v>
      </c>
    </row>
    <row r="4518" spans="3:10" hidden="1" x14ac:dyDescent="0.25">
      <c r="C4518" s="228"/>
      <c r="F4518" s="414">
        <v>514</v>
      </c>
      <c r="G4518" s="410" t="s">
        <v>4219</v>
      </c>
      <c r="J4518" s="595">
        <f t="shared" si="138"/>
        <v>0</v>
      </c>
    </row>
    <row r="4519" spans="3:10" hidden="1" x14ac:dyDescent="0.25">
      <c r="C4519" s="228"/>
      <c r="F4519" s="414">
        <v>515</v>
      </c>
      <c r="G4519" s="410" t="s">
        <v>3852</v>
      </c>
      <c r="J4519" s="595">
        <f t="shared" si="138"/>
        <v>0</v>
      </c>
    </row>
    <row r="4520" spans="3:10" hidden="1" x14ac:dyDescent="0.25">
      <c r="C4520" s="228"/>
      <c r="F4520" s="414">
        <v>521</v>
      </c>
      <c r="G4520" s="410" t="s">
        <v>4220</v>
      </c>
      <c r="J4520" s="595">
        <f t="shared" si="138"/>
        <v>0</v>
      </c>
    </row>
    <row r="4521" spans="3:10" hidden="1" x14ac:dyDescent="0.25">
      <c r="C4521" s="228"/>
      <c r="F4521" s="414">
        <v>522</v>
      </c>
      <c r="G4521" s="410" t="s">
        <v>4221</v>
      </c>
      <c r="J4521" s="595">
        <f t="shared" si="138"/>
        <v>0</v>
      </c>
    </row>
    <row r="4522" spans="3:10" hidden="1" x14ac:dyDescent="0.25">
      <c r="C4522" s="228"/>
      <c r="F4522" s="414">
        <v>523</v>
      </c>
      <c r="G4522" s="410" t="s">
        <v>3857</v>
      </c>
      <c r="J4522" s="595">
        <f t="shared" si="138"/>
        <v>0</v>
      </c>
    </row>
    <row r="4523" spans="3:10" hidden="1" x14ac:dyDescent="0.25">
      <c r="C4523" s="228"/>
      <c r="F4523" s="414">
        <v>531</v>
      </c>
      <c r="G4523" s="407" t="s">
        <v>4197</v>
      </c>
      <c r="J4523" s="595">
        <f t="shared" si="138"/>
        <v>0</v>
      </c>
    </row>
    <row r="4524" spans="3:10" hidden="1" x14ac:dyDescent="0.25">
      <c r="C4524" s="228"/>
      <c r="F4524" s="414">
        <v>541</v>
      </c>
      <c r="G4524" s="410" t="s">
        <v>4222</v>
      </c>
      <c r="J4524" s="595">
        <f t="shared" si="138"/>
        <v>0</v>
      </c>
    </row>
    <row r="4525" spans="3:10" hidden="1" x14ac:dyDescent="0.25">
      <c r="C4525" s="228"/>
      <c r="F4525" s="414">
        <v>542</v>
      </c>
      <c r="G4525" s="410" t="s">
        <v>4223</v>
      </c>
      <c r="J4525" s="595">
        <f t="shared" si="138"/>
        <v>0</v>
      </c>
    </row>
    <row r="4526" spans="3:10" hidden="1" x14ac:dyDescent="0.25">
      <c r="C4526" s="228"/>
      <c r="F4526" s="414">
        <v>543</v>
      </c>
      <c r="G4526" s="410" t="s">
        <v>3862</v>
      </c>
      <c r="J4526" s="595">
        <f t="shared" si="138"/>
        <v>0</v>
      </c>
    </row>
    <row r="4527" spans="3:10" ht="30" hidden="1" x14ac:dyDescent="0.25">
      <c r="C4527" s="228"/>
      <c r="F4527" s="414">
        <v>551</v>
      </c>
      <c r="G4527" s="410" t="s">
        <v>4198</v>
      </c>
      <c r="J4527" s="595">
        <f t="shared" si="138"/>
        <v>0</v>
      </c>
    </row>
    <row r="4528" spans="3:10" hidden="1" x14ac:dyDescent="0.25">
      <c r="C4528" s="228"/>
      <c r="F4528" s="415">
        <v>611</v>
      </c>
      <c r="G4528" s="413" t="s">
        <v>3868</v>
      </c>
      <c r="J4528" s="595">
        <f t="shared" si="138"/>
        <v>0</v>
      </c>
    </row>
    <row r="4529" spans="3:10" ht="15.75" hidden="1" thickBot="1" x14ac:dyDescent="0.3">
      <c r="C4529" s="228"/>
      <c r="F4529" s="415">
        <v>620</v>
      </c>
      <c r="G4529" s="413" t="s">
        <v>88</v>
      </c>
      <c r="J4529" s="595">
        <f t="shared" si="138"/>
        <v>0</v>
      </c>
    </row>
    <row r="4530" spans="3:10" x14ac:dyDescent="0.25">
      <c r="C4530" s="228"/>
      <c r="E4530" s="408"/>
      <c r="F4530" s="415"/>
      <c r="G4530" s="326" t="s">
        <v>4395</v>
      </c>
      <c r="H4530" s="596"/>
      <c r="I4530" s="622"/>
      <c r="J4530" s="597"/>
    </row>
    <row r="4531" spans="3:10" ht="15.75" thickBot="1" x14ac:dyDescent="0.3">
      <c r="C4531" s="228"/>
      <c r="E4531" s="222"/>
      <c r="F4531" s="249" t="s">
        <v>234</v>
      </c>
      <c r="G4531" s="252" t="s">
        <v>235</v>
      </c>
      <c r="H4531" s="598">
        <f>SUM(H4470:H4529)</f>
        <v>8000000</v>
      </c>
      <c r="I4531" s="599"/>
      <c r="J4531" s="599">
        <f>SUM(H4531:I4531)</f>
        <v>8000000</v>
      </c>
    </row>
    <row r="4532" spans="3:10" hidden="1" x14ac:dyDescent="0.25">
      <c r="C4532" s="228"/>
      <c r="F4532" s="249" t="s">
        <v>236</v>
      </c>
      <c r="G4532" s="252" t="s">
        <v>237</v>
      </c>
      <c r="J4532" s="599">
        <f t="shared" ref="J4532:J4546" si="139">SUM(H4532:I4532)</f>
        <v>0</v>
      </c>
    </row>
    <row r="4533" spans="3:10" hidden="1" x14ac:dyDescent="0.25">
      <c r="C4533" s="228"/>
      <c r="F4533" s="249" t="s">
        <v>238</v>
      </c>
      <c r="G4533" s="252" t="s">
        <v>239</v>
      </c>
      <c r="J4533" s="599">
        <f t="shared" si="139"/>
        <v>0</v>
      </c>
    </row>
    <row r="4534" spans="3:10" hidden="1" x14ac:dyDescent="0.25">
      <c r="C4534" s="228"/>
      <c r="F4534" s="249" t="s">
        <v>240</v>
      </c>
      <c r="G4534" s="252" t="s">
        <v>241</v>
      </c>
      <c r="J4534" s="599">
        <f t="shared" si="139"/>
        <v>0</v>
      </c>
    </row>
    <row r="4535" spans="3:10" hidden="1" x14ac:dyDescent="0.25">
      <c r="C4535" s="228"/>
      <c r="F4535" s="249" t="s">
        <v>242</v>
      </c>
      <c r="G4535" s="252" t="s">
        <v>243</v>
      </c>
      <c r="J4535" s="599">
        <f t="shared" si="139"/>
        <v>0</v>
      </c>
    </row>
    <row r="4536" spans="3:10" hidden="1" x14ac:dyDescent="0.25">
      <c r="C4536" s="228"/>
      <c r="F4536" s="249" t="s">
        <v>244</v>
      </c>
      <c r="G4536" s="252" t="s">
        <v>245</v>
      </c>
      <c r="J4536" s="599">
        <f t="shared" si="139"/>
        <v>0</v>
      </c>
    </row>
    <row r="4537" spans="3:10" hidden="1" x14ac:dyDescent="0.25">
      <c r="C4537" s="228"/>
      <c r="F4537" s="249" t="s">
        <v>246</v>
      </c>
      <c r="G4537" s="252" t="s">
        <v>247</v>
      </c>
      <c r="J4537" s="599">
        <f t="shared" si="139"/>
        <v>0</v>
      </c>
    </row>
    <row r="4538" spans="3:10" hidden="1" x14ac:dyDescent="0.25">
      <c r="C4538" s="228"/>
      <c r="F4538" s="249" t="s">
        <v>248</v>
      </c>
      <c r="G4538" s="252" t="s">
        <v>249</v>
      </c>
      <c r="J4538" s="599">
        <f t="shared" si="139"/>
        <v>0</v>
      </c>
    </row>
    <row r="4539" spans="3:10" hidden="1" x14ac:dyDescent="0.25">
      <c r="C4539" s="228"/>
      <c r="F4539" s="249" t="s">
        <v>250</v>
      </c>
      <c r="G4539" s="252" t="s">
        <v>57</v>
      </c>
      <c r="J4539" s="599">
        <f t="shared" si="139"/>
        <v>0</v>
      </c>
    </row>
    <row r="4540" spans="3:10" hidden="1" x14ac:dyDescent="0.25">
      <c r="C4540" s="228"/>
      <c r="F4540" s="249" t="s">
        <v>251</v>
      </c>
      <c r="G4540" s="252" t="s">
        <v>252</v>
      </c>
      <c r="J4540" s="599">
        <f t="shared" si="139"/>
        <v>0</v>
      </c>
    </row>
    <row r="4541" spans="3:10" hidden="1" x14ac:dyDescent="0.25">
      <c r="C4541" s="228"/>
      <c r="F4541" s="249" t="s">
        <v>253</v>
      </c>
      <c r="G4541" s="252" t="s">
        <v>254</v>
      </c>
      <c r="J4541" s="599">
        <f t="shared" si="139"/>
        <v>0</v>
      </c>
    </row>
    <row r="4542" spans="3:10" ht="30" hidden="1" x14ac:dyDescent="0.25">
      <c r="C4542" s="228"/>
      <c r="F4542" s="249" t="s">
        <v>255</v>
      </c>
      <c r="G4542" s="252" t="s">
        <v>256</v>
      </c>
      <c r="J4542" s="599">
        <f t="shared" si="139"/>
        <v>0</v>
      </c>
    </row>
    <row r="4543" spans="3:10" hidden="1" x14ac:dyDescent="0.25">
      <c r="C4543" s="228"/>
      <c r="F4543" s="249" t="s">
        <v>257</v>
      </c>
      <c r="G4543" s="252" t="s">
        <v>258</v>
      </c>
      <c r="J4543" s="599">
        <f t="shared" si="139"/>
        <v>0</v>
      </c>
    </row>
    <row r="4544" spans="3:10" ht="30" hidden="1" x14ac:dyDescent="0.25">
      <c r="C4544" s="228"/>
      <c r="F4544" s="249" t="s">
        <v>259</v>
      </c>
      <c r="G4544" s="252" t="s">
        <v>260</v>
      </c>
      <c r="J4544" s="599">
        <f t="shared" si="139"/>
        <v>0</v>
      </c>
    </row>
    <row r="4545" spans="3:10" hidden="1" x14ac:dyDescent="0.25">
      <c r="C4545" s="228"/>
      <c r="F4545" s="249" t="s">
        <v>261</v>
      </c>
      <c r="G4545" s="252" t="s">
        <v>262</v>
      </c>
      <c r="J4545" s="599">
        <f t="shared" si="139"/>
        <v>0</v>
      </c>
    </row>
    <row r="4546" spans="3:10" ht="15.75" hidden="1" thickBot="1" x14ac:dyDescent="0.3">
      <c r="C4546" s="228"/>
      <c r="F4546" s="249" t="s">
        <v>263</v>
      </c>
      <c r="G4546" s="252" t="s">
        <v>264</v>
      </c>
      <c r="H4546" s="598"/>
      <c r="I4546" s="599"/>
      <c r="J4546" s="599">
        <f t="shared" si="139"/>
        <v>0</v>
      </c>
    </row>
    <row r="4547" spans="3:10" ht="15.75" thickBot="1" x14ac:dyDescent="0.3">
      <c r="C4547" s="228"/>
      <c r="G4547" s="229" t="s">
        <v>4334</v>
      </c>
      <c r="H4547" s="600">
        <f>SUM(H4531:H4546)</f>
        <v>8000000</v>
      </c>
      <c r="I4547" s="601">
        <f>SUM(I4532:I4546)</f>
        <v>0</v>
      </c>
      <c r="J4547" s="601">
        <f>SUM(J4531:J4546)</f>
        <v>8000000</v>
      </c>
    </row>
    <row r="4548" spans="3:10" ht="28.5" collapsed="1" x14ac:dyDescent="0.25">
      <c r="C4548" s="228"/>
      <c r="E4548" s="408"/>
      <c r="F4548" s="415"/>
      <c r="G4548" s="231" t="s">
        <v>4396</v>
      </c>
      <c r="H4548" s="602"/>
      <c r="I4548" s="623"/>
      <c r="J4548" s="603"/>
    </row>
    <row r="4549" spans="3:10" ht="15.75" thickBot="1" x14ac:dyDescent="0.3">
      <c r="C4549" s="228"/>
      <c r="E4549" s="222"/>
      <c r="F4549" s="249" t="s">
        <v>234</v>
      </c>
      <c r="G4549" s="252" t="s">
        <v>235</v>
      </c>
      <c r="H4549" s="598">
        <f>SUM(H4470:H4529)</f>
        <v>8000000</v>
      </c>
      <c r="I4549" s="599"/>
      <c r="J4549" s="599">
        <f>SUM(H4549:I4549)</f>
        <v>8000000</v>
      </c>
    </row>
    <row r="4550" spans="3:10" hidden="1" x14ac:dyDescent="0.25">
      <c r="C4550" s="228"/>
      <c r="F4550" s="249" t="s">
        <v>236</v>
      </c>
      <c r="G4550" s="252" t="s">
        <v>237</v>
      </c>
      <c r="J4550" s="599">
        <f t="shared" ref="J4550:J4564" si="140">SUM(H4550:I4550)</f>
        <v>0</v>
      </c>
    </row>
    <row r="4551" spans="3:10" hidden="1" x14ac:dyDescent="0.25">
      <c r="C4551" s="228"/>
      <c r="F4551" s="249" t="s">
        <v>238</v>
      </c>
      <c r="G4551" s="252" t="s">
        <v>239</v>
      </c>
      <c r="J4551" s="599">
        <f t="shared" si="140"/>
        <v>0</v>
      </c>
    </row>
    <row r="4552" spans="3:10" hidden="1" x14ac:dyDescent="0.25">
      <c r="C4552" s="228"/>
      <c r="F4552" s="249" t="s">
        <v>240</v>
      </c>
      <c r="G4552" s="252" t="s">
        <v>241</v>
      </c>
      <c r="J4552" s="599">
        <f t="shared" si="140"/>
        <v>0</v>
      </c>
    </row>
    <row r="4553" spans="3:10" hidden="1" x14ac:dyDescent="0.25">
      <c r="C4553" s="228"/>
      <c r="F4553" s="249" t="s">
        <v>242</v>
      </c>
      <c r="G4553" s="252" t="s">
        <v>243</v>
      </c>
      <c r="J4553" s="599">
        <f t="shared" si="140"/>
        <v>0</v>
      </c>
    </row>
    <row r="4554" spans="3:10" hidden="1" x14ac:dyDescent="0.25">
      <c r="C4554" s="228"/>
      <c r="F4554" s="249" t="s">
        <v>244</v>
      </c>
      <c r="G4554" s="252" t="s">
        <v>245</v>
      </c>
      <c r="J4554" s="599">
        <f t="shared" si="140"/>
        <v>0</v>
      </c>
    </row>
    <row r="4555" spans="3:10" hidden="1" x14ac:dyDescent="0.25">
      <c r="C4555" s="228"/>
      <c r="F4555" s="249" t="s">
        <v>246</v>
      </c>
      <c r="G4555" s="252" t="s">
        <v>247</v>
      </c>
      <c r="J4555" s="599">
        <f t="shared" si="140"/>
        <v>0</v>
      </c>
    </row>
    <row r="4556" spans="3:10" hidden="1" x14ac:dyDescent="0.25">
      <c r="C4556" s="228"/>
      <c r="F4556" s="249" t="s">
        <v>248</v>
      </c>
      <c r="G4556" s="252" t="s">
        <v>249</v>
      </c>
      <c r="J4556" s="599">
        <f t="shared" si="140"/>
        <v>0</v>
      </c>
    </row>
    <row r="4557" spans="3:10" hidden="1" x14ac:dyDescent="0.25">
      <c r="C4557" s="228"/>
      <c r="F4557" s="249" t="s">
        <v>250</v>
      </c>
      <c r="G4557" s="252" t="s">
        <v>57</v>
      </c>
      <c r="J4557" s="599">
        <f t="shared" si="140"/>
        <v>0</v>
      </c>
    </row>
    <row r="4558" spans="3:10" hidden="1" x14ac:dyDescent="0.25">
      <c r="C4558" s="228"/>
      <c r="F4558" s="249" t="s">
        <v>251</v>
      </c>
      <c r="G4558" s="252" t="s">
        <v>252</v>
      </c>
      <c r="J4558" s="599">
        <f t="shared" si="140"/>
        <v>0</v>
      </c>
    </row>
    <row r="4559" spans="3:10" hidden="1" x14ac:dyDescent="0.25">
      <c r="C4559" s="228"/>
      <c r="F4559" s="249" t="s">
        <v>253</v>
      </c>
      <c r="G4559" s="252" t="s">
        <v>254</v>
      </c>
      <c r="J4559" s="599">
        <f t="shared" si="140"/>
        <v>0</v>
      </c>
    </row>
    <row r="4560" spans="3:10" ht="30" hidden="1" x14ac:dyDescent="0.25">
      <c r="C4560" s="228"/>
      <c r="F4560" s="249" t="s">
        <v>255</v>
      </c>
      <c r="G4560" s="252" t="s">
        <v>256</v>
      </c>
      <c r="J4560" s="599">
        <f t="shared" si="140"/>
        <v>0</v>
      </c>
    </row>
    <row r="4561" spans="1:25" hidden="1" x14ac:dyDescent="0.25">
      <c r="C4561" s="228"/>
      <c r="F4561" s="249" t="s">
        <v>257</v>
      </c>
      <c r="G4561" s="252" t="s">
        <v>258</v>
      </c>
      <c r="J4561" s="599">
        <f t="shared" si="140"/>
        <v>0</v>
      </c>
    </row>
    <row r="4562" spans="1:25" ht="30" hidden="1" x14ac:dyDescent="0.25">
      <c r="C4562" s="228"/>
      <c r="F4562" s="249" t="s">
        <v>259</v>
      </c>
      <c r="G4562" s="252" t="s">
        <v>260</v>
      </c>
      <c r="J4562" s="599">
        <f t="shared" si="140"/>
        <v>0</v>
      </c>
    </row>
    <row r="4563" spans="1:25" hidden="1" x14ac:dyDescent="0.25">
      <c r="C4563" s="228"/>
      <c r="F4563" s="249" t="s">
        <v>261</v>
      </c>
      <c r="G4563" s="252" t="s">
        <v>262</v>
      </c>
      <c r="J4563" s="599">
        <f t="shared" si="140"/>
        <v>0</v>
      </c>
    </row>
    <row r="4564" spans="1:25" ht="15.75" hidden="1" thickBot="1" x14ac:dyDescent="0.3">
      <c r="C4564" s="228"/>
      <c r="F4564" s="249" t="s">
        <v>263</v>
      </c>
      <c r="G4564" s="252" t="s">
        <v>264</v>
      </c>
      <c r="H4564" s="598"/>
      <c r="I4564" s="599"/>
      <c r="J4564" s="599">
        <f t="shared" si="140"/>
        <v>0</v>
      </c>
    </row>
    <row r="4565" spans="1:25" ht="15.75" collapsed="1" thickBot="1" x14ac:dyDescent="0.3">
      <c r="C4565" s="228"/>
      <c r="G4565" s="229" t="s">
        <v>4397</v>
      </c>
      <c r="H4565" s="600">
        <f>SUM(H4549:H4564)</f>
        <v>8000000</v>
      </c>
      <c r="I4565" s="601">
        <f>SUM(I4550:I4564)</f>
        <v>0</v>
      </c>
      <c r="J4565" s="601">
        <f>SUM(J4549:J4564)</f>
        <v>8000000</v>
      </c>
    </row>
    <row r="4566" spans="1:25" hidden="1" x14ac:dyDescent="0.25">
      <c r="C4566" s="228"/>
      <c r="G4566" s="409"/>
    </row>
    <row r="4567" spans="1:25" ht="28.5" hidden="1" x14ac:dyDescent="0.25">
      <c r="C4567" s="228" t="s">
        <v>4150</v>
      </c>
      <c r="G4567" s="416" t="s">
        <v>4151</v>
      </c>
    </row>
    <row r="4568" spans="1:25" s="88" customFormat="1" hidden="1" x14ac:dyDescent="0.25">
      <c r="A4568" s="411"/>
      <c r="B4568" s="256"/>
      <c r="C4568" s="265"/>
      <c r="D4568" s="334" t="s">
        <v>4029</v>
      </c>
      <c r="E4568" s="329"/>
      <c r="F4568" s="329"/>
      <c r="G4568" s="330" t="s">
        <v>206</v>
      </c>
      <c r="H4568" s="611"/>
      <c r="I4568" s="612"/>
      <c r="J4568" s="612"/>
      <c r="K4568" s="533"/>
      <c r="L4568" s="533"/>
      <c r="M4568" s="533"/>
      <c r="N4568" s="533"/>
      <c r="O4568" s="533"/>
      <c r="P4568" s="533"/>
      <c r="Q4568" s="533"/>
      <c r="R4568" s="533"/>
      <c r="S4568" s="533"/>
      <c r="T4568" s="533"/>
      <c r="U4568" s="533"/>
      <c r="V4568" s="533"/>
      <c r="W4568" s="533"/>
      <c r="X4568" s="533"/>
      <c r="Y4568" s="533"/>
    </row>
    <row r="4569" spans="1:25" hidden="1" x14ac:dyDescent="0.25">
      <c r="C4569" s="228"/>
      <c r="F4569" s="414">
        <v>411</v>
      </c>
      <c r="G4569" s="410" t="s">
        <v>4189</v>
      </c>
      <c r="J4569" s="595">
        <f>SUM(H4569:I4569)</f>
        <v>0</v>
      </c>
    </row>
    <row r="4570" spans="1:25" hidden="1" x14ac:dyDescent="0.25">
      <c r="C4570" s="228"/>
      <c r="F4570" s="414">
        <v>412</v>
      </c>
      <c r="G4570" s="407" t="s">
        <v>3784</v>
      </c>
      <c r="J4570" s="595">
        <f t="shared" ref="J4570:J4628" si="141">SUM(H4570:I4570)</f>
        <v>0</v>
      </c>
    </row>
    <row r="4571" spans="1:25" hidden="1" x14ac:dyDescent="0.25">
      <c r="C4571" s="228"/>
      <c r="F4571" s="414">
        <v>413</v>
      </c>
      <c r="G4571" s="410" t="s">
        <v>4190</v>
      </c>
      <c r="J4571" s="595">
        <f t="shared" si="141"/>
        <v>0</v>
      </c>
    </row>
    <row r="4572" spans="1:25" hidden="1" x14ac:dyDescent="0.25">
      <c r="C4572" s="228"/>
      <c r="F4572" s="414">
        <v>414</v>
      </c>
      <c r="G4572" s="410" t="s">
        <v>3787</v>
      </c>
      <c r="J4572" s="595">
        <f t="shared" si="141"/>
        <v>0</v>
      </c>
    </row>
    <row r="4573" spans="1:25" hidden="1" x14ac:dyDescent="0.25">
      <c r="C4573" s="228"/>
      <c r="F4573" s="414">
        <v>415</v>
      </c>
      <c r="G4573" s="410" t="s">
        <v>4199</v>
      </c>
      <c r="J4573" s="595">
        <f t="shared" si="141"/>
        <v>0</v>
      </c>
    </row>
    <row r="4574" spans="1:25" hidden="1" x14ac:dyDescent="0.25">
      <c r="C4574" s="228"/>
      <c r="F4574" s="414">
        <v>416</v>
      </c>
      <c r="G4574" s="410" t="s">
        <v>4200</v>
      </c>
      <c r="J4574" s="595">
        <f t="shared" si="141"/>
        <v>0</v>
      </c>
    </row>
    <row r="4575" spans="1:25" hidden="1" x14ac:dyDescent="0.25">
      <c r="C4575" s="228"/>
      <c r="F4575" s="414">
        <v>417</v>
      </c>
      <c r="G4575" s="410" t="s">
        <v>4201</v>
      </c>
      <c r="J4575" s="595">
        <f t="shared" si="141"/>
        <v>0</v>
      </c>
    </row>
    <row r="4576" spans="1:25" hidden="1" x14ac:dyDescent="0.25">
      <c r="C4576" s="228"/>
      <c r="F4576" s="414">
        <v>418</v>
      </c>
      <c r="G4576" s="410" t="s">
        <v>3793</v>
      </c>
      <c r="J4576" s="595">
        <f t="shared" si="141"/>
        <v>0</v>
      </c>
    </row>
    <row r="4577" spans="3:10" hidden="1" x14ac:dyDescent="0.25">
      <c r="C4577" s="228"/>
      <c r="F4577" s="414">
        <v>421</v>
      </c>
      <c r="G4577" s="410" t="s">
        <v>3797</v>
      </c>
      <c r="J4577" s="595">
        <f t="shared" si="141"/>
        <v>0</v>
      </c>
    </row>
    <row r="4578" spans="3:10" hidden="1" x14ac:dyDescent="0.25">
      <c r="C4578" s="228"/>
      <c r="F4578" s="414">
        <v>422</v>
      </c>
      <c r="G4578" s="410" t="s">
        <v>3798</v>
      </c>
      <c r="J4578" s="595">
        <f t="shared" si="141"/>
        <v>0</v>
      </c>
    </row>
    <row r="4579" spans="3:10" ht="15.75" hidden="1" thickBot="1" x14ac:dyDescent="0.3">
      <c r="C4579" s="228"/>
      <c r="F4579" s="414">
        <v>423</v>
      </c>
      <c r="G4579" s="410" t="s">
        <v>3799</v>
      </c>
      <c r="J4579" s="595">
        <f t="shared" si="141"/>
        <v>0</v>
      </c>
    </row>
    <row r="4580" spans="3:10" hidden="1" x14ac:dyDescent="0.25">
      <c r="C4580" s="228"/>
      <c r="F4580" s="414">
        <v>424</v>
      </c>
      <c r="G4580" s="410" t="s">
        <v>3801</v>
      </c>
      <c r="J4580" s="595">
        <f t="shared" si="141"/>
        <v>0</v>
      </c>
    </row>
    <row r="4581" spans="3:10" hidden="1" x14ac:dyDescent="0.25">
      <c r="C4581" s="228"/>
      <c r="F4581" s="414">
        <v>425</v>
      </c>
      <c r="G4581" s="410" t="s">
        <v>4202</v>
      </c>
      <c r="J4581" s="595">
        <f t="shared" si="141"/>
        <v>0</v>
      </c>
    </row>
    <row r="4582" spans="3:10" ht="15.75" hidden="1" thickBot="1" x14ac:dyDescent="0.3">
      <c r="C4582" s="228"/>
      <c r="F4582" s="414">
        <v>426</v>
      </c>
      <c r="G4582" s="410" t="s">
        <v>3805</v>
      </c>
      <c r="J4582" s="595">
        <f t="shared" si="141"/>
        <v>0</v>
      </c>
    </row>
    <row r="4583" spans="3:10" hidden="1" x14ac:dyDescent="0.25">
      <c r="C4583" s="228"/>
      <c r="F4583" s="414">
        <v>431</v>
      </c>
      <c r="G4583" s="410" t="s">
        <v>4203</v>
      </c>
      <c r="J4583" s="595">
        <f t="shared" si="141"/>
        <v>0</v>
      </c>
    </row>
    <row r="4584" spans="3:10" hidden="1" x14ac:dyDescent="0.25">
      <c r="C4584" s="228"/>
      <c r="F4584" s="414">
        <v>432</v>
      </c>
      <c r="G4584" s="410" t="s">
        <v>4204</v>
      </c>
      <c r="J4584" s="595">
        <f t="shared" si="141"/>
        <v>0</v>
      </c>
    </row>
    <row r="4585" spans="3:10" hidden="1" x14ac:dyDescent="0.25">
      <c r="C4585" s="228"/>
      <c r="F4585" s="414">
        <v>433</v>
      </c>
      <c r="G4585" s="410" t="s">
        <v>4205</v>
      </c>
      <c r="J4585" s="595">
        <f t="shared" si="141"/>
        <v>0</v>
      </c>
    </row>
    <row r="4586" spans="3:10" hidden="1" x14ac:dyDescent="0.25">
      <c r="C4586" s="228"/>
      <c r="F4586" s="414">
        <v>434</v>
      </c>
      <c r="G4586" s="410" t="s">
        <v>4206</v>
      </c>
      <c r="J4586" s="595">
        <f t="shared" si="141"/>
        <v>0</v>
      </c>
    </row>
    <row r="4587" spans="3:10" hidden="1" x14ac:dyDescent="0.25">
      <c r="C4587" s="228"/>
      <c r="F4587" s="414">
        <v>435</v>
      </c>
      <c r="G4587" s="410" t="s">
        <v>3812</v>
      </c>
      <c r="J4587" s="595">
        <f t="shared" si="141"/>
        <v>0</v>
      </c>
    </row>
    <row r="4588" spans="3:10" hidden="1" x14ac:dyDescent="0.25">
      <c r="C4588" s="228"/>
      <c r="F4588" s="414">
        <v>441</v>
      </c>
      <c r="G4588" s="410" t="s">
        <v>4207</v>
      </c>
      <c r="J4588" s="595">
        <f t="shared" si="141"/>
        <v>0</v>
      </c>
    </row>
    <row r="4589" spans="3:10" hidden="1" x14ac:dyDescent="0.25">
      <c r="C4589" s="228"/>
      <c r="F4589" s="414">
        <v>442</v>
      </c>
      <c r="G4589" s="410" t="s">
        <v>4208</v>
      </c>
      <c r="J4589" s="595">
        <f t="shared" si="141"/>
        <v>0</v>
      </c>
    </row>
    <row r="4590" spans="3:10" hidden="1" x14ac:dyDescent="0.25">
      <c r="C4590" s="228"/>
      <c r="F4590" s="414">
        <v>443</v>
      </c>
      <c r="G4590" s="410" t="s">
        <v>3817</v>
      </c>
      <c r="J4590" s="595">
        <f t="shared" si="141"/>
        <v>0</v>
      </c>
    </row>
    <row r="4591" spans="3:10" hidden="1" x14ac:dyDescent="0.25">
      <c r="C4591" s="228"/>
      <c r="F4591" s="414">
        <v>444</v>
      </c>
      <c r="G4591" s="410" t="s">
        <v>3818</v>
      </c>
      <c r="J4591" s="595">
        <f t="shared" si="141"/>
        <v>0</v>
      </c>
    </row>
    <row r="4592" spans="3:10" ht="30" hidden="1" x14ac:dyDescent="0.25">
      <c r="C4592" s="228"/>
      <c r="F4592" s="414">
        <v>4511</v>
      </c>
      <c r="G4592" s="223" t="s">
        <v>1692</v>
      </c>
      <c r="J4592" s="595">
        <f t="shared" si="141"/>
        <v>0</v>
      </c>
    </row>
    <row r="4593" spans="3:10" ht="30" hidden="1" x14ac:dyDescent="0.25">
      <c r="C4593" s="228"/>
      <c r="F4593" s="414">
        <v>4512</v>
      </c>
      <c r="G4593" s="223" t="s">
        <v>1701</v>
      </c>
      <c r="J4593" s="595">
        <f t="shared" si="141"/>
        <v>0</v>
      </c>
    </row>
    <row r="4594" spans="3:10" hidden="1" x14ac:dyDescent="0.25">
      <c r="C4594" s="228"/>
      <c r="F4594" s="414">
        <v>452</v>
      </c>
      <c r="G4594" s="410" t="s">
        <v>4209</v>
      </c>
      <c r="J4594" s="595">
        <f t="shared" si="141"/>
        <v>0</v>
      </c>
    </row>
    <row r="4595" spans="3:10" hidden="1" x14ac:dyDescent="0.25">
      <c r="C4595" s="228"/>
      <c r="F4595" s="414">
        <v>453</v>
      </c>
      <c r="G4595" s="410" t="s">
        <v>4210</v>
      </c>
      <c r="J4595" s="595">
        <f t="shared" si="141"/>
        <v>0</v>
      </c>
    </row>
    <row r="4596" spans="3:10" hidden="1" x14ac:dyDescent="0.25">
      <c r="C4596" s="228"/>
      <c r="F4596" s="414">
        <v>454</v>
      </c>
      <c r="G4596" s="410" t="s">
        <v>3823</v>
      </c>
      <c r="J4596" s="595">
        <f t="shared" si="141"/>
        <v>0</v>
      </c>
    </row>
    <row r="4597" spans="3:10" hidden="1" x14ac:dyDescent="0.25">
      <c r="C4597" s="228"/>
      <c r="F4597" s="414">
        <v>461</v>
      </c>
      <c r="G4597" s="410" t="s">
        <v>4191</v>
      </c>
      <c r="J4597" s="595">
        <f t="shared" si="141"/>
        <v>0</v>
      </c>
    </row>
    <row r="4598" spans="3:10" hidden="1" x14ac:dyDescent="0.25">
      <c r="C4598" s="228"/>
      <c r="F4598" s="414">
        <v>462</v>
      </c>
      <c r="G4598" s="410" t="s">
        <v>3826</v>
      </c>
      <c r="J4598" s="595">
        <f t="shared" si="141"/>
        <v>0</v>
      </c>
    </row>
    <row r="4599" spans="3:10" hidden="1" x14ac:dyDescent="0.25">
      <c r="C4599" s="228"/>
      <c r="F4599" s="414">
        <v>4631</v>
      </c>
      <c r="G4599" s="410" t="s">
        <v>3827</v>
      </c>
      <c r="J4599" s="595">
        <f t="shared" si="141"/>
        <v>0</v>
      </c>
    </row>
    <row r="4600" spans="3:10" hidden="1" x14ac:dyDescent="0.25">
      <c r="C4600" s="228"/>
      <c r="F4600" s="414">
        <v>4632</v>
      </c>
      <c r="G4600" s="410" t="s">
        <v>3828</v>
      </c>
      <c r="J4600" s="595">
        <f t="shared" si="141"/>
        <v>0</v>
      </c>
    </row>
    <row r="4601" spans="3:10" hidden="1" x14ac:dyDescent="0.25">
      <c r="C4601" s="228"/>
      <c r="F4601" s="414">
        <v>464</v>
      </c>
      <c r="G4601" s="410" t="s">
        <v>3829</v>
      </c>
      <c r="J4601" s="595">
        <f t="shared" si="141"/>
        <v>0</v>
      </c>
    </row>
    <row r="4602" spans="3:10" hidden="1" x14ac:dyDescent="0.25">
      <c r="C4602" s="228"/>
      <c r="F4602" s="414">
        <v>465</v>
      </c>
      <c r="G4602" s="410" t="s">
        <v>4192</v>
      </c>
      <c r="J4602" s="595">
        <f t="shared" si="141"/>
        <v>0</v>
      </c>
    </row>
    <row r="4603" spans="3:10" hidden="1" x14ac:dyDescent="0.25">
      <c r="C4603" s="228"/>
      <c r="F4603" s="414">
        <v>472</v>
      </c>
      <c r="G4603" s="410" t="s">
        <v>3833</v>
      </c>
      <c r="J4603" s="595">
        <f t="shared" si="141"/>
        <v>0</v>
      </c>
    </row>
    <row r="4604" spans="3:10" hidden="1" x14ac:dyDescent="0.25">
      <c r="C4604" s="228"/>
      <c r="F4604" s="414">
        <v>481</v>
      </c>
      <c r="G4604" s="410" t="s">
        <v>4211</v>
      </c>
      <c r="J4604" s="595">
        <f t="shared" si="141"/>
        <v>0</v>
      </c>
    </row>
    <row r="4605" spans="3:10" hidden="1" x14ac:dyDescent="0.25">
      <c r="C4605" s="228"/>
      <c r="F4605" s="414">
        <v>482</v>
      </c>
      <c r="G4605" s="410" t="s">
        <v>4212</v>
      </c>
      <c r="J4605" s="595">
        <f t="shared" si="141"/>
        <v>0</v>
      </c>
    </row>
    <row r="4606" spans="3:10" hidden="1" x14ac:dyDescent="0.25">
      <c r="C4606" s="228"/>
      <c r="F4606" s="414">
        <v>483</v>
      </c>
      <c r="G4606" s="412" t="s">
        <v>4213</v>
      </c>
      <c r="J4606" s="595">
        <f t="shared" si="141"/>
        <v>0</v>
      </c>
    </row>
    <row r="4607" spans="3:10" ht="30" hidden="1" x14ac:dyDescent="0.25">
      <c r="C4607" s="228"/>
      <c r="F4607" s="414">
        <v>484</v>
      </c>
      <c r="G4607" s="410" t="s">
        <v>4214</v>
      </c>
      <c r="J4607" s="595">
        <f t="shared" si="141"/>
        <v>0</v>
      </c>
    </row>
    <row r="4608" spans="3:10" ht="30" hidden="1" x14ac:dyDescent="0.25">
      <c r="C4608" s="228"/>
      <c r="F4608" s="414">
        <v>485</v>
      </c>
      <c r="G4608" s="410" t="s">
        <v>4215</v>
      </c>
      <c r="J4608" s="595">
        <f t="shared" si="141"/>
        <v>0</v>
      </c>
    </row>
    <row r="4609" spans="3:10" ht="30" hidden="1" x14ac:dyDescent="0.25">
      <c r="C4609" s="228"/>
      <c r="F4609" s="414">
        <v>489</v>
      </c>
      <c r="G4609" s="410" t="s">
        <v>3841</v>
      </c>
      <c r="J4609" s="595">
        <f t="shared" si="141"/>
        <v>0</v>
      </c>
    </row>
    <row r="4610" spans="3:10" hidden="1" x14ac:dyDescent="0.25">
      <c r="C4610" s="228"/>
      <c r="F4610" s="414">
        <v>494</v>
      </c>
      <c r="G4610" s="410" t="s">
        <v>4193</v>
      </c>
      <c r="J4610" s="595">
        <f t="shared" si="141"/>
        <v>0</v>
      </c>
    </row>
    <row r="4611" spans="3:10" ht="30" hidden="1" x14ac:dyDescent="0.25">
      <c r="C4611" s="228"/>
      <c r="F4611" s="414">
        <v>495</v>
      </c>
      <c r="G4611" s="410" t="s">
        <v>4194</v>
      </c>
      <c r="J4611" s="595">
        <f t="shared" si="141"/>
        <v>0</v>
      </c>
    </row>
    <row r="4612" spans="3:10" ht="30" hidden="1" x14ac:dyDescent="0.25">
      <c r="C4612" s="228"/>
      <c r="F4612" s="414">
        <v>496</v>
      </c>
      <c r="G4612" s="410" t="s">
        <v>4195</v>
      </c>
      <c r="J4612" s="595">
        <f t="shared" si="141"/>
        <v>0</v>
      </c>
    </row>
    <row r="4613" spans="3:10" hidden="1" x14ac:dyDescent="0.25">
      <c r="C4613" s="228"/>
      <c r="F4613" s="414">
        <v>499</v>
      </c>
      <c r="G4613" s="410" t="s">
        <v>4196</v>
      </c>
      <c r="J4613" s="595">
        <f t="shared" si="141"/>
        <v>0</v>
      </c>
    </row>
    <row r="4614" spans="3:10" hidden="1" x14ac:dyDescent="0.25">
      <c r="C4614" s="228"/>
      <c r="F4614" s="414">
        <v>511</v>
      </c>
      <c r="G4614" s="412" t="s">
        <v>4216</v>
      </c>
      <c r="J4614" s="595">
        <f t="shared" si="141"/>
        <v>0</v>
      </c>
    </row>
    <row r="4615" spans="3:10" hidden="1" x14ac:dyDescent="0.25">
      <c r="C4615" s="228"/>
      <c r="F4615" s="414">
        <v>512</v>
      </c>
      <c r="G4615" s="412" t="s">
        <v>4217</v>
      </c>
      <c r="J4615" s="595">
        <f t="shared" si="141"/>
        <v>0</v>
      </c>
    </row>
    <row r="4616" spans="3:10" hidden="1" x14ac:dyDescent="0.25">
      <c r="C4616" s="228"/>
      <c r="F4616" s="414">
        <v>513</v>
      </c>
      <c r="G4616" s="412" t="s">
        <v>4218</v>
      </c>
      <c r="J4616" s="595">
        <f t="shared" si="141"/>
        <v>0</v>
      </c>
    </row>
    <row r="4617" spans="3:10" hidden="1" x14ac:dyDescent="0.25">
      <c r="C4617" s="228"/>
      <c r="F4617" s="414">
        <v>514</v>
      </c>
      <c r="G4617" s="410" t="s">
        <v>4219</v>
      </c>
      <c r="J4617" s="595">
        <f t="shared" si="141"/>
        <v>0</v>
      </c>
    </row>
    <row r="4618" spans="3:10" hidden="1" x14ac:dyDescent="0.25">
      <c r="C4618" s="228"/>
      <c r="F4618" s="414">
        <v>515</v>
      </c>
      <c r="G4618" s="410" t="s">
        <v>3852</v>
      </c>
      <c r="J4618" s="595">
        <f t="shared" si="141"/>
        <v>0</v>
      </c>
    </row>
    <row r="4619" spans="3:10" hidden="1" x14ac:dyDescent="0.25">
      <c r="C4619" s="228"/>
      <c r="F4619" s="414">
        <v>521</v>
      </c>
      <c r="G4619" s="410" t="s">
        <v>4220</v>
      </c>
      <c r="J4619" s="595">
        <f t="shared" si="141"/>
        <v>0</v>
      </c>
    </row>
    <row r="4620" spans="3:10" hidden="1" x14ac:dyDescent="0.25">
      <c r="C4620" s="228"/>
      <c r="F4620" s="414">
        <v>522</v>
      </c>
      <c r="G4620" s="410" t="s">
        <v>4221</v>
      </c>
      <c r="J4620" s="595">
        <f t="shared" si="141"/>
        <v>0</v>
      </c>
    </row>
    <row r="4621" spans="3:10" hidden="1" x14ac:dyDescent="0.25">
      <c r="C4621" s="228"/>
      <c r="F4621" s="414">
        <v>523</v>
      </c>
      <c r="G4621" s="410" t="s">
        <v>3857</v>
      </c>
      <c r="J4621" s="595">
        <f t="shared" si="141"/>
        <v>0</v>
      </c>
    </row>
    <row r="4622" spans="3:10" hidden="1" x14ac:dyDescent="0.25">
      <c r="C4622" s="228"/>
      <c r="F4622" s="414">
        <v>531</v>
      </c>
      <c r="G4622" s="407" t="s">
        <v>4197</v>
      </c>
      <c r="J4622" s="595">
        <f t="shared" si="141"/>
        <v>0</v>
      </c>
    </row>
    <row r="4623" spans="3:10" hidden="1" x14ac:dyDescent="0.25">
      <c r="C4623" s="228"/>
      <c r="F4623" s="414">
        <v>541</v>
      </c>
      <c r="G4623" s="410" t="s">
        <v>4222</v>
      </c>
      <c r="J4623" s="595">
        <f t="shared" si="141"/>
        <v>0</v>
      </c>
    </row>
    <row r="4624" spans="3:10" hidden="1" x14ac:dyDescent="0.25">
      <c r="C4624" s="228"/>
      <c r="F4624" s="414">
        <v>542</v>
      </c>
      <c r="G4624" s="410" t="s">
        <v>4223</v>
      </c>
      <c r="J4624" s="595">
        <f t="shared" si="141"/>
        <v>0</v>
      </c>
    </row>
    <row r="4625" spans="3:10" hidden="1" x14ac:dyDescent="0.25">
      <c r="C4625" s="228"/>
      <c r="F4625" s="414">
        <v>543</v>
      </c>
      <c r="G4625" s="410" t="s">
        <v>3862</v>
      </c>
      <c r="J4625" s="595">
        <f t="shared" si="141"/>
        <v>0</v>
      </c>
    </row>
    <row r="4626" spans="3:10" ht="30" hidden="1" x14ac:dyDescent="0.25">
      <c r="C4626" s="228"/>
      <c r="F4626" s="414">
        <v>551</v>
      </c>
      <c r="G4626" s="410" t="s">
        <v>4198</v>
      </c>
      <c r="J4626" s="595">
        <f t="shared" si="141"/>
        <v>0</v>
      </c>
    </row>
    <row r="4627" spans="3:10" hidden="1" x14ac:dyDescent="0.25">
      <c r="C4627" s="228"/>
      <c r="F4627" s="415">
        <v>611</v>
      </c>
      <c r="G4627" s="413" t="s">
        <v>3868</v>
      </c>
      <c r="J4627" s="595">
        <f t="shared" si="141"/>
        <v>0</v>
      </c>
    </row>
    <row r="4628" spans="3:10" ht="15.75" hidden="1" thickBot="1" x14ac:dyDescent="0.3">
      <c r="C4628" s="228"/>
      <c r="F4628" s="415">
        <v>620</v>
      </c>
      <c r="G4628" s="413" t="s">
        <v>88</v>
      </c>
      <c r="J4628" s="595">
        <f t="shared" si="141"/>
        <v>0</v>
      </c>
    </row>
    <row r="4629" spans="3:10" hidden="1" x14ac:dyDescent="0.25">
      <c r="C4629" s="228"/>
      <c r="E4629" s="408"/>
      <c r="F4629" s="415"/>
      <c r="G4629" s="326" t="s">
        <v>4395</v>
      </c>
      <c r="H4629" s="596"/>
      <c r="I4629" s="622"/>
      <c r="J4629" s="597"/>
    </row>
    <row r="4630" spans="3:10" ht="15.75" hidden="1" thickBot="1" x14ac:dyDescent="0.3">
      <c r="C4630" s="228"/>
      <c r="E4630" s="222"/>
      <c r="F4630" s="249" t="s">
        <v>234</v>
      </c>
      <c r="G4630" s="252" t="s">
        <v>235</v>
      </c>
      <c r="H4630" s="598">
        <f>SUM(H4569:H4628)</f>
        <v>0</v>
      </c>
      <c r="I4630" s="599"/>
      <c r="J4630" s="599">
        <f>SUM(H4630:I4630)</f>
        <v>0</v>
      </c>
    </row>
    <row r="4631" spans="3:10" hidden="1" x14ac:dyDescent="0.25">
      <c r="C4631" s="228"/>
      <c r="F4631" s="249" t="s">
        <v>236</v>
      </c>
      <c r="G4631" s="252" t="s">
        <v>237</v>
      </c>
      <c r="J4631" s="599">
        <f t="shared" ref="J4631:J4645" si="142">SUM(H4631:I4631)</f>
        <v>0</v>
      </c>
    </row>
    <row r="4632" spans="3:10" hidden="1" x14ac:dyDescent="0.25">
      <c r="C4632" s="228"/>
      <c r="F4632" s="249" t="s">
        <v>238</v>
      </c>
      <c r="G4632" s="252" t="s">
        <v>239</v>
      </c>
      <c r="J4632" s="599">
        <f t="shared" si="142"/>
        <v>0</v>
      </c>
    </row>
    <row r="4633" spans="3:10" hidden="1" x14ac:dyDescent="0.25">
      <c r="C4633" s="228"/>
      <c r="F4633" s="249" t="s">
        <v>240</v>
      </c>
      <c r="G4633" s="252" t="s">
        <v>241</v>
      </c>
      <c r="J4633" s="599">
        <f t="shared" si="142"/>
        <v>0</v>
      </c>
    </row>
    <row r="4634" spans="3:10" hidden="1" x14ac:dyDescent="0.25">
      <c r="C4634" s="228"/>
      <c r="F4634" s="249" t="s">
        <v>242</v>
      </c>
      <c r="G4634" s="252" t="s">
        <v>243</v>
      </c>
      <c r="J4634" s="599">
        <f t="shared" si="142"/>
        <v>0</v>
      </c>
    </row>
    <row r="4635" spans="3:10" hidden="1" x14ac:dyDescent="0.25">
      <c r="C4635" s="228"/>
      <c r="F4635" s="249" t="s">
        <v>244</v>
      </c>
      <c r="G4635" s="252" t="s">
        <v>245</v>
      </c>
      <c r="J4635" s="599">
        <f t="shared" si="142"/>
        <v>0</v>
      </c>
    </row>
    <row r="4636" spans="3:10" hidden="1" x14ac:dyDescent="0.25">
      <c r="C4636" s="228"/>
      <c r="F4636" s="249" t="s">
        <v>246</v>
      </c>
      <c r="G4636" s="252" t="s">
        <v>247</v>
      </c>
      <c r="J4636" s="599">
        <f t="shared" si="142"/>
        <v>0</v>
      </c>
    </row>
    <row r="4637" spans="3:10" hidden="1" x14ac:dyDescent="0.25">
      <c r="C4637" s="228"/>
      <c r="F4637" s="249" t="s">
        <v>248</v>
      </c>
      <c r="G4637" s="252" t="s">
        <v>249</v>
      </c>
      <c r="J4637" s="599">
        <f t="shared" si="142"/>
        <v>0</v>
      </c>
    </row>
    <row r="4638" spans="3:10" hidden="1" x14ac:dyDescent="0.25">
      <c r="C4638" s="228"/>
      <c r="F4638" s="249" t="s">
        <v>250</v>
      </c>
      <c r="G4638" s="252" t="s">
        <v>57</v>
      </c>
      <c r="J4638" s="599">
        <f t="shared" si="142"/>
        <v>0</v>
      </c>
    </row>
    <row r="4639" spans="3:10" hidden="1" x14ac:dyDescent="0.25">
      <c r="C4639" s="228"/>
      <c r="F4639" s="249" t="s">
        <v>251</v>
      </c>
      <c r="G4639" s="252" t="s">
        <v>252</v>
      </c>
      <c r="J4639" s="599">
        <f t="shared" si="142"/>
        <v>0</v>
      </c>
    </row>
    <row r="4640" spans="3:10" hidden="1" x14ac:dyDescent="0.25">
      <c r="C4640" s="228"/>
      <c r="F4640" s="249" t="s">
        <v>253</v>
      </c>
      <c r="G4640" s="252" t="s">
        <v>254</v>
      </c>
      <c r="J4640" s="599">
        <f t="shared" si="142"/>
        <v>0</v>
      </c>
    </row>
    <row r="4641" spans="3:10" ht="30" hidden="1" x14ac:dyDescent="0.25">
      <c r="C4641" s="228"/>
      <c r="F4641" s="249" t="s">
        <v>255</v>
      </c>
      <c r="G4641" s="252" t="s">
        <v>256</v>
      </c>
      <c r="J4641" s="599">
        <f t="shared" si="142"/>
        <v>0</v>
      </c>
    </row>
    <row r="4642" spans="3:10" hidden="1" x14ac:dyDescent="0.25">
      <c r="C4642" s="228"/>
      <c r="F4642" s="249" t="s">
        <v>257</v>
      </c>
      <c r="G4642" s="252" t="s">
        <v>258</v>
      </c>
      <c r="J4642" s="599">
        <f t="shared" si="142"/>
        <v>0</v>
      </c>
    </row>
    <row r="4643" spans="3:10" ht="30" hidden="1" x14ac:dyDescent="0.25">
      <c r="C4643" s="228"/>
      <c r="F4643" s="249" t="s">
        <v>259</v>
      </c>
      <c r="G4643" s="252" t="s">
        <v>260</v>
      </c>
      <c r="J4643" s="599">
        <f t="shared" si="142"/>
        <v>0</v>
      </c>
    </row>
    <row r="4644" spans="3:10" hidden="1" x14ac:dyDescent="0.25">
      <c r="C4644" s="228"/>
      <c r="F4644" s="249" t="s">
        <v>261</v>
      </c>
      <c r="G4644" s="252" t="s">
        <v>262</v>
      </c>
      <c r="J4644" s="599">
        <f t="shared" si="142"/>
        <v>0</v>
      </c>
    </row>
    <row r="4645" spans="3:10" ht="15.75" hidden="1" thickBot="1" x14ac:dyDescent="0.3">
      <c r="C4645" s="228"/>
      <c r="F4645" s="249" t="s">
        <v>263</v>
      </c>
      <c r="G4645" s="252" t="s">
        <v>264</v>
      </c>
      <c r="H4645" s="598"/>
      <c r="I4645" s="599"/>
      <c r="J4645" s="599">
        <f t="shared" si="142"/>
        <v>0</v>
      </c>
    </row>
    <row r="4646" spans="3:10" ht="15.75" hidden="1" thickBot="1" x14ac:dyDescent="0.3">
      <c r="C4646" s="228"/>
      <c r="G4646" s="229" t="s">
        <v>4334</v>
      </c>
      <c r="H4646" s="600">
        <f>SUM(H4630:H4645)</f>
        <v>0</v>
      </c>
      <c r="I4646" s="601">
        <f>SUM(I4631:I4645)</f>
        <v>0</v>
      </c>
      <c r="J4646" s="601">
        <f>SUM(J4630:J4645)</f>
        <v>0</v>
      </c>
    </row>
    <row r="4647" spans="3:10" ht="28.5" hidden="1" collapsed="1" x14ac:dyDescent="0.25">
      <c r="C4647" s="228"/>
      <c r="E4647" s="408"/>
      <c r="F4647" s="415"/>
      <c r="G4647" s="231" t="s">
        <v>4398</v>
      </c>
      <c r="H4647" s="602"/>
      <c r="I4647" s="623"/>
      <c r="J4647" s="603"/>
    </row>
    <row r="4648" spans="3:10" ht="15.75" hidden="1" thickBot="1" x14ac:dyDescent="0.3">
      <c r="C4648" s="228"/>
      <c r="E4648" s="222"/>
      <c r="F4648" s="249" t="s">
        <v>234</v>
      </c>
      <c r="G4648" s="252" t="s">
        <v>235</v>
      </c>
      <c r="H4648" s="598">
        <f>SUM(H4569:H4628)</f>
        <v>0</v>
      </c>
      <c r="I4648" s="599"/>
      <c r="J4648" s="599">
        <f>SUM(H4648:I4648)</f>
        <v>0</v>
      </c>
    </row>
    <row r="4649" spans="3:10" hidden="1" x14ac:dyDescent="0.25">
      <c r="C4649" s="228"/>
      <c r="F4649" s="249" t="s">
        <v>236</v>
      </c>
      <c r="G4649" s="252" t="s">
        <v>237</v>
      </c>
      <c r="J4649" s="599">
        <f t="shared" ref="J4649:J4663" si="143">SUM(H4649:I4649)</f>
        <v>0</v>
      </c>
    </row>
    <row r="4650" spans="3:10" hidden="1" x14ac:dyDescent="0.25">
      <c r="C4650" s="228"/>
      <c r="F4650" s="249" t="s">
        <v>238</v>
      </c>
      <c r="G4650" s="252" t="s">
        <v>239</v>
      </c>
      <c r="J4650" s="599">
        <f t="shared" si="143"/>
        <v>0</v>
      </c>
    </row>
    <row r="4651" spans="3:10" hidden="1" x14ac:dyDescent="0.25">
      <c r="C4651" s="228"/>
      <c r="F4651" s="249" t="s">
        <v>240</v>
      </c>
      <c r="G4651" s="252" t="s">
        <v>241</v>
      </c>
      <c r="J4651" s="599">
        <f t="shared" si="143"/>
        <v>0</v>
      </c>
    </row>
    <row r="4652" spans="3:10" hidden="1" x14ac:dyDescent="0.25">
      <c r="C4652" s="228"/>
      <c r="F4652" s="249" t="s">
        <v>242</v>
      </c>
      <c r="G4652" s="252" t="s">
        <v>243</v>
      </c>
      <c r="J4652" s="599">
        <f t="shared" si="143"/>
        <v>0</v>
      </c>
    </row>
    <row r="4653" spans="3:10" hidden="1" x14ac:dyDescent="0.25">
      <c r="C4653" s="228"/>
      <c r="F4653" s="249" t="s">
        <v>244</v>
      </c>
      <c r="G4653" s="252" t="s">
        <v>245</v>
      </c>
      <c r="J4653" s="599">
        <f t="shared" si="143"/>
        <v>0</v>
      </c>
    </row>
    <row r="4654" spans="3:10" hidden="1" x14ac:dyDescent="0.25">
      <c r="C4654" s="228"/>
      <c r="F4654" s="249" t="s">
        <v>246</v>
      </c>
      <c r="G4654" s="252" t="s">
        <v>247</v>
      </c>
      <c r="J4654" s="599">
        <f t="shared" si="143"/>
        <v>0</v>
      </c>
    </row>
    <row r="4655" spans="3:10" hidden="1" x14ac:dyDescent="0.25">
      <c r="C4655" s="228"/>
      <c r="F4655" s="249" t="s">
        <v>248</v>
      </c>
      <c r="G4655" s="252" t="s">
        <v>249</v>
      </c>
      <c r="J4655" s="599">
        <f t="shared" si="143"/>
        <v>0</v>
      </c>
    </row>
    <row r="4656" spans="3:10" hidden="1" x14ac:dyDescent="0.25">
      <c r="C4656" s="228"/>
      <c r="F4656" s="249" t="s">
        <v>250</v>
      </c>
      <c r="G4656" s="252" t="s">
        <v>57</v>
      </c>
      <c r="J4656" s="599">
        <f t="shared" si="143"/>
        <v>0</v>
      </c>
    </row>
    <row r="4657" spans="1:25" hidden="1" x14ac:dyDescent="0.25">
      <c r="C4657" s="228"/>
      <c r="F4657" s="249" t="s">
        <v>251</v>
      </c>
      <c r="G4657" s="252" t="s">
        <v>252</v>
      </c>
      <c r="J4657" s="599">
        <f t="shared" si="143"/>
        <v>0</v>
      </c>
    </row>
    <row r="4658" spans="1:25" hidden="1" x14ac:dyDescent="0.25">
      <c r="C4658" s="228"/>
      <c r="F4658" s="249" t="s">
        <v>253</v>
      </c>
      <c r="G4658" s="252" t="s">
        <v>254</v>
      </c>
      <c r="J4658" s="599">
        <f t="shared" si="143"/>
        <v>0</v>
      </c>
    </row>
    <row r="4659" spans="1:25" ht="30" hidden="1" x14ac:dyDescent="0.25">
      <c r="C4659" s="228"/>
      <c r="F4659" s="249" t="s">
        <v>255</v>
      </c>
      <c r="G4659" s="252" t="s">
        <v>256</v>
      </c>
      <c r="J4659" s="599">
        <f t="shared" si="143"/>
        <v>0</v>
      </c>
    </row>
    <row r="4660" spans="1:25" hidden="1" x14ac:dyDescent="0.25">
      <c r="C4660" s="228"/>
      <c r="F4660" s="249" t="s">
        <v>257</v>
      </c>
      <c r="G4660" s="252" t="s">
        <v>258</v>
      </c>
      <c r="J4660" s="599">
        <f t="shared" si="143"/>
        <v>0</v>
      </c>
    </row>
    <row r="4661" spans="1:25" ht="30" hidden="1" x14ac:dyDescent="0.25">
      <c r="C4661" s="228"/>
      <c r="F4661" s="249" t="s">
        <v>259</v>
      </c>
      <c r="G4661" s="252" t="s">
        <v>260</v>
      </c>
      <c r="J4661" s="599">
        <f t="shared" si="143"/>
        <v>0</v>
      </c>
    </row>
    <row r="4662" spans="1:25" hidden="1" x14ac:dyDescent="0.25">
      <c r="C4662" s="228"/>
      <c r="F4662" s="249" t="s">
        <v>261</v>
      </c>
      <c r="G4662" s="252" t="s">
        <v>262</v>
      </c>
      <c r="J4662" s="599">
        <f t="shared" si="143"/>
        <v>0</v>
      </c>
    </row>
    <row r="4663" spans="1:25" ht="15.75" hidden="1" thickBot="1" x14ac:dyDescent="0.3">
      <c r="C4663" s="228"/>
      <c r="F4663" s="249" t="s">
        <v>263</v>
      </c>
      <c r="G4663" s="252" t="s">
        <v>264</v>
      </c>
      <c r="H4663" s="598"/>
      <c r="I4663" s="599"/>
      <c r="J4663" s="599">
        <f t="shared" si="143"/>
        <v>0</v>
      </c>
    </row>
    <row r="4664" spans="1:25" ht="15.75" hidden="1" collapsed="1" thickBot="1" x14ac:dyDescent="0.3">
      <c r="C4664" s="228"/>
      <c r="G4664" s="229" t="s">
        <v>4399</v>
      </c>
      <c r="H4664" s="600">
        <f>SUM(H4648:H4663)</f>
        <v>0</v>
      </c>
      <c r="I4664" s="601">
        <f>SUM(I4649:I4663)</f>
        <v>0</v>
      </c>
      <c r="J4664" s="601">
        <f>SUM(J4648:J4663)</f>
        <v>0</v>
      </c>
    </row>
    <row r="4665" spans="1:25" hidden="1" x14ac:dyDescent="0.25">
      <c r="C4665" s="228"/>
      <c r="G4665" s="409"/>
    </row>
    <row r="4666" spans="1:25" hidden="1" x14ac:dyDescent="0.25">
      <c r="C4666" s="228" t="s">
        <v>4152</v>
      </c>
      <c r="G4666" s="419" t="s">
        <v>4153</v>
      </c>
    </row>
    <row r="4667" spans="1:25" s="88" customFormat="1" hidden="1" x14ac:dyDescent="0.25">
      <c r="A4667" s="421"/>
      <c r="B4667" s="256"/>
      <c r="C4667" s="265"/>
      <c r="D4667" s="334" t="s">
        <v>4029</v>
      </c>
      <c r="E4667" s="329"/>
      <c r="F4667" s="329"/>
      <c r="G4667" s="330" t="s">
        <v>206</v>
      </c>
      <c r="H4667" s="611"/>
      <c r="I4667" s="612"/>
      <c r="J4667" s="612"/>
      <c r="K4667" s="533"/>
      <c r="L4667" s="533"/>
      <c r="M4667" s="533"/>
      <c r="N4667" s="533"/>
      <c r="O4667" s="533"/>
      <c r="P4667" s="533"/>
      <c r="Q4667" s="533"/>
      <c r="R4667" s="533"/>
      <c r="S4667" s="533"/>
      <c r="T4667" s="533"/>
      <c r="U4667" s="533"/>
      <c r="V4667" s="533"/>
      <c r="W4667" s="533"/>
      <c r="X4667" s="533"/>
      <c r="Y4667" s="533"/>
    </row>
    <row r="4668" spans="1:25" hidden="1" x14ac:dyDescent="0.25">
      <c r="F4668" s="424">
        <v>411</v>
      </c>
      <c r="G4668" s="420" t="s">
        <v>4189</v>
      </c>
      <c r="J4668" s="595">
        <f>SUM(H4668:I4668)</f>
        <v>0</v>
      </c>
    </row>
    <row r="4669" spans="1:25" hidden="1" x14ac:dyDescent="0.25">
      <c r="F4669" s="424">
        <v>412</v>
      </c>
      <c r="G4669" s="417" t="s">
        <v>3784</v>
      </c>
      <c r="J4669" s="595">
        <f t="shared" ref="J4669:J4727" si="144">SUM(H4669:I4669)</f>
        <v>0</v>
      </c>
    </row>
    <row r="4670" spans="1:25" hidden="1" x14ac:dyDescent="0.25">
      <c r="F4670" s="424">
        <v>413</v>
      </c>
      <c r="G4670" s="420" t="s">
        <v>4190</v>
      </c>
      <c r="J4670" s="595">
        <f t="shared" si="144"/>
        <v>0</v>
      </c>
    </row>
    <row r="4671" spans="1:25" hidden="1" x14ac:dyDescent="0.25">
      <c r="F4671" s="424">
        <v>414</v>
      </c>
      <c r="G4671" s="420" t="s">
        <v>3787</v>
      </c>
      <c r="J4671" s="595">
        <f t="shared" si="144"/>
        <v>0</v>
      </c>
    </row>
    <row r="4672" spans="1:25" hidden="1" x14ac:dyDescent="0.25">
      <c r="F4672" s="424">
        <v>415</v>
      </c>
      <c r="G4672" s="420" t="s">
        <v>4199</v>
      </c>
      <c r="J4672" s="595">
        <f t="shared" si="144"/>
        <v>0</v>
      </c>
    </row>
    <row r="4673" spans="6:10" hidden="1" x14ac:dyDescent="0.25">
      <c r="F4673" s="424">
        <v>416</v>
      </c>
      <c r="G4673" s="420" t="s">
        <v>4200</v>
      </c>
      <c r="J4673" s="595">
        <f t="shared" si="144"/>
        <v>0</v>
      </c>
    </row>
    <row r="4674" spans="6:10" hidden="1" x14ac:dyDescent="0.25">
      <c r="F4674" s="424">
        <v>417</v>
      </c>
      <c r="G4674" s="420" t="s">
        <v>4201</v>
      </c>
      <c r="J4674" s="595">
        <f t="shared" si="144"/>
        <v>0</v>
      </c>
    </row>
    <row r="4675" spans="6:10" hidden="1" x14ac:dyDescent="0.25">
      <c r="F4675" s="424">
        <v>418</v>
      </c>
      <c r="G4675" s="420" t="s">
        <v>3793</v>
      </c>
      <c r="J4675" s="595">
        <f t="shared" si="144"/>
        <v>0</v>
      </c>
    </row>
    <row r="4676" spans="6:10" hidden="1" x14ac:dyDescent="0.25">
      <c r="F4676" s="424">
        <v>421</v>
      </c>
      <c r="G4676" s="420" t="s">
        <v>3797</v>
      </c>
      <c r="J4676" s="595">
        <f t="shared" si="144"/>
        <v>0</v>
      </c>
    </row>
    <row r="4677" spans="6:10" hidden="1" x14ac:dyDescent="0.25">
      <c r="F4677" s="424">
        <v>422</v>
      </c>
      <c r="G4677" s="420" t="s">
        <v>3798</v>
      </c>
      <c r="J4677" s="595">
        <f t="shared" si="144"/>
        <v>0</v>
      </c>
    </row>
    <row r="4678" spans="6:10" hidden="1" x14ac:dyDescent="0.25">
      <c r="F4678" s="424">
        <v>423</v>
      </c>
      <c r="G4678" s="420" t="s">
        <v>3799</v>
      </c>
      <c r="J4678" s="595">
        <f t="shared" si="144"/>
        <v>0</v>
      </c>
    </row>
    <row r="4679" spans="6:10" hidden="1" x14ac:dyDescent="0.25">
      <c r="F4679" s="424">
        <v>424</v>
      </c>
      <c r="G4679" s="420" t="s">
        <v>3801</v>
      </c>
      <c r="J4679" s="595">
        <f t="shared" si="144"/>
        <v>0</v>
      </c>
    </row>
    <row r="4680" spans="6:10" hidden="1" x14ac:dyDescent="0.25">
      <c r="F4680" s="424">
        <v>425</v>
      </c>
      <c r="G4680" s="420" t="s">
        <v>4202</v>
      </c>
      <c r="J4680" s="595">
        <f t="shared" si="144"/>
        <v>0</v>
      </c>
    </row>
    <row r="4681" spans="6:10" ht="15.75" hidden="1" thickBot="1" x14ac:dyDescent="0.3">
      <c r="F4681" s="424">
        <v>426</v>
      </c>
      <c r="G4681" s="420" t="s">
        <v>3805</v>
      </c>
      <c r="J4681" s="595">
        <f t="shared" si="144"/>
        <v>0</v>
      </c>
    </row>
    <row r="4682" spans="6:10" hidden="1" x14ac:dyDescent="0.25">
      <c r="F4682" s="424">
        <v>431</v>
      </c>
      <c r="G4682" s="420" t="s">
        <v>4203</v>
      </c>
      <c r="J4682" s="595">
        <f t="shared" si="144"/>
        <v>0</v>
      </c>
    </row>
    <row r="4683" spans="6:10" hidden="1" x14ac:dyDescent="0.25">
      <c r="F4683" s="424">
        <v>432</v>
      </c>
      <c r="G4683" s="420" t="s">
        <v>4204</v>
      </c>
      <c r="J4683" s="595">
        <f t="shared" si="144"/>
        <v>0</v>
      </c>
    </row>
    <row r="4684" spans="6:10" hidden="1" x14ac:dyDescent="0.25">
      <c r="F4684" s="424">
        <v>433</v>
      </c>
      <c r="G4684" s="420" t="s">
        <v>4205</v>
      </c>
      <c r="J4684" s="595">
        <f t="shared" si="144"/>
        <v>0</v>
      </c>
    </row>
    <row r="4685" spans="6:10" hidden="1" x14ac:dyDescent="0.25">
      <c r="F4685" s="424">
        <v>434</v>
      </c>
      <c r="G4685" s="420" t="s">
        <v>4206</v>
      </c>
      <c r="J4685" s="595">
        <f t="shared" si="144"/>
        <v>0</v>
      </c>
    </row>
    <row r="4686" spans="6:10" hidden="1" x14ac:dyDescent="0.25">
      <c r="F4686" s="424">
        <v>435</v>
      </c>
      <c r="G4686" s="420" t="s">
        <v>3812</v>
      </c>
      <c r="J4686" s="595">
        <f t="shared" si="144"/>
        <v>0</v>
      </c>
    </row>
    <row r="4687" spans="6:10" hidden="1" x14ac:dyDescent="0.25">
      <c r="F4687" s="424">
        <v>441</v>
      </c>
      <c r="G4687" s="420" t="s">
        <v>4207</v>
      </c>
      <c r="J4687" s="595">
        <f t="shared" si="144"/>
        <v>0</v>
      </c>
    </row>
    <row r="4688" spans="6:10" hidden="1" x14ac:dyDescent="0.25">
      <c r="F4688" s="424">
        <v>442</v>
      </c>
      <c r="G4688" s="420" t="s">
        <v>4208</v>
      </c>
      <c r="J4688" s="595">
        <f t="shared" si="144"/>
        <v>0</v>
      </c>
    </row>
    <row r="4689" spans="6:10" hidden="1" x14ac:dyDescent="0.25">
      <c r="F4689" s="424">
        <v>443</v>
      </c>
      <c r="G4689" s="420" t="s">
        <v>3817</v>
      </c>
      <c r="J4689" s="595">
        <f t="shared" si="144"/>
        <v>0</v>
      </c>
    </row>
    <row r="4690" spans="6:10" hidden="1" x14ac:dyDescent="0.25">
      <c r="F4690" s="424">
        <v>444</v>
      </c>
      <c r="G4690" s="420" t="s">
        <v>3818</v>
      </c>
      <c r="J4690" s="595">
        <f t="shared" si="144"/>
        <v>0</v>
      </c>
    </row>
    <row r="4691" spans="6:10" ht="30" hidden="1" x14ac:dyDescent="0.25">
      <c r="F4691" s="424">
        <v>4511</v>
      </c>
      <c r="G4691" s="223" t="s">
        <v>1692</v>
      </c>
      <c r="J4691" s="595">
        <f t="shared" si="144"/>
        <v>0</v>
      </c>
    </row>
    <row r="4692" spans="6:10" ht="30" hidden="1" x14ac:dyDescent="0.25">
      <c r="F4692" s="424">
        <v>4512</v>
      </c>
      <c r="G4692" s="223" t="s">
        <v>1701</v>
      </c>
      <c r="J4692" s="595">
        <f t="shared" si="144"/>
        <v>0</v>
      </c>
    </row>
    <row r="4693" spans="6:10" hidden="1" x14ac:dyDescent="0.25">
      <c r="F4693" s="424">
        <v>452</v>
      </c>
      <c r="G4693" s="420" t="s">
        <v>4209</v>
      </c>
      <c r="J4693" s="595">
        <f t="shared" si="144"/>
        <v>0</v>
      </c>
    </row>
    <row r="4694" spans="6:10" hidden="1" x14ac:dyDescent="0.25">
      <c r="F4694" s="424">
        <v>453</v>
      </c>
      <c r="G4694" s="420" t="s">
        <v>4210</v>
      </c>
      <c r="J4694" s="595">
        <f t="shared" si="144"/>
        <v>0</v>
      </c>
    </row>
    <row r="4695" spans="6:10" hidden="1" x14ac:dyDescent="0.25">
      <c r="F4695" s="424">
        <v>454</v>
      </c>
      <c r="G4695" s="420" t="s">
        <v>3823</v>
      </c>
      <c r="J4695" s="595">
        <f t="shared" si="144"/>
        <v>0</v>
      </c>
    </row>
    <row r="4696" spans="6:10" hidden="1" x14ac:dyDescent="0.25">
      <c r="F4696" s="424">
        <v>461</v>
      </c>
      <c r="G4696" s="420" t="s">
        <v>4191</v>
      </c>
      <c r="J4696" s="595">
        <f t="shared" si="144"/>
        <v>0</v>
      </c>
    </row>
    <row r="4697" spans="6:10" hidden="1" x14ac:dyDescent="0.25">
      <c r="F4697" s="424">
        <v>462</v>
      </c>
      <c r="G4697" s="420" t="s">
        <v>3826</v>
      </c>
      <c r="J4697" s="595">
        <f t="shared" si="144"/>
        <v>0</v>
      </c>
    </row>
    <row r="4698" spans="6:10" hidden="1" x14ac:dyDescent="0.25">
      <c r="F4698" s="424">
        <v>4631</v>
      </c>
      <c r="G4698" s="420" t="s">
        <v>3827</v>
      </c>
      <c r="J4698" s="595">
        <f t="shared" si="144"/>
        <v>0</v>
      </c>
    </row>
    <row r="4699" spans="6:10" hidden="1" x14ac:dyDescent="0.25">
      <c r="F4699" s="424">
        <v>4632</v>
      </c>
      <c r="G4699" s="420" t="s">
        <v>3828</v>
      </c>
      <c r="J4699" s="595">
        <f t="shared" si="144"/>
        <v>0</v>
      </c>
    </row>
    <row r="4700" spans="6:10" hidden="1" x14ac:dyDescent="0.25">
      <c r="F4700" s="424">
        <v>464</v>
      </c>
      <c r="G4700" s="420" t="s">
        <v>3829</v>
      </c>
      <c r="J4700" s="595">
        <f t="shared" si="144"/>
        <v>0</v>
      </c>
    </row>
    <row r="4701" spans="6:10" hidden="1" x14ac:dyDescent="0.25">
      <c r="F4701" s="424">
        <v>465</v>
      </c>
      <c r="G4701" s="420" t="s">
        <v>4192</v>
      </c>
      <c r="J4701" s="595">
        <f t="shared" si="144"/>
        <v>0</v>
      </c>
    </row>
    <row r="4702" spans="6:10" hidden="1" x14ac:dyDescent="0.25">
      <c r="F4702" s="424">
        <v>472</v>
      </c>
      <c r="G4702" s="420" t="s">
        <v>3833</v>
      </c>
      <c r="J4702" s="595">
        <f t="shared" si="144"/>
        <v>0</v>
      </c>
    </row>
    <row r="4703" spans="6:10" hidden="1" x14ac:dyDescent="0.25">
      <c r="F4703" s="424">
        <v>481</v>
      </c>
      <c r="G4703" s="420" t="s">
        <v>4211</v>
      </c>
      <c r="J4703" s="595">
        <f t="shared" si="144"/>
        <v>0</v>
      </c>
    </row>
    <row r="4704" spans="6:10" hidden="1" x14ac:dyDescent="0.25">
      <c r="F4704" s="424">
        <v>482</v>
      </c>
      <c r="G4704" s="420" t="s">
        <v>4212</v>
      </c>
      <c r="J4704" s="595">
        <f t="shared" si="144"/>
        <v>0</v>
      </c>
    </row>
    <row r="4705" spans="6:10" hidden="1" x14ac:dyDescent="0.25">
      <c r="F4705" s="424">
        <v>483</v>
      </c>
      <c r="G4705" s="422" t="s">
        <v>4213</v>
      </c>
      <c r="J4705" s="595">
        <f t="shared" si="144"/>
        <v>0</v>
      </c>
    </row>
    <row r="4706" spans="6:10" ht="30" hidden="1" x14ac:dyDescent="0.25">
      <c r="F4706" s="424">
        <v>484</v>
      </c>
      <c r="G4706" s="420" t="s">
        <v>4214</v>
      </c>
      <c r="J4706" s="595">
        <f t="shared" si="144"/>
        <v>0</v>
      </c>
    </row>
    <row r="4707" spans="6:10" ht="30" hidden="1" x14ac:dyDescent="0.25">
      <c r="F4707" s="424">
        <v>485</v>
      </c>
      <c r="G4707" s="420" t="s">
        <v>4215</v>
      </c>
      <c r="J4707" s="595">
        <f t="shared" si="144"/>
        <v>0</v>
      </c>
    </row>
    <row r="4708" spans="6:10" ht="30" hidden="1" x14ac:dyDescent="0.25">
      <c r="F4708" s="424">
        <v>489</v>
      </c>
      <c r="G4708" s="420" t="s">
        <v>3841</v>
      </c>
      <c r="J4708" s="595">
        <f t="shared" si="144"/>
        <v>0</v>
      </c>
    </row>
    <row r="4709" spans="6:10" hidden="1" x14ac:dyDescent="0.25">
      <c r="F4709" s="424">
        <v>494</v>
      </c>
      <c r="G4709" s="420" t="s">
        <v>4193</v>
      </c>
      <c r="J4709" s="595">
        <f t="shared" si="144"/>
        <v>0</v>
      </c>
    </row>
    <row r="4710" spans="6:10" ht="30" hidden="1" x14ac:dyDescent="0.25">
      <c r="F4710" s="424">
        <v>495</v>
      </c>
      <c r="G4710" s="420" t="s">
        <v>4194</v>
      </c>
      <c r="J4710" s="595">
        <f t="shared" si="144"/>
        <v>0</v>
      </c>
    </row>
    <row r="4711" spans="6:10" ht="30" hidden="1" x14ac:dyDescent="0.25">
      <c r="F4711" s="424">
        <v>496</v>
      </c>
      <c r="G4711" s="420" t="s">
        <v>4195</v>
      </c>
      <c r="J4711" s="595">
        <f t="shared" si="144"/>
        <v>0</v>
      </c>
    </row>
    <row r="4712" spans="6:10" hidden="1" x14ac:dyDescent="0.25">
      <c r="F4712" s="424">
        <v>499</v>
      </c>
      <c r="G4712" s="420" t="s">
        <v>4196</v>
      </c>
      <c r="J4712" s="595">
        <f t="shared" si="144"/>
        <v>0</v>
      </c>
    </row>
    <row r="4713" spans="6:10" hidden="1" x14ac:dyDescent="0.25">
      <c r="F4713" s="424">
        <v>511</v>
      </c>
      <c r="G4713" s="422" t="s">
        <v>4216</v>
      </c>
      <c r="J4713" s="595">
        <f t="shared" si="144"/>
        <v>0</v>
      </c>
    </row>
    <row r="4714" spans="6:10" hidden="1" x14ac:dyDescent="0.25">
      <c r="F4714" s="424">
        <v>512</v>
      </c>
      <c r="G4714" s="422" t="s">
        <v>4217</v>
      </c>
      <c r="J4714" s="595">
        <f t="shared" si="144"/>
        <v>0</v>
      </c>
    </row>
    <row r="4715" spans="6:10" hidden="1" x14ac:dyDescent="0.25">
      <c r="F4715" s="424">
        <v>513</v>
      </c>
      <c r="G4715" s="422" t="s">
        <v>4218</v>
      </c>
      <c r="J4715" s="595">
        <f t="shared" si="144"/>
        <v>0</v>
      </c>
    </row>
    <row r="4716" spans="6:10" hidden="1" x14ac:dyDescent="0.25">
      <c r="F4716" s="424">
        <v>514</v>
      </c>
      <c r="G4716" s="420" t="s">
        <v>4219</v>
      </c>
      <c r="J4716" s="595">
        <f t="shared" si="144"/>
        <v>0</v>
      </c>
    </row>
    <row r="4717" spans="6:10" hidden="1" x14ac:dyDescent="0.25">
      <c r="F4717" s="424">
        <v>515</v>
      </c>
      <c r="G4717" s="420" t="s">
        <v>3852</v>
      </c>
      <c r="J4717" s="595">
        <f t="shared" si="144"/>
        <v>0</v>
      </c>
    </row>
    <row r="4718" spans="6:10" hidden="1" x14ac:dyDescent="0.25">
      <c r="F4718" s="424">
        <v>521</v>
      </c>
      <c r="G4718" s="420" t="s">
        <v>4220</v>
      </c>
      <c r="J4718" s="595">
        <f t="shared" si="144"/>
        <v>0</v>
      </c>
    </row>
    <row r="4719" spans="6:10" hidden="1" x14ac:dyDescent="0.25">
      <c r="F4719" s="424">
        <v>522</v>
      </c>
      <c r="G4719" s="420" t="s">
        <v>4221</v>
      </c>
      <c r="J4719" s="595">
        <f t="shared" si="144"/>
        <v>0</v>
      </c>
    </row>
    <row r="4720" spans="6:10" hidden="1" x14ac:dyDescent="0.25">
      <c r="F4720" s="424">
        <v>523</v>
      </c>
      <c r="G4720" s="420" t="s">
        <v>3857</v>
      </c>
      <c r="J4720" s="595">
        <f t="shared" si="144"/>
        <v>0</v>
      </c>
    </row>
    <row r="4721" spans="5:10" hidden="1" x14ac:dyDescent="0.25">
      <c r="F4721" s="424">
        <v>531</v>
      </c>
      <c r="G4721" s="417" t="s">
        <v>4197</v>
      </c>
      <c r="J4721" s="595">
        <f t="shared" si="144"/>
        <v>0</v>
      </c>
    </row>
    <row r="4722" spans="5:10" hidden="1" x14ac:dyDescent="0.25">
      <c r="F4722" s="424">
        <v>541</v>
      </c>
      <c r="G4722" s="420" t="s">
        <v>4222</v>
      </c>
      <c r="J4722" s="595">
        <f t="shared" si="144"/>
        <v>0</v>
      </c>
    </row>
    <row r="4723" spans="5:10" hidden="1" x14ac:dyDescent="0.25">
      <c r="F4723" s="424">
        <v>542</v>
      </c>
      <c r="G4723" s="420" t="s">
        <v>4223</v>
      </c>
      <c r="J4723" s="595">
        <f t="shared" si="144"/>
        <v>0</v>
      </c>
    </row>
    <row r="4724" spans="5:10" hidden="1" x14ac:dyDescent="0.25">
      <c r="F4724" s="424">
        <v>543</v>
      </c>
      <c r="G4724" s="420" t="s">
        <v>3862</v>
      </c>
      <c r="J4724" s="595">
        <f t="shared" si="144"/>
        <v>0</v>
      </c>
    </row>
    <row r="4725" spans="5:10" ht="30" hidden="1" x14ac:dyDescent="0.25">
      <c r="F4725" s="424">
        <v>551</v>
      </c>
      <c r="G4725" s="420" t="s">
        <v>4198</v>
      </c>
      <c r="J4725" s="595">
        <f t="shared" si="144"/>
        <v>0</v>
      </c>
    </row>
    <row r="4726" spans="5:10" hidden="1" x14ac:dyDescent="0.25">
      <c r="F4726" s="425">
        <v>611</v>
      </c>
      <c r="G4726" s="423" t="s">
        <v>3868</v>
      </c>
      <c r="J4726" s="595">
        <f t="shared" si="144"/>
        <v>0</v>
      </c>
    </row>
    <row r="4727" spans="5:10" ht="15.75" hidden="1" thickBot="1" x14ac:dyDescent="0.3">
      <c r="F4727" s="425">
        <v>620</v>
      </c>
      <c r="G4727" s="423" t="s">
        <v>88</v>
      </c>
      <c r="J4727" s="595">
        <f t="shared" si="144"/>
        <v>0</v>
      </c>
    </row>
    <row r="4728" spans="5:10" hidden="1" x14ac:dyDescent="0.25">
      <c r="E4728" s="418"/>
      <c r="F4728" s="425"/>
      <c r="G4728" s="326" t="s">
        <v>4395</v>
      </c>
      <c r="H4728" s="596"/>
      <c r="I4728" s="622"/>
      <c r="J4728" s="597"/>
    </row>
    <row r="4729" spans="5:10" ht="15.75" hidden="1" thickBot="1" x14ac:dyDescent="0.3">
      <c r="E4729" s="222"/>
      <c r="F4729" s="249" t="s">
        <v>234</v>
      </c>
      <c r="G4729" s="252" t="s">
        <v>235</v>
      </c>
      <c r="H4729" s="598">
        <f>SUM(H4668:H4727)</f>
        <v>0</v>
      </c>
      <c r="I4729" s="599"/>
      <c r="J4729" s="599">
        <f>SUM(H4729:I4729)</f>
        <v>0</v>
      </c>
    </row>
    <row r="4730" spans="5:10" hidden="1" x14ac:dyDescent="0.25">
      <c r="F4730" s="249" t="s">
        <v>236</v>
      </c>
      <c r="G4730" s="252" t="s">
        <v>237</v>
      </c>
      <c r="J4730" s="599">
        <f t="shared" ref="J4730:J4744" si="145">SUM(H4730:I4730)</f>
        <v>0</v>
      </c>
    </row>
    <row r="4731" spans="5:10" hidden="1" x14ac:dyDescent="0.25">
      <c r="F4731" s="249" t="s">
        <v>238</v>
      </c>
      <c r="G4731" s="252" t="s">
        <v>239</v>
      </c>
      <c r="J4731" s="599">
        <f t="shared" si="145"/>
        <v>0</v>
      </c>
    </row>
    <row r="4732" spans="5:10" hidden="1" x14ac:dyDescent="0.25">
      <c r="F4732" s="249" t="s">
        <v>240</v>
      </c>
      <c r="G4732" s="252" t="s">
        <v>241</v>
      </c>
      <c r="J4732" s="599">
        <f t="shared" si="145"/>
        <v>0</v>
      </c>
    </row>
    <row r="4733" spans="5:10" hidden="1" x14ac:dyDescent="0.25">
      <c r="F4733" s="249" t="s">
        <v>242</v>
      </c>
      <c r="G4733" s="252" t="s">
        <v>243</v>
      </c>
      <c r="J4733" s="599">
        <f t="shared" si="145"/>
        <v>0</v>
      </c>
    </row>
    <row r="4734" spans="5:10" hidden="1" x14ac:dyDescent="0.25">
      <c r="F4734" s="249" t="s">
        <v>244</v>
      </c>
      <c r="G4734" s="252" t="s">
        <v>245</v>
      </c>
      <c r="J4734" s="599">
        <f t="shared" si="145"/>
        <v>0</v>
      </c>
    </row>
    <row r="4735" spans="5:10" hidden="1" x14ac:dyDescent="0.25">
      <c r="F4735" s="249" t="s">
        <v>246</v>
      </c>
      <c r="G4735" s="252" t="s">
        <v>247</v>
      </c>
      <c r="J4735" s="599">
        <f t="shared" si="145"/>
        <v>0</v>
      </c>
    </row>
    <row r="4736" spans="5:10" hidden="1" x14ac:dyDescent="0.25">
      <c r="F4736" s="249" t="s">
        <v>248</v>
      </c>
      <c r="G4736" s="252" t="s">
        <v>249</v>
      </c>
      <c r="J4736" s="599">
        <f t="shared" si="145"/>
        <v>0</v>
      </c>
    </row>
    <row r="4737" spans="5:10" hidden="1" x14ac:dyDescent="0.25">
      <c r="F4737" s="249" t="s">
        <v>250</v>
      </c>
      <c r="G4737" s="252" t="s">
        <v>57</v>
      </c>
      <c r="J4737" s="599">
        <f t="shared" si="145"/>
        <v>0</v>
      </c>
    </row>
    <row r="4738" spans="5:10" hidden="1" x14ac:dyDescent="0.25">
      <c r="F4738" s="249" t="s">
        <v>251</v>
      </c>
      <c r="G4738" s="252" t="s">
        <v>252</v>
      </c>
      <c r="J4738" s="599">
        <f t="shared" si="145"/>
        <v>0</v>
      </c>
    </row>
    <row r="4739" spans="5:10" hidden="1" x14ac:dyDescent="0.25">
      <c r="F4739" s="249" t="s">
        <v>253</v>
      </c>
      <c r="G4739" s="252" t="s">
        <v>254</v>
      </c>
      <c r="J4739" s="599">
        <f t="shared" si="145"/>
        <v>0</v>
      </c>
    </row>
    <row r="4740" spans="5:10" ht="30" hidden="1" x14ac:dyDescent="0.25">
      <c r="F4740" s="249" t="s">
        <v>255</v>
      </c>
      <c r="G4740" s="252" t="s">
        <v>256</v>
      </c>
      <c r="J4740" s="599">
        <f t="shared" si="145"/>
        <v>0</v>
      </c>
    </row>
    <row r="4741" spans="5:10" hidden="1" x14ac:dyDescent="0.25">
      <c r="F4741" s="249" t="s">
        <v>257</v>
      </c>
      <c r="G4741" s="252" t="s">
        <v>258</v>
      </c>
      <c r="J4741" s="599">
        <f t="shared" si="145"/>
        <v>0</v>
      </c>
    </row>
    <row r="4742" spans="5:10" ht="30" hidden="1" x14ac:dyDescent="0.25">
      <c r="F4742" s="249" t="s">
        <v>259</v>
      </c>
      <c r="G4742" s="252" t="s">
        <v>260</v>
      </c>
      <c r="J4742" s="599">
        <f t="shared" si="145"/>
        <v>0</v>
      </c>
    </row>
    <row r="4743" spans="5:10" hidden="1" x14ac:dyDescent="0.25">
      <c r="F4743" s="249" t="s">
        <v>261</v>
      </c>
      <c r="G4743" s="252" t="s">
        <v>262</v>
      </c>
      <c r="J4743" s="599">
        <f t="shared" si="145"/>
        <v>0</v>
      </c>
    </row>
    <row r="4744" spans="5:10" ht="15.75" hidden="1" thickBot="1" x14ac:dyDescent="0.3">
      <c r="F4744" s="249" t="s">
        <v>263</v>
      </c>
      <c r="G4744" s="252" t="s">
        <v>264</v>
      </c>
      <c r="H4744" s="598"/>
      <c r="I4744" s="599"/>
      <c r="J4744" s="599">
        <f t="shared" si="145"/>
        <v>0</v>
      </c>
    </row>
    <row r="4745" spans="5:10" ht="15.75" hidden="1" thickBot="1" x14ac:dyDescent="0.3">
      <c r="G4745" s="229" t="s">
        <v>4334</v>
      </c>
      <c r="H4745" s="600">
        <f>SUM(H4729:H4744)</f>
        <v>0</v>
      </c>
      <c r="I4745" s="601">
        <f>SUM(I4730:I4744)</f>
        <v>0</v>
      </c>
      <c r="J4745" s="601">
        <f>SUM(J4729:J4744)</f>
        <v>0</v>
      </c>
    </row>
    <row r="4746" spans="5:10" ht="28.5" hidden="1" collapsed="1" x14ac:dyDescent="0.25">
      <c r="E4746" s="418"/>
      <c r="F4746" s="425"/>
      <c r="G4746" s="231" t="s">
        <v>4400</v>
      </c>
      <c r="H4746" s="602"/>
      <c r="I4746" s="623"/>
      <c r="J4746" s="603"/>
    </row>
    <row r="4747" spans="5:10" ht="15.75" hidden="1" thickBot="1" x14ac:dyDescent="0.3">
      <c r="E4747" s="222"/>
      <c r="F4747" s="249" t="s">
        <v>234</v>
      </c>
      <c r="G4747" s="252" t="s">
        <v>235</v>
      </c>
      <c r="H4747" s="598">
        <f>SUM(H4668:H4727)</f>
        <v>0</v>
      </c>
      <c r="I4747" s="599"/>
      <c r="J4747" s="599">
        <f>SUM(H4747:I4747)</f>
        <v>0</v>
      </c>
    </row>
    <row r="4748" spans="5:10" hidden="1" x14ac:dyDescent="0.25">
      <c r="F4748" s="249" t="s">
        <v>236</v>
      </c>
      <c r="G4748" s="252" t="s">
        <v>237</v>
      </c>
      <c r="J4748" s="599">
        <f t="shared" ref="J4748:J4762" si="146">SUM(H4748:I4748)</f>
        <v>0</v>
      </c>
    </row>
    <row r="4749" spans="5:10" hidden="1" x14ac:dyDescent="0.25">
      <c r="F4749" s="249" t="s">
        <v>238</v>
      </c>
      <c r="G4749" s="252" t="s">
        <v>239</v>
      </c>
      <c r="J4749" s="599">
        <f t="shared" si="146"/>
        <v>0</v>
      </c>
    </row>
    <row r="4750" spans="5:10" hidden="1" x14ac:dyDescent="0.25">
      <c r="F4750" s="249" t="s">
        <v>240</v>
      </c>
      <c r="G4750" s="252" t="s">
        <v>241</v>
      </c>
      <c r="J4750" s="599">
        <f t="shared" si="146"/>
        <v>0</v>
      </c>
    </row>
    <row r="4751" spans="5:10" hidden="1" x14ac:dyDescent="0.25">
      <c r="F4751" s="249" t="s">
        <v>242</v>
      </c>
      <c r="G4751" s="252" t="s">
        <v>243</v>
      </c>
      <c r="J4751" s="599">
        <f t="shared" si="146"/>
        <v>0</v>
      </c>
    </row>
    <row r="4752" spans="5:10" hidden="1" x14ac:dyDescent="0.25">
      <c r="F4752" s="249" t="s">
        <v>244</v>
      </c>
      <c r="G4752" s="252" t="s">
        <v>245</v>
      </c>
      <c r="J4752" s="599">
        <f t="shared" si="146"/>
        <v>0</v>
      </c>
    </row>
    <row r="4753" spans="1:25" hidden="1" x14ac:dyDescent="0.25">
      <c r="F4753" s="249" t="s">
        <v>246</v>
      </c>
      <c r="G4753" s="252" t="s">
        <v>247</v>
      </c>
      <c r="J4753" s="599">
        <f t="shared" si="146"/>
        <v>0</v>
      </c>
    </row>
    <row r="4754" spans="1:25" hidden="1" x14ac:dyDescent="0.25">
      <c r="F4754" s="249" t="s">
        <v>248</v>
      </c>
      <c r="G4754" s="252" t="s">
        <v>249</v>
      </c>
      <c r="J4754" s="599">
        <f t="shared" si="146"/>
        <v>0</v>
      </c>
    </row>
    <row r="4755" spans="1:25" hidden="1" x14ac:dyDescent="0.25">
      <c r="F4755" s="249" t="s">
        <v>250</v>
      </c>
      <c r="G4755" s="252" t="s">
        <v>57</v>
      </c>
      <c r="J4755" s="599">
        <f t="shared" si="146"/>
        <v>0</v>
      </c>
    </row>
    <row r="4756" spans="1:25" hidden="1" x14ac:dyDescent="0.25">
      <c r="F4756" s="249" t="s">
        <v>251</v>
      </c>
      <c r="G4756" s="252" t="s">
        <v>252</v>
      </c>
      <c r="J4756" s="599">
        <f t="shared" si="146"/>
        <v>0</v>
      </c>
    </row>
    <row r="4757" spans="1:25" hidden="1" x14ac:dyDescent="0.25">
      <c r="F4757" s="249" t="s">
        <v>253</v>
      </c>
      <c r="G4757" s="252" t="s">
        <v>254</v>
      </c>
      <c r="J4757" s="599">
        <f t="shared" si="146"/>
        <v>0</v>
      </c>
    </row>
    <row r="4758" spans="1:25" ht="30" hidden="1" x14ac:dyDescent="0.25">
      <c r="F4758" s="249" t="s">
        <v>255</v>
      </c>
      <c r="G4758" s="252" t="s">
        <v>256</v>
      </c>
      <c r="J4758" s="599">
        <f t="shared" si="146"/>
        <v>0</v>
      </c>
    </row>
    <row r="4759" spans="1:25" hidden="1" x14ac:dyDescent="0.25">
      <c r="F4759" s="249" t="s">
        <v>257</v>
      </c>
      <c r="G4759" s="252" t="s">
        <v>258</v>
      </c>
      <c r="J4759" s="599">
        <f t="shared" si="146"/>
        <v>0</v>
      </c>
    </row>
    <row r="4760" spans="1:25" ht="30" hidden="1" x14ac:dyDescent="0.25">
      <c r="F4760" s="249" t="s">
        <v>259</v>
      </c>
      <c r="G4760" s="252" t="s">
        <v>260</v>
      </c>
      <c r="J4760" s="599">
        <f t="shared" si="146"/>
        <v>0</v>
      </c>
    </row>
    <row r="4761" spans="1:25" hidden="1" x14ac:dyDescent="0.25">
      <c r="F4761" s="249" t="s">
        <v>261</v>
      </c>
      <c r="G4761" s="252" t="s">
        <v>262</v>
      </c>
      <c r="J4761" s="599">
        <f t="shared" si="146"/>
        <v>0</v>
      </c>
    </row>
    <row r="4762" spans="1:25" ht="15.75" hidden="1" thickBot="1" x14ac:dyDescent="0.3">
      <c r="F4762" s="249" t="s">
        <v>263</v>
      </c>
      <c r="G4762" s="252" t="s">
        <v>264</v>
      </c>
      <c r="H4762" s="598"/>
      <c r="I4762" s="599"/>
      <c r="J4762" s="599">
        <f t="shared" si="146"/>
        <v>0</v>
      </c>
    </row>
    <row r="4763" spans="1:25" ht="15.75" hidden="1" collapsed="1" thickBot="1" x14ac:dyDescent="0.3">
      <c r="G4763" s="229" t="s">
        <v>4401</v>
      </c>
      <c r="H4763" s="600">
        <f>SUM(H4747:H4762)</f>
        <v>0</v>
      </c>
      <c r="I4763" s="601">
        <f>SUM(I4748:I4762)</f>
        <v>0</v>
      </c>
      <c r="J4763" s="601">
        <f>SUM(J4747:J4762)</f>
        <v>0</v>
      </c>
    </row>
    <row r="4764" spans="1:25" hidden="1" x14ac:dyDescent="0.25">
      <c r="G4764" s="409"/>
    </row>
    <row r="4765" spans="1:25" s="88" customFormat="1" x14ac:dyDescent="0.25">
      <c r="A4765" s="421"/>
      <c r="B4765" s="256"/>
      <c r="C4765" s="316"/>
      <c r="D4765" s="251"/>
      <c r="E4765" s="251"/>
      <c r="F4765" s="425"/>
      <c r="G4765" s="250" t="s">
        <v>4335</v>
      </c>
      <c r="H4765" s="606"/>
      <c r="I4765" s="624"/>
      <c r="J4765" s="607"/>
      <c r="K4765" s="533"/>
      <c r="L4765" s="533"/>
      <c r="M4765" s="533"/>
      <c r="N4765" s="533"/>
      <c r="O4765" s="533"/>
      <c r="P4765" s="533"/>
      <c r="Q4765" s="533"/>
      <c r="R4765" s="533"/>
      <c r="S4765" s="533"/>
      <c r="T4765" s="533"/>
      <c r="U4765" s="533"/>
      <c r="V4765" s="533"/>
      <c r="W4765" s="533"/>
      <c r="X4765" s="533"/>
      <c r="Y4765" s="533"/>
    </row>
    <row r="4766" spans="1:25" s="88" customFormat="1" ht="15.75" thickBot="1" x14ac:dyDescent="0.3">
      <c r="A4766" s="421"/>
      <c r="B4766" s="256"/>
      <c r="C4766" s="316"/>
      <c r="D4766" s="251"/>
      <c r="E4766" s="251"/>
      <c r="F4766" s="249" t="s">
        <v>234</v>
      </c>
      <c r="G4766" s="252" t="s">
        <v>235</v>
      </c>
      <c r="H4766" s="598">
        <f>SUM(H4747,H4648,H4549)</f>
        <v>8000000</v>
      </c>
      <c r="I4766" s="599"/>
      <c r="J4766" s="599">
        <f>SUM(H4766:I4766)</f>
        <v>8000000</v>
      </c>
      <c r="K4766" s="533"/>
      <c r="L4766" s="533"/>
      <c r="M4766" s="533"/>
      <c r="N4766" s="533"/>
      <c r="O4766" s="533"/>
      <c r="P4766" s="533"/>
      <c r="Q4766" s="533"/>
      <c r="R4766" s="533"/>
      <c r="S4766" s="533"/>
      <c r="T4766" s="533"/>
      <c r="U4766" s="533"/>
      <c r="V4766" s="533"/>
      <c r="W4766" s="533"/>
      <c r="X4766" s="533"/>
      <c r="Y4766" s="533"/>
    </row>
    <row r="4767" spans="1:25" s="88" customFormat="1" hidden="1" x14ac:dyDescent="0.25">
      <c r="A4767" s="421"/>
      <c r="B4767" s="256"/>
      <c r="C4767" s="316"/>
      <c r="D4767" s="251"/>
      <c r="E4767" s="251"/>
      <c r="F4767" s="249" t="s">
        <v>236</v>
      </c>
      <c r="G4767" s="252" t="s">
        <v>237</v>
      </c>
      <c r="H4767" s="594"/>
      <c r="I4767" s="595"/>
      <c r="J4767" s="599">
        <f t="shared" ref="J4767:J4781" si="147">SUM(H4767:I4767)</f>
        <v>0</v>
      </c>
      <c r="K4767" s="533"/>
      <c r="L4767" s="533"/>
      <c r="M4767" s="533"/>
      <c r="N4767" s="533"/>
      <c r="O4767" s="533"/>
      <c r="P4767" s="533"/>
      <c r="Q4767" s="533"/>
      <c r="R4767" s="533"/>
      <c r="S4767" s="533"/>
      <c r="T4767" s="533"/>
      <c r="U4767" s="533"/>
      <c r="V4767" s="533"/>
      <c r="W4767" s="533"/>
      <c r="X4767" s="533"/>
      <c r="Y4767" s="533"/>
    </row>
    <row r="4768" spans="1:25" s="88" customFormat="1" hidden="1" x14ac:dyDescent="0.25">
      <c r="A4768" s="421"/>
      <c r="B4768" s="256"/>
      <c r="C4768" s="316"/>
      <c r="D4768" s="251"/>
      <c r="E4768" s="251"/>
      <c r="F4768" s="249" t="s">
        <v>238</v>
      </c>
      <c r="G4768" s="252" t="s">
        <v>239</v>
      </c>
      <c r="H4768" s="594"/>
      <c r="I4768" s="595"/>
      <c r="J4768" s="599">
        <f t="shared" si="147"/>
        <v>0</v>
      </c>
      <c r="K4768" s="533"/>
      <c r="L4768" s="533"/>
      <c r="M4768" s="533"/>
      <c r="N4768" s="533"/>
      <c r="O4768" s="533"/>
      <c r="P4768" s="533"/>
      <c r="Q4768" s="533"/>
      <c r="R4768" s="533"/>
      <c r="S4768" s="533"/>
      <c r="T4768" s="533"/>
      <c r="U4768" s="533"/>
      <c r="V4768" s="533"/>
      <c r="W4768" s="533"/>
      <c r="X4768" s="533"/>
      <c r="Y4768" s="533"/>
    </row>
    <row r="4769" spans="1:25" s="88" customFormat="1" hidden="1" x14ac:dyDescent="0.25">
      <c r="A4769" s="421"/>
      <c r="B4769" s="256"/>
      <c r="C4769" s="316"/>
      <c r="D4769" s="251"/>
      <c r="E4769" s="251"/>
      <c r="F4769" s="249" t="s">
        <v>240</v>
      </c>
      <c r="G4769" s="252" t="s">
        <v>241</v>
      </c>
      <c r="H4769" s="594"/>
      <c r="I4769" s="595"/>
      <c r="J4769" s="599">
        <f t="shared" si="147"/>
        <v>0</v>
      </c>
      <c r="K4769" s="533"/>
      <c r="L4769" s="533"/>
      <c r="M4769" s="533"/>
      <c r="N4769" s="533"/>
      <c r="O4769" s="533"/>
      <c r="P4769" s="533"/>
      <c r="Q4769" s="533"/>
      <c r="R4769" s="533"/>
      <c r="S4769" s="533"/>
      <c r="T4769" s="533"/>
      <c r="U4769" s="533"/>
      <c r="V4769" s="533"/>
      <c r="W4769" s="533"/>
      <c r="X4769" s="533"/>
      <c r="Y4769" s="533"/>
    </row>
    <row r="4770" spans="1:25" s="88" customFormat="1" hidden="1" x14ac:dyDescent="0.25">
      <c r="A4770" s="421"/>
      <c r="B4770" s="256"/>
      <c r="C4770" s="316"/>
      <c r="D4770" s="251"/>
      <c r="E4770" s="251"/>
      <c r="F4770" s="249" t="s">
        <v>242</v>
      </c>
      <c r="G4770" s="252" t="s">
        <v>243</v>
      </c>
      <c r="H4770" s="594"/>
      <c r="I4770" s="595"/>
      <c r="J4770" s="599">
        <f t="shared" si="147"/>
        <v>0</v>
      </c>
      <c r="K4770" s="533"/>
      <c r="L4770" s="533"/>
      <c r="M4770" s="533"/>
      <c r="N4770" s="533"/>
      <c r="O4770" s="533"/>
      <c r="P4770" s="533"/>
      <c r="Q4770" s="533"/>
      <c r="R4770" s="533"/>
      <c r="S4770" s="533"/>
      <c r="T4770" s="533"/>
      <c r="U4770" s="533"/>
      <c r="V4770" s="533"/>
      <c r="W4770" s="533"/>
      <c r="X4770" s="533"/>
      <c r="Y4770" s="533"/>
    </row>
    <row r="4771" spans="1:25" s="88" customFormat="1" hidden="1" x14ac:dyDescent="0.25">
      <c r="A4771" s="421"/>
      <c r="B4771" s="256"/>
      <c r="C4771" s="316"/>
      <c r="D4771" s="251"/>
      <c r="E4771" s="251"/>
      <c r="F4771" s="249" t="s">
        <v>244</v>
      </c>
      <c r="G4771" s="252" t="s">
        <v>245</v>
      </c>
      <c r="H4771" s="594"/>
      <c r="I4771" s="595"/>
      <c r="J4771" s="599">
        <f t="shared" si="147"/>
        <v>0</v>
      </c>
      <c r="K4771" s="533"/>
      <c r="L4771" s="533"/>
      <c r="M4771" s="533"/>
      <c r="N4771" s="533"/>
      <c r="O4771" s="533"/>
      <c r="P4771" s="533"/>
      <c r="Q4771" s="533"/>
      <c r="R4771" s="533"/>
      <c r="S4771" s="533"/>
      <c r="T4771" s="533"/>
      <c r="U4771" s="533"/>
      <c r="V4771" s="533"/>
      <c r="W4771" s="533"/>
      <c r="X4771" s="533"/>
      <c r="Y4771" s="533"/>
    </row>
    <row r="4772" spans="1:25" s="88" customFormat="1" hidden="1" x14ac:dyDescent="0.25">
      <c r="A4772" s="421"/>
      <c r="B4772" s="256"/>
      <c r="C4772" s="316"/>
      <c r="D4772" s="251"/>
      <c r="E4772" s="251"/>
      <c r="F4772" s="249" t="s">
        <v>246</v>
      </c>
      <c r="G4772" s="252" t="s">
        <v>247</v>
      </c>
      <c r="H4772" s="594"/>
      <c r="I4772" s="595"/>
      <c r="J4772" s="599">
        <f t="shared" si="147"/>
        <v>0</v>
      </c>
      <c r="K4772" s="533"/>
      <c r="L4772" s="533"/>
      <c r="M4772" s="533"/>
      <c r="N4772" s="533"/>
      <c r="O4772" s="533"/>
      <c r="P4772" s="533"/>
      <c r="Q4772" s="533"/>
      <c r="R4772" s="533"/>
      <c r="S4772" s="533"/>
      <c r="T4772" s="533"/>
      <c r="U4772" s="533"/>
      <c r="V4772" s="533"/>
      <c r="W4772" s="533"/>
      <c r="X4772" s="533"/>
      <c r="Y4772" s="533"/>
    </row>
    <row r="4773" spans="1:25" s="88" customFormat="1" hidden="1" x14ac:dyDescent="0.25">
      <c r="A4773" s="421"/>
      <c r="B4773" s="256"/>
      <c r="C4773" s="316"/>
      <c r="D4773" s="251"/>
      <c r="E4773" s="251"/>
      <c r="F4773" s="249" t="s">
        <v>248</v>
      </c>
      <c r="G4773" s="252" t="s">
        <v>249</v>
      </c>
      <c r="H4773" s="594"/>
      <c r="I4773" s="595"/>
      <c r="J4773" s="599">
        <f t="shared" si="147"/>
        <v>0</v>
      </c>
      <c r="K4773" s="533"/>
      <c r="L4773" s="533"/>
      <c r="M4773" s="533"/>
      <c r="N4773" s="533"/>
      <c r="O4773" s="533"/>
      <c r="P4773" s="533"/>
      <c r="Q4773" s="533"/>
      <c r="R4773" s="533"/>
      <c r="S4773" s="533"/>
      <c r="T4773" s="533"/>
      <c r="U4773" s="533"/>
      <c r="V4773" s="533"/>
      <c r="W4773" s="533"/>
      <c r="X4773" s="533"/>
      <c r="Y4773" s="533"/>
    </row>
    <row r="4774" spans="1:25" s="88" customFormat="1" hidden="1" x14ac:dyDescent="0.25">
      <c r="A4774" s="421"/>
      <c r="B4774" s="256"/>
      <c r="C4774" s="316"/>
      <c r="D4774" s="251"/>
      <c r="E4774" s="251"/>
      <c r="F4774" s="249" t="s">
        <v>250</v>
      </c>
      <c r="G4774" s="252" t="s">
        <v>57</v>
      </c>
      <c r="H4774" s="594"/>
      <c r="I4774" s="595"/>
      <c r="J4774" s="599">
        <f t="shared" si="147"/>
        <v>0</v>
      </c>
      <c r="K4774" s="533"/>
      <c r="L4774" s="533"/>
      <c r="M4774" s="533"/>
      <c r="N4774" s="533"/>
      <c r="O4774" s="533"/>
      <c r="P4774" s="533"/>
      <c r="Q4774" s="533"/>
      <c r="R4774" s="533"/>
      <c r="S4774" s="533"/>
      <c r="T4774" s="533"/>
      <c r="U4774" s="533"/>
      <c r="V4774" s="533"/>
      <c r="W4774" s="533"/>
      <c r="X4774" s="533"/>
      <c r="Y4774" s="533"/>
    </row>
    <row r="4775" spans="1:25" s="88" customFormat="1" hidden="1" x14ac:dyDescent="0.25">
      <c r="A4775" s="421"/>
      <c r="B4775" s="256"/>
      <c r="C4775" s="316"/>
      <c r="D4775" s="251"/>
      <c r="E4775" s="251"/>
      <c r="F4775" s="249" t="s">
        <v>251</v>
      </c>
      <c r="G4775" s="252" t="s">
        <v>252</v>
      </c>
      <c r="H4775" s="594"/>
      <c r="I4775" s="595"/>
      <c r="J4775" s="599">
        <f t="shared" si="147"/>
        <v>0</v>
      </c>
      <c r="K4775" s="533"/>
      <c r="L4775" s="533"/>
      <c r="M4775" s="533"/>
      <c r="N4775" s="533"/>
      <c r="O4775" s="533"/>
      <c r="P4775" s="533"/>
      <c r="Q4775" s="533"/>
      <c r="R4775" s="533"/>
      <c r="S4775" s="533"/>
      <c r="T4775" s="533"/>
      <c r="U4775" s="533"/>
      <c r="V4775" s="533"/>
      <c r="W4775" s="533"/>
      <c r="X4775" s="533"/>
      <c r="Y4775" s="533"/>
    </row>
    <row r="4776" spans="1:25" s="88" customFormat="1" hidden="1" x14ac:dyDescent="0.25">
      <c r="A4776" s="421"/>
      <c r="B4776" s="256"/>
      <c r="C4776" s="316"/>
      <c r="D4776" s="251"/>
      <c r="E4776" s="251"/>
      <c r="F4776" s="249" t="s">
        <v>253</v>
      </c>
      <c r="G4776" s="252" t="s">
        <v>254</v>
      </c>
      <c r="H4776" s="594"/>
      <c r="I4776" s="595"/>
      <c r="J4776" s="599">
        <f t="shared" si="147"/>
        <v>0</v>
      </c>
      <c r="K4776" s="533"/>
      <c r="L4776" s="533"/>
      <c r="M4776" s="533"/>
      <c r="N4776" s="533"/>
      <c r="O4776" s="533"/>
      <c r="P4776" s="533"/>
      <c r="Q4776" s="533"/>
      <c r="R4776" s="533"/>
      <c r="S4776" s="533"/>
      <c r="T4776" s="533"/>
      <c r="U4776" s="533"/>
      <c r="V4776" s="533"/>
      <c r="W4776" s="533"/>
      <c r="X4776" s="533"/>
      <c r="Y4776" s="533"/>
    </row>
    <row r="4777" spans="1:25" s="88" customFormat="1" ht="30" hidden="1" x14ac:dyDescent="0.25">
      <c r="A4777" s="421"/>
      <c r="B4777" s="256"/>
      <c r="C4777" s="316"/>
      <c r="D4777" s="251"/>
      <c r="E4777" s="251"/>
      <c r="F4777" s="249" t="s">
        <v>255</v>
      </c>
      <c r="G4777" s="252" t="s">
        <v>256</v>
      </c>
      <c r="H4777" s="594"/>
      <c r="I4777" s="595"/>
      <c r="J4777" s="599">
        <f t="shared" si="147"/>
        <v>0</v>
      </c>
      <c r="K4777" s="533"/>
      <c r="L4777" s="533"/>
      <c r="M4777" s="533"/>
      <c r="N4777" s="533"/>
      <c r="O4777" s="533"/>
      <c r="P4777" s="533"/>
      <c r="Q4777" s="533"/>
      <c r="R4777" s="533"/>
      <c r="S4777" s="533"/>
      <c r="T4777" s="533"/>
      <c r="U4777" s="533"/>
      <c r="V4777" s="533"/>
      <c r="W4777" s="533"/>
      <c r="X4777" s="533"/>
      <c r="Y4777" s="533"/>
    </row>
    <row r="4778" spans="1:25" s="88" customFormat="1" hidden="1" x14ac:dyDescent="0.25">
      <c r="A4778" s="421"/>
      <c r="B4778" s="256"/>
      <c r="C4778" s="316"/>
      <c r="D4778" s="251"/>
      <c r="E4778" s="251"/>
      <c r="F4778" s="249" t="s">
        <v>257</v>
      </c>
      <c r="G4778" s="252" t="s">
        <v>258</v>
      </c>
      <c r="H4778" s="594"/>
      <c r="I4778" s="595"/>
      <c r="J4778" s="599">
        <f t="shared" si="147"/>
        <v>0</v>
      </c>
      <c r="K4778" s="533"/>
      <c r="L4778" s="533"/>
      <c r="M4778" s="533"/>
      <c r="N4778" s="533"/>
      <c r="O4778" s="533"/>
      <c r="P4778" s="533"/>
      <c r="Q4778" s="533"/>
      <c r="R4778" s="533"/>
      <c r="S4778" s="533"/>
      <c r="T4778" s="533"/>
      <c r="U4778" s="533"/>
      <c r="V4778" s="533"/>
      <c r="W4778" s="533"/>
      <c r="X4778" s="533"/>
      <c r="Y4778" s="533"/>
    </row>
    <row r="4779" spans="1:25" s="88" customFormat="1" ht="30" hidden="1" x14ac:dyDescent="0.25">
      <c r="A4779" s="421"/>
      <c r="B4779" s="256"/>
      <c r="C4779" s="316"/>
      <c r="D4779" s="251"/>
      <c r="E4779" s="251"/>
      <c r="F4779" s="249" t="s">
        <v>259</v>
      </c>
      <c r="G4779" s="252" t="s">
        <v>260</v>
      </c>
      <c r="H4779" s="594"/>
      <c r="I4779" s="595"/>
      <c r="J4779" s="599">
        <f t="shared" si="147"/>
        <v>0</v>
      </c>
      <c r="K4779" s="533"/>
      <c r="L4779" s="533"/>
      <c r="M4779" s="533"/>
      <c r="N4779" s="533"/>
      <c r="O4779" s="533"/>
      <c r="P4779" s="533"/>
      <c r="Q4779" s="533"/>
      <c r="R4779" s="533"/>
      <c r="S4779" s="533"/>
      <c r="T4779" s="533"/>
      <c r="U4779" s="533"/>
      <c r="V4779" s="533"/>
      <c r="W4779" s="533"/>
      <c r="X4779" s="533"/>
      <c r="Y4779" s="533"/>
    </row>
    <row r="4780" spans="1:25" s="88" customFormat="1" hidden="1" x14ac:dyDescent="0.25">
      <c r="A4780" s="421"/>
      <c r="B4780" s="256"/>
      <c r="C4780" s="316"/>
      <c r="D4780" s="251"/>
      <c r="E4780" s="251"/>
      <c r="F4780" s="249" t="s">
        <v>261</v>
      </c>
      <c r="G4780" s="252" t="s">
        <v>262</v>
      </c>
      <c r="H4780" s="594"/>
      <c r="I4780" s="595"/>
      <c r="J4780" s="599">
        <f t="shared" si="147"/>
        <v>0</v>
      </c>
      <c r="K4780" s="533"/>
      <c r="L4780" s="533"/>
      <c r="M4780" s="533"/>
      <c r="N4780" s="533"/>
      <c r="O4780" s="533"/>
      <c r="P4780" s="533"/>
      <c r="Q4780" s="533"/>
      <c r="R4780" s="533"/>
      <c r="S4780" s="533"/>
      <c r="T4780" s="533"/>
      <c r="U4780" s="533"/>
      <c r="V4780" s="533"/>
      <c r="W4780" s="533"/>
      <c r="X4780" s="533"/>
      <c r="Y4780" s="533"/>
    </row>
    <row r="4781" spans="1:25" s="88" customFormat="1" ht="15.75" hidden="1" thickBot="1" x14ac:dyDescent="0.3">
      <c r="A4781" s="421"/>
      <c r="B4781" s="256"/>
      <c r="C4781" s="316"/>
      <c r="D4781" s="251"/>
      <c r="E4781" s="251"/>
      <c r="F4781" s="249" t="s">
        <v>263</v>
      </c>
      <c r="G4781" s="252" t="s">
        <v>264</v>
      </c>
      <c r="H4781" s="598"/>
      <c r="I4781" s="599"/>
      <c r="J4781" s="599">
        <f t="shared" si="147"/>
        <v>0</v>
      </c>
      <c r="K4781" s="533"/>
      <c r="L4781" s="533"/>
      <c r="M4781" s="533"/>
      <c r="N4781" s="533"/>
      <c r="O4781" s="533"/>
      <c r="P4781" s="533"/>
      <c r="Q4781" s="533"/>
      <c r="R4781" s="533"/>
      <c r="S4781" s="533"/>
      <c r="T4781" s="533"/>
      <c r="U4781" s="533"/>
      <c r="V4781" s="533"/>
      <c r="W4781" s="533"/>
      <c r="X4781" s="533"/>
      <c r="Y4781" s="533"/>
    </row>
    <row r="4782" spans="1:25" s="88" customFormat="1" ht="15.75" thickBot="1" x14ac:dyDescent="0.3">
      <c r="A4782" s="421"/>
      <c r="B4782" s="256"/>
      <c r="C4782" s="316"/>
      <c r="D4782" s="251"/>
      <c r="E4782" s="251"/>
      <c r="F4782" s="218"/>
      <c r="G4782" s="229" t="s">
        <v>4336</v>
      </c>
      <c r="H4782" s="600">
        <f>SUM(H4766:H4781)</f>
        <v>8000000</v>
      </c>
      <c r="I4782" s="601">
        <f>SUM(I4767:I4781)</f>
        <v>0</v>
      </c>
      <c r="J4782" s="601">
        <f>SUM(J4766:J4781)</f>
        <v>8000000</v>
      </c>
      <c r="K4782" s="533"/>
      <c r="L4782" s="533"/>
      <c r="M4782" s="533"/>
      <c r="N4782" s="533"/>
      <c r="O4782" s="533"/>
      <c r="P4782" s="533"/>
      <c r="Q4782" s="533"/>
      <c r="R4782" s="533"/>
      <c r="S4782" s="533"/>
      <c r="T4782" s="533"/>
      <c r="U4782" s="533"/>
      <c r="V4782" s="533"/>
      <c r="W4782" s="533"/>
      <c r="X4782" s="533"/>
      <c r="Y4782" s="533"/>
    </row>
    <row r="4783" spans="1:25" s="88" customFormat="1" x14ac:dyDescent="0.25">
      <c r="A4783" s="509"/>
      <c r="B4783" s="256"/>
      <c r="C4783" s="316"/>
      <c r="D4783" s="251"/>
      <c r="E4783" s="251"/>
      <c r="F4783" s="218"/>
      <c r="G4783" s="286"/>
      <c r="H4783" s="604"/>
      <c r="I4783" s="605"/>
      <c r="J4783" s="605"/>
      <c r="K4783" s="533"/>
      <c r="L4783" s="533"/>
      <c r="M4783" s="533"/>
      <c r="N4783" s="533"/>
      <c r="O4783" s="533"/>
      <c r="P4783" s="533"/>
      <c r="Q4783" s="533"/>
      <c r="R4783" s="533"/>
      <c r="S4783" s="533"/>
      <c r="T4783" s="533"/>
      <c r="U4783" s="533"/>
      <c r="V4783" s="533"/>
      <c r="W4783" s="533"/>
      <c r="X4783" s="533"/>
      <c r="Y4783" s="533"/>
    </row>
    <row r="4784" spans="1:25" s="88" customFormat="1" x14ac:dyDescent="0.25">
      <c r="A4784" s="509"/>
      <c r="B4784" s="256"/>
      <c r="C4784" s="228" t="s">
        <v>3602</v>
      </c>
      <c r="D4784" s="219"/>
      <c r="E4784" s="218"/>
      <c r="F4784" s="218"/>
      <c r="G4784" s="518" t="s">
        <v>4338</v>
      </c>
      <c r="H4784" s="594"/>
      <c r="I4784" s="595"/>
      <c r="J4784" s="595"/>
      <c r="K4784" s="533"/>
      <c r="L4784" s="533"/>
      <c r="M4784" s="533"/>
      <c r="N4784" s="533"/>
      <c r="O4784" s="533"/>
      <c r="P4784" s="533"/>
      <c r="Q4784" s="533"/>
      <c r="R4784" s="533"/>
      <c r="S4784" s="533"/>
      <c r="T4784" s="533"/>
      <c r="U4784" s="533"/>
      <c r="V4784" s="533"/>
      <c r="W4784" s="533"/>
      <c r="X4784" s="533"/>
      <c r="Y4784" s="533"/>
    </row>
    <row r="4785" spans="1:25" s="88" customFormat="1" x14ac:dyDescent="0.25">
      <c r="A4785" s="509"/>
      <c r="B4785" s="256"/>
      <c r="C4785" s="228" t="s">
        <v>4146</v>
      </c>
      <c r="D4785" s="219"/>
      <c r="E4785" s="218"/>
      <c r="F4785" s="218"/>
      <c r="G4785" s="518" t="s">
        <v>4144</v>
      </c>
      <c r="H4785" s="594"/>
      <c r="I4785" s="595"/>
      <c r="J4785" s="595"/>
      <c r="K4785" s="533"/>
      <c r="L4785" s="533"/>
      <c r="M4785" s="533"/>
      <c r="N4785" s="533"/>
      <c r="O4785" s="533"/>
      <c r="P4785" s="533"/>
      <c r="Q4785" s="533"/>
      <c r="R4785" s="533"/>
      <c r="S4785" s="533"/>
      <c r="T4785" s="533"/>
      <c r="U4785" s="533"/>
      <c r="V4785" s="533"/>
      <c r="W4785" s="533"/>
      <c r="X4785" s="533"/>
      <c r="Y4785" s="533"/>
    </row>
    <row r="4786" spans="1:25" s="88" customFormat="1" ht="25.5" customHeight="1" x14ac:dyDescent="0.25">
      <c r="A4786" s="509"/>
      <c r="B4786" s="256"/>
      <c r="C4786" s="265"/>
      <c r="D4786" s="334" t="s">
        <v>4039</v>
      </c>
      <c r="E4786" s="329"/>
      <c r="F4786" s="329"/>
      <c r="G4786" s="781" t="s">
        <v>211</v>
      </c>
      <c r="H4786" s="611"/>
      <c r="I4786" s="612"/>
      <c r="J4786" s="612"/>
      <c r="K4786" s="533"/>
      <c r="L4786" s="533"/>
      <c r="M4786" s="533"/>
      <c r="N4786" s="533"/>
      <c r="O4786" s="533"/>
      <c r="P4786" s="533"/>
      <c r="Q4786" s="533"/>
      <c r="R4786" s="533"/>
      <c r="S4786" s="533"/>
      <c r="T4786" s="533"/>
      <c r="U4786" s="533"/>
      <c r="V4786" s="533"/>
      <c r="W4786" s="533"/>
      <c r="X4786" s="533"/>
      <c r="Y4786" s="533"/>
    </row>
    <row r="4787" spans="1:25" s="88" customFormat="1" hidden="1" x14ac:dyDescent="0.25">
      <c r="A4787" s="509"/>
      <c r="B4787" s="256"/>
      <c r="C4787" s="228"/>
      <c r="D4787" s="218"/>
      <c r="E4787" s="218"/>
      <c r="F4787" s="527">
        <v>411</v>
      </c>
      <c r="G4787" s="520" t="s">
        <v>4189</v>
      </c>
      <c r="H4787" s="594"/>
      <c r="I4787" s="595"/>
      <c r="J4787" s="595">
        <f>SUM(H4787:I4787)</f>
        <v>0</v>
      </c>
      <c r="K4787" s="533"/>
      <c r="L4787" s="533"/>
      <c r="M4787" s="533"/>
      <c r="N4787" s="533"/>
      <c r="O4787" s="533"/>
      <c r="P4787" s="533"/>
      <c r="Q4787" s="533"/>
      <c r="R4787" s="533"/>
      <c r="S4787" s="533"/>
      <c r="T4787" s="533"/>
      <c r="U4787" s="533"/>
      <c r="V4787" s="533"/>
      <c r="W4787" s="533"/>
      <c r="X4787" s="533"/>
      <c r="Y4787" s="533"/>
    </row>
    <row r="4788" spans="1:25" s="88" customFormat="1" hidden="1" x14ac:dyDescent="0.25">
      <c r="A4788" s="509"/>
      <c r="B4788" s="256"/>
      <c r="C4788" s="228"/>
      <c r="D4788" s="218"/>
      <c r="E4788" s="218"/>
      <c r="F4788" s="527">
        <v>412</v>
      </c>
      <c r="G4788" s="516" t="s">
        <v>3784</v>
      </c>
      <c r="H4788" s="594"/>
      <c r="I4788" s="595"/>
      <c r="J4788" s="595">
        <f t="shared" ref="J4788:J4846" si="148">SUM(H4788:I4788)</f>
        <v>0</v>
      </c>
      <c r="K4788" s="533"/>
      <c r="L4788" s="533"/>
      <c r="M4788" s="533"/>
      <c r="N4788" s="533"/>
      <c r="O4788" s="533"/>
      <c r="P4788" s="533"/>
      <c r="Q4788" s="533"/>
      <c r="R4788" s="533"/>
      <c r="S4788" s="533"/>
      <c r="T4788" s="533"/>
      <c r="U4788" s="533"/>
      <c r="V4788" s="533"/>
      <c r="W4788" s="533"/>
      <c r="X4788" s="533"/>
      <c r="Y4788" s="533"/>
    </row>
    <row r="4789" spans="1:25" s="88" customFormat="1" hidden="1" x14ac:dyDescent="0.25">
      <c r="A4789" s="509"/>
      <c r="B4789" s="256"/>
      <c r="C4789" s="228"/>
      <c r="D4789" s="218"/>
      <c r="E4789" s="218"/>
      <c r="F4789" s="527">
        <v>413</v>
      </c>
      <c r="G4789" s="520" t="s">
        <v>4190</v>
      </c>
      <c r="H4789" s="594"/>
      <c r="I4789" s="595"/>
      <c r="J4789" s="595">
        <f t="shared" si="148"/>
        <v>0</v>
      </c>
      <c r="K4789" s="533"/>
      <c r="L4789" s="533"/>
      <c r="M4789" s="533"/>
      <c r="N4789" s="533"/>
      <c r="O4789" s="533"/>
      <c r="P4789" s="533"/>
      <c r="Q4789" s="533"/>
      <c r="R4789" s="533"/>
      <c r="S4789" s="533"/>
      <c r="T4789" s="533"/>
      <c r="U4789" s="533"/>
      <c r="V4789" s="533"/>
      <c r="W4789" s="533"/>
      <c r="X4789" s="533"/>
      <c r="Y4789" s="533"/>
    </row>
    <row r="4790" spans="1:25" s="88" customFormat="1" hidden="1" x14ac:dyDescent="0.25">
      <c r="A4790" s="509"/>
      <c r="B4790" s="256"/>
      <c r="C4790" s="228"/>
      <c r="D4790" s="218"/>
      <c r="E4790" s="218"/>
      <c r="F4790" s="527">
        <v>414</v>
      </c>
      <c r="G4790" s="520" t="s">
        <v>3787</v>
      </c>
      <c r="H4790" s="594"/>
      <c r="I4790" s="595"/>
      <c r="J4790" s="595">
        <f t="shared" si="148"/>
        <v>0</v>
      </c>
      <c r="K4790" s="533"/>
      <c r="L4790" s="533"/>
      <c r="M4790" s="533"/>
      <c r="N4790" s="533"/>
      <c r="O4790" s="533"/>
      <c r="P4790" s="533"/>
      <c r="Q4790" s="533"/>
      <c r="R4790" s="533"/>
      <c r="S4790" s="533"/>
      <c r="T4790" s="533"/>
      <c r="U4790" s="533"/>
      <c r="V4790" s="533"/>
      <c r="W4790" s="533"/>
      <c r="X4790" s="533"/>
      <c r="Y4790" s="533"/>
    </row>
    <row r="4791" spans="1:25" s="88" customFormat="1" hidden="1" x14ac:dyDescent="0.25">
      <c r="A4791" s="509"/>
      <c r="B4791" s="256"/>
      <c r="C4791" s="228"/>
      <c r="D4791" s="218"/>
      <c r="E4791" s="218"/>
      <c r="F4791" s="527">
        <v>415</v>
      </c>
      <c r="G4791" s="520" t="s">
        <v>4199</v>
      </c>
      <c r="H4791" s="594"/>
      <c r="I4791" s="595"/>
      <c r="J4791" s="595">
        <f t="shared" si="148"/>
        <v>0</v>
      </c>
      <c r="K4791" s="533"/>
      <c r="L4791" s="533"/>
      <c r="M4791" s="533"/>
      <c r="N4791" s="533"/>
      <c r="O4791" s="533"/>
      <c r="P4791" s="533"/>
      <c r="Q4791" s="533"/>
      <c r="R4791" s="533"/>
      <c r="S4791" s="533"/>
      <c r="T4791" s="533"/>
      <c r="U4791" s="533"/>
      <c r="V4791" s="533"/>
      <c r="W4791" s="533"/>
      <c r="X4791" s="533"/>
      <c r="Y4791" s="533"/>
    </row>
    <row r="4792" spans="1:25" s="88" customFormat="1" hidden="1" x14ac:dyDescent="0.25">
      <c r="A4792" s="509"/>
      <c r="B4792" s="256"/>
      <c r="C4792" s="228"/>
      <c r="D4792" s="218"/>
      <c r="E4792" s="218"/>
      <c r="F4792" s="527">
        <v>416</v>
      </c>
      <c r="G4792" s="520" t="s">
        <v>4200</v>
      </c>
      <c r="H4792" s="594"/>
      <c r="I4792" s="595"/>
      <c r="J4792" s="595">
        <f t="shared" si="148"/>
        <v>0</v>
      </c>
      <c r="K4792" s="533"/>
      <c r="L4792" s="533"/>
      <c r="M4792" s="533"/>
      <c r="N4792" s="533"/>
      <c r="O4792" s="533"/>
      <c r="P4792" s="533"/>
      <c r="Q4792" s="533"/>
      <c r="R4792" s="533"/>
      <c r="S4792" s="533"/>
      <c r="T4792" s="533"/>
      <c r="U4792" s="533"/>
      <c r="V4792" s="533"/>
      <c r="W4792" s="533"/>
      <c r="X4792" s="533"/>
      <c r="Y4792" s="533"/>
    </row>
    <row r="4793" spans="1:25" s="88" customFormat="1" hidden="1" x14ac:dyDescent="0.25">
      <c r="A4793" s="509"/>
      <c r="B4793" s="256"/>
      <c r="C4793" s="228"/>
      <c r="D4793" s="218"/>
      <c r="E4793" s="218"/>
      <c r="F4793" s="527">
        <v>417</v>
      </c>
      <c r="G4793" s="520" t="s">
        <v>4201</v>
      </c>
      <c r="H4793" s="594"/>
      <c r="I4793" s="595"/>
      <c r="J4793" s="595">
        <f t="shared" si="148"/>
        <v>0</v>
      </c>
      <c r="K4793" s="533"/>
      <c r="L4793" s="533"/>
      <c r="M4793" s="533"/>
      <c r="N4793" s="533"/>
      <c r="O4793" s="533"/>
      <c r="P4793" s="533"/>
      <c r="Q4793" s="533"/>
      <c r="R4793" s="533"/>
      <c r="S4793" s="533"/>
      <c r="T4793" s="533"/>
      <c r="U4793" s="533"/>
      <c r="V4793" s="533"/>
      <c r="W4793" s="533"/>
      <c r="X4793" s="533"/>
      <c r="Y4793" s="533"/>
    </row>
    <row r="4794" spans="1:25" s="88" customFormat="1" hidden="1" x14ac:dyDescent="0.25">
      <c r="A4794" s="509"/>
      <c r="B4794" s="256"/>
      <c r="C4794" s="228"/>
      <c r="D4794" s="218"/>
      <c r="E4794" s="218"/>
      <c r="F4794" s="527">
        <v>418</v>
      </c>
      <c r="G4794" s="520" t="s">
        <v>3793</v>
      </c>
      <c r="H4794" s="594"/>
      <c r="I4794" s="595"/>
      <c r="J4794" s="595">
        <f t="shared" si="148"/>
        <v>0</v>
      </c>
      <c r="K4794" s="533"/>
      <c r="L4794" s="533"/>
      <c r="M4794" s="533"/>
      <c r="N4794" s="533"/>
      <c r="O4794" s="533"/>
      <c r="P4794" s="533"/>
      <c r="Q4794" s="533"/>
      <c r="R4794" s="533"/>
      <c r="S4794" s="533"/>
      <c r="T4794" s="533"/>
      <c r="U4794" s="533"/>
      <c r="V4794" s="533"/>
      <c r="W4794" s="533"/>
      <c r="X4794" s="533"/>
      <c r="Y4794" s="533"/>
    </row>
    <row r="4795" spans="1:25" s="88" customFormat="1" hidden="1" x14ac:dyDescent="0.25">
      <c r="A4795" s="509"/>
      <c r="B4795" s="256"/>
      <c r="C4795" s="228"/>
      <c r="D4795" s="218"/>
      <c r="E4795" s="218"/>
      <c r="F4795" s="527">
        <v>421</v>
      </c>
      <c r="G4795" s="520" t="s">
        <v>3797</v>
      </c>
      <c r="H4795" s="594"/>
      <c r="I4795" s="595"/>
      <c r="J4795" s="595">
        <f t="shared" si="148"/>
        <v>0</v>
      </c>
      <c r="K4795" s="533"/>
      <c r="L4795" s="533"/>
      <c r="M4795" s="533"/>
      <c r="N4795" s="533"/>
      <c r="O4795" s="533"/>
      <c r="P4795" s="533"/>
      <c r="Q4795" s="533"/>
      <c r="R4795" s="533"/>
      <c r="S4795" s="533"/>
      <c r="T4795" s="533"/>
      <c r="U4795" s="533"/>
      <c r="V4795" s="533"/>
      <c r="W4795" s="533"/>
      <c r="X4795" s="533"/>
      <c r="Y4795" s="533"/>
    </row>
    <row r="4796" spans="1:25" s="88" customFormat="1" hidden="1" x14ac:dyDescent="0.25">
      <c r="A4796" s="509"/>
      <c r="B4796" s="256"/>
      <c r="C4796" s="228"/>
      <c r="D4796" s="218"/>
      <c r="E4796" s="218"/>
      <c r="F4796" s="527">
        <v>422</v>
      </c>
      <c r="G4796" s="520" t="s">
        <v>3798</v>
      </c>
      <c r="H4796" s="594"/>
      <c r="I4796" s="595"/>
      <c r="J4796" s="595">
        <f t="shared" si="148"/>
        <v>0</v>
      </c>
      <c r="K4796" s="533"/>
      <c r="L4796" s="533"/>
      <c r="M4796" s="533"/>
      <c r="N4796" s="533"/>
      <c r="O4796" s="533"/>
      <c r="P4796" s="533"/>
      <c r="Q4796" s="533"/>
      <c r="R4796" s="533"/>
      <c r="S4796" s="533"/>
      <c r="T4796" s="533"/>
      <c r="U4796" s="533"/>
      <c r="V4796" s="533"/>
      <c r="W4796" s="533"/>
      <c r="X4796" s="533"/>
      <c r="Y4796" s="533"/>
    </row>
    <row r="4797" spans="1:25" s="88" customFormat="1" hidden="1" x14ac:dyDescent="0.25">
      <c r="A4797" s="509"/>
      <c r="B4797" s="256"/>
      <c r="C4797" s="228"/>
      <c r="D4797" s="218"/>
      <c r="E4797" s="218"/>
      <c r="F4797" s="527">
        <v>423</v>
      </c>
      <c r="G4797" s="520" t="s">
        <v>3799</v>
      </c>
      <c r="H4797" s="594"/>
      <c r="I4797" s="595"/>
      <c r="J4797" s="595">
        <f t="shared" si="148"/>
        <v>0</v>
      </c>
      <c r="K4797" s="533"/>
      <c r="L4797" s="533"/>
      <c r="M4797" s="533"/>
      <c r="N4797" s="533"/>
      <c r="O4797" s="533"/>
      <c r="P4797" s="533"/>
      <c r="Q4797" s="533"/>
      <c r="R4797" s="533"/>
      <c r="S4797" s="533"/>
      <c r="T4797" s="533"/>
      <c r="U4797" s="533"/>
      <c r="V4797" s="533"/>
      <c r="W4797" s="533"/>
      <c r="X4797" s="533"/>
      <c r="Y4797" s="533"/>
    </row>
    <row r="4798" spans="1:25" s="88" customFormat="1" hidden="1" x14ac:dyDescent="0.25">
      <c r="A4798" s="509"/>
      <c r="B4798" s="256"/>
      <c r="C4798" s="228"/>
      <c r="D4798" s="218"/>
      <c r="E4798" s="218"/>
      <c r="F4798" s="527">
        <v>424</v>
      </c>
      <c r="G4798" s="520" t="s">
        <v>3801</v>
      </c>
      <c r="H4798" s="594"/>
      <c r="I4798" s="595"/>
      <c r="J4798" s="595">
        <f t="shared" si="148"/>
        <v>0</v>
      </c>
      <c r="K4798" s="533"/>
      <c r="L4798" s="533"/>
      <c r="M4798" s="533"/>
      <c r="N4798" s="533"/>
      <c r="O4798" s="533"/>
      <c r="P4798" s="533"/>
      <c r="Q4798" s="533"/>
      <c r="R4798" s="533"/>
      <c r="S4798" s="533"/>
      <c r="T4798" s="533"/>
      <c r="U4798" s="533"/>
      <c r="V4798" s="533"/>
      <c r="W4798" s="533"/>
      <c r="X4798" s="533"/>
      <c r="Y4798" s="533"/>
    </row>
    <row r="4799" spans="1:25" s="88" customFormat="1" hidden="1" x14ac:dyDescent="0.25">
      <c r="A4799" s="509"/>
      <c r="B4799" s="256"/>
      <c r="C4799" s="228"/>
      <c r="D4799" s="218"/>
      <c r="E4799" s="218"/>
      <c r="F4799" s="527">
        <v>425</v>
      </c>
      <c r="G4799" s="520" t="s">
        <v>4202</v>
      </c>
      <c r="H4799" s="594"/>
      <c r="I4799" s="595"/>
      <c r="J4799" s="595">
        <f t="shared" si="148"/>
        <v>0</v>
      </c>
      <c r="K4799" s="533"/>
      <c r="L4799" s="533"/>
      <c r="M4799" s="533"/>
      <c r="N4799" s="533"/>
      <c r="O4799" s="533"/>
      <c r="P4799" s="533"/>
      <c r="Q4799" s="533"/>
      <c r="R4799" s="533"/>
      <c r="S4799" s="533"/>
      <c r="T4799" s="533"/>
      <c r="U4799" s="533"/>
      <c r="V4799" s="533"/>
      <c r="W4799" s="533"/>
      <c r="X4799" s="533"/>
      <c r="Y4799" s="533"/>
    </row>
    <row r="4800" spans="1:25" s="88" customFormat="1" hidden="1" x14ac:dyDescent="0.25">
      <c r="A4800" s="509"/>
      <c r="B4800" s="256"/>
      <c r="C4800" s="228"/>
      <c r="D4800" s="218"/>
      <c r="E4800" s="218"/>
      <c r="F4800" s="527">
        <v>426</v>
      </c>
      <c r="G4800" s="520" t="s">
        <v>3805</v>
      </c>
      <c r="H4800" s="594"/>
      <c r="I4800" s="595"/>
      <c r="J4800" s="595">
        <f t="shared" si="148"/>
        <v>0</v>
      </c>
      <c r="K4800" s="533"/>
      <c r="L4800" s="533"/>
      <c r="M4800" s="533"/>
      <c r="N4800" s="533"/>
      <c r="O4800" s="533"/>
      <c r="P4800" s="533"/>
      <c r="Q4800" s="533"/>
      <c r="R4800" s="533"/>
      <c r="S4800" s="533"/>
      <c r="T4800" s="533"/>
      <c r="U4800" s="533"/>
      <c r="V4800" s="533"/>
      <c r="W4800" s="533"/>
      <c r="X4800" s="533"/>
      <c r="Y4800" s="533"/>
    </row>
    <row r="4801" spans="1:25" s="88" customFormat="1" hidden="1" x14ac:dyDescent="0.25">
      <c r="A4801" s="509"/>
      <c r="B4801" s="256"/>
      <c r="C4801" s="228"/>
      <c r="D4801" s="218"/>
      <c r="E4801" s="218"/>
      <c r="F4801" s="527">
        <v>431</v>
      </c>
      <c r="G4801" s="520" t="s">
        <v>4203</v>
      </c>
      <c r="H4801" s="594"/>
      <c r="I4801" s="595"/>
      <c r="J4801" s="595">
        <f t="shared" si="148"/>
        <v>0</v>
      </c>
      <c r="K4801" s="533"/>
      <c r="L4801" s="533"/>
      <c r="M4801" s="533"/>
      <c r="N4801" s="533"/>
      <c r="O4801" s="533"/>
      <c r="P4801" s="533"/>
      <c r="Q4801" s="533"/>
      <c r="R4801" s="533"/>
      <c r="S4801" s="533"/>
      <c r="T4801" s="533"/>
      <c r="U4801" s="533"/>
      <c r="V4801" s="533"/>
      <c r="W4801" s="533"/>
      <c r="X4801" s="533"/>
      <c r="Y4801" s="533"/>
    </row>
    <row r="4802" spans="1:25" s="88" customFormat="1" hidden="1" x14ac:dyDescent="0.25">
      <c r="A4802" s="509"/>
      <c r="B4802" s="256"/>
      <c r="C4802" s="228"/>
      <c r="D4802" s="218"/>
      <c r="E4802" s="218"/>
      <c r="F4802" s="527">
        <v>432</v>
      </c>
      <c r="G4802" s="520" t="s">
        <v>4204</v>
      </c>
      <c r="H4802" s="594"/>
      <c r="I4802" s="595"/>
      <c r="J4802" s="595">
        <f t="shared" si="148"/>
        <v>0</v>
      </c>
      <c r="K4802" s="533"/>
      <c r="L4802" s="533"/>
      <c r="M4802" s="533"/>
      <c r="N4802" s="533"/>
      <c r="O4802" s="533"/>
      <c r="P4802" s="533"/>
      <c r="Q4802" s="533"/>
      <c r="R4802" s="533"/>
      <c r="S4802" s="533"/>
      <c r="T4802" s="533"/>
      <c r="U4802" s="533"/>
      <c r="V4802" s="533"/>
      <c r="W4802" s="533"/>
      <c r="X4802" s="533"/>
      <c r="Y4802" s="533"/>
    </row>
    <row r="4803" spans="1:25" s="88" customFormat="1" hidden="1" x14ac:dyDescent="0.25">
      <c r="A4803" s="509"/>
      <c r="B4803" s="256"/>
      <c r="C4803" s="228"/>
      <c r="D4803" s="218"/>
      <c r="E4803" s="218"/>
      <c r="F4803" s="527">
        <v>433</v>
      </c>
      <c r="G4803" s="520" t="s">
        <v>4205</v>
      </c>
      <c r="H4803" s="594"/>
      <c r="I4803" s="595"/>
      <c r="J4803" s="595">
        <f t="shared" si="148"/>
        <v>0</v>
      </c>
      <c r="K4803" s="533"/>
      <c r="L4803" s="533"/>
      <c r="M4803" s="533"/>
      <c r="N4803" s="533"/>
      <c r="O4803" s="533"/>
      <c r="P4803" s="533"/>
      <c r="Q4803" s="533"/>
      <c r="R4803" s="533"/>
      <c r="S4803" s="533"/>
      <c r="T4803" s="533"/>
      <c r="U4803" s="533"/>
      <c r="V4803" s="533"/>
      <c r="W4803" s="533"/>
      <c r="X4803" s="533"/>
      <c r="Y4803" s="533"/>
    </row>
    <row r="4804" spans="1:25" s="88" customFormat="1" hidden="1" x14ac:dyDescent="0.25">
      <c r="A4804" s="509"/>
      <c r="B4804" s="256"/>
      <c r="C4804" s="228"/>
      <c r="D4804" s="218"/>
      <c r="E4804" s="218"/>
      <c r="F4804" s="527">
        <v>434</v>
      </c>
      <c r="G4804" s="520" t="s">
        <v>4206</v>
      </c>
      <c r="H4804" s="594"/>
      <c r="I4804" s="595"/>
      <c r="J4804" s="595">
        <f t="shared" si="148"/>
        <v>0</v>
      </c>
      <c r="K4804" s="533"/>
      <c r="L4804" s="533"/>
      <c r="M4804" s="533"/>
      <c r="N4804" s="533"/>
      <c r="O4804" s="533"/>
      <c r="P4804" s="533"/>
      <c r="Q4804" s="533"/>
      <c r="R4804" s="533"/>
      <c r="S4804" s="533"/>
      <c r="T4804" s="533"/>
      <c r="U4804" s="533"/>
      <c r="V4804" s="533"/>
      <c r="W4804" s="533"/>
      <c r="X4804" s="533"/>
      <c r="Y4804" s="533"/>
    </row>
    <row r="4805" spans="1:25" s="88" customFormat="1" hidden="1" x14ac:dyDescent="0.25">
      <c r="A4805" s="509"/>
      <c r="B4805" s="256"/>
      <c r="C4805" s="228"/>
      <c r="D4805" s="218"/>
      <c r="E4805" s="218"/>
      <c r="F4805" s="527">
        <v>435</v>
      </c>
      <c r="G4805" s="520" t="s">
        <v>3812</v>
      </c>
      <c r="H4805" s="594"/>
      <c r="I4805" s="595"/>
      <c r="J4805" s="595">
        <f t="shared" si="148"/>
        <v>0</v>
      </c>
      <c r="K4805" s="533"/>
      <c r="L4805" s="533"/>
      <c r="M4805" s="533"/>
      <c r="N4805" s="533"/>
      <c r="O4805" s="533"/>
      <c r="P4805" s="533"/>
      <c r="Q4805" s="533"/>
      <c r="R4805" s="533"/>
      <c r="S4805" s="533"/>
      <c r="T4805" s="533"/>
      <c r="U4805" s="533"/>
      <c r="V4805" s="533"/>
      <c r="W4805" s="533"/>
      <c r="X4805" s="533"/>
      <c r="Y4805" s="533"/>
    </row>
    <row r="4806" spans="1:25" s="88" customFormat="1" hidden="1" x14ac:dyDescent="0.25">
      <c r="A4806" s="509"/>
      <c r="B4806" s="256"/>
      <c r="C4806" s="228"/>
      <c r="D4806" s="218"/>
      <c r="E4806" s="218"/>
      <c r="F4806" s="527">
        <v>441</v>
      </c>
      <c r="G4806" s="520" t="s">
        <v>4207</v>
      </c>
      <c r="H4806" s="594"/>
      <c r="I4806" s="595"/>
      <c r="J4806" s="595">
        <f t="shared" si="148"/>
        <v>0</v>
      </c>
      <c r="K4806" s="533"/>
      <c r="L4806" s="533"/>
      <c r="M4806" s="533"/>
      <c r="N4806" s="533"/>
      <c r="O4806" s="533"/>
      <c r="P4806" s="533"/>
      <c r="Q4806" s="533"/>
      <c r="R4806" s="533"/>
      <c r="S4806" s="533"/>
      <c r="T4806" s="533"/>
      <c r="U4806" s="533"/>
      <c r="V4806" s="533"/>
      <c r="W4806" s="533"/>
      <c r="X4806" s="533"/>
      <c r="Y4806" s="533"/>
    </row>
    <row r="4807" spans="1:25" s="88" customFormat="1" hidden="1" x14ac:dyDescent="0.25">
      <c r="A4807" s="509"/>
      <c r="B4807" s="256"/>
      <c r="C4807" s="228"/>
      <c r="D4807" s="218"/>
      <c r="E4807" s="218"/>
      <c r="F4807" s="527">
        <v>442</v>
      </c>
      <c r="G4807" s="520" t="s">
        <v>4208</v>
      </c>
      <c r="H4807" s="594"/>
      <c r="I4807" s="595"/>
      <c r="J4807" s="595">
        <f t="shared" si="148"/>
        <v>0</v>
      </c>
      <c r="K4807" s="533"/>
      <c r="L4807" s="533"/>
      <c r="M4807" s="533"/>
      <c r="N4807" s="533"/>
      <c r="O4807" s="533"/>
      <c r="P4807" s="533"/>
      <c r="Q4807" s="533"/>
      <c r="R4807" s="533"/>
      <c r="S4807" s="533"/>
      <c r="T4807" s="533"/>
      <c r="U4807" s="533"/>
      <c r="V4807" s="533"/>
      <c r="W4807" s="533"/>
      <c r="X4807" s="533"/>
      <c r="Y4807" s="533"/>
    </row>
    <row r="4808" spans="1:25" s="88" customFormat="1" hidden="1" x14ac:dyDescent="0.25">
      <c r="A4808" s="509"/>
      <c r="B4808" s="256"/>
      <c r="C4808" s="228"/>
      <c r="D4808" s="218"/>
      <c r="E4808" s="218"/>
      <c r="F4808" s="527">
        <v>443</v>
      </c>
      <c r="G4808" s="520" t="s">
        <v>3817</v>
      </c>
      <c r="H4808" s="594"/>
      <c r="I4808" s="595"/>
      <c r="J4808" s="595">
        <f t="shared" si="148"/>
        <v>0</v>
      </c>
      <c r="K4808" s="533"/>
      <c r="L4808" s="533"/>
      <c r="M4808" s="533"/>
      <c r="N4808" s="533"/>
      <c r="O4808" s="533"/>
      <c r="P4808" s="533"/>
      <c r="Q4808" s="533"/>
      <c r="R4808" s="533"/>
      <c r="S4808" s="533"/>
      <c r="T4808" s="533"/>
      <c r="U4808" s="533"/>
      <c r="V4808" s="533"/>
      <c r="W4808" s="533"/>
      <c r="X4808" s="533"/>
      <c r="Y4808" s="533"/>
    </row>
    <row r="4809" spans="1:25" s="88" customFormat="1" hidden="1" x14ac:dyDescent="0.25">
      <c r="A4809" s="509"/>
      <c r="B4809" s="256"/>
      <c r="C4809" s="228"/>
      <c r="D4809" s="218"/>
      <c r="E4809" s="218"/>
      <c r="F4809" s="527">
        <v>444</v>
      </c>
      <c r="G4809" s="520" t="s">
        <v>3818</v>
      </c>
      <c r="H4809" s="594"/>
      <c r="I4809" s="595"/>
      <c r="J4809" s="595">
        <f t="shared" si="148"/>
        <v>0</v>
      </c>
      <c r="K4809" s="533"/>
      <c r="L4809" s="533"/>
      <c r="M4809" s="533"/>
      <c r="N4809" s="533"/>
      <c r="O4809" s="533"/>
      <c r="P4809" s="533"/>
      <c r="Q4809" s="533"/>
      <c r="R4809" s="533"/>
      <c r="S4809" s="533"/>
      <c r="T4809" s="533"/>
      <c r="U4809" s="533"/>
      <c r="V4809" s="533"/>
      <c r="W4809" s="533"/>
      <c r="X4809" s="533"/>
      <c r="Y4809" s="533"/>
    </row>
    <row r="4810" spans="1:25" s="88" customFormat="1" ht="30" hidden="1" x14ac:dyDescent="0.25">
      <c r="A4810" s="509"/>
      <c r="B4810" s="256"/>
      <c r="C4810" s="228"/>
      <c r="D4810" s="218"/>
      <c r="E4810" s="218"/>
      <c r="F4810" s="527">
        <v>4511</v>
      </c>
      <c r="G4810" s="223" t="s">
        <v>1692</v>
      </c>
      <c r="H4810" s="594"/>
      <c r="I4810" s="595"/>
      <c r="J4810" s="595">
        <f t="shared" si="148"/>
        <v>0</v>
      </c>
      <c r="K4810" s="533"/>
      <c r="L4810" s="533"/>
      <c r="M4810" s="533"/>
      <c r="N4810" s="533"/>
      <c r="O4810" s="533"/>
      <c r="P4810" s="533"/>
      <c r="Q4810" s="533"/>
      <c r="R4810" s="533"/>
      <c r="S4810" s="533"/>
      <c r="T4810" s="533"/>
      <c r="U4810" s="533"/>
      <c r="V4810" s="533"/>
      <c r="W4810" s="533"/>
      <c r="X4810" s="533"/>
      <c r="Y4810" s="533"/>
    </row>
    <row r="4811" spans="1:25" s="88" customFormat="1" ht="30" hidden="1" x14ac:dyDescent="0.25">
      <c r="A4811" s="509"/>
      <c r="B4811" s="256"/>
      <c r="C4811" s="228"/>
      <c r="D4811" s="218"/>
      <c r="E4811" s="218"/>
      <c r="F4811" s="527">
        <v>4512</v>
      </c>
      <c r="G4811" s="223" t="s">
        <v>1701</v>
      </c>
      <c r="H4811" s="594"/>
      <c r="I4811" s="595"/>
      <c r="J4811" s="595">
        <f t="shared" si="148"/>
        <v>0</v>
      </c>
      <c r="K4811" s="533"/>
      <c r="L4811" s="533"/>
      <c r="M4811" s="533"/>
      <c r="N4811" s="533"/>
      <c r="O4811" s="533"/>
      <c r="P4811" s="533"/>
      <c r="Q4811" s="533"/>
      <c r="R4811" s="533"/>
      <c r="S4811" s="533"/>
      <c r="T4811" s="533"/>
      <c r="U4811" s="533"/>
      <c r="V4811" s="533"/>
      <c r="W4811" s="533"/>
      <c r="X4811" s="533"/>
      <c r="Y4811" s="533"/>
    </row>
    <row r="4812" spans="1:25" s="88" customFormat="1" hidden="1" x14ac:dyDescent="0.25">
      <c r="A4812" s="509"/>
      <c r="B4812" s="256"/>
      <c r="C4812" s="228"/>
      <c r="D4812" s="218"/>
      <c r="E4812" s="218"/>
      <c r="F4812" s="527">
        <v>452</v>
      </c>
      <c r="G4812" s="520" t="s">
        <v>4209</v>
      </c>
      <c r="H4812" s="594"/>
      <c r="I4812" s="595"/>
      <c r="J4812" s="595">
        <f t="shared" si="148"/>
        <v>0</v>
      </c>
      <c r="K4812" s="533"/>
      <c r="L4812" s="533"/>
      <c r="M4812" s="533"/>
      <c r="N4812" s="533"/>
      <c r="O4812" s="533"/>
      <c r="P4812" s="533"/>
      <c r="Q4812" s="533"/>
      <c r="R4812" s="533"/>
      <c r="S4812" s="533"/>
      <c r="T4812" s="533"/>
      <c r="U4812" s="533"/>
      <c r="V4812" s="533"/>
      <c r="W4812" s="533"/>
      <c r="X4812" s="533"/>
      <c r="Y4812" s="533"/>
    </row>
    <row r="4813" spans="1:25" s="88" customFormat="1" hidden="1" x14ac:dyDescent="0.25">
      <c r="A4813" s="509"/>
      <c r="B4813" s="256"/>
      <c r="C4813" s="228"/>
      <c r="D4813" s="218"/>
      <c r="E4813" s="218"/>
      <c r="F4813" s="527">
        <v>453</v>
      </c>
      <c r="G4813" s="520" t="s">
        <v>4210</v>
      </c>
      <c r="H4813" s="594"/>
      <c r="I4813" s="595"/>
      <c r="J4813" s="595">
        <f t="shared" si="148"/>
        <v>0</v>
      </c>
      <c r="K4813" s="533"/>
      <c r="L4813" s="533"/>
      <c r="M4813" s="533"/>
      <c r="N4813" s="533"/>
      <c r="O4813" s="533"/>
      <c r="P4813" s="533"/>
      <c r="Q4813" s="533"/>
      <c r="R4813" s="533"/>
      <c r="S4813" s="533"/>
      <c r="T4813" s="533"/>
      <c r="U4813" s="533"/>
      <c r="V4813" s="533"/>
      <c r="W4813" s="533"/>
      <c r="X4813" s="533"/>
      <c r="Y4813" s="533"/>
    </row>
    <row r="4814" spans="1:25" s="88" customFormat="1" hidden="1" x14ac:dyDescent="0.25">
      <c r="A4814" s="509"/>
      <c r="B4814" s="256"/>
      <c r="C4814" s="228"/>
      <c r="D4814" s="218"/>
      <c r="E4814" s="218"/>
      <c r="F4814" s="527">
        <v>454</v>
      </c>
      <c r="G4814" s="520" t="s">
        <v>3823</v>
      </c>
      <c r="H4814" s="594"/>
      <c r="I4814" s="595"/>
      <c r="J4814" s="595">
        <f t="shared" si="148"/>
        <v>0</v>
      </c>
      <c r="K4814" s="533"/>
      <c r="L4814" s="533"/>
      <c r="M4814" s="533"/>
      <c r="N4814" s="533"/>
      <c r="O4814" s="533"/>
      <c r="P4814" s="533"/>
      <c r="Q4814" s="533"/>
      <c r="R4814" s="533"/>
      <c r="S4814" s="533"/>
      <c r="T4814" s="533"/>
      <c r="U4814" s="533"/>
      <c r="V4814" s="533"/>
      <c r="W4814" s="533"/>
      <c r="X4814" s="533"/>
      <c r="Y4814" s="533"/>
    </row>
    <row r="4815" spans="1:25" s="88" customFormat="1" hidden="1" x14ac:dyDescent="0.25">
      <c r="A4815" s="509"/>
      <c r="B4815" s="256"/>
      <c r="C4815" s="228"/>
      <c r="D4815" s="218"/>
      <c r="E4815" s="218"/>
      <c r="F4815" s="527">
        <v>461</v>
      </c>
      <c r="G4815" s="520" t="s">
        <v>4191</v>
      </c>
      <c r="H4815" s="594"/>
      <c r="I4815" s="595"/>
      <c r="J4815" s="595">
        <f t="shared" si="148"/>
        <v>0</v>
      </c>
      <c r="K4815" s="533"/>
      <c r="L4815" s="533"/>
      <c r="M4815" s="533"/>
      <c r="N4815" s="533"/>
      <c r="O4815" s="533"/>
      <c r="P4815" s="533"/>
      <c r="Q4815" s="533"/>
      <c r="R4815" s="533"/>
      <c r="S4815" s="533"/>
      <c r="T4815" s="533"/>
      <c r="U4815" s="533"/>
      <c r="V4815" s="533"/>
      <c r="W4815" s="533"/>
      <c r="X4815" s="533"/>
      <c r="Y4815" s="533"/>
    </row>
    <row r="4816" spans="1:25" s="88" customFormat="1" hidden="1" x14ac:dyDescent="0.25">
      <c r="A4816" s="509"/>
      <c r="B4816" s="256"/>
      <c r="C4816" s="228"/>
      <c r="D4816" s="218"/>
      <c r="E4816" s="218"/>
      <c r="F4816" s="527">
        <v>462</v>
      </c>
      <c r="G4816" s="520" t="s">
        <v>3826</v>
      </c>
      <c r="H4816" s="594"/>
      <c r="I4816" s="595"/>
      <c r="J4816" s="595">
        <f t="shared" si="148"/>
        <v>0</v>
      </c>
      <c r="K4816" s="533"/>
      <c r="L4816" s="533"/>
      <c r="M4816" s="533"/>
      <c r="N4816" s="533"/>
      <c r="O4816" s="533"/>
      <c r="P4816" s="533"/>
      <c r="Q4816" s="533"/>
      <c r="R4816" s="533"/>
      <c r="S4816" s="533"/>
      <c r="T4816" s="533"/>
      <c r="U4816" s="533"/>
      <c r="V4816" s="533"/>
      <c r="W4816" s="533"/>
      <c r="X4816" s="533"/>
      <c r="Y4816" s="533"/>
    </row>
    <row r="4817" spans="1:25" s="88" customFormat="1" hidden="1" x14ac:dyDescent="0.25">
      <c r="A4817" s="509"/>
      <c r="B4817" s="256"/>
      <c r="C4817" s="228"/>
      <c r="D4817" s="218"/>
      <c r="E4817" s="218"/>
      <c r="F4817" s="527">
        <v>4631</v>
      </c>
      <c r="G4817" s="520" t="s">
        <v>3827</v>
      </c>
      <c r="H4817" s="594"/>
      <c r="I4817" s="595"/>
      <c r="J4817" s="595">
        <f t="shared" si="148"/>
        <v>0</v>
      </c>
      <c r="K4817" s="533"/>
      <c r="L4817" s="533"/>
      <c r="M4817" s="533"/>
      <c r="N4817" s="533"/>
      <c r="O4817" s="533"/>
      <c r="P4817" s="533"/>
      <c r="Q4817" s="533"/>
      <c r="R4817" s="533"/>
      <c r="S4817" s="533"/>
      <c r="T4817" s="533"/>
      <c r="U4817" s="533"/>
      <c r="V4817" s="533"/>
      <c r="W4817" s="533"/>
      <c r="X4817" s="533"/>
      <c r="Y4817" s="533"/>
    </row>
    <row r="4818" spans="1:25" s="88" customFormat="1" hidden="1" x14ac:dyDescent="0.25">
      <c r="A4818" s="509"/>
      <c r="B4818" s="256"/>
      <c r="C4818" s="228"/>
      <c r="D4818" s="218"/>
      <c r="E4818" s="218"/>
      <c r="F4818" s="527">
        <v>4632</v>
      </c>
      <c r="G4818" s="520" t="s">
        <v>3828</v>
      </c>
      <c r="H4818" s="594"/>
      <c r="I4818" s="595"/>
      <c r="J4818" s="595">
        <f t="shared" si="148"/>
        <v>0</v>
      </c>
      <c r="K4818" s="533"/>
      <c r="L4818" s="533"/>
      <c r="M4818" s="533"/>
      <c r="N4818" s="533"/>
      <c r="O4818" s="533"/>
      <c r="P4818" s="533"/>
      <c r="Q4818" s="533"/>
      <c r="R4818" s="533"/>
      <c r="S4818" s="533"/>
      <c r="T4818" s="533"/>
      <c r="U4818" s="533"/>
      <c r="V4818" s="533"/>
      <c r="W4818" s="533"/>
      <c r="X4818" s="533"/>
      <c r="Y4818" s="533"/>
    </row>
    <row r="4819" spans="1:25" s="88" customFormat="1" hidden="1" x14ac:dyDescent="0.25">
      <c r="A4819" s="509"/>
      <c r="B4819" s="256"/>
      <c r="C4819" s="228"/>
      <c r="D4819" s="218"/>
      <c r="E4819" s="218"/>
      <c r="F4819" s="527">
        <v>464</v>
      </c>
      <c r="G4819" s="520" t="s">
        <v>3829</v>
      </c>
      <c r="H4819" s="594"/>
      <c r="I4819" s="595"/>
      <c r="J4819" s="595">
        <f t="shared" si="148"/>
        <v>0</v>
      </c>
      <c r="K4819" s="533"/>
      <c r="L4819" s="533"/>
      <c r="M4819" s="533"/>
      <c r="N4819" s="533"/>
      <c r="O4819" s="533"/>
      <c r="P4819" s="533"/>
      <c r="Q4819" s="533"/>
      <c r="R4819" s="533"/>
      <c r="S4819" s="533"/>
      <c r="T4819" s="533"/>
      <c r="U4819" s="533"/>
      <c r="V4819" s="533"/>
      <c r="W4819" s="533"/>
      <c r="X4819" s="533"/>
      <c r="Y4819" s="533"/>
    </row>
    <row r="4820" spans="1:25" s="88" customFormat="1" hidden="1" x14ac:dyDescent="0.25">
      <c r="A4820" s="509"/>
      <c r="B4820" s="256"/>
      <c r="C4820" s="228"/>
      <c r="D4820" s="218"/>
      <c r="E4820" s="218"/>
      <c r="F4820" s="527">
        <v>465</v>
      </c>
      <c r="G4820" s="520" t="s">
        <v>4192</v>
      </c>
      <c r="H4820" s="594"/>
      <c r="I4820" s="595"/>
      <c r="J4820" s="595">
        <f t="shared" si="148"/>
        <v>0</v>
      </c>
      <c r="K4820" s="533"/>
      <c r="L4820" s="533"/>
      <c r="M4820" s="533"/>
      <c r="N4820" s="533"/>
      <c r="O4820" s="533"/>
      <c r="P4820" s="533"/>
      <c r="Q4820" s="533"/>
      <c r="R4820" s="533"/>
      <c r="S4820" s="533"/>
      <c r="T4820" s="533"/>
      <c r="U4820" s="533"/>
      <c r="V4820" s="533"/>
      <c r="W4820" s="533"/>
      <c r="X4820" s="533"/>
      <c r="Y4820" s="533"/>
    </row>
    <row r="4821" spans="1:25" s="88" customFormat="1" hidden="1" x14ac:dyDescent="0.25">
      <c r="A4821" s="509"/>
      <c r="B4821" s="256"/>
      <c r="C4821" s="228"/>
      <c r="D4821" s="218"/>
      <c r="E4821" s="218"/>
      <c r="F4821" s="527">
        <v>472</v>
      </c>
      <c r="G4821" s="520" t="s">
        <v>3833</v>
      </c>
      <c r="H4821" s="594"/>
      <c r="I4821" s="595"/>
      <c r="J4821" s="595">
        <f t="shared" si="148"/>
        <v>0</v>
      </c>
      <c r="K4821" s="533"/>
      <c r="L4821" s="533"/>
      <c r="M4821" s="533"/>
      <c r="N4821" s="533"/>
      <c r="O4821" s="533"/>
      <c r="P4821" s="533"/>
      <c r="Q4821" s="533"/>
      <c r="R4821" s="533"/>
      <c r="S4821" s="533"/>
      <c r="T4821" s="533"/>
      <c r="U4821" s="533"/>
      <c r="V4821" s="533"/>
      <c r="W4821" s="533"/>
      <c r="X4821" s="533"/>
      <c r="Y4821" s="533"/>
    </row>
    <row r="4822" spans="1:25" s="88" customFormat="1" ht="15.75" thickBot="1" x14ac:dyDescent="0.3">
      <c r="A4822" s="509"/>
      <c r="B4822" s="256"/>
      <c r="C4822" s="228"/>
      <c r="D4822" s="218"/>
      <c r="E4822" s="218">
        <v>58</v>
      </c>
      <c r="F4822" s="527">
        <v>481</v>
      </c>
      <c r="G4822" s="520" t="s">
        <v>4211</v>
      </c>
      <c r="H4822" s="594">
        <v>4000000</v>
      </c>
      <c r="I4822" s="595"/>
      <c r="J4822" s="595">
        <f t="shared" si="148"/>
        <v>4000000</v>
      </c>
      <c r="K4822" s="533"/>
      <c r="L4822" s="533"/>
      <c r="M4822" s="533"/>
      <c r="N4822" s="533"/>
      <c r="O4822" s="533"/>
      <c r="P4822" s="533"/>
      <c r="Q4822" s="533"/>
      <c r="R4822" s="533"/>
      <c r="S4822" s="533"/>
      <c r="T4822" s="533"/>
      <c r="U4822" s="533"/>
      <c r="V4822" s="533"/>
      <c r="W4822" s="533"/>
      <c r="X4822" s="533"/>
      <c r="Y4822" s="533"/>
    </row>
    <row r="4823" spans="1:25" s="88" customFormat="1" hidden="1" x14ac:dyDescent="0.25">
      <c r="A4823" s="509"/>
      <c r="B4823" s="256"/>
      <c r="C4823" s="228"/>
      <c r="D4823" s="218"/>
      <c r="E4823" s="218"/>
      <c r="F4823" s="527">
        <v>482</v>
      </c>
      <c r="G4823" s="520" t="s">
        <v>4212</v>
      </c>
      <c r="H4823" s="594"/>
      <c r="I4823" s="595"/>
      <c r="J4823" s="595">
        <f t="shared" si="148"/>
        <v>0</v>
      </c>
      <c r="K4823" s="533"/>
      <c r="L4823" s="533"/>
      <c r="M4823" s="533"/>
      <c r="N4823" s="533"/>
      <c r="O4823" s="533"/>
      <c r="P4823" s="533"/>
      <c r="Q4823" s="533"/>
      <c r="R4823" s="533"/>
      <c r="S4823" s="533"/>
      <c r="T4823" s="533"/>
      <c r="U4823" s="533"/>
      <c r="V4823" s="533"/>
      <c r="W4823" s="533"/>
      <c r="X4823" s="533"/>
      <c r="Y4823" s="533"/>
    </row>
    <row r="4824" spans="1:25" s="88" customFormat="1" hidden="1" x14ac:dyDescent="0.25">
      <c r="A4824" s="509"/>
      <c r="B4824" s="256"/>
      <c r="C4824" s="228"/>
      <c r="D4824" s="218"/>
      <c r="E4824" s="218"/>
      <c r="F4824" s="527">
        <v>483</v>
      </c>
      <c r="G4824" s="524" t="s">
        <v>4213</v>
      </c>
      <c r="H4824" s="594"/>
      <c r="I4824" s="595"/>
      <c r="J4824" s="595">
        <f t="shared" si="148"/>
        <v>0</v>
      </c>
      <c r="K4824" s="533"/>
      <c r="L4824" s="533"/>
      <c r="M4824" s="533"/>
      <c r="N4824" s="533"/>
      <c r="O4824" s="533"/>
      <c r="P4824" s="533"/>
      <c r="Q4824" s="533"/>
      <c r="R4824" s="533"/>
      <c r="S4824" s="533"/>
      <c r="T4824" s="533"/>
      <c r="U4824" s="533"/>
      <c r="V4824" s="533"/>
      <c r="W4824" s="533"/>
      <c r="X4824" s="533"/>
      <c r="Y4824" s="533"/>
    </row>
    <row r="4825" spans="1:25" s="88" customFormat="1" ht="30" hidden="1" x14ac:dyDescent="0.25">
      <c r="A4825" s="509"/>
      <c r="B4825" s="256"/>
      <c r="C4825" s="228"/>
      <c r="D4825" s="218"/>
      <c r="E4825" s="218"/>
      <c r="F4825" s="527">
        <v>484</v>
      </c>
      <c r="G4825" s="520" t="s">
        <v>4214</v>
      </c>
      <c r="H4825" s="594"/>
      <c r="I4825" s="595"/>
      <c r="J4825" s="595">
        <f t="shared" si="148"/>
        <v>0</v>
      </c>
      <c r="K4825" s="533"/>
      <c r="L4825" s="533"/>
      <c r="M4825" s="533"/>
      <c r="N4825" s="533"/>
      <c r="O4825" s="533"/>
      <c r="P4825" s="533"/>
      <c r="Q4825" s="533"/>
      <c r="R4825" s="533"/>
      <c r="S4825" s="533"/>
      <c r="T4825" s="533"/>
      <c r="U4825" s="533"/>
      <c r="V4825" s="533"/>
      <c r="W4825" s="533"/>
      <c r="X4825" s="533"/>
      <c r="Y4825" s="533"/>
    </row>
    <row r="4826" spans="1:25" s="88" customFormat="1" ht="30" hidden="1" x14ac:dyDescent="0.25">
      <c r="A4826" s="509"/>
      <c r="B4826" s="256"/>
      <c r="C4826" s="228"/>
      <c r="D4826" s="218"/>
      <c r="E4826" s="218"/>
      <c r="F4826" s="527">
        <v>485</v>
      </c>
      <c r="G4826" s="520" t="s">
        <v>4215</v>
      </c>
      <c r="H4826" s="594"/>
      <c r="I4826" s="595"/>
      <c r="J4826" s="595">
        <f t="shared" si="148"/>
        <v>0</v>
      </c>
      <c r="K4826" s="533"/>
      <c r="L4826" s="533"/>
      <c r="M4826" s="533"/>
      <c r="N4826" s="533"/>
      <c r="O4826" s="533"/>
      <c r="P4826" s="533"/>
      <c r="Q4826" s="533"/>
      <c r="R4826" s="533"/>
      <c r="S4826" s="533"/>
      <c r="T4826" s="533"/>
      <c r="U4826" s="533"/>
      <c r="V4826" s="533"/>
      <c r="W4826" s="533"/>
      <c r="X4826" s="533"/>
      <c r="Y4826" s="533"/>
    </row>
    <row r="4827" spans="1:25" s="88" customFormat="1" ht="30" hidden="1" x14ac:dyDescent="0.25">
      <c r="A4827" s="509"/>
      <c r="B4827" s="256"/>
      <c r="C4827" s="228"/>
      <c r="D4827" s="218"/>
      <c r="E4827" s="218"/>
      <c r="F4827" s="527">
        <v>489</v>
      </c>
      <c r="G4827" s="520" t="s">
        <v>3841</v>
      </c>
      <c r="H4827" s="594"/>
      <c r="I4827" s="595"/>
      <c r="J4827" s="595">
        <f t="shared" si="148"/>
        <v>0</v>
      </c>
      <c r="K4827" s="533"/>
      <c r="L4827" s="533"/>
      <c r="M4827" s="533"/>
      <c r="N4827" s="533"/>
      <c r="O4827" s="533"/>
      <c r="P4827" s="533"/>
      <c r="Q4827" s="533"/>
      <c r="R4827" s="533"/>
      <c r="S4827" s="533"/>
      <c r="T4827" s="533"/>
      <c r="U4827" s="533"/>
      <c r="V4827" s="533"/>
      <c r="W4827" s="533"/>
      <c r="X4827" s="533"/>
      <c r="Y4827" s="533"/>
    </row>
    <row r="4828" spans="1:25" s="88" customFormat="1" hidden="1" x14ac:dyDescent="0.25">
      <c r="A4828" s="509"/>
      <c r="B4828" s="256"/>
      <c r="C4828" s="228"/>
      <c r="D4828" s="218"/>
      <c r="E4828" s="218"/>
      <c r="F4828" s="527">
        <v>494</v>
      </c>
      <c r="G4828" s="520" t="s">
        <v>4193</v>
      </c>
      <c r="H4828" s="594"/>
      <c r="I4828" s="595"/>
      <c r="J4828" s="595">
        <f t="shared" si="148"/>
        <v>0</v>
      </c>
      <c r="K4828" s="533"/>
      <c r="L4828" s="533"/>
      <c r="M4828" s="533"/>
      <c r="N4828" s="533"/>
      <c r="O4828" s="533"/>
      <c r="P4828" s="533"/>
      <c r="Q4828" s="533"/>
      <c r="R4828" s="533"/>
      <c r="S4828" s="533"/>
      <c r="T4828" s="533"/>
      <c r="U4828" s="533"/>
      <c r="V4828" s="533"/>
      <c r="W4828" s="533"/>
      <c r="X4828" s="533"/>
      <c r="Y4828" s="533"/>
    </row>
    <row r="4829" spans="1:25" s="88" customFormat="1" ht="30" hidden="1" x14ac:dyDescent="0.25">
      <c r="A4829" s="509"/>
      <c r="B4829" s="256"/>
      <c r="C4829" s="228"/>
      <c r="D4829" s="218"/>
      <c r="E4829" s="218"/>
      <c r="F4829" s="527">
        <v>495</v>
      </c>
      <c r="G4829" s="520" t="s">
        <v>4194</v>
      </c>
      <c r="H4829" s="594"/>
      <c r="I4829" s="595"/>
      <c r="J4829" s="595">
        <f t="shared" si="148"/>
        <v>0</v>
      </c>
      <c r="K4829" s="533"/>
      <c r="L4829" s="533"/>
      <c r="M4829" s="533"/>
      <c r="N4829" s="533"/>
      <c r="O4829" s="533"/>
      <c r="P4829" s="533"/>
      <c r="Q4829" s="533"/>
      <c r="R4829" s="533"/>
      <c r="S4829" s="533"/>
      <c r="T4829" s="533"/>
      <c r="U4829" s="533"/>
      <c r="V4829" s="533"/>
      <c r="W4829" s="533"/>
      <c r="X4829" s="533"/>
      <c r="Y4829" s="533"/>
    </row>
    <row r="4830" spans="1:25" s="88" customFormat="1" ht="30" hidden="1" x14ac:dyDescent="0.25">
      <c r="A4830" s="509"/>
      <c r="B4830" s="256"/>
      <c r="C4830" s="228"/>
      <c r="D4830" s="218"/>
      <c r="E4830" s="218"/>
      <c r="F4830" s="527">
        <v>496</v>
      </c>
      <c r="G4830" s="520" t="s">
        <v>4195</v>
      </c>
      <c r="H4830" s="594"/>
      <c r="I4830" s="595"/>
      <c r="J4830" s="595">
        <f t="shared" si="148"/>
        <v>0</v>
      </c>
      <c r="K4830" s="533"/>
      <c r="L4830" s="533"/>
      <c r="M4830" s="533"/>
      <c r="N4830" s="533"/>
      <c r="O4830" s="533"/>
      <c r="P4830" s="533"/>
      <c r="Q4830" s="533"/>
      <c r="R4830" s="533"/>
      <c r="S4830" s="533"/>
      <c r="T4830" s="533"/>
      <c r="U4830" s="533"/>
      <c r="V4830" s="533"/>
      <c r="W4830" s="533"/>
      <c r="X4830" s="533"/>
      <c r="Y4830" s="533"/>
    </row>
    <row r="4831" spans="1:25" s="88" customFormat="1" hidden="1" x14ac:dyDescent="0.25">
      <c r="A4831" s="509"/>
      <c r="B4831" s="256"/>
      <c r="C4831" s="228"/>
      <c r="D4831" s="218"/>
      <c r="E4831" s="218"/>
      <c r="F4831" s="527">
        <v>499</v>
      </c>
      <c r="G4831" s="520" t="s">
        <v>4196</v>
      </c>
      <c r="H4831" s="594"/>
      <c r="I4831" s="595"/>
      <c r="J4831" s="595">
        <f t="shared" si="148"/>
        <v>0</v>
      </c>
      <c r="K4831" s="533"/>
      <c r="L4831" s="533"/>
      <c r="M4831" s="533"/>
      <c r="N4831" s="533"/>
      <c r="O4831" s="533"/>
      <c r="P4831" s="533"/>
      <c r="Q4831" s="533"/>
      <c r="R4831" s="533"/>
      <c r="S4831" s="533"/>
      <c r="T4831" s="533"/>
      <c r="U4831" s="533"/>
      <c r="V4831" s="533"/>
      <c r="W4831" s="533"/>
      <c r="X4831" s="533"/>
      <c r="Y4831" s="533"/>
    </row>
    <row r="4832" spans="1:25" s="88" customFormat="1" hidden="1" x14ac:dyDescent="0.25">
      <c r="A4832" s="509"/>
      <c r="B4832" s="256"/>
      <c r="C4832" s="228"/>
      <c r="D4832" s="218"/>
      <c r="E4832" s="218"/>
      <c r="F4832" s="527">
        <v>511</v>
      </c>
      <c r="G4832" s="524" t="s">
        <v>4216</v>
      </c>
      <c r="H4832" s="594"/>
      <c r="I4832" s="595"/>
      <c r="J4832" s="595">
        <f t="shared" si="148"/>
        <v>0</v>
      </c>
      <c r="K4832" s="533"/>
      <c r="L4832" s="533"/>
      <c r="M4832" s="533"/>
      <c r="N4832" s="533"/>
      <c r="O4832" s="533"/>
      <c r="P4832" s="533"/>
      <c r="Q4832" s="533"/>
      <c r="R4832" s="533"/>
      <c r="S4832" s="533"/>
      <c r="T4832" s="533"/>
      <c r="U4832" s="533"/>
      <c r="V4832" s="533"/>
      <c r="W4832" s="533"/>
      <c r="X4832" s="533"/>
      <c r="Y4832" s="533"/>
    </row>
    <row r="4833" spans="1:25" s="88" customFormat="1" hidden="1" x14ac:dyDescent="0.25">
      <c r="A4833" s="509"/>
      <c r="B4833" s="256"/>
      <c r="C4833" s="228"/>
      <c r="D4833" s="218"/>
      <c r="E4833" s="218"/>
      <c r="F4833" s="527">
        <v>512</v>
      </c>
      <c r="G4833" s="524" t="s">
        <v>4217</v>
      </c>
      <c r="H4833" s="594"/>
      <c r="I4833" s="595"/>
      <c r="J4833" s="595">
        <f t="shared" si="148"/>
        <v>0</v>
      </c>
      <c r="K4833" s="533"/>
      <c r="L4833" s="533"/>
      <c r="M4833" s="533"/>
      <c r="N4833" s="533"/>
      <c r="O4833" s="533"/>
      <c r="P4833" s="533"/>
      <c r="Q4833" s="533"/>
      <c r="R4833" s="533"/>
      <c r="S4833" s="533"/>
      <c r="T4833" s="533"/>
      <c r="U4833" s="533"/>
      <c r="V4833" s="533"/>
      <c r="W4833" s="533"/>
      <c r="X4833" s="533"/>
      <c r="Y4833" s="533"/>
    </row>
    <row r="4834" spans="1:25" s="88" customFormat="1" hidden="1" x14ac:dyDescent="0.25">
      <c r="A4834" s="509"/>
      <c r="B4834" s="256"/>
      <c r="C4834" s="228"/>
      <c r="D4834" s="218"/>
      <c r="E4834" s="218"/>
      <c r="F4834" s="527">
        <v>513</v>
      </c>
      <c r="G4834" s="524" t="s">
        <v>4218</v>
      </c>
      <c r="H4834" s="594"/>
      <c r="I4834" s="595"/>
      <c r="J4834" s="595">
        <f t="shared" si="148"/>
        <v>0</v>
      </c>
      <c r="K4834" s="533"/>
      <c r="L4834" s="533"/>
      <c r="M4834" s="533"/>
      <c r="N4834" s="533"/>
      <c r="O4834" s="533"/>
      <c r="P4834" s="533"/>
      <c r="Q4834" s="533"/>
      <c r="R4834" s="533"/>
      <c r="S4834" s="533"/>
      <c r="T4834" s="533"/>
      <c r="U4834" s="533"/>
      <c r="V4834" s="533"/>
      <c r="W4834" s="533"/>
      <c r="X4834" s="533"/>
      <c r="Y4834" s="533"/>
    </row>
    <row r="4835" spans="1:25" s="88" customFormat="1" hidden="1" x14ac:dyDescent="0.25">
      <c r="A4835" s="509"/>
      <c r="B4835" s="256"/>
      <c r="C4835" s="228"/>
      <c r="D4835" s="218"/>
      <c r="E4835" s="218"/>
      <c r="F4835" s="527">
        <v>514</v>
      </c>
      <c r="G4835" s="520" t="s">
        <v>4219</v>
      </c>
      <c r="H4835" s="594"/>
      <c r="I4835" s="595"/>
      <c r="J4835" s="595">
        <f t="shared" si="148"/>
        <v>0</v>
      </c>
      <c r="K4835" s="533"/>
      <c r="L4835" s="533"/>
      <c r="M4835" s="533"/>
      <c r="N4835" s="533"/>
      <c r="O4835" s="533"/>
      <c r="P4835" s="533"/>
      <c r="Q4835" s="533"/>
      <c r="R4835" s="533"/>
      <c r="S4835" s="533"/>
      <c r="T4835" s="533"/>
      <c r="U4835" s="533"/>
      <c r="V4835" s="533"/>
      <c r="W4835" s="533"/>
      <c r="X4835" s="533"/>
      <c r="Y4835" s="533"/>
    </row>
    <row r="4836" spans="1:25" s="88" customFormat="1" hidden="1" x14ac:dyDescent="0.25">
      <c r="A4836" s="509"/>
      <c r="B4836" s="256"/>
      <c r="C4836" s="228"/>
      <c r="D4836" s="218"/>
      <c r="E4836" s="218"/>
      <c r="F4836" s="527">
        <v>515</v>
      </c>
      <c r="G4836" s="520" t="s">
        <v>3852</v>
      </c>
      <c r="H4836" s="594"/>
      <c r="I4836" s="595"/>
      <c r="J4836" s="595">
        <f t="shared" si="148"/>
        <v>0</v>
      </c>
      <c r="K4836" s="533"/>
      <c r="L4836" s="533"/>
      <c r="M4836" s="533"/>
      <c r="N4836" s="533"/>
      <c r="O4836" s="533"/>
      <c r="P4836" s="533"/>
      <c r="Q4836" s="533"/>
      <c r="R4836" s="533"/>
      <c r="S4836" s="533"/>
      <c r="T4836" s="533"/>
      <c r="U4836" s="533"/>
      <c r="V4836" s="533"/>
      <c r="W4836" s="533"/>
      <c r="X4836" s="533"/>
      <c r="Y4836" s="533"/>
    </row>
    <row r="4837" spans="1:25" s="88" customFormat="1" hidden="1" x14ac:dyDescent="0.25">
      <c r="A4837" s="509"/>
      <c r="B4837" s="256"/>
      <c r="C4837" s="228"/>
      <c r="D4837" s="218"/>
      <c r="E4837" s="218"/>
      <c r="F4837" s="527">
        <v>521</v>
      </c>
      <c r="G4837" s="520" t="s">
        <v>4220</v>
      </c>
      <c r="H4837" s="594"/>
      <c r="I4837" s="595"/>
      <c r="J4837" s="595">
        <f t="shared" si="148"/>
        <v>0</v>
      </c>
      <c r="K4837" s="533"/>
      <c r="L4837" s="533"/>
      <c r="M4837" s="533"/>
      <c r="N4837" s="533"/>
      <c r="O4837" s="533"/>
      <c r="P4837" s="533"/>
      <c r="Q4837" s="533"/>
      <c r="R4837" s="533"/>
      <c r="S4837" s="533"/>
      <c r="T4837" s="533"/>
      <c r="U4837" s="533"/>
      <c r="V4837" s="533"/>
      <c r="W4837" s="533"/>
      <c r="X4837" s="533"/>
      <c r="Y4837" s="533"/>
    </row>
    <row r="4838" spans="1:25" s="88" customFormat="1" hidden="1" x14ac:dyDescent="0.25">
      <c r="A4838" s="509"/>
      <c r="B4838" s="256"/>
      <c r="C4838" s="228"/>
      <c r="D4838" s="218"/>
      <c r="E4838" s="218"/>
      <c r="F4838" s="527">
        <v>522</v>
      </c>
      <c r="G4838" s="520" t="s">
        <v>4221</v>
      </c>
      <c r="H4838" s="594"/>
      <c r="I4838" s="595"/>
      <c r="J4838" s="595">
        <f t="shared" si="148"/>
        <v>0</v>
      </c>
      <c r="K4838" s="533"/>
      <c r="L4838" s="533"/>
      <c r="M4838" s="533"/>
      <c r="N4838" s="533"/>
      <c r="O4838" s="533"/>
      <c r="P4838" s="533"/>
      <c r="Q4838" s="533"/>
      <c r="R4838" s="533"/>
      <c r="S4838" s="533"/>
      <c r="T4838" s="533"/>
      <c r="U4838" s="533"/>
      <c r="V4838" s="533"/>
      <c r="W4838" s="533"/>
      <c r="X4838" s="533"/>
      <c r="Y4838" s="533"/>
    </row>
    <row r="4839" spans="1:25" s="88" customFormat="1" hidden="1" x14ac:dyDescent="0.25">
      <c r="A4839" s="509"/>
      <c r="B4839" s="256"/>
      <c r="C4839" s="228"/>
      <c r="D4839" s="218"/>
      <c r="E4839" s="218"/>
      <c r="F4839" s="527">
        <v>523</v>
      </c>
      <c r="G4839" s="520" t="s">
        <v>3857</v>
      </c>
      <c r="H4839" s="594"/>
      <c r="I4839" s="595"/>
      <c r="J4839" s="595">
        <f t="shared" si="148"/>
        <v>0</v>
      </c>
      <c r="K4839" s="533"/>
      <c r="L4839" s="533"/>
      <c r="M4839" s="533"/>
      <c r="N4839" s="533"/>
      <c r="O4839" s="533"/>
      <c r="P4839" s="533"/>
      <c r="Q4839" s="533"/>
      <c r="R4839" s="533"/>
      <c r="S4839" s="533"/>
      <c r="T4839" s="533"/>
      <c r="U4839" s="533"/>
      <c r="V4839" s="533"/>
      <c r="W4839" s="533"/>
      <c r="X4839" s="533"/>
      <c r="Y4839" s="533"/>
    </row>
    <row r="4840" spans="1:25" s="88" customFormat="1" hidden="1" x14ac:dyDescent="0.25">
      <c r="A4840" s="509"/>
      <c r="B4840" s="256"/>
      <c r="C4840" s="228"/>
      <c r="D4840" s="218"/>
      <c r="E4840" s="218"/>
      <c r="F4840" s="527">
        <v>531</v>
      </c>
      <c r="G4840" s="516" t="s">
        <v>4197</v>
      </c>
      <c r="H4840" s="594"/>
      <c r="I4840" s="595"/>
      <c r="J4840" s="595">
        <f t="shared" si="148"/>
        <v>0</v>
      </c>
      <c r="K4840" s="533"/>
      <c r="L4840" s="533"/>
      <c r="M4840" s="533"/>
      <c r="N4840" s="533"/>
      <c r="O4840" s="533"/>
      <c r="P4840" s="533"/>
      <c r="Q4840" s="533"/>
      <c r="R4840" s="533"/>
      <c r="S4840" s="533"/>
      <c r="T4840" s="533"/>
      <c r="U4840" s="533"/>
      <c r="V4840" s="533"/>
      <c r="W4840" s="533"/>
      <c r="X4840" s="533"/>
      <c r="Y4840" s="533"/>
    </row>
    <row r="4841" spans="1:25" s="88" customFormat="1" hidden="1" x14ac:dyDescent="0.25">
      <c r="A4841" s="509"/>
      <c r="B4841" s="256"/>
      <c r="C4841" s="228"/>
      <c r="D4841" s="218"/>
      <c r="E4841" s="218"/>
      <c r="F4841" s="527">
        <v>541</v>
      </c>
      <c r="G4841" s="520" t="s">
        <v>4222</v>
      </c>
      <c r="H4841" s="594"/>
      <c r="I4841" s="595"/>
      <c r="J4841" s="595">
        <f t="shared" si="148"/>
        <v>0</v>
      </c>
      <c r="K4841" s="533"/>
      <c r="L4841" s="533"/>
      <c r="M4841" s="533"/>
      <c r="N4841" s="533"/>
      <c r="O4841" s="533"/>
      <c r="P4841" s="533"/>
      <c r="Q4841" s="533"/>
      <c r="R4841" s="533"/>
      <c r="S4841" s="533"/>
      <c r="T4841" s="533"/>
      <c r="U4841" s="533"/>
      <c r="V4841" s="533"/>
      <c r="W4841" s="533"/>
      <c r="X4841" s="533"/>
      <c r="Y4841" s="533"/>
    </row>
    <row r="4842" spans="1:25" s="88" customFormat="1" hidden="1" x14ac:dyDescent="0.25">
      <c r="A4842" s="509"/>
      <c r="B4842" s="256"/>
      <c r="C4842" s="228"/>
      <c r="D4842" s="218"/>
      <c r="E4842" s="218"/>
      <c r="F4842" s="527">
        <v>542</v>
      </c>
      <c r="G4842" s="520" t="s">
        <v>4223</v>
      </c>
      <c r="H4842" s="594"/>
      <c r="I4842" s="595"/>
      <c r="J4842" s="595">
        <f t="shared" si="148"/>
        <v>0</v>
      </c>
      <c r="K4842" s="533"/>
      <c r="L4842" s="533"/>
      <c r="M4842" s="533"/>
      <c r="N4842" s="533"/>
      <c r="O4842" s="533"/>
      <c r="P4842" s="533"/>
      <c r="Q4842" s="533"/>
      <c r="R4842" s="533"/>
      <c r="S4842" s="533"/>
      <c r="T4842" s="533"/>
      <c r="U4842" s="533"/>
      <c r="V4842" s="533"/>
      <c r="W4842" s="533"/>
      <c r="X4842" s="533"/>
      <c r="Y4842" s="533"/>
    </row>
    <row r="4843" spans="1:25" s="88" customFormat="1" hidden="1" x14ac:dyDescent="0.25">
      <c r="A4843" s="509"/>
      <c r="B4843" s="256"/>
      <c r="C4843" s="228"/>
      <c r="D4843" s="218"/>
      <c r="E4843" s="218"/>
      <c r="F4843" s="527">
        <v>543</v>
      </c>
      <c r="G4843" s="520" t="s">
        <v>3862</v>
      </c>
      <c r="H4843" s="594"/>
      <c r="I4843" s="595"/>
      <c r="J4843" s="595">
        <f t="shared" si="148"/>
        <v>0</v>
      </c>
      <c r="K4843" s="533"/>
      <c r="L4843" s="533"/>
      <c r="M4843" s="533"/>
      <c r="N4843" s="533"/>
      <c r="O4843" s="533"/>
      <c r="P4843" s="533"/>
      <c r="Q4843" s="533"/>
      <c r="R4843" s="533"/>
      <c r="S4843" s="533"/>
      <c r="T4843" s="533"/>
      <c r="U4843" s="533"/>
      <c r="V4843" s="533"/>
      <c r="W4843" s="533"/>
      <c r="X4843" s="533"/>
      <c r="Y4843" s="533"/>
    </row>
    <row r="4844" spans="1:25" s="88" customFormat="1" ht="30" hidden="1" x14ac:dyDescent="0.25">
      <c r="A4844" s="509"/>
      <c r="B4844" s="256"/>
      <c r="C4844" s="228"/>
      <c r="D4844" s="218"/>
      <c r="E4844" s="218"/>
      <c r="F4844" s="527">
        <v>551</v>
      </c>
      <c r="G4844" s="520" t="s">
        <v>4198</v>
      </c>
      <c r="H4844" s="594"/>
      <c r="I4844" s="595"/>
      <c r="J4844" s="595">
        <f t="shared" si="148"/>
        <v>0</v>
      </c>
      <c r="K4844" s="533"/>
      <c r="L4844" s="533"/>
      <c r="M4844" s="533"/>
      <c r="N4844" s="533"/>
      <c r="O4844" s="533"/>
      <c r="P4844" s="533"/>
      <c r="Q4844" s="533"/>
      <c r="R4844" s="533"/>
      <c r="S4844" s="533"/>
      <c r="T4844" s="533"/>
      <c r="U4844" s="533"/>
      <c r="V4844" s="533"/>
      <c r="W4844" s="533"/>
      <c r="X4844" s="533"/>
      <c r="Y4844" s="533"/>
    </row>
    <row r="4845" spans="1:25" s="88" customFormat="1" hidden="1" x14ac:dyDescent="0.25">
      <c r="A4845" s="509"/>
      <c r="B4845" s="256"/>
      <c r="C4845" s="228"/>
      <c r="D4845" s="218"/>
      <c r="E4845" s="218"/>
      <c r="F4845" s="528">
        <v>611</v>
      </c>
      <c r="G4845" s="526" t="s">
        <v>3868</v>
      </c>
      <c r="H4845" s="594"/>
      <c r="I4845" s="595"/>
      <c r="J4845" s="595">
        <f t="shared" si="148"/>
        <v>0</v>
      </c>
      <c r="K4845" s="533"/>
      <c r="L4845" s="533"/>
      <c r="M4845" s="533"/>
      <c r="N4845" s="533"/>
      <c r="O4845" s="533"/>
      <c r="P4845" s="533"/>
      <c r="Q4845" s="533"/>
      <c r="R4845" s="533"/>
      <c r="S4845" s="533"/>
      <c r="T4845" s="533"/>
      <c r="U4845" s="533"/>
      <c r="V4845" s="533"/>
      <c r="W4845" s="533"/>
      <c r="X4845" s="533"/>
      <c r="Y4845" s="533"/>
    </row>
    <row r="4846" spans="1:25" s="88" customFormat="1" ht="15.75" hidden="1" thickBot="1" x14ac:dyDescent="0.3">
      <c r="A4846" s="509"/>
      <c r="B4846" s="256"/>
      <c r="C4846" s="228"/>
      <c r="D4846" s="218"/>
      <c r="E4846" s="218"/>
      <c r="F4846" s="528">
        <v>620</v>
      </c>
      <c r="G4846" s="526" t="s">
        <v>88</v>
      </c>
      <c r="H4846" s="594"/>
      <c r="I4846" s="595"/>
      <c r="J4846" s="595">
        <f t="shared" si="148"/>
        <v>0</v>
      </c>
      <c r="K4846" s="533"/>
      <c r="L4846" s="533"/>
      <c r="M4846" s="533"/>
      <c r="N4846" s="533"/>
      <c r="O4846" s="533"/>
      <c r="P4846" s="533"/>
      <c r="Q4846" s="533"/>
      <c r="R4846" s="533"/>
      <c r="S4846" s="533"/>
      <c r="T4846" s="533"/>
      <c r="U4846" s="533"/>
      <c r="V4846" s="533"/>
      <c r="W4846" s="533"/>
      <c r="X4846" s="533"/>
      <c r="Y4846" s="533"/>
    </row>
    <row r="4847" spans="1:25" s="88" customFormat="1" x14ac:dyDescent="0.25">
      <c r="A4847" s="509"/>
      <c r="B4847" s="256"/>
      <c r="C4847" s="228"/>
      <c r="D4847" s="218"/>
      <c r="E4847" s="517"/>
      <c r="F4847" s="528"/>
      <c r="G4847" s="326" t="s">
        <v>5163</v>
      </c>
      <c r="H4847" s="596"/>
      <c r="I4847" s="622"/>
      <c r="J4847" s="597"/>
      <c r="K4847" s="533"/>
      <c r="L4847" s="533"/>
      <c r="M4847" s="533"/>
      <c r="N4847" s="533"/>
      <c r="O4847" s="533"/>
      <c r="P4847" s="533"/>
      <c r="Q4847" s="533"/>
      <c r="R4847" s="533"/>
      <c r="S4847" s="533"/>
      <c r="T4847" s="533"/>
      <c r="U4847" s="533"/>
      <c r="V4847" s="533"/>
      <c r="W4847" s="533"/>
      <c r="X4847" s="533"/>
      <c r="Y4847" s="533"/>
    </row>
    <row r="4848" spans="1:25" s="88" customFormat="1" ht="15.75" thickBot="1" x14ac:dyDescent="0.3">
      <c r="A4848" s="509"/>
      <c r="B4848" s="256"/>
      <c r="C4848" s="228"/>
      <c r="D4848" s="218"/>
      <c r="E4848" s="222"/>
      <c r="F4848" s="642" t="s">
        <v>234</v>
      </c>
      <c r="G4848" s="643" t="s">
        <v>235</v>
      </c>
      <c r="H4848" s="598">
        <f>SUM(H4787:H4846)</f>
        <v>4000000</v>
      </c>
      <c r="I4848" s="599"/>
      <c r="J4848" s="599">
        <f>SUM(H4848:I4848)</f>
        <v>4000000</v>
      </c>
      <c r="K4848" s="533"/>
      <c r="L4848" s="533"/>
      <c r="M4848" s="533"/>
      <c r="N4848" s="533"/>
      <c r="O4848" s="533"/>
      <c r="P4848" s="533"/>
      <c r="Q4848" s="533"/>
      <c r="R4848" s="533"/>
      <c r="S4848" s="533"/>
      <c r="T4848" s="533"/>
      <c r="U4848" s="533"/>
      <c r="V4848" s="533"/>
      <c r="W4848" s="533"/>
      <c r="X4848" s="533"/>
      <c r="Y4848" s="533"/>
    </row>
    <row r="4849" spans="1:25" s="88" customFormat="1" hidden="1" x14ac:dyDescent="0.25">
      <c r="A4849" s="509"/>
      <c r="B4849" s="256"/>
      <c r="C4849" s="228"/>
      <c r="D4849" s="218"/>
      <c r="E4849" s="218"/>
      <c r="F4849" s="642" t="s">
        <v>236</v>
      </c>
      <c r="G4849" s="643" t="s">
        <v>237</v>
      </c>
      <c r="H4849" s="594"/>
      <c r="I4849" s="595"/>
      <c r="J4849" s="599">
        <f t="shared" ref="J4849:J4863" si="149">SUM(H4849:I4849)</f>
        <v>0</v>
      </c>
      <c r="K4849" s="533"/>
      <c r="L4849" s="533"/>
      <c r="M4849" s="533"/>
      <c r="N4849" s="533"/>
      <c r="O4849" s="533"/>
      <c r="P4849" s="533"/>
      <c r="Q4849" s="533"/>
      <c r="R4849" s="533"/>
      <c r="S4849" s="533"/>
      <c r="T4849" s="533"/>
      <c r="U4849" s="533"/>
      <c r="V4849" s="533"/>
      <c r="W4849" s="533"/>
      <c r="X4849" s="533"/>
      <c r="Y4849" s="533"/>
    </row>
    <row r="4850" spans="1:25" s="88" customFormat="1" hidden="1" x14ac:dyDescent="0.25">
      <c r="A4850" s="509"/>
      <c r="B4850" s="256"/>
      <c r="C4850" s="228"/>
      <c r="D4850" s="218"/>
      <c r="E4850" s="218"/>
      <c r="F4850" s="642" t="s">
        <v>238</v>
      </c>
      <c r="G4850" s="643" t="s">
        <v>239</v>
      </c>
      <c r="H4850" s="594"/>
      <c r="I4850" s="595"/>
      <c r="J4850" s="599">
        <f t="shared" si="149"/>
        <v>0</v>
      </c>
      <c r="K4850" s="533"/>
      <c r="L4850" s="533"/>
      <c r="M4850" s="533"/>
      <c r="N4850" s="533"/>
      <c r="O4850" s="533"/>
      <c r="P4850" s="533"/>
      <c r="Q4850" s="533"/>
      <c r="R4850" s="533"/>
      <c r="S4850" s="533"/>
      <c r="T4850" s="533"/>
      <c r="U4850" s="533"/>
      <c r="V4850" s="533"/>
      <c r="W4850" s="533"/>
      <c r="X4850" s="533"/>
      <c r="Y4850" s="533"/>
    </row>
    <row r="4851" spans="1:25" s="88" customFormat="1" hidden="1" x14ac:dyDescent="0.25">
      <c r="A4851" s="509"/>
      <c r="B4851" s="256"/>
      <c r="C4851" s="228"/>
      <c r="D4851" s="218"/>
      <c r="E4851" s="218"/>
      <c r="F4851" s="642" t="s">
        <v>240</v>
      </c>
      <c r="G4851" s="643" t="s">
        <v>241</v>
      </c>
      <c r="H4851" s="594"/>
      <c r="I4851" s="595"/>
      <c r="J4851" s="599">
        <f t="shared" si="149"/>
        <v>0</v>
      </c>
      <c r="K4851" s="533"/>
      <c r="L4851" s="533"/>
      <c r="M4851" s="533"/>
      <c r="N4851" s="533"/>
      <c r="O4851" s="533"/>
      <c r="P4851" s="533"/>
      <c r="Q4851" s="533"/>
      <c r="R4851" s="533"/>
      <c r="S4851" s="533"/>
      <c r="T4851" s="533"/>
      <c r="U4851" s="533"/>
      <c r="V4851" s="533"/>
      <c r="W4851" s="533"/>
      <c r="X4851" s="533"/>
      <c r="Y4851" s="533"/>
    </row>
    <row r="4852" spans="1:25" s="88" customFormat="1" hidden="1" x14ac:dyDescent="0.25">
      <c r="A4852" s="509"/>
      <c r="B4852" s="256"/>
      <c r="C4852" s="228"/>
      <c r="D4852" s="218"/>
      <c r="E4852" s="218"/>
      <c r="F4852" s="642" t="s">
        <v>242</v>
      </c>
      <c r="G4852" s="643" t="s">
        <v>243</v>
      </c>
      <c r="H4852" s="594"/>
      <c r="I4852" s="595"/>
      <c r="J4852" s="599">
        <f t="shared" si="149"/>
        <v>0</v>
      </c>
      <c r="K4852" s="533"/>
      <c r="L4852" s="533"/>
      <c r="M4852" s="533"/>
      <c r="N4852" s="533"/>
      <c r="O4852" s="533"/>
      <c r="P4852" s="533"/>
      <c r="Q4852" s="533"/>
      <c r="R4852" s="533"/>
      <c r="S4852" s="533"/>
      <c r="T4852" s="533"/>
      <c r="U4852" s="533"/>
      <c r="V4852" s="533"/>
      <c r="W4852" s="533"/>
      <c r="X4852" s="533"/>
      <c r="Y4852" s="533"/>
    </row>
    <row r="4853" spans="1:25" s="88" customFormat="1" hidden="1" x14ac:dyDescent="0.25">
      <c r="A4853" s="509"/>
      <c r="B4853" s="256"/>
      <c r="C4853" s="228"/>
      <c r="D4853" s="218"/>
      <c r="E4853" s="218"/>
      <c r="F4853" s="642" t="s">
        <v>244</v>
      </c>
      <c r="G4853" s="643" t="s">
        <v>245</v>
      </c>
      <c r="H4853" s="594"/>
      <c r="I4853" s="595"/>
      <c r="J4853" s="599">
        <f t="shared" si="149"/>
        <v>0</v>
      </c>
      <c r="K4853" s="533"/>
      <c r="L4853" s="533"/>
      <c r="M4853" s="533"/>
      <c r="N4853" s="533"/>
      <c r="O4853" s="533"/>
      <c r="P4853" s="533"/>
      <c r="Q4853" s="533"/>
      <c r="R4853" s="533"/>
      <c r="S4853" s="533"/>
      <c r="T4853" s="533"/>
      <c r="U4853" s="533"/>
      <c r="V4853" s="533"/>
      <c r="W4853" s="533"/>
      <c r="X4853" s="533"/>
      <c r="Y4853" s="533"/>
    </row>
    <row r="4854" spans="1:25" s="88" customFormat="1" hidden="1" x14ac:dyDescent="0.25">
      <c r="A4854" s="509"/>
      <c r="B4854" s="256"/>
      <c r="C4854" s="228"/>
      <c r="D4854" s="218"/>
      <c r="E4854" s="218"/>
      <c r="F4854" s="642" t="s">
        <v>246</v>
      </c>
      <c r="G4854" s="643" t="s">
        <v>247</v>
      </c>
      <c r="H4854" s="594"/>
      <c r="I4854" s="595"/>
      <c r="J4854" s="599">
        <f t="shared" si="149"/>
        <v>0</v>
      </c>
      <c r="K4854" s="533"/>
      <c r="L4854" s="533"/>
      <c r="M4854" s="533"/>
      <c r="N4854" s="533"/>
      <c r="O4854" s="533"/>
      <c r="P4854" s="533"/>
      <c r="Q4854" s="533"/>
      <c r="R4854" s="533"/>
      <c r="S4854" s="533"/>
      <c r="T4854" s="533"/>
      <c r="U4854" s="533"/>
      <c r="V4854" s="533"/>
      <c r="W4854" s="533"/>
      <c r="X4854" s="533"/>
      <c r="Y4854" s="533"/>
    </row>
    <row r="4855" spans="1:25" s="88" customFormat="1" hidden="1" x14ac:dyDescent="0.25">
      <c r="A4855" s="509"/>
      <c r="B4855" s="256"/>
      <c r="C4855" s="228"/>
      <c r="D4855" s="218"/>
      <c r="E4855" s="218"/>
      <c r="F4855" s="642" t="s">
        <v>248</v>
      </c>
      <c r="G4855" s="643" t="s">
        <v>249</v>
      </c>
      <c r="H4855" s="594"/>
      <c r="I4855" s="595"/>
      <c r="J4855" s="599">
        <f t="shared" si="149"/>
        <v>0</v>
      </c>
      <c r="K4855" s="533"/>
      <c r="L4855" s="533"/>
      <c r="M4855" s="533"/>
      <c r="N4855" s="533"/>
      <c r="O4855" s="533"/>
      <c r="P4855" s="533"/>
      <c r="Q4855" s="533"/>
      <c r="R4855" s="533"/>
      <c r="S4855" s="533"/>
      <c r="T4855" s="533"/>
      <c r="U4855" s="533"/>
      <c r="V4855" s="533"/>
      <c r="W4855" s="533"/>
      <c r="X4855" s="533"/>
      <c r="Y4855" s="533"/>
    </row>
    <row r="4856" spans="1:25" s="88" customFormat="1" hidden="1" x14ac:dyDescent="0.25">
      <c r="A4856" s="509"/>
      <c r="B4856" s="256"/>
      <c r="C4856" s="228"/>
      <c r="D4856" s="218"/>
      <c r="E4856" s="218"/>
      <c r="F4856" s="642" t="s">
        <v>250</v>
      </c>
      <c r="G4856" s="643" t="s">
        <v>57</v>
      </c>
      <c r="H4856" s="594"/>
      <c r="I4856" s="595"/>
      <c r="J4856" s="599">
        <f t="shared" si="149"/>
        <v>0</v>
      </c>
      <c r="K4856" s="533"/>
      <c r="L4856" s="533"/>
      <c r="M4856" s="533"/>
      <c r="N4856" s="533"/>
      <c r="O4856" s="533"/>
      <c r="P4856" s="533"/>
      <c r="Q4856" s="533"/>
      <c r="R4856" s="533"/>
      <c r="S4856" s="533"/>
      <c r="T4856" s="533"/>
      <c r="U4856" s="533"/>
      <c r="V4856" s="533"/>
      <c r="W4856" s="533"/>
      <c r="X4856" s="533"/>
      <c r="Y4856" s="533"/>
    </row>
    <row r="4857" spans="1:25" s="88" customFormat="1" hidden="1" x14ac:dyDescent="0.25">
      <c r="A4857" s="509"/>
      <c r="B4857" s="256"/>
      <c r="C4857" s="228"/>
      <c r="D4857" s="218"/>
      <c r="E4857" s="218"/>
      <c r="F4857" s="642" t="s">
        <v>251</v>
      </c>
      <c r="G4857" s="643" t="s">
        <v>252</v>
      </c>
      <c r="H4857" s="594"/>
      <c r="I4857" s="595"/>
      <c r="J4857" s="599">
        <f t="shared" si="149"/>
        <v>0</v>
      </c>
      <c r="K4857" s="533"/>
      <c r="L4857" s="533"/>
      <c r="M4857" s="533"/>
      <c r="N4857" s="533"/>
      <c r="O4857" s="533"/>
      <c r="P4857" s="533"/>
      <c r="Q4857" s="533"/>
      <c r="R4857" s="533"/>
      <c r="S4857" s="533"/>
      <c r="T4857" s="533"/>
      <c r="U4857" s="533"/>
      <c r="V4857" s="533"/>
      <c r="W4857" s="533"/>
      <c r="X4857" s="533"/>
      <c r="Y4857" s="533"/>
    </row>
    <row r="4858" spans="1:25" s="88" customFormat="1" hidden="1" x14ac:dyDescent="0.25">
      <c r="A4858" s="509"/>
      <c r="B4858" s="256"/>
      <c r="C4858" s="228"/>
      <c r="D4858" s="218"/>
      <c r="E4858" s="218"/>
      <c r="F4858" s="642" t="s">
        <v>253</v>
      </c>
      <c r="G4858" s="643" t="s">
        <v>254</v>
      </c>
      <c r="H4858" s="594"/>
      <c r="I4858" s="595"/>
      <c r="J4858" s="599">
        <f t="shared" si="149"/>
        <v>0</v>
      </c>
      <c r="K4858" s="533"/>
      <c r="L4858" s="533"/>
      <c r="M4858" s="533"/>
      <c r="N4858" s="533"/>
      <c r="O4858" s="533"/>
      <c r="P4858" s="533"/>
      <c r="Q4858" s="533"/>
      <c r="R4858" s="533"/>
      <c r="S4858" s="533"/>
      <c r="T4858" s="533"/>
      <c r="U4858" s="533"/>
      <c r="V4858" s="533"/>
      <c r="W4858" s="533"/>
      <c r="X4858" s="533"/>
      <c r="Y4858" s="533"/>
    </row>
    <row r="4859" spans="1:25" s="88" customFormat="1" ht="30" hidden="1" x14ac:dyDescent="0.25">
      <c r="A4859" s="509"/>
      <c r="B4859" s="256"/>
      <c r="C4859" s="228"/>
      <c r="D4859" s="218"/>
      <c r="E4859" s="218"/>
      <c r="F4859" s="642" t="s">
        <v>255</v>
      </c>
      <c r="G4859" s="643" t="s">
        <v>256</v>
      </c>
      <c r="H4859" s="594"/>
      <c r="I4859" s="595"/>
      <c r="J4859" s="599">
        <f t="shared" si="149"/>
        <v>0</v>
      </c>
      <c r="K4859" s="533"/>
      <c r="L4859" s="533"/>
      <c r="M4859" s="533"/>
      <c r="N4859" s="533"/>
      <c r="O4859" s="533"/>
      <c r="P4859" s="533"/>
      <c r="Q4859" s="533"/>
      <c r="R4859" s="533"/>
      <c r="S4859" s="533"/>
      <c r="T4859" s="533"/>
      <c r="U4859" s="533"/>
      <c r="V4859" s="533"/>
      <c r="W4859" s="533"/>
      <c r="X4859" s="533"/>
      <c r="Y4859" s="533"/>
    </row>
    <row r="4860" spans="1:25" s="88" customFormat="1" hidden="1" x14ac:dyDescent="0.25">
      <c r="A4860" s="509"/>
      <c r="B4860" s="256"/>
      <c r="C4860" s="228"/>
      <c r="D4860" s="218"/>
      <c r="E4860" s="218"/>
      <c r="F4860" s="642" t="s">
        <v>257</v>
      </c>
      <c r="G4860" s="643" t="s">
        <v>258</v>
      </c>
      <c r="H4860" s="594"/>
      <c r="I4860" s="595"/>
      <c r="J4860" s="599">
        <f t="shared" si="149"/>
        <v>0</v>
      </c>
      <c r="K4860" s="533"/>
      <c r="L4860" s="533"/>
      <c r="M4860" s="533"/>
      <c r="N4860" s="533"/>
      <c r="O4860" s="533"/>
      <c r="P4860" s="533"/>
      <c r="Q4860" s="533"/>
      <c r="R4860" s="533"/>
      <c r="S4860" s="533"/>
      <c r="T4860" s="533"/>
      <c r="U4860" s="533"/>
      <c r="V4860" s="533"/>
      <c r="W4860" s="533"/>
      <c r="X4860" s="533"/>
      <c r="Y4860" s="533"/>
    </row>
    <row r="4861" spans="1:25" s="88" customFormat="1" ht="30" hidden="1" x14ac:dyDescent="0.25">
      <c r="A4861" s="509"/>
      <c r="B4861" s="256"/>
      <c r="C4861" s="228"/>
      <c r="D4861" s="218"/>
      <c r="E4861" s="218"/>
      <c r="F4861" s="642" t="s">
        <v>259</v>
      </c>
      <c r="G4861" s="643" t="s">
        <v>260</v>
      </c>
      <c r="H4861" s="594"/>
      <c r="I4861" s="595"/>
      <c r="J4861" s="599">
        <f t="shared" si="149"/>
        <v>0</v>
      </c>
      <c r="K4861" s="533"/>
      <c r="L4861" s="533"/>
      <c r="M4861" s="533"/>
      <c r="N4861" s="533"/>
      <c r="O4861" s="533"/>
      <c r="P4861" s="533"/>
      <c r="Q4861" s="533"/>
      <c r="R4861" s="533"/>
      <c r="S4861" s="533"/>
      <c r="T4861" s="533"/>
      <c r="U4861" s="533"/>
      <c r="V4861" s="533"/>
      <c r="W4861" s="533"/>
      <c r="X4861" s="533"/>
      <c r="Y4861" s="533"/>
    </row>
    <row r="4862" spans="1:25" s="88" customFormat="1" hidden="1" x14ac:dyDescent="0.25">
      <c r="A4862" s="509"/>
      <c r="B4862" s="256"/>
      <c r="C4862" s="228"/>
      <c r="D4862" s="218"/>
      <c r="E4862" s="218"/>
      <c r="F4862" s="642" t="s">
        <v>261</v>
      </c>
      <c r="G4862" s="643" t="s">
        <v>262</v>
      </c>
      <c r="H4862" s="594"/>
      <c r="I4862" s="595"/>
      <c r="J4862" s="599">
        <f t="shared" si="149"/>
        <v>0</v>
      </c>
      <c r="K4862" s="533"/>
      <c r="L4862" s="533"/>
      <c r="M4862" s="533"/>
      <c r="N4862" s="533"/>
      <c r="O4862" s="533"/>
      <c r="P4862" s="533"/>
      <c r="Q4862" s="533"/>
      <c r="R4862" s="533"/>
      <c r="S4862" s="533"/>
      <c r="T4862" s="533"/>
      <c r="U4862" s="533"/>
      <c r="V4862" s="533"/>
      <c r="W4862" s="533"/>
      <c r="X4862" s="533"/>
      <c r="Y4862" s="533"/>
    </row>
    <row r="4863" spans="1:25" s="88" customFormat="1" ht="15.75" hidden="1" thickBot="1" x14ac:dyDescent="0.3">
      <c r="A4863" s="509"/>
      <c r="B4863" s="256"/>
      <c r="C4863" s="228"/>
      <c r="D4863" s="218"/>
      <c r="E4863" s="218"/>
      <c r="F4863" s="642" t="s">
        <v>263</v>
      </c>
      <c r="G4863" s="643" t="s">
        <v>264</v>
      </c>
      <c r="H4863" s="598"/>
      <c r="I4863" s="599"/>
      <c r="J4863" s="599">
        <f t="shared" si="149"/>
        <v>0</v>
      </c>
      <c r="K4863" s="533"/>
      <c r="L4863" s="533"/>
      <c r="M4863" s="533"/>
      <c r="N4863" s="533"/>
      <c r="O4863" s="533"/>
      <c r="P4863" s="533"/>
      <c r="Q4863" s="533"/>
      <c r="R4863" s="533"/>
      <c r="S4863" s="533"/>
      <c r="T4863" s="533"/>
      <c r="U4863" s="533"/>
      <c r="V4863" s="533"/>
      <c r="W4863" s="533"/>
      <c r="X4863" s="533"/>
      <c r="Y4863" s="533"/>
    </row>
    <row r="4864" spans="1:25" s="88" customFormat="1" ht="15.75" thickBot="1" x14ac:dyDescent="0.3">
      <c r="A4864" s="509"/>
      <c r="B4864" s="256"/>
      <c r="C4864" s="228"/>
      <c r="D4864" s="218"/>
      <c r="E4864" s="218"/>
      <c r="F4864" s="218"/>
      <c r="G4864" s="229" t="s">
        <v>5164</v>
      </c>
      <c r="H4864" s="600">
        <f>SUM(H4848:H4863)</f>
        <v>4000000</v>
      </c>
      <c r="I4864" s="601">
        <f>SUM(I4849:I4863)</f>
        <v>0</v>
      </c>
      <c r="J4864" s="601">
        <f>SUM(J4848:J4863)</f>
        <v>4000000</v>
      </c>
      <c r="K4864" s="533"/>
      <c r="L4864" s="533"/>
      <c r="M4864" s="533"/>
      <c r="N4864" s="533"/>
      <c r="O4864" s="533"/>
      <c r="P4864" s="533"/>
      <c r="Q4864" s="533"/>
      <c r="R4864" s="533"/>
      <c r="S4864" s="533"/>
      <c r="T4864" s="533"/>
      <c r="U4864" s="533"/>
      <c r="V4864" s="533"/>
      <c r="W4864" s="533"/>
      <c r="X4864" s="533"/>
      <c r="Y4864" s="533"/>
    </row>
    <row r="4865" spans="1:25" s="88" customFormat="1" ht="19.5" customHeight="1" x14ac:dyDescent="0.25">
      <c r="A4865" s="509"/>
      <c r="B4865" s="256"/>
      <c r="C4865" s="228"/>
      <c r="D4865" s="218"/>
      <c r="E4865" s="517"/>
      <c r="F4865" s="528"/>
      <c r="G4865" s="231" t="s">
        <v>5165</v>
      </c>
      <c r="H4865" s="602"/>
      <c r="I4865" s="623"/>
      <c r="J4865" s="603"/>
      <c r="K4865" s="533"/>
      <c r="L4865" s="533"/>
      <c r="M4865" s="533"/>
      <c r="N4865" s="533"/>
      <c r="O4865" s="533"/>
      <c r="P4865" s="533"/>
      <c r="Q4865" s="533"/>
      <c r="R4865" s="533"/>
      <c r="S4865" s="533"/>
      <c r="T4865" s="533"/>
      <c r="U4865" s="533"/>
      <c r="V4865" s="533"/>
      <c r="W4865" s="533"/>
      <c r="X4865" s="533"/>
      <c r="Y4865" s="533"/>
    </row>
    <row r="4866" spans="1:25" s="88" customFormat="1" ht="15.75" thickBot="1" x14ac:dyDescent="0.3">
      <c r="A4866" s="509"/>
      <c r="B4866" s="256"/>
      <c r="C4866" s="228"/>
      <c r="D4866" s="218"/>
      <c r="E4866" s="222"/>
      <c r="F4866" s="642" t="s">
        <v>234</v>
      </c>
      <c r="G4866" s="643" t="s">
        <v>235</v>
      </c>
      <c r="H4866" s="598">
        <f>SUM(H4787:H4846)</f>
        <v>4000000</v>
      </c>
      <c r="I4866" s="599"/>
      <c r="J4866" s="599">
        <f>SUM(H4866:I4866)</f>
        <v>4000000</v>
      </c>
      <c r="K4866" s="533"/>
      <c r="L4866" s="533"/>
      <c r="M4866" s="533"/>
      <c r="N4866" s="533"/>
      <c r="O4866" s="533"/>
      <c r="P4866" s="533"/>
      <c r="Q4866" s="533"/>
      <c r="R4866" s="533"/>
      <c r="S4866" s="533"/>
      <c r="T4866" s="533"/>
      <c r="U4866" s="533"/>
      <c r="V4866" s="533"/>
      <c r="W4866" s="533"/>
      <c r="X4866" s="533"/>
      <c r="Y4866" s="533"/>
    </row>
    <row r="4867" spans="1:25" s="88" customFormat="1" hidden="1" x14ac:dyDescent="0.25">
      <c r="A4867" s="509"/>
      <c r="B4867" s="256"/>
      <c r="C4867" s="228"/>
      <c r="D4867" s="218"/>
      <c r="E4867" s="218"/>
      <c r="F4867" s="642" t="s">
        <v>236</v>
      </c>
      <c r="G4867" s="643" t="s">
        <v>237</v>
      </c>
      <c r="H4867" s="594"/>
      <c r="I4867" s="595"/>
      <c r="J4867" s="599">
        <f t="shared" ref="J4867:J4881" si="150">SUM(H4867:I4867)</f>
        <v>0</v>
      </c>
      <c r="K4867" s="533"/>
      <c r="L4867" s="533"/>
      <c r="M4867" s="533"/>
      <c r="N4867" s="533"/>
      <c r="O4867" s="533"/>
      <c r="P4867" s="533"/>
      <c r="Q4867" s="533"/>
      <c r="R4867" s="533"/>
      <c r="S4867" s="533"/>
      <c r="T4867" s="533"/>
      <c r="U4867" s="533"/>
      <c r="V4867" s="533"/>
      <c r="W4867" s="533"/>
      <c r="X4867" s="533"/>
      <c r="Y4867" s="533"/>
    </row>
    <row r="4868" spans="1:25" s="88" customFormat="1" hidden="1" x14ac:dyDescent="0.25">
      <c r="A4868" s="509"/>
      <c r="B4868" s="256"/>
      <c r="C4868" s="228"/>
      <c r="D4868" s="218"/>
      <c r="E4868" s="218"/>
      <c r="F4868" s="642" t="s">
        <v>238</v>
      </c>
      <c r="G4868" s="643" t="s">
        <v>239</v>
      </c>
      <c r="H4868" s="594"/>
      <c r="I4868" s="595"/>
      <c r="J4868" s="599">
        <f t="shared" si="150"/>
        <v>0</v>
      </c>
      <c r="K4868" s="533"/>
      <c r="L4868" s="533"/>
      <c r="M4868" s="533"/>
      <c r="N4868" s="533"/>
      <c r="O4868" s="533"/>
      <c r="P4868" s="533"/>
      <c r="Q4868" s="533"/>
      <c r="R4868" s="533"/>
      <c r="S4868" s="533"/>
      <c r="T4868" s="533"/>
      <c r="U4868" s="533"/>
      <c r="V4868" s="533"/>
      <c r="W4868" s="533"/>
      <c r="X4868" s="533"/>
      <c r="Y4868" s="533"/>
    </row>
    <row r="4869" spans="1:25" s="88" customFormat="1" hidden="1" x14ac:dyDescent="0.25">
      <c r="A4869" s="509"/>
      <c r="B4869" s="256"/>
      <c r="C4869" s="228"/>
      <c r="D4869" s="218"/>
      <c r="E4869" s="218"/>
      <c r="F4869" s="642" t="s">
        <v>240</v>
      </c>
      <c r="G4869" s="643" t="s">
        <v>241</v>
      </c>
      <c r="H4869" s="594"/>
      <c r="I4869" s="595"/>
      <c r="J4869" s="599">
        <f t="shared" si="150"/>
        <v>0</v>
      </c>
      <c r="K4869" s="533"/>
      <c r="L4869" s="533"/>
      <c r="M4869" s="533"/>
      <c r="N4869" s="533"/>
      <c r="O4869" s="533"/>
      <c r="P4869" s="533"/>
      <c r="Q4869" s="533"/>
      <c r="R4869" s="533"/>
      <c r="S4869" s="533"/>
      <c r="T4869" s="533"/>
      <c r="U4869" s="533"/>
      <c r="V4869" s="533"/>
      <c r="W4869" s="533"/>
      <c r="X4869" s="533"/>
      <c r="Y4869" s="533"/>
    </row>
    <row r="4870" spans="1:25" s="88" customFormat="1" hidden="1" x14ac:dyDescent="0.25">
      <c r="A4870" s="509"/>
      <c r="B4870" s="256"/>
      <c r="C4870" s="228"/>
      <c r="D4870" s="218"/>
      <c r="E4870" s="218"/>
      <c r="F4870" s="642" t="s">
        <v>242</v>
      </c>
      <c r="G4870" s="643" t="s">
        <v>243</v>
      </c>
      <c r="H4870" s="594"/>
      <c r="I4870" s="595"/>
      <c r="J4870" s="599">
        <f t="shared" si="150"/>
        <v>0</v>
      </c>
      <c r="K4870" s="533"/>
      <c r="L4870" s="533"/>
      <c r="M4870" s="533"/>
      <c r="N4870" s="533"/>
      <c r="O4870" s="533"/>
      <c r="P4870" s="533"/>
      <c r="Q4870" s="533"/>
      <c r="R4870" s="533"/>
      <c r="S4870" s="533"/>
      <c r="T4870" s="533"/>
      <c r="U4870" s="533"/>
      <c r="V4870" s="533"/>
      <c r="W4870" s="533"/>
      <c r="X4870" s="533"/>
      <c r="Y4870" s="533"/>
    </row>
    <row r="4871" spans="1:25" s="88" customFormat="1" hidden="1" x14ac:dyDescent="0.25">
      <c r="A4871" s="509"/>
      <c r="B4871" s="256"/>
      <c r="C4871" s="228"/>
      <c r="D4871" s="218"/>
      <c r="E4871" s="218"/>
      <c r="F4871" s="642" t="s">
        <v>244</v>
      </c>
      <c r="G4871" s="643" t="s">
        <v>245</v>
      </c>
      <c r="H4871" s="594"/>
      <c r="I4871" s="595"/>
      <c r="J4871" s="599">
        <f t="shared" si="150"/>
        <v>0</v>
      </c>
      <c r="K4871" s="533"/>
      <c r="L4871" s="533"/>
      <c r="M4871" s="533"/>
      <c r="N4871" s="533"/>
      <c r="O4871" s="533"/>
      <c r="P4871" s="533"/>
      <c r="Q4871" s="533"/>
      <c r="R4871" s="533"/>
      <c r="S4871" s="533"/>
      <c r="T4871" s="533"/>
      <c r="U4871" s="533"/>
      <c r="V4871" s="533"/>
      <c r="W4871" s="533"/>
      <c r="X4871" s="533"/>
      <c r="Y4871" s="533"/>
    </row>
    <row r="4872" spans="1:25" s="88" customFormat="1" hidden="1" x14ac:dyDescent="0.25">
      <c r="A4872" s="509"/>
      <c r="B4872" s="256"/>
      <c r="C4872" s="228"/>
      <c r="D4872" s="218"/>
      <c r="E4872" s="218"/>
      <c r="F4872" s="642" t="s">
        <v>246</v>
      </c>
      <c r="G4872" s="643" t="s">
        <v>247</v>
      </c>
      <c r="H4872" s="594"/>
      <c r="I4872" s="595"/>
      <c r="J4872" s="599">
        <f t="shared" si="150"/>
        <v>0</v>
      </c>
      <c r="K4872" s="533"/>
      <c r="L4872" s="533"/>
      <c r="M4872" s="533"/>
      <c r="N4872" s="533"/>
      <c r="O4872" s="533"/>
      <c r="P4872" s="533"/>
      <c r="Q4872" s="533"/>
      <c r="R4872" s="533"/>
      <c r="S4872" s="533"/>
      <c r="T4872" s="533"/>
      <c r="U4872" s="533"/>
      <c r="V4872" s="533"/>
      <c r="W4872" s="533"/>
      <c r="X4872" s="533"/>
      <c r="Y4872" s="533"/>
    </row>
    <row r="4873" spans="1:25" s="88" customFormat="1" hidden="1" x14ac:dyDescent="0.25">
      <c r="A4873" s="509"/>
      <c r="B4873" s="256"/>
      <c r="C4873" s="228"/>
      <c r="D4873" s="218"/>
      <c r="E4873" s="218"/>
      <c r="F4873" s="642" t="s">
        <v>248</v>
      </c>
      <c r="G4873" s="643" t="s">
        <v>249</v>
      </c>
      <c r="H4873" s="594"/>
      <c r="I4873" s="595"/>
      <c r="J4873" s="599">
        <f t="shared" si="150"/>
        <v>0</v>
      </c>
      <c r="K4873" s="533"/>
      <c r="L4873" s="533"/>
      <c r="M4873" s="533"/>
      <c r="N4873" s="533"/>
      <c r="O4873" s="533"/>
      <c r="P4873" s="533"/>
      <c r="Q4873" s="533"/>
      <c r="R4873" s="533"/>
      <c r="S4873" s="533"/>
      <c r="T4873" s="533"/>
      <c r="U4873" s="533"/>
      <c r="V4873" s="533"/>
      <c r="W4873" s="533"/>
      <c r="X4873" s="533"/>
      <c r="Y4873" s="533"/>
    </row>
    <row r="4874" spans="1:25" s="88" customFormat="1" hidden="1" x14ac:dyDescent="0.25">
      <c r="A4874" s="509"/>
      <c r="B4874" s="256"/>
      <c r="C4874" s="228"/>
      <c r="D4874" s="218"/>
      <c r="E4874" s="218"/>
      <c r="F4874" s="642" t="s">
        <v>250</v>
      </c>
      <c r="G4874" s="643" t="s">
        <v>57</v>
      </c>
      <c r="H4874" s="594"/>
      <c r="I4874" s="595"/>
      <c r="J4874" s="599">
        <f t="shared" si="150"/>
        <v>0</v>
      </c>
      <c r="K4874" s="533"/>
      <c r="L4874" s="533"/>
      <c r="M4874" s="533"/>
      <c r="N4874" s="533"/>
      <c r="O4874" s="533"/>
      <c r="P4874" s="533"/>
      <c r="Q4874" s="533"/>
      <c r="R4874" s="533"/>
      <c r="S4874" s="533"/>
      <c r="T4874" s="533"/>
      <c r="U4874" s="533"/>
      <c r="V4874" s="533"/>
      <c r="W4874" s="533"/>
      <c r="X4874" s="533"/>
      <c r="Y4874" s="533"/>
    </row>
    <row r="4875" spans="1:25" s="88" customFormat="1" hidden="1" x14ac:dyDescent="0.25">
      <c r="A4875" s="509"/>
      <c r="B4875" s="256"/>
      <c r="C4875" s="228"/>
      <c r="D4875" s="218"/>
      <c r="E4875" s="218"/>
      <c r="F4875" s="642" t="s">
        <v>251</v>
      </c>
      <c r="G4875" s="643" t="s">
        <v>252</v>
      </c>
      <c r="H4875" s="594"/>
      <c r="I4875" s="595"/>
      <c r="J4875" s="599">
        <f t="shared" si="150"/>
        <v>0</v>
      </c>
      <c r="K4875" s="533"/>
      <c r="L4875" s="533"/>
      <c r="M4875" s="533"/>
      <c r="N4875" s="533"/>
      <c r="O4875" s="533"/>
      <c r="P4875" s="533"/>
      <c r="Q4875" s="533"/>
      <c r="R4875" s="533"/>
      <c r="S4875" s="533"/>
      <c r="T4875" s="533"/>
      <c r="U4875" s="533"/>
      <c r="V4875" s="533"/>
      <c r="W4875" s="533"/>
      <c r="X4875" s="533"/>
      <c r="Y4875" s="533"/>
    </row>
    <row r="4876" spans="1:25" s="88" customFormat="1" hidden="1" x14ac:dyDescent="0.25">
      <c r="A4876" s="509"/>
      <c r="B4876" s="256"/>
      <c r="C4876" s="228"/>
      <c r="D4876" s="218"/>
      <c r="E4876" s="218"/>
      <c r="F4876" s="642" t="s">
        <v>253</v>
      </c>
      <c r="G4876" s="643" t="s">
        <v>254</v>
      </c>
      <c r="H4876" s="594"/>
      <c r="I4876" s="595"/>
      <c r="J4876" s="599">
        <f t="shared" si="150"/>
        <v>0</v>
      </c>
      <c r="K4876" s="533"/>
      <c r="L4876" s="533"/>
      <c r="M4876" s="533"/>
      <c r="N4876" s="533"/>
      <c r="O4876" s="533"/>
      <c r="P4876" s="533"/>
      <c r="Q4876" s="533"/>
      <c r="R4876" s="533"/>
      <c r="S4876" s="533"/>
      <c r="T4876" s="533"/>
      <c r="U4876" s="533"/>
      <c r="V4876" s="533"/>
      <c r="W4876" s="533"/>
      <c r="X4876" s="533"/>
      <c r="Y4876" s="533"/>
    </row>
    <row r="4877" spans="1:25" s="88" customFormat="1" ht="30" hidden="1" x14ac:dyDescent="0.25">
      <c r="A4877" s="509"/>
      <c r="B4877" s="256"/>
      <c r="C4877" s="228"/>
      <c r="D4877" s="218"/>
      <c r="E4877" s="218"/>
      <c r="F4877" s="642" t="s">
        <v>255</v>
      </c>
      <c r="G4877" s="643" t="s">
        <v>256</v>
      </c>
      <c r="H4877" s="594"/>
      <c r="I4877" s="595"/>
      <c r="J4877" s="599">
        <f t="shared" si="150"/>
        <v>0</v>
      </c>
      <c r="K4877" s="533"/>
      <c r="L4877" s="533"/>
      <c r="M4877" s="533"/>
      <c r="N4877" s="533"/>
      <c r="O4877" s="533"/>
      <c r="P4877" s="533"/>
      <c r="Q4877" s="533"/>
      <c r="R4877" s="533"/>
      <c r="S4877" s="533"/>
      <c r="T4877" s="533"/>
      <c r="U4877" s="533"/>
      <c r="V4877" s="533"/>
      <c r="W4877" s="533"/>
      <c r="X4877" s="533"/>
      <c r="Y4877" s="533"/>
    </row>
    <row r="4878" spans="1:25" s="88" customFormat="1" hidden="1" x14ac:dyDescent="0.25">
      <c r="A4878" s="509"/>
      <c r="B4878" s="256"/>
      <c r="C4878" s="228"/>
      <c r="D4878" s="218"/>
      <c r="E4878" s="218"/>
      <c r="F4878" s="642" t="s">
        <v>257</v>
      </c>
      <c r="G4878" s="643" t="s">
        <v>258</v>
      </c>
      <c r="H4878" s="594"/>
      <c r="I4878" s="595"/>
      <c r="J4878" s="599">
        <f t="shared" si="150"/>
        <v>0</v>
      </c>
      <c r="K4878" s="533"/>
      <c r="L4878" s="533"/>
      <c r="M4878" s="533"/>
      <c r="N4878" s="533"/>
      <c r="O4878" s="533"/>
      <c r="P4878" s="533"/>
      <c r="Q4878" s="533"/>
      <c r="R4878" s="533"/>
      <c r="S4878" s="533"/>
      <c r="T4878" s="533"/>
      <c r="U4878" s="533"/>
      <c r="V4878" s="533"/>
      <c r="W4878" s="533"/>
      <c r="X4878" s="533"/>
      <c r="Y4878" s="533"/>
    </row>
    <row r="4879" spans="1:25" s="88" customFormat="1" ht="30" hidden="1" x14ac:dyDescent="0.25">
      <c r="A4879" s="509"/>
      <c r="B4879" s="256"/>
      <c r="C4879" s="228"/>
      <c r="D4879" s="218"/>
      <c r="E4879" s="218"/>
      <c r="F4879" s="642" t="s">
        <v>259</v>
      </c>
      <c r="G4879" s="643" t="s">
        <v>260</v>
      </c>
      <c r="H4879" s="594"/>
      <c r="I4879" s="595"/>
      <c r="J4879" s="599">
        <f t="shared" si="150"/>
        <v>0</v>
      </c>
      <c r="K4879" s="533"/>
      <c r="L4879" s="533"/>
      <c r="M4879" s="533"/>
      <c r="N4879" s="533"/>
      <c r="O4879" s="533"/>
      <c r="P4879" s="533"/>
      <c r="Q4879" s="533"/>
      <c r="R4879" s="533"/>
      <c r="S4879" s="533"/>
      <c r="T4879" s="533"/>
      <c r="U4879" s="533"/>
      <c r="V4879" s="533"/>
      <c r="W4879" s="533"/>
      <c r="X4879" s="533"/>
      <c r="Y4879" s="533"/>
    </row>
    <row r="4880" spans="1:25" s="88" customFormat="1" hidden="1" x14ac:dyDescent="0.25">
      <c r="A4880" s="509"/>
      <c r="B4880" s="256"/>
      <c r="C4880" s="228"/>
      <c r="D4880" s="218"/>
      <c r="E4880" s="218"/>
      <c r="F4880" s="642" t="s">
        <v>261</v>
      </c>
      <c r="G4880" s="643" t="s">
        <v>262</v>
      </c>
      <c r="H4880" s="594"/>
      <c r="I4880" s="595"/>
      <c r="J4880" s="599">
        <f t="shared" si="150"/>
        <v>0</v>
      </c>
      <c r="K4880" s="533"/>
      <c r="L4880" s="533"/>
      <c r="M4880" s="533"/>
      <c r="N4880" s="533"/>
      <c r="O4880" s="533"/>
      <c r="P4880" s="533"/>
      <c r="Q4880" s="533"/>
      <c r="R4880" s="533"/>
      <c r="S4880" s="533"/>
      <c r="T4880" s="533"/>
      <c r="U4880" s="533"/>
      <c r="V4880" s="533"/>
      <c r="W4880" s="533"/>
      <c r="X4880" s="533"/>
      <c r="Y4880" s="533"/>
    </row>
    <row r="4881" spans="1:25" s="88" customFormat="1" ht="15.75" hidden="1" thickBot="1" x14ac:dyDescent="0.3">
      <c r="A4881" s="509"/>
      <c r="B4881" s="256"/>
      <c r="C4881" s="228"/>
      <c r="D4881" s="218"/>
      <c r="E4881" s="218"/>
      <c r="F4881" s="642" t="s">
        <v>263</v>
      </c>
      <c r="G4881" s="643" t="s">
        <v>264</v>
      </c>
      <c r="H4881" s="598"/>
      <c r="I4881" s="599"/>
      <c r="J4881" s="599">
        <f t="shared" si="150"/>
        <v>0</v>
      </c>
      <c r="K4881" s="533"/>
      <c r="L4881" s="533"/>
      <c r="M4881" s="533"/>
      <c r="N4881" s="533"/>
      <c r="O4881" s="533"/>
      <c r="P4881" s="533"/>
      <c r="Q4881" s="533"/>
      <c r="R4881" s="533"/>
      <c r="S4881" s="533"/>
      <c r="T4881" s="533"/>
      <c r="U4881" s="533"/>
      <c r="V4881" s="533"/>
      <c r="W4881" s="533"/>
      <c r="X4881" s="533"/>
      <c r="Y4881" s="533"/>
    </row>
    <row r="4882" spans="1:25" s="88" customFormat="1" ht="15.75" thickBot="1" x14ac:dyDescent="0.3">
      <c r="A4882" s="509"/>
      <c r="B4882" s="256"/>
      <c r="C4882" s="228"/>
      <c r="D4882" s="218"/>
      <c r="E4882" s="218"/>
      <c r="F4882" s="218"/>
      <c r="G4882" s="229" t="s">
        <v>5166</v>
      </c>
      <c r="H4882" s="600">
        <f>SUM(H4866:H4881)</f>
        <v>4000000</v>
      </c>
      <c r="I4882" s="601">
        <f>SUM(I4867:I4881)</f>
        <v>0</v>
      </c>
      <c r="J4882" s="601">
        <f>SUM(J4866:J4881)</f>
        <v>4000000</v>
      </c>
      <c r="K4882" s="533"/>
      <c r="L4882" s="533"/>
      <c r="M4882" s="533"/>
      <c r="N4882" s="533"/>
      <c r="O4882" s="533"/>
      <c r="P4882" s="533"/>
      <c r="Q4882" s="533"/>
      <c r="R4882" s="533"/>
      <c r="S4882" s="533"/>
      <c r="T4882" s="533"/>
      <c r="U4882" s="533"/>
      <c r="V4882" s="533"/>
      <c r="W4882" s="533"/>
      <c r="X4882" s="533"/>
      <c r="Y4882" s="533"/>
    </row>
    <row r="4883" spans="1:25" s="88" customFormat="1" ht="15.75" hidden="1" thickBot="1" x14ac:dyDescent="0.3">
      <c r="A4883" s="509"/>
      <c r="B4883" s="256"/>
      <c r="C4883" s="228"/>
      <c r="D4883" s="218"/>
      <c r="E4883" s="218"/>
      <c r="F4883" s="218"/>
      <c r="G4883" s="518"/>
      <c r="H4883" s="594"/>
      <c r="I4883" s="595"/>
      <c r="J4883" s="595"/>
      <c r="K4883" s="533"/>
      <c r="L4883" s="533"/>
      <c r="M4883" s="533"/>
      <c r="N4883" s="533"/>
      <c r="O4883" s="533"/>
      <c r="P4883" s="533"/>
      <c r="Q4883" s="533"/>
      <c r="R4883" s="533"/>
      <c r="S4883" s="533"/>
      <c r="T4883" s="533"/>
      <c r="U4883" s="533"/>
      <c r="V4883" s="533"/>
      <c r="W4883" s="533"/>
      <c r="X4883" s="533"/>
      <c r="Y4883" s="533"/>
    </row>
    <row r="4884" spans="1:25" s="88" customFormat="1" ht="28.5" hidden="1" x14ac:dyDescent="0.25">
      <c r="A4884" s="509"/>
      <c r="B4884" s="256"/>
      <c r="C4884" s="228" t="s">
        <v>4150</v>
      </c>
      <c r="D4884" s="218"/>
      <c r="E4884" s="218"/>
      <c r="F4884" s="218"/>
      <c r="G4884" s="518" t="s">
        <v>4151</v>
      </c>
      <c r="H4884" s="594"/>
      <c r="I4884" s="595"/>
      <c r="J4884" s="595"/>
      <c r="K4884" s="533"/>
      <c r="L4884" s="533"/>
      <c r="M4884" s="533"/>
      <c r="N4884" s="533"/>
      <c r="O4884" s="533"/>
      <c r="P4884" s="533"/>
      <c r="Q4884" s="533"/>
      <c r="R4884" s="533"/>
      <c r="S4884" s="533"/>
      <c r="T4884" s="533"/>
      <c r="U4884" s="533"/>
      <c r="V4884" s="533"/>
      <c r="W4884" s="533"/>
      <c r="X4884" s="533"/>
      <c r="Y4884" s="533"/>
    </row>
    <row r="4885" spans="1:25" s="88" customFormat="1" hidden="1" x14ac:dyDescent="0.25">
      <c r="A4885" s="509"/>
      <c r="B4885" s="256"/>
      <c r="C4885" s="265"/>
      <c r="D4885" s="334" t="s">
        <v>4029</v>
      </c>
      <c r="E4885" s="329"/>
      <c r="F4885" s="329"/>
      <c r="G4885" s="330" t="s">
        <v>206</v>
      </c>
      <c r="H4885" s="611"/>
      <c r="I4885" s="612"/>
      <c r="J4885" s="612"/>
      <c r="K4885" s="533"/>
      <c r="L4885" s="533"/>
      <c r="M4885" s="533"/>
      <c r="N4885" s="533"/>
      <c r="O4885" s="533"/>
      <c r="P4885" s="533"/>
      <c r="Q4885" s="533"/>
      <c r="R4885" s="533"/>
      <c r="S4885" s="533"/>
      <c r="T4885" s="533"/>
      <c r="U4885" s="533"/>
      <c r="V4885" s="533"/>
      <c r="W4885" s="533"/>
      <c r="X4885" s="533"/>
      <c r="Y4885" s="533"/>
    </row>
    <row r="4886" spans="1:25" s="88" customFormat="1" hidden="1" x14ac:dyDescent="0.25">
      <c r="A4886" s="509"/>
      <c r="B4886" s="256"/>
      <c r="C4886" s="228"/>
      <c r="D4886" s="218"/>
      <c r="E4886" s="218"/>
      <c r="F4886" s="527">
        <v>411</v>
      </c>
      <c r="G4886" s="520" t="s">
        <v>4189</v>
      </c>
      <c r="H4886" s="594"/>
      <c r="I4886" s="595"/>
      <c r="J4886" s="595">
        <f>SUM(H4886:I4886)</f>
        <v>0</v>
      </c>
      <c r="K4886" s="533"/>
      <c r="L4886" s="533"/>
      <c r="M4886" s="533"/>
      <c r="N4886" s="533"/>
      <c r="O4886" s="533"/>
      <c r="P4886" s="533"/>
      <c r="Q4886" s="533"/>
      <c r="R4886" s="533"/>
      <c r="S4886" s="533"/>
      <c r="T4886" s="533"/>
      <c r="U4886" s="533"/>
      <c r="V4886" s="533"/>
      <c r="W4886" s="533"/>
      <c r="X4886" s="533"/>
      <c r="Y4886" s="533"/>
    </row>
    <row r="4887" spans="1:25" s="88" customFormat="1" hidden="1" x14ac:dyDescent="0.25">
      <c r="A4887" s="509"/>
      <c r="B4887" s="256"/>
      <c r="C4887" s="228"/>
      <c r="D4887" s="218"/>
      <c r="E4887" s="218"/>
      <c r="F4887" s="527">
        <v>412</v>
      </c>
      <c r="G4887" s="516" t="s">
        <v>3784</v>
      </c>
      <c r="H4887" s="594"/>
      <c r="I4887" s="595"/>
      <c r="J4887" s="595">
        <f t="shared" ref="J4887:J4945" si="151">SUM(H4887:I4887)</f>
        <v>0</v>
      </c>
      <c r="K4887" s="533"/>
      <c r="L4887" s="533"/>
      <c r="M4887" s="533"/>
      <c r="N4887" s="533"/>
      <c r="O4887" s="533"/>
      <c r="P4887" s="533"/>
      <c r="Q4887" s="533"/>
      <c r="R4887" s="533"/>
      <c r="S4887" s="533"/>
      <c r="T4887" s="533"/>
      <c r="U4887" s="533"/>
      <c r="V4887" s="533"/>
      <c r="W4887" s="533"/>
      <c r="X4887" s="533"/>
      <c r="Y4887" s="533"/>
    </row>
    <row r="4888" spans="1:25" s="88" customFormat="1" hidden="1" x14ac:dyDescent="0.25">
      <c r="A4888" s="509"/>
      <c r="B4888" s="256"/>
      <c r="C4888" s="228"/>
      <c r="D4888" s="218"/>
      <c r="E4888" s="218"/>
      <c r="F4888" s="527">
        <v>413</v>
      </c>
      <c r="G4888" s="520" t="s">
        <v>4190</v>
      </c>
      <c r="H4888" s="594"/>
      <c r="I4888" s="595"/>
      <c r="J4888" s="595">
        <f t="shared" si="151"/>
        <v>0</v>
      </c>
      <c r="K4888" s="533"/>
      <c r="L4888" s="533"/>
      <c r="M4888" s="533"/>
      <c r="N4888" s="533"/>
      <c r="O4888" s="533"/>
      <c r="P4888" s="533"/>
      <c r="Q4888" s="533"/>
      <c r="R4888" s="533"/>
      <c r="S4888" s="533"/>
      <c r="T4888" s="533"/>
      <c r="U4888" s="533"/>
      <c r="V4888" s="533"/>
      <c r="W4888" s="533"/>
      <c r="X4888" s="533"/>
      <c r="Y4888" s="533"/>
    </row>
    <row r="4889" spans="1:25" s="88" customFormat="1" hidden="1" x14ac:dyDescent="0.25">
      <c r="A4889" s="509"/>
      <c r="B4889" s="256"/>
      <c r="C4889" s="228"/>
      <c r="D4889" s="218"/>
      <c r="E4889" s="218"/>
      <c r="F4889" s="527">
        <v>414</v>
      </c>
      <c r="G4889" s="520" t="s">
        <v>3787</v>
      </c>
      <c r="H4889" s="594"/>
      <c r="I4889" s="595"/>
      <c r="J4889" s="595">
        <f t="shared" si="151"/>
        <v>0</v>
      </c>
      <c r="K4889" s="533"/>
      <c r="L4889" s="533"/>
      <c r="M4889" s="533"/>
      <c r="N4889" s="533"/>
      <c r="O4889" s="533"/>
      <c r="P4889" s="533"/>
      <c r="Q4889" s="533"/>
      <c r="R4889" s="533"/>
      <c r="S4889" s="533"/>
      <c r="T4889" s="533"/>
      <c r="U4889" s="533"/>
      <c r="V4889" s="533"/>
      <c r="W4889" s="533"/>
      <c r="X4889" s="533"/>
      <c r="Y4889" s="533"/>
    </row>
    <row r="4890" spans="1:25" s="88" customFormat="1" hidden="1" x14ac:dyDescent="0.25">
      <c r="A4890" s="509"/>
      <c r="B4890" s="256"/>
      <c r="C4890" s="228"/>
      <c r="D4890" s="218"/>
      <c r="E4890" s="218"/>
      <c r="F4890" s="527">
        <v>415</v>
      </c>
      <c r="G4890" s="520" t="s">
        <v>4199</v>
      </c>
      <c r="H4890" s="594"/>
      <c r="I4890" s="595"/>
      <c r="J4890" s="595">
        <f t="shared" si="151"/>
        <v>0</v>
      </c>
      <c r="K4890" s="533"/>
      <c r="L4890" s="533"/>
      <c r="M4890" s="533"/>
      <c r="N4890" s="533"/>
      <c r="O4890" s="533"/>
      <c r="P4890" s="533"/>
      <c r="Q4890" s="533"/>
      <c r="R4890" s="533"/>
      <c r="S4890" s="533"/>
      <c r="T4890" s="533"/>
      <c r="U4890" s="533"/>
      <c r="V4890" s="533"/>
      <c r="W4890" s="533"/>
      <c r="X4890" s="533"/>
      <c r="Y4890" s="533"/>
    </row>
    <row r="4891" spans="1:25" s="88" customFormat="1" hidden="1" x14ac:dyDescent="0.25">
      <c r="A4891" s="509"/>
      <c r="B4891" s="256"/>
      <c r="C4891" s="228"/>
      <c r="D4891" s="218"/>
      <c r="E4891" s="218"/>
      <c r="F4891" s="527">
        <v>416</v>
      </c>
      <c r="G4891" s="520" t="s">
        <v>4200</v>
      </c>
      <c r="H4891" s="594"/>
      <c r="I4891" s="595"/>
      <c r="J4891" s="595">
        <f t="shared" si="151"/>
        <v>0</v>
      </c>
      <c r="K4891" s="533"/>
      <c r="L4891" s="533"/>
      <c r="M4891" s="533"/>
      <c r="N4891" s="533"/>
      <c r="O4891" s="533"/>
      <c r="P4891" s="533"/>
      <c r="Q4891" s="533"/>
      <c r="R4891" s="533"/>
      <c r="S4891" s="533"/>
      <c r="T4891" s="533"/>
      <c r="U4891" s="533"/>
      <c r="V4891" s="533"/>
      <c r="W4891" s="533"/>
      <c r="X4891" s="533"/>
      <c r="Y4891" s="533"/>
    </row>
    <row r="4892" spans="1:25" s="88" customFormat="1" hidden="1" x14ac:dyDescent="0.25">
      <c r="A4892" s="509"/>
      <c r="B4892" s="256"/>
      <c r="C4892" s="228"/>
      <c r="D4892" s="218"/>
      <c r="E4892" s="218"/>
      <c r="F4892" s="527">
        <v>417</v>
      </c>
      <c r="G4892" s="520" t="s">
        <v>4201</v>
      </c>
      <c r="H4892" s="594"/>
      <c r="I4892" s="595"/>
      <c r="J4892" s="595">
        <f t="shared" si="151"/>
        <v>0</v>
      </c>
      <c r="K4892" s="533"/>
      <c r="L4892" s="533"/>
      <c r="M4892" s="533"/>
      <c r="N4892" s="533"/>
      <c r="O4892" s="533"/>
      <c r="P4892" s="533"/>
      <c r="Q4892" s="533"/>
      <c r="R4892" s="533"/>
      <c r="S4892" s="533"/>
      <c r="T4892" s="533"/>
      <c r="U4892" s="533"/>
      <c r="V4892" s="533"/>
      <c r="W4892" s="533"/>
      <c r="X4892" s="533"/>
      <c r="Y4892" s="533"/>
    </row>
    <row r="4893" spans="1:25" s="88" customFormat="1" hidden="1" x14ac:dyDescent="0.25">
      <c r="A4893" s="509"/>
      <c r="B4893" s="256"/>
      <c r="C4893" s="228"/>
      <c r="D4893" s="218"/>
      <c r="E4893" s="218"/>
      <c r="F4893" s="527">
        <v>418</v>
      </c>
      <c r="G4893" s="520" t="s">
        <v>3793</v>
      </c>
      <c r="H4893" s="594"/>
      <c r="I4893" s="595"/>
      <c r="J4893" s="595">
        <f t="shared" si="151"/>
        <v>0</v>
      </c>
      <c r="K4893" s="533"/>
      <c r="L4893" s="533"/>
      <c r="M4893" s="533"/>
      <c r="N4893" s="533"/>
      <c r="O4893" s="533"/>
      <c r="P4893" s="533"/>
      <c r="Q4893" s="533"/>
      <c r="R4893" s="533"/>
      <c r="S4893" s="533"/>
      <c r="T4893" s="533"/>
      <c r="U4893" s="533"/>
      <c r="V4893" s="533"/>
      <c r="W4893" s="533"/>
      <c r="X4893" s="533"/>
      <c r="Y4893" s="533"/>
    </row>
    <row r="4894" spans="1:25" s="88" customFormat="1" hidden="1" x14ac:dyDescent="0.25">
      <c r="A4894" s="509"/>
      <c r="B4894" s="256"/>
      <c r="C4894" s="228"/>
      <c r="D4894" s="218"/>
      <c r="E4894" s="218"/>
      <c r="F4894" s="527">
        <v>421</v>
      </c>
      <c r="G4894" s="520" t="s">
        <v>3797</v>
      </c>
      <c r="H4894" s="594"/>
      <c r="I4894" s="595"/>
      <c r="J4894" s="595">
        <f t="shared" si="151"/>
        <v>0</v>
      </c>
      <c r="K4894" s="533"/>
      <c r="L4894" s="533"/>
      <c r="M4894" s="533"/>
      <c r="N4894" s="533"/>
      <c r="O4894" s="533"/>
      <c r="P4894" s="533"/>
      <c r="Q4894" s="533"/>
      <c r="R4894" s="533"/>
      <c r="S4894" s="533"/>
      <c r="T4894" s="533"/>
      <c r="U4894" s="533"/>
      <c r="V4894" s="533"/>
      <c r="W4894" s="533"/>
      <c r="X4894" s="533"/>
      <c r="Y4894" s="533"/>
    </row>
    <row r="4895" spans="1:25" s="88" customFormat="1" hidden="1" x14ac:dyDescent="0.25">
      <c r="A4895" s="509"/>
      <c r="B4895" s="256"/>
      <c r="C4895" s="228"/>
      <c r="D4895" s="218"/>
      <c r="E4895" s="218"/>
      <c r="F4895" s="527">
        <v>422</v>
      </c>
      <c r="G4895" s="520" t="s">
        <v>3798</v>
      </c>
      <c r="H4895" s="594"/>
      <c r="I4895" s="595"/>
      <c r="J4895" s="595">
        <f t="shared" si="151"/>
        <v>0</v>
      </c>
      <c r="K4895" s="533"/>
      <c r="L4895" s="533"/>
      <c r="M4895" s="533"/>
      <c r="N4895" s="533"/>
      <c r="O4895" s="533"/>
      <c r="P4895" s="533"/>
      <c r="Q4895" s="533"/>
      <c r="R4895" s="533"/>
      <c r="S4895" s="533"/>
      <c r="T4895" s="533"/>
      <c r="U4895" s="533"/>
      <c r="V4895" s="533"/>
      <c r="W4895" s="533"/>
      <c r="X4895" s="533"/>
      <c r="Y4895" s="533"/>
    </row>
    <row r="4896" spans="1:25" s="88" customFormat="1" hidden="1" x14ac:dyDescent="0.25">
      <c r="A4896" s="509"/>
      <c r="B4896" s="256"/>
      <c r="C4896" s="228"/>
      <c r="D4896" s="218"/>
      <c r="E4896" s="218"/>
      <c r="F4896" s="527">
        <v>423</v>
      </c>
      <c r="G4896" s="520" t="s">
        <v>3799</v>
      </c>
      <c r="H4896" s="594"/>
      <c r="I4896" s="595"/>
      <c r="J4896" s="595">
        <f t="shared" si="151"/>
        <v>0</v>
      </c>
      <c r="K4896" s="533"/>
      <c r="L4896" s="533"/>
      <c r="M4896" s="533"/>
      <c r="N4896" s="533"/>
      <c r="O4896" s="533"/>
      <c r="P4896" s="533"/>
      <c r="Q4896" s="533"/>
      <c r="R4896" s="533"/>
      <c r="S4896" s="533"/>
      <c r="T4896" s="533"/>
      <c r="U4896" s="533"/>
      <c r="V4896" s="533"/>
      <c r="W4896" s="533"/>
      <c r="X4896" s="533"/>
      <c r="Y4896" s="533"/>
    </row>
    <row r="4897" spans="1:25" s="88" customFormat="1" hidden="1" x14ac:dyDescent="0.25">
      <c r="A4897" s="509"/>
      <c r="B4897" s="256"/>
      <c r="C4897" s="228"/>
      <c r="D4897" s="218"/>
      <c r="E4897" s="218"/>
      <c r="F4897" s="527">
        <v>424</v>
      </c>
      <c r="G4897" s="520" t="s">
        <v>3801</v>
      </c>
      <c r="H4897" s="594"/>
      <c r="I4897" s="595"/>
      <c r="J4897" s="595">
        <f t="shared" si="151"/>
        <v>0</v>
      </c>
      <c r="K4897" s="533"/>
      <c r="L4897" s="533"/>
      <c r="M4897" s="533"/>
      <c r="N4897" s="533"/>
      <c r="O4897" s="533"/>
      <c r="P4897" s="533"/>
      <c r="Q4897" s="533"/>
      <c r="R4897" s="533"/>
      <c r="S4897" s="533"/>
      <c r="T4897" s="533"/>
      <c r="U4897" s="533"/>
      <c r="V4897" s="533"/>
      <c r="W4897" s="533"/>
      <c r="X4897" s="533"/>
      <c r="Y4897" s="533"/>
    </row>
    <row r="4898" spans="1:25" s="88" customFormat="1" hidden="1" x14ac:dyDescent="0.25">
      <c r="A4898" s="509"/>
      <c r="B4898" s="256"/>
      <c r="C4898" s="228"/>
      <c r="D4898" s="218"/>
      <c r="E4898" s="218"/>
      <c r="F4898" s="527">
        <v>425</v>
      </c>
      <c r="G4898" s="520" t="s">
        <v>4202</v>
      </c>
      <c r="H4898" s="594"/>
      <c r="I4898" s="595"/>
      <c r="J4898" s="595">
        <f t="shared" si="151"/>
        <v>0</v>
      </c>
      <c r="K4898" s="533"/>
      <c r="L4898" s="533"/>
      <c r="M4898" s="533"/>
      <c r="N4898" s="533"/>
      <c r="O4898" s="533"/>
      <c r="P4898" s="533"/>
      <c r="Q4898" s="533"/>
      <c r="R4898" s="533"/>
      <c r="S4898" s="533"/>
      <c r="T4898" s="533"/>
      <c r="U4898" s="533"/>
      <c r="V4898" s="533"/>
      <c r="W4898" s="533"/>
      <c r="X4898" s="533"/>
      <c r="Y4898" s="533"/>
    </row>
    <row r="4899" spans="1:25" s="88" customFormat="1" hidden="1" x14ac:dyDescent="0.25">
      <c r="A4899" s="509"/>
      <c r="B4899" s="256"/>
      <c r="C4899" s="228"/>
      <c r="D4899" s="218"/>
      <c r="E4899" s="218"/>
      <c r="F4899" s="527">
        <v>426</v>
      </c>
      <c r="G4899" s="520" t="s">
        <v>3805</v>
      </c>
      <c r="H4899" s="594"/>
      <c r="I4899" s="595"/>
      <c r="J4899" s="595">
        <f t="shared" si="151"/>
        <v>0</v>
      </c>
      <c r="K4899" s="533"/>
      <c r="L4899" s="533"/>
      <c r="M4899" s="533"/>
      <c r="N4899" s="533"/>
      <c r="O4899" s="533"/>
      <c r="P4899" s="533"/>
      <c r="Q4899" s="533"/>
      <c r="R4899" s="533"/>
      <c r="S4899" s="533"/>
      <c r="T4899" s="533"/>
      <c r="U4899" s="533"/>
      <c r="V4899" s="533"/>
      <c r="W4899" s="533"/>
      <c r="X4899" s="533"/>
      <c r="Y4899" s="533"/>
    </row>
    <row r="4900" spans="1:25" s="88" customFormat="1" hidden="1" x14ac:dyDescent="0.25">
      <c r="A4900" s="509"/>
      <c r="B4900" s="256"/>
      <c r="C4900" s="228"/>
      <c r="D4900" s="218"/>
      <c r="E4900" s="218"/>
      <c r="F4900" s="527">
        <v>431</v>
      </c>
      <c r="G4900" s="520" t="s">
        <v>4203</v>
      </c>
      <c r="H4900" s="594"/>
      <c r="I4900" s="595"/>
      <c r="J4900" s="595">
        <f t="shared" si="151"/>
        <v>0</v>
      </c>
      <c r="K4900" s="533"/>
      <c r="L4900" s="533"/>
      <c r="M4900" s="533"/>
      <c r="N4900" s="533"/>
      <c r="O4900" s="533"/>
      <c r="P4900" s="533"/>
      <c r="Q4900" s="533"/>
      <c r="R4900" s="533"/>
      <c r="S4900" s="533"/>
      <c r="T4900" s="533"/>
      <c r="U4900" s="533"/>
      <c r="V4900" s="533"/>
      <c r="W4900" s="533"/>
      <c r="X4900" s="533"/>
      <c r="Y4900" s="533"/>
    </row>
    <row r="4901" spans="1:25" s="88" customFormat="1" hidden="1" x14ac:dyDescent="0.25">
      <c r="A4901" s="509"/>
      <c r="B4901" s="256"/>
      <c r="C4901" s="228"/>
      <c r="D4901" s="218"/>
      <c r="E4901" s="218"/>
      <c r="F4901" s="527">
        <v>432</v>
      </c>
      <c r="G4901" s="520" t="s">
        <v>4204</v>
      </c>
      <c r="H4901" s="594"/>
      <c r="I4901" s="595"/>
      <c r="J4901" s="595">
        <f t="shared" si="151"/>
        <v>0</v>
      </c>
      <c r="K4901" s="533"/>
      <c r="L4901" s="533"/>
      <c r="M4901" s="533"/>
      <c r="N4901" s="533"/>
      <c r="O4901" s="533"/>
      <c r="P4901" s="533"/>
      <c r="Q4901" s="533"/>
      <c r="R4901" s="533"/>
      <c r="S4901" s="533"/>
      <c r="T4901" s="533"/>
      <c r="U4901" s="533"/>
      <c r="V4901" s="533"/>
      <c r="W4901" s="533"/>
      <c r="X4901" s="533"/>
      <c r="Y4901" s="533"/>
    </row>
    <row r="4902" spans="1:25" s="88" customFormat="1" hidden="1" x14ac:dyDescent="0.25">
      <c r="A4902" s="509"/>
      <c r="B4902" s="256"/>
      <c r="C4902" s="228"/>
      <c r="D4902" s="218"/>
      <c r="E4902" s="218"/>
      <c r="F4902" s="527">
        <v>433</v>
      </c>
      <c r="G4902" s="520" t="s">
        <v>4205</v>
      </c>
      <c r="H4902" s="594"/>
      <c r="I4902" s="595"/>
      <c r="J4902" s="595">
        <f t="shared" si="151"/>
        <v>0</v>
      </c>
      <c r="K4902" s="533"/>
      <c r="L4902" s="533"/>
      <c r="M4902" s="533"/>
      <c r="N4902" s="533"/>
      <c r="O4902" s="533"/>
      <c r="P4902" s="533"/>
      <c r="Q4902" s="533"/>
      <c r="R4902" s="533"/>
      <c r="S4902" s="533"/>
      <c r="T4902" s="533"/>
      <c r="U4902" s="533"/>
      <c r="V4902" s="533"/>
      <c r="W4902" s="533"/>
      <c r="X4902" s="533"/>
      <c r="Y4902" s="533"/>
    </row>
    <row r="4903" spans="1:25" s="88" customFormat="1" hidden="1" x14ac:dyDescent="0.25">
      <c r="A4903" s="509"/>
      <c r="B4903" s="256"/>
      <c r="C4903" s="228"/>
      <c r="D4903" s="218"/>
      <c r="E4903" s="218"/>
      <c r="F4903" s="527">
        <v>434</v>
      </c>
      <c r="G4903" s="520" t="s">
        <v>4206</v>
      </c>
      <c r="H4903" s="594"/>
      <c r="I4903" s="595"/>
      <c r="J4903" s="595">
        <f t="shared" si="151"/>
        <v>0</v>
      </c>
      <c r="K4903" s="533"/>
      <c r="L4903" s="533"/>
      <c r="M4903" s="533"/>
      <c r="N4903" s="533"/>
      <c r="O4903" s="533"/>
      <c r="P4903" s="533"/>
      <c r="Q4903" s="533"/>
      <c r="R4903" s="533"/>
      <c r="S4903" s="533"/>
      <c r="T4903" s="533"/>
      <c r="U4903" s="533"/>
      <c r="V4903" s="533"/>
      <c r="W4903" s="533"/>
      <c r="X4903" s="533"/>
      <c r="Y4903" s="533"/>
    </row>
    <row r="4904" spans="1:25" s="88" customFormat="1" hidden="1" x14ac:dyDescent="0.25">
      <c r="A4904" s="509"/>
      <c r="B4904" s="256"/>
      <c r="C4904" s="228"/>
      <c r="D4904" s="218"/>
      <c r="E4904" s="218"/>
      <c r="F4904" s="527">
        <v>435</v>
      </c>
      <c r="G4904" s="520" t="s">
        <v>3812</v>
      </c>
      <c r="H4904" s="594"/>
      <c r="I4904" s="595"/>
      <c r="J4904" s="595">
        <f t="shared" si="151"/>
        <v>0</v>
      </c>
      <c r="K4904" s="533"/>
      <c r="L4904" s="533"/>
      <c r="M4904" s="533"/>
      <c r="N4904" s="533"/>
      <c r="O4904" s="533"/>
      <c r="P4904" s="533"/>
      <c r="Q4904" s="533"/>
      <c r="R4904" s="533"/>
      <c r="S4904" s="533"/>
      <c r="T4904" s="533"/>
      <c r="U4904" s="533"/>
      <c r="V4904" s="533"/>
      <c r="W4904" s="533"/>
      <c r="X4904" s="533"/>
      <c r="Y4904" s="533"/>
    </row>
    <row r="4905" spans="1:25" s="88" customFormat="1" hidden="1" x14ac:dyDescent="0.25">
      <c r="A4905" s="509"/>
      <c r="B4905" s="256"/>
      <c r="C4905" s="228"/>
      <c r="D4905" s="218"/>
      <c r="E4905" s="218"/>
      <c r="F4905" s="527">
        <v>441</v>
      </c>
      <c r="G4905" s="520" t="s">
        <v>4207</v>
      </c>
      <c r="H4905" s="594"/>
      <c r="I4905" s="595"/>
      <c r="J4905" s="595">
        <f t="shared" si="151"/>
        <v>0</v>
      </c>
      <c r="K4905" s="533"/>
      <c r="L4905" s="533"/>
      <c r="M4905" s="533"/>
      <c r="N4905" s="533"/>
      <c r="O4905" s="533"/>
      <c r="P4905" s="533"/>
      <c r="Q4905" s="533"/>
      <c r="R4905" s="533"/>
      <c r="S4905" s="533"/>
      <c r="T4905" s="533"/>
      <c r="U4905" s="533"/>
      <c r="V4905" s="533"/>
      <c r="W4905" s="533"/>
      <c r="X4905" s="533"/>
      <c r="Y4905" s="533"/>
    </row>
    <row r="4906" spans="1:25" s="88" customFormat="1" hidden="1" x14ac:dyDescent="0.25">
      <c r="A4906" s="509"/>
      <c r="B4906" s="256"/>
      <c r="C4906" s="228"/>
      <c r="D4906" s="218"/>
      <c r="E4906" s="218"/>
      <c r="F4906" s="527">
        <v>442</v>
      </c>
      <c r="G4906" s="520" t="s">
        <v>4208</v>
      </c>
      <c r="H4906" s="594"/>
      <c r="I4906" s="595"/>
      <c r="J4906" s="595">
        <f t="shared" si="151"/>
        <v>0</v>
      </c>
      <c r="K4906" s="533"/>
      <c r="L4906" s="533"/>
      <c r="M4906" s="533"/>
      <c r="N4906" s="533"/>
      <c r="O4906" s="533"/>
      <c r="P4906" s="533"/>
      <c r="Q4906" s="533"/>
      <c r="R4906" s="533"/>
      <c r="S4906" s="533"/>
      <c r="T4906" s="533"/>
      <c r="U4906" s="533"/>
      <c r="V4906" s="533"/>
      <c r="W4906" s="533"/>
      <c r="X4906" s="533"/>
      <c r="Y4906" s="533"/>
    </row>
    <row r="4907" spans="1:25" s="88" customFormat="1" hidden="1" x14ac:dyDescent="0.25">
      <c r="A4907" s="509"/>
      <c r="B4907" s="256"/>
      <c r="C4907" s="228"/>
      <c r="D4907" s="218"/>
      <c r="E4907" s="218"/>
      <c r="F4907" s="527">
        <v>443</v>
      </c>
      <c r="G4907" s="520" t="s">
        <v>3817</v>
      </c>
      <c r="H4907" s="594"/>
      <c r="I4907" s="595"/>
      <c r="J4907" s="595">
        <f t="shared" si="151"/>
        <v>0</v>
      </c>
      <c r="K4907" s="533"/>
      <c r="L4907" s="533"/>
      <c r="M4907" s="533"/>
      <c r="N4907" s="533"/>
      <c r="O4907" s="533"/>
      <c r="P4907" s="533"/>
      <c r="Q4907" s="533"/>
      <c r="R4907" s="533"/>
      <c r="S4907" s="533"/>
      <c r="T4907" s="533"/>
      <c r="U4907" s="533"/>
      <c r="V4907" s="533"/>
      <c r="W4907" s="533"/>
      <c r="X4907" s="533"/>
      <c r="Y4907" s="533"/>
    </row>
    <row r="4908" spans="1:25" s="88" customFormat="1" hidden="1" x14ac:dyDescent="0.25">
      <c r="A4908" s="509"/>
      <c r="B4908" s="256"/>
      <c r="C4908" s="228"/>
      <c r="D4908" s="218"/>
      <c r="E4908" s="218"/>
      <c r="F4908" s="527">
        <v>444</v>
      </c>
      <c r="G4908" s="520" t="s">
        <v>3818</v>
      </c>
      <c r="H4908" s="594"/>
      <c r="I4908" s="595"/>
      <c r="J4908" s="595">
        <f t="shared" si="151"/>
        <v>0</v>
      </c>
      <c r="K4908" s="533"/>
      <c r="L4908" s="533"/>
      <c r="M4908" s="533"/>
      <c r="N4908" s="533"/>
      <c r="O4908" s="533"/>
      <c r="P4908" s="533"/>
      <c r="Q4908" s="533"/>
      <c r="R4908" s="533"/>
      <c r="S4908" s="533"/>
      <c r="T4908" s="533"/>
      <c r="U4908" s="533"/>
      <c r="V4908" s="533"/>
      <c r="W4908" s="533"/>
      <c r="X4908" s="533"/>
      <c r="Y4908" s="533"/>
    </row>
    <row r="4909" spans="1:25" s="88" customFormat="1" ht="30" hidden="1" x14ac:dyDescent="0.25">
      <c r="A4909" s="509"/>
      <c r="B4909" s="256"/>
      <c r="C4909" s="228"/>
      <c r="D4909" s="218"/>
      <c r="E4909" s="218"/>
      <c r="F4909" s="527">
        <v>4511</v>
      </c>
      <c r="G4909" s="223" t="s">
        <v>1692</v>
      </c>
      <c r="H4909" s="594"/>
      <c r="I4909" s="595"/>
      <c r="J4909" s="595">
        <f t="shared" si="151"/>
        <v>0</v>
      </c>
      <c r="K4909" s="533"/>
      <c r="L4909" s="533"/>
      <c r="M4909" s="533"/>
      <c r="N4909" s="533"/>
      <c r="O4909" s="533"/>
      <c r="P4909" s="533"/>
      <c r="Q4909" s="533"/>
      <c r="R4909" s="533"/>
      <c r="S4909" s="533"/>
      <c r="T4909" s="533"/>
      <c r="U4909" s="533"/>
      <c r="V4909" s="533"/>
      <c r="W4909" s="533"/>
      <c r="X4909" s="533"/>
      <c r="Y4909" s="533"/>
    </row>
    <row r="4910" spans="1:25" s="88" customFormat="1" ht="30" hidden="1" x14ac:dyDescent="0.25">
      <c r="A4910" s="509"/>
      <c r="B4910" s="256"/>
      <c r="C4910" s="228"/>
      <c r="D4910" s="218"/>
      <c r="E4910" s="218"/>
      <c r="F4910" s="527">
        <v>4512</v>
      </c>
      <c r="G4910" s="223" t="s">
        <v>1701</v>
      </c>
      <c r="H4910" s="594"/>
      <c r="I4910" s="595"/>
      <c r="J4910" s="595">
        <f t="shared" si="151"/>
        <v>0</v>
      </c>
      <c r="K4910" s="533"/>
      <c r="L4910" s="533"/>
      <c r="M4910" s="533"/>
      <c r="N4910" s="533"/>
      <c r="O4910" s="533"/>
      <c r="P4910" s="533"/>
      <c r="Q4910" s="533"/>
      <c r="R4910" s="533"/>
      <c r="S4910" s="533"/>
      <c r="T4910" s="533"/>
      <c r="U4910" s="533"/>
      <c r="V4910" s="533"/>
      <c r="W4910" s="533"/>
      <c r="X4910" s="533"/>
      <c r="Y4910" s="533"/>
    </row>
    <row r="4911" spans="1:25" s="88" customFormat="1" hidden="1" x14ac:dyDescent="0.25">
      <c r="A4911" s="509"/>
      <c r="B4911" s="256"/>
      <c r="C4911" s="228"/>
      <c r="D4911" s="218"/>
      <c r="E4911" s="218"/>
      <c r="F4911" s="527">
        <v>452</v>
      </c>
      <c r="G4911" s="520" t="s">
        <v>4209</v>
      </c>
      <c r="H4911" s="594"/>
      <c r="I4911" s="595"/>
      <c r="J4911" s="595">
        <f t="shared" si="151"/>
        <v>0</v>
      </c>
      <c r="K4911" s="533"/>
      <c r="L4911" s="533"/>
      <c r="M4911" s="533"/>
      <c r="N4911" s="533"/>
      <c r="O4911" s="533"/>
      <c r="P4911" s="533"/>
      <c r="Q4911" s="533"/>
      <c r="R4911" s="533"/>
      <c r="S4911" s="533"/>
      <c r="T4911" s="533"/>
      <c r="U4911" s="533"/>
      <c r="V4911" s="533"/>
      <c r="W4911" s="533"/>
      <c r="X4911" s="533"/>
      <c r="Y4911" s="533"/>
    </row>
    <row r="4912" spans="1:25" s="88" customFormat="1" hidden="1" x14ac:dyDescent="0.25">
      <c r="A4912" s="509"/>
      <c r="B4912" s="256"/>
      <c r="C4912" s="228"/>
      <c r="D4912" s="218"/>
      <c r="E4912" s="218"/>
      <c r="F4912" s="527">
        <v>453</v>
      </c>
      <c r="G4912" s="520" t="s">
        <v>4210</v>
      </c>
      <c r="H4912" s="594"/>
      <c r="I4912" s="595"/>
      <c r="J4912" s="595">
        <f t="shared" si="151"/>
        <v>0</v>
      </c>
      <c r="K4912" s="533"/>
      <c r="L4912" s="533"/>
      <c r="M4912" s="533"/>
      <c r="N4912" s="533"/>
      <c r="O4912" s="533"/>
      <c r="P4912" s="533"/>
      <c r="Q4912" s="533"/>
      <c r="R4912" s="533"/>
      <c r="S4912" s="533"/>
      <c r="T4912" s="533"/>
      <c r="U4912" s="533"/>
      <c r="V4912" s="533"/>
      <c r="W4912" s="533"/>
      <c r="X4912" s="533"/>
      <c r="Y4912" s="533"/>
    </row>
    <row r="4913" spans="1:25" s="88" customFormat="1" hidden="1" x14ac:dyDescent="0.25">
      <c r="A4913" s="509"/>
      <c r="B4913" s="256"/>
      <c r="C4913" s="228"/>
      <c r="D4913" s="218"/>
      <c r="E4913" s="218"/>
      <c r="F4913" s="527">
        <v>454</v>
      </c>
      <c r="G4913" s="520" t="s">
        <v>3823</v>
      </c>
      <c r="H4913" s="594"/>
      <c r="I4913" s="595"/>
      <c r="J4913" s="595">
        <f t="shared" si="151"/>
        <v>0</v>
      </c>
      <c r="K4913" s="533"/>
      <c r="L4913" s="533"/>
      <c r="M4913" s="533"/>
      <c r="N4913" s="533"/>
      <c r="O4913" s="533"/>
      <c r="P4913" s="533"/>
      <c r="Q4913" s="533"/>
      <c r="R4913" s="533"/>
      <c r="S4913" s="533"/>
      <c r="T4913" s="533"/>
      <c r="U4913" s="533"/>
      <c r="V4913" s="533"/>
      <c r="W4913" s="533"/>
      <c r="X4913" s="533"/>
      <c r="Y4913" s="533"/>
    </row>
    <row r="4914" spans="1:25" s="88" customFormat="1" hidden="1" x14ac:dyDescent="0.25">
      <c r="A4914" s="509"/>
      <c r="B4914" s="256"/>
      <c r="C4914" s="228"/>
      <c r="D4914" s="218"/>
      <c r="E4914" s="218"/>
      <c r="F4914" s="527">
        <v>461</v>
      </c>
      <c r="G4914" s="520" t="s">
        <v>4191</v>
      </c>
      <c r="H4914" s="594"/>
      <c r="I4914" s="595"/>
      <c r="J4914" s="595">
        <f t="shared" si="151"/>
        <v>0</v>
      </c>
      <c r="K4914" s="533"/>
      <c r="L4914" s="533"/>
      <c r="M4914" s="533"/>
      <c r="N4914" s="533"/>
      <c r="O4914" s="533"/>
      <c r="P4914" s="533"/>
      <c r="Q4914" s="533"/>
      <c r="R4914" s="533"/>
      <c r="S4914" s="533"/>
      <c r="T4914" s="533"/>
      <c r="U4914" s="533"/>
      <c r="V4914" s="533"/>
      <c r="W4914" s="533"/>
      <c r="X4914" s="533"/>
      <c r="Y4914" s="533"/>
    </row>
    <row r="4915" spans="1:25" s="88" customFormat="1" hidden="1" x14ac:dyDescent="0.25">
      <c r="A4915" s="509"/>
      <c r="B4915" s="256"/>
      <c r="C4915" s="228"/>
      <c r="D4915" s="218"/>
      <c r="E4915" s="218"/>
      <c r="F4915" s="527">
        <v>462</v>
      </c>
      <c r="G4915" s="520" t="s">
        <v>3826</v>
      </c>
      <c r="H4915" s="594"/>
      <c r="I4915" s="595"/>
      <c r="J4915" s="595">
        <f t="shared" si="151"/>
        <v>0</v>
      </c>
      <c r="K4915" s="533"/>
      <c r="L4915" s="533"/>
      <c r="M4915" s="533"/>
      <c r="N4915" s="533"/>
      <c r="O4915" s="533"/>
      <c r="P4915" s="533"/>
      <c r="Q4915" s="533"/>
      <c r="R4915" s="533"/>
      <c r="S4915" s="533"/>
      <c r="T4915" s="533"/>
      <c r="U4915" s="533"/>
      <c r="V4915" s="533"/>
      <c r="W4915" s="533"/>
      <c r="X4915" s="533"/>
      <c r="Y4915" s="533"/>
    </row>
    <row r="4916" spans="1:25" s="88" customFormat="1" hidden="1" x14ac:dyDescent="0.25">
      <c r="A4916" s="509"/>
      <c r="B4916" s="256"/>
      <c r="C4916" s="228"/>
      <c r="D4916" s="218"/>
      <c r="E4916" s="218"/>
      <c r="F4916" s="527">
        <v>4631</v>
      </c>
      <c r="G4916" s="520" t="s">
        <v>3827</v>
      </c>
      <c r="H4916" s="594"/>
      <c r="I4916" s="595"/>
      <c r="J4916" s="595">
        <f t="shared" si="151"/>
        <v>0</v>
      </c>
      <c r="K4916" s="533"/>
      <c r="L4916" s="533"/>
      <c r="M4916" s="533"/>
      <c r="N4916" s="533"/>
      <c r="O4916" s="533"/>
      <c r="P4916" s="533"/>
      <c r="Q4916" s="533"/>
      <c r="R4916" s="533"/>
      <c r="S4916" s="533"/>
      <c r="T4916" s="533"/>
      <c r="U4916" s="533"/>
      <c r="V4916" s="533"/>
      <c r="W4916" s="533"/>
      <c r="X4916" s="533"/>
      <c r="Y4916" s="533"/>
    </row>
    <row r="4917" spans="1:25" s="88" customFormat="1" hidden="1" x14ac:dyDescent="0.25">
      <c r="A4917" s="509"/>
      <c r="B4917" s="256"/>
      <c r="C4917" s="228"/>
      <c r="D4917" s="218"/>
      <c r="E4917" s="218"/>
      <c r="F4917" s="527">
        <v>4632</v>
      </c>
      <c r="G4917" s="520" t="s">
        <v>3828</v>
      </c>
      <c r="H4917" s="594"/>
      <c r="I4917" s="595"/>
      <c r="J4917" s="595">
        <f t="shared" si="151"/>
        <v>0</v>
      </c>
      <c r="K4917" s="533"/>
      <c r="L4917" s="533"/>
      <c r="M4917" s="533"/>
      <c r="N4917" s="533"/>
      <c r="O4917" s="533"/>
      <c r="P4917" s="533"/>
      <c r="Q4917" s="533"/>
      <c r="R4917" s="533"/>
      <c r="S4917" s="533"/>
      <c r="T4917" s="533"/>
      <c r="U4917" s="533"/>
      <c r="V4917" s="533"/>
      <c r="W4917" s="533"/>
      <c r="X4917" s="533"/>
      <c r="Y4917" s="533"/>
    </row>
    <row r="4918" spans="1:25" s="88" customFormat="1" hidden="1" x14ac:dyDescent="0.25">
      <c r="A4918" s="509"/>
      <c r="B4918" s="256"/>
      <c r="C4918" s="228"/>
      <c r="D4918" s="218"/>
      <c r="E4918" s="218"/>
      <c r="F4918" s="527">
        <v>464</v>
      </c>
      <c r="G4918" s="520" t="s">
        <v>3829</v>
      </c>
      <c r="H4918" s="594"/>
      <c r="I4918" s="595"/>
      <c r="J4918" s="595">
        <f t="shared" si="151"/>
        <v>0</v>
      </c>
      <c r="K4918" s="533"/>
      <c r="L4918" s="533"/>
      <c r="M4918" s="533"/>
      <c r="N4918" s="533"/>
      <c r="O4918" s="533"/>
      <c r="P4918" s="533"/>
      <c r="Q4918" s="533"/>
      <c r="R4918" s="533"/>
      <c r="S4918" s="533"/>
      <c r="T4918" s="533"/>
      <c r="U4918" s="533"/>
      <c r="V4918" s="533"/>
      <c r="W4918" s="533"/>
      <c r="X4918" s="533"/>
      <c r="Y4918" s="533"/>
    </row>
    <row r="4919" spans="1:25" s="88" customFormat="1" hidden="1" x14ac:dyDescent="0.25">
      <c r="A4919" s="509"/>
      <c r="B4919" s="256"/>
      <c r="C4919" s="228"/>
      <c r="D4919" s="218"/>
      <c r="E4919" s="218"/>
      <c r="F4919" s="527">
        <v>465</v>
      </c>
      <c r="G4919" s="520" t="s">
        <v>4192</v>
      </c>
      <c r="H4919" s="594"/>
      <c r="I4919" s="595"/>
      <c r="J4919" s="595">
        <f t="shared" si="151"/>
        <v>0</v>
      </c>
      <c r="K4919" s="533"/>
      <c r="L4919" s="533"/>
      <c r="M4919" s="533"/>
      <c r="N4919" s="533"/>
      <c r="O4919" s="533"/>
      <c r="P4919" s="533"/>
      <c r="Q4919" s="533"/>
      <c r="R4919" s="533"/>
      <c r="S4919" s="533"/>
      <c r="T4919" s="533"/>
      <c r="U4919" s="533"/>
      <c r="V4919" s="533"/>
      <c r="W4919" s="533"/>
      <c r="X4919" s="533"/>
      <c r="Y4919" s="533"/>
    </row>
    <row r="4920" spans="1:25" s="88" customFormat="1" hidden="1" x14ac:dyDescent="0.25">
      <c r="A4920" s="509"/>
      <c r="B4920" s="256"/>
      <c r="C4920" s="228"/>
      <c r="D4920" s="218"/>
      <c r="E4920" s="218"/>
      <c r="F4920" s="527">
        <v>472</v>
      </c>
      <c r="G4920" s="520" t="s">
        <v>3833</v>
      </c>
      <c r="H4920" s="594"/>
      <c r="I4920" s="595"/>
      <c r="J4920" s="595">
        <f t="shared" si="151"/>
        <v>0</v>
      </c>
      <c r="K4920" s="533"/>
      <c r="L4920" s="533"/>
      <c r="M4920" s="533"/>
      <c r="N4920" s="533"/>
      <c r="O4920" s="533"/>
      <c r="P4920" s="533"/>
      <c r="Q4920" s="533"/>
      <c r="R4920" s="533"/>
      <c r="S4920" s="533"/>
      <c r="T4920" s="533"/>
      <c r="U4920" s="533"/>
      <c r="V4920" s="533"/>
      <c r="W4920" s="533"/>
      <c r="X4920" s="533"/>
      <c r="Y4920" s="533"/>
    </row>
    <row r="4921" spans="1:25" s="88" customFormat="1" hidden="1" x14ac:dyDescent="0.25">
      <c r="A4921" s="509"/>
      <c r="B4921" s="256"/>
      <c r="C4921" s="228"/>
      <c r="D4921" s="218"/>
      <c r="E4921" s="218"/>
      <c r="F4921" s="527">
        <v>481</v>
      </c>
      <c r="G4921" s="520" t="s">
        <v>4211</v>
      </c>
      <c r="H4921" s="594"/>
      <c r="I4921" s="595"/>
      <c r="J4921" s="595">
        <f t="shared" si="151"/>
        <v>0</v>
      </c>
      <c r="K4921" s="533"/>
      <c r="L4921" s="533"/>
      <c r="M4921" s="533"/>
      <c r="N4921" s="533"/>
      <c r="O4921" s="533"/>
      <c r="P4921" s="533"/>
      <c r="Q4921" s="533"/>
      <c r="R4921" s="533"/>
      <c r="S4921" s="533"/>
      <c r="T4921" s="533"/>
      <c r="U4921" s="533"/>
      <c r="V4921" s="533"/>
      <c r="W4921" s="533"/>
      <c r="X4921" s="533"/>
      <c r="Y4921" s="533"/>
    </row>
    <row r="4922" spans="1:25" s="88" customFormat="1" hidden="1" x14ac:dyDescent="0.25">
      <c r="A4922" s="509"/>
      <c r="B4922" s="256"/>
      <c r="C4922" s="228"/>
      <c r="D4922" s="218"/>
      <c r="E4922" s="218"/>
      <c r="F4922" s="527">
        <v>482</v>
      </c>
      <c r="G4922" s="520" t="s">
        <v>4212</v>
      </c>
      <c r="H4922" s="594"/>
      <c r="I4922" s="595"/>
      <c r="J4922" s="595">
        <f t="shared" si="151"/>
        <v>0</v>
      </c>
      <c r="K4922" s="533"/>
      <c r="L4922" s="533"/>
      <c r="M4922" s="533"/>
      <c r="N4922" s="533"/>
      <c r="O4922" s="533"/>
      <c r="P4922" s="533"/>
      <c r="Q4922" s="533"/>
      <c r="R4922" s="533"/>
      <c r="S4922" s="533"/>
      <c r="T4922" s="533"/>
      <c r="U4922" s="533"/>
      <c r="V4922" s="533"/>
      <c r="W4922" s="533"/>
      <c r="X4922" s="533"/>
      <c r="Y4922" s="533"/>
    </row>
    <row r="4923" spans="1:25" s="88" customFormat="1" hidden="1" x14ac:dyDescent="0.25">
      <c r="A4923" s="509"/>
      <c r="B4923" s="256"/>
      <c r="C4923" s="228"/>
      <c r="D4923" s="218"/>
      <c r="E4923" s="218"/>
      <c r="F4923" s="527">
        <v>483</v>
      </c>
      <c r="G4923" s="524" t="s">
        <v>4213</v>
      </c>
      <c r="H4923" s="594"/>
      <c r="I4923" s="595"/>
      <c r="J4923" s="595">
        <f t="shared" si="151"/>
        <v>0</v>
      </c>
      <c r="K4923" s="533"/>
      <c r="L4923" s="533"/>
      <c r="M4923" s="533"/>
      <c r="N4923" s="533"/>
      <c r="O4923" s="533"/>
      <c r="P4923" s="533"/>
      <c r="Q4923" s="533"/>
      <c r="R4923" s="533"/>
      <c r="S4923" s="533"/>
      <c r="T4923" s="533"/>
      <c r="U4923" s="533"/>
      <c r="V4923" s="533"/>
      <c r="W4923" s="533"/>
      <c r="X4923" s="533"/>
      <c r="Y4923" s="533"/>
    </row>
    <row r="4924" spans="1:25" s="88" customFormat="1" ht="30" hidden="1" x14ac:dyDescent="0.25">
      <c r="A4924" s="509"/>
      <c r="B4924" s="256"/>
      <c r="C4924" s="228"/>
      <c r="D4924" s="218"/>
      <c r="E4924" s="218"/>
      <c r="F4924" s="527">
        <v>484</v>
      </c>
      <c r="G4924" s="520" t="s">
        <v>4214</v>
      </c>
      <c r="H4924" s="594"/>
      <c r="I4924" s="595"/>
      <c r="J4924" s="595">
        <f t="shared" si="151"/>
        <v>0</v>
      </c>
      <c r="K4924" s="533"/>
      <c r="L4924" s="533"/>
      <c r="M4924" s="533"/>
      <c r="N4924" s="533"/>
      <c r="O4924" s="533"/>
      <c r="P4924" s="533"/>
      <c r="Q4924" s="533"/>
      <c r="R4924" s="533"/>
      <c r="S4924" s="533"/>
      <c r="T4924" s="533"/>
      <c r="U4924" s="533"/>
      <c r="V4924" s="533"/>
      <c r="W4924" s="533"/>
      <c r="X4924" s="533"/>
      <c r="Y4924" s="533"/>
    </row>
    <row r="4925" spans="1:25" s="88" customFormat="1" ht="30" hidden="1" x14ac:dyDescent="0.25">
      <c r="A4925" s="509"/>
      <c r="B4925" s="256"/>
      <c r="C4925" s="228"/>
      <c r="D4925" s="218"/>
      <c r="E4925" s="218"/>
      <c r="F4925" s="527">
        <v>485</v>
      </c>
      <c r="G4925" s="520" t="s">
        <v>4215</v>
      </c>
      <c r="H4925" s="594"/>
      <c r="I4925" s="595"/>
      <c r="J4925" s="595">
        <f t="shared" si="151"/>
        <v>0</v>
      </c>
      <c r="K4925" s="533"/>
      <c r="L4925" s="533"/>
      <c r="M4925" s="533"/>
      <c r="N4925" s="533"/>
      <c r="O4925" s="533"/>
      <c r="P4925" s="533"/>
      <c r="Q4925" s="533"/>
      <c r="R4925" s="533"/>
      <c r="S4925" s="533"/>
      <c r="T4925" s="533"/>
      <c r="U4925" s="533"/>
      <c r="V4925" s="533"/>
      <c r="W4925" s="533"/>
      <c r="X4925" s="533"/>
      <c r="Y4925" s="533"/>
    </row>
    <row r="4926" spans="1:25" s="88" customFormat="1" ht="30" hidden="1" x14ac:dyDescent="0.25">
      <c r="A4926" s="509"/>
      <c r="B4926" s="256"/>
      <c r="C4926" s="228"/>
      <c r="D4926" s="218"/>
      <c r="E4926" s="218"/>
      <c r="F4926" s="527">
        <v>489</v>
      </c>
      <c r="G4926" s="520" t="s">
        <v>3841</v>
      </c>
      <c r="H4926" s="594"/>
      <c r="I4926" s="595"/>
      <c r="J4926" s="595">
        <f t="shared" si="151"/>
        <v>0</v>
      </c>
      <c r="K4926" s="533"/>
      <c r="L4926" s="533"/>
      <c r="M4926" s="533"/>
      <c r="N4926" s="533"/>
      <c r="O4926" s="533"/>
      <c r="P4926" s="533"/>
      <c r="Q4926" s="533"/>
      <c r="R4926" s="533"/>
      <c r="S4926" s="533"/>
      <c r="T4926" s="533"/>
      <c r="U4926" s="533"/>
      <c r="V4926" s="533"/>
      <c r="W4926" s="533"/>
      <c r="X4926" s="533"/>
      <c r="Y4926" s="533"/>
    </row>
    <row r="4927" spans="1:25" s="88" customFormat="1" hidden="1" x14ac:dyDescent="0.25">
      <c r="A4927" s="509"/>
      <c r="B4927" s="256"/>
      <c r="C4927" s="228"/>
      <c r="D4927" s="218"/>
      <c r="E4927" s="218"/>
      <c r="F4927" s="527">
        <v>494</v>
      </c>
      <c r="G4927" s="520" t="s">
        <v>4193</v>
      </c>
      <c r="H4927" s="594"/>
      <c r="I4927" s="595"/>
      <c r="J4927" s="595">
        <f t="shared" si="151"/>
        <v>0</v>
      </c>
      <c r="K4927" s="533"/>
      <c r="L4927" s="533"/>
      <c r="M4927" s="533"/>
      <c r="N4927" s="533"/>
      <c r="O4927" s="533"/>
      <c r="P4927" s="533"/>
      <c r="Q4927" s="533"/>
      <c r="R4927" s="533"/>
      <c r="S4927" s="533"/>
      <c r="T4927" s="533"/>
      <c r="U4927" s="533"/>
      <c r="V4927" s="533"/>
      <c r="W4927" s="533"/>
      <c r="X4927" s="533"/>
      <c r="Y4927" s="533"/>
    </row>
    <row r="4928" spans="1:25" s="88" customFormat="1" ht="30" hidden="1" x14ac:dyDescent="0.25">
      <c r="A4928" s="509"/>
      <c r="B4928" s="256"/>
      <c r="C4928" s="228"/>
      <c r="D4928" s="218"/>
      <c r="E4928" s="218"/>
      <c r="F4928" s="527">
        <v>495</v>
      </c>
      <c r="G4928" s="520" t="s">
        <v>4194</v>
      </c>
      <c r="H4928" s="594"/>
      <c r="I4928" s="595"/>
      <c r="J4928" s="595">
        <f t="shared" si="151"/>
        <v>0</v>
      </c>
      <c r="K4928" s="533"/>
      <c r="L4928" s="533"/>
      <c r="M4928" s="533"/>
      <c r="N4928" s="533"/>
      <c r="O4928" s="533"/>
      <c r="P4928" s="533"/>
      <c r="Q4928" s="533"/>
      <c r="R4928" s="533"/>
      <c r="S4928" s="533"/>
      <c r="T4928" s="533"/>
      <c r="U4928" s="533"/>
      <c r="V4928" s="533"/>
      <c r="W4928" s="533"/>
      <c r="X4928" s="533"/>
      <c r="Y4928" s="533"/>
    </row>
    <row r="4929" spans="1:25" s="88" customFormat="1" ht="30" hidden="1" x14ac:dyDescent="0.25">
      <c r="A4929" s="509"/>
      <c r="B4929" s="256"/>
      <c r="C4929" s="228"/>
      <c r="D4929" s="218"/>
      <c r="E4929" s="218"/>
      <c r="F4929" s="527">
        <v>496</v>
      </c>
      <c r="G4929" s="520" t="s">
        <v>4195</v>
      </c>
      <c r="H4929" s="594"/>
      <c r="I4929" s="595"/>
      <c r="J4929" s="595">
        <f t="shared" si="151"/>
        <v>0</v>
      </c>
      <c r="K4929" s="533"/>
      <c r="L4929" s="533"/>
      <c r="M4929" s="533"/>
      <c r="N4929" s="533"/>
      <c r="O4929" s="533"/>
      <c r="P4929" s="533"/>
      <c r="Q4929" s="533"/>
      <c r="R4929" s="533"/>
      <c r="S4929" s="533"/>
      <c r="T4929" s="533"/>
      <c r="U4929" s="533"/>
      <c r="V4929" s="533"/>
      <c r="W4929" s="533"/>
      <c r="X4929" s="533"/>
      <c r="Y4929" s="533"/>
    </row>
    <row r="4930" spans="1:25" s="88" customFormat="1" hidden="1" x14ac:dyDescent="0.25">
      <c r="A4930" s="509"/>
      <c r="B4930" s="256"/>
      <c r="C4930" s="228"/>
      <c r="D4930" s="218"/>
      <c r="E4930" s="218"/>
      <c r="F4930" s="527">
        <v>499</v>
      </c>
      <c r="G4930" s="520" t="s">
        <v>4196</v>
      </c>
      <c r="H4930" s="594"/>
      <c r="I4930" s="595"/>
      <c r="J4930" s="595">
        <f t="shared" si="151"/>
        <v>0</v>
      </c>
      <c r="K4930" s="533"/>
      <c r="L4930" s="533"/>
      <c r="M4930" s="533"/>
      <c r="N4930" s="533"/>
      <c r="O4930" s="533"/>
      <c r="P4930" s="533"/>
      <c r="Q4930" s="533"/>
      <c r="R4930" s="533"/>
      <c r="S4930" s="533"/>
      <c r="T4930" s="533"/>
      <c r="U4930" s="533"/>
      <c r="V4930" s="533"/>
      <c r="W4930" s="533"/>
      <c r="X4930" s="533"/>
      <c r="Y4930" s="533"/>
    </row>
    <row r="4931" spans="1:25" s="88" customFormat="1" hidden="1" x14ac:dyDescent="0.25">
      <c r="A4931" s="509"/>
      <c r="B4931" s="256"/>
      <c r="C4931" s="228"/>
      <c r="D4931" s="218"/>
      <c r="E4931" s="218"/>
      <c r="F4931" s="527">
        <v>511</v>
      </c>
      <c r="G4931" s="524" t="s">
        <v>4216</v>
      </c>
      <c r="H4931" s="594"/>
      <c r="I4931" s="595"/>
      <c r="J4931" s="595">
        <f t="shared" si="151"/>
        <v>0</v>
      </c>
      <c r="K4931" s="533"/>
      <c r="L4931" s="533"/>
      <c r="M4931" s="533"/>
      <c r="N4931" s="533"/>
      <c r="O4931" s="533"/>
      <c r="P4931" s="533"/>
      <c r="Q4931" s="533"/>
      <c r="R4931" s="533"/>
      <c r="S4931" s="533"/>
      <c r="T4931" s="533"/>
      <c r="U4931" s="533"/>
      <c r="V4931" s="533"/>
      <c r="W4931" s="533"/>
      <c r="X4931" s="533"/>
      <c r="Y4931" s="533"/>
    </row>
    <row r="4932" spans="1:25" s="88" customFormat="1" hidden="1" x14ac:dyDescent="0.25">
      <c r="A4932" s="509"/>
      <c r="B4932" s="256"/>
      <c r="C4932" s="228"/>
      <c r="D4932" s="218"/>
      <c r="E4932" s="218"/>
      <c r="F4932" s="527">
        <v>512</v>
      </c>
      <c r="G4932" s="524" t="s">
        <v>4217</v>
      </c>
      <c r="H4932" s="594"/>
      <c r="I4932" s="595"/>
      <c r="J4932" s="595">
        <f t="shared" si="151"/>
        <v>0</v>
      </c>
      <c r="K4932" s="533"/>
      <c r="L4932" s="533"/>
      <c r="M4932" s="533"/>
      <c r="N4932" s="533"/>
      <c r="O4932" s="533"/>
      <c r="P4932" s="533"/>
      <c r="Q4932" s="533"/>
      <c r="R4932" s="533"/>
      <c r="S4932" s="533"/>
      <c r="T4932" s="533"/>
      <c r="U4932" s="533"/>
      <c r="V4932" s="533"/>
      <c r="W4932" s="533"/>
      <c r="X4932" s="533"/>
      <c r="Y4932" s="533"/>
    </row>
    <row r="4933" spans="1:25" s="88" customFormat="1" hidden="1" x14ac:dyDescent="0.25">
      <c r="A4933" s="509"/>
      <c r="B4933" s="256"/>
      <c r="C4933" s="228"/>
      <c r="D4933" s="218"/>
      <c r="E4933" s="218"/>
      <c r="F4933" s="527">
        <v>513</v>
      </c>
      <c r="G4933" s="524" t="s">
        <v>4218</v>
      </c>
      <c r="H4933" s="594"/>
      <c r="I4933" s="595"/>
      <c r="J4933" s="595">
        <f t="shared" si="151"/>
        <v>0</v>
      </c>
      <c r="K4933" s="533"/>
      <c r="L4933" s="533"/>
      <c r="M4933" s="533"/>
      <c r="N4933" s="533"/>
      <c r="O4933" s="533"/>
      <c r="P4933" s="533"/>
      <c r="Q4933" s="533"/>
      <c r="R4933" s="533"/>
      <c r="S4933" s="533"/>
      <c r="T4933" s="533"/>
      <c r="U4933" s="533"/>
      <c r="V4933" s="533"/>
      <c r="W4933" s="533"/>
      <c r="X4933" s="533"/>
      <c r="Y4933" s="533"/>
    </row>
    <row r="4934" spans="1:25" s="88" customFormat="1" hidden="1" x14ac:dyDescent="0.25">
      <c r="A4934" s="509"/>
      <c r="B4934" s="256"/>
      <c r="C4934" s="228"/>
      <c r="D4934" s="218"/>
      <c r="E4934" s="218"/>
      <c r="F4934" s="527">
        <v>514</v>
      </c>
      <c r="G4934" s="520" t="s">
        <v>4219</v>
      </c>
      <c r="H4934" s="594"/>
      <c r="I4934" s="595"/>
      <c r="J4934" s="595">
        <f t="shared" si="151"/>
        <v>0</v>
      </c>
      <c r="K4934" s="533"/>
      <c r="L4934" s="533"/>
      <c r="M4934" s="533"/>
      <c r="N4934" s="533"/>
      <c r="O4934" s="533"/>
      <c r="P4934" s="533"/>
      <c r="Q4934" s="533"/>
      <c r="R4934" s="533"/>
      <c r="S4934" s="533"/>
      <c r="T4934" s="533"/>
      <c r="U4934" s="533"/>
      <c r="V4934" s="533"/>
      <c r="W4934" s="533"/>
      <c r="X4934" s="533"/>
      <c r="Y4934" s="533"/>
    </row>
    <row r="4935" spans="1:25" s="88" customFormat="1" hidden="1" x14ac:dyDescent="0.25">
      <c r="A4935" s="509"/>
      <c r="B4935" s="256"/>
      <c r="C4935" s="228"/>
      <c r="D4935" s="218"/>
      <c r="E4935" s="218"/>
      <c r="F4935" s="527">
        <v>515</v>
      </c>
      <c r="G4935" s="520" t="s">
        <v>3852</v>
      </c>
      <c r="H4935" s="594"/>
      <c r="I4935" s="595"/>
      <c r="J4935" s="595">
        <f t="shared" si="151"/>
        <v>0</v>
      </c>
      <c r="K4935" s="533"/>
      <c r="L4935" s="533"/>
      <c r="M4935" s="533"/>
      <c r="N4935" s="533"/>
      <c r="O4935" s="533"/>
      <c r="P4935" s="533"/>
      <c r="Q4935" s="533"/>
      <c r="R4935" s="533"/>
      <c r="S4935" s="533"/>
      <c r="T4935" s="533"/>
      <c r="U4935" s="533"/>
      <c r="V4935" s="533"/>
      <c r="W4935" s="533"/>
      <c r="X4935" s="533"/>
      <c r="Y4935" s="533"/>
    </row>
    <row r="4936" spans="1:25" s="88" customFormat="1" hidden="1" x14ac:dyDescent="0.25">
      <c r="A4936" s="509"/>
      <c r="B4936" s="256"/>
      <c r="C4936" s="228"/>
      <c r="D4936" s="218"/>
      <c r="E4936" s="218"/>
      <c r="F4936" s="527">
        <v>521</v>
      </c>
      <c r="G4936" s="520" t="s">
        <v>4220</v>
      </c>
      <c r="H4936" s="594"/>
      <c r="I4936" s="595"/>
      <c r="J4936" s="595">
        <f t="shared" si="151"/>
        <v>0</v>
      </c>
      <c r="K4936" s="533"/>
      <c r="L4936" s="533"/>
      <c r="M4936" s="533"/>
      <c r="N4936" s="533"/>
      <c r="O4936" s="533"/>
      <c r="P4936" s="533"/>
      <c r="Q4936" s="533"/>
      <c r="R4936" s="533"/>
      <c r="S4936" s="533"/>
      <c r="T4936" s="533"/>
      <c r="U4936" s="533"/>
      <c r="V4936" s="533"/>
      <c r="W4936" s="533"/>
      <c r="X4936" s="533"/>
      <c r="Y4936" s="533"/>
    </row>
    <row r="4937" spans="1:25" s="88" customFormat="1" hidden="1" x14ac:dyDescent="0.25">
      <c r="A4937" s="509"/>
      <c r="B4937" s="256"/>
      <c r="C4937" s="228"/>
      <c r="D4937" s="218"/>
      <c r="E4937" s="218"/>
      <c r="F4937" s="527">
        <v>522</v>
      </c>
      <c r="G4937" s="520" t="s">
        <v>4221</v>
      </c>
      <c r="H4937" s="594"/>
      <c r="I4937" s="595"/>
      <c r="J4937" s="595">
        <f t="shared" si="151"/>
        <v>0</v>
      </c>
      <c r="K4937" s="533"/>
      <c r="L4937" s="533"/>
      <c r="M4937" s="533"/>
      <c r="N4937" s="533"/>
      <c r="O4937" s="533"/>
      <c r="P4937" s="533"/>
      <c r="Q4937" s="533"/>
      <c r="R4937" s="533"/>
      <c r="S4937" s="533"/>
      <c r="T4937" s="533"/>
      <c r="U4937" s="533"/>
      <c r="V4937" s="533"/>
      <c r="W4937" s="533"/>
      <c r="X4937" s="533"/>
      <c r="Y4937" s="533"/>
    </row>
    <row r="4938" spans="1:25" s="88" customFormat="1" hidden="1" x14ac:dyDescent="0.25">
      <c r="A4938" s="509"/>
      <c r="B4938" s="256"/>
      <c r="C4938" s="228"/>
      <c r="D4938" s="218"/>
      <c r="E4938" s="218"/>
      <c r="F4938" s="527">
        <v>523</v>
      </c>
      <c r="G4938" s="520" t="s">
        <v>3857</v>
      </c>
      <c r="H4938" s="594"/>
      <c r="I4938" s="595"/>
      <c r="J4938" s="595">
        <f t="shared" si="151"/>
        <v>0</v>
      </c>
      <c r="K4938" s="533"/>
      <c r="L4938" s="533"/>
      <c r="M4938" s="533"/>
      <c r="N4938" s="533"/>
      <c r="O4938" s="533"/>
      <c r="P4938" s="533"/>
      <c r="Q4938" s="533"/>
      <c r="R4938" s="533"/>
      <c r="S4938" s="533"/>
      <c r="T4938" s="533"/>
      <c r="U4938" s="533"/>
      <c r="V4938" s="533"/>
      <c r="W4938" s="533"/>
      <c r="X4938" s="533"/>
      <c r="Y4938" s="533"/>
    </row>
    <row r="4939" spans="1:25" s="88" customFormat="1" hidden="1" x14ac:dyDescent="0.25">
      <c r="A4939" s="509"/>
      <c r="B4939" s="256"/>
      <c r="C4939" s="228"/>
      <c r="D4939" s="218"/>
      <c r="E4939" s="218"/>
      <c r="F4939" s="527">
        <v>531</v>
      </c>
      <c r="G4939" s="516" t="s">
        <v>4197</v>
      </c>
      <c r="H4939" s="594"/>
      <c r="I4939" s="595"/>
      <c r="J4939" s="595">
        <f t="shared" si="151"/>
        <v>0</v>
      </c>
      <c r="K4939" s="533"/>
      <c r="L4939" s="533"/>
      <c r="M4939" s="533"/>
      <c r="N4939" s="533"/>
      <c r="O4939" s="533"/>
      <c r="P4939" s="533"/>
      <c r="Q4939" s="533"/>
      <c r="R4939" s="533"/>
      <c r="S4939" s="533"/>
      <c r="T4939" s="533"/>
      <c r="U4939" s="533"/>
      <c r="V4939" s="533"/>
      <c r="W4939" s="533"/>
      <c r="X4939" s="533"/>
      <c r="Y4939" s="533"/>
    </row>
    <row r="4940" spans="1:25" s="88" customFormat="1" hidden="1" x14ac:dyDescent="0.25">
      <c r="A4940" s="509"/>
      <c r="B4940" s="256"/>
      <c r="C4940" s="228"/>
      <c r="D4940" s="218"/>
      <c r="E4940" s="218"/>
      <c r="F4940" s="527">
        <v>541</v>
      </c>
      <c r="G4940" s="520" t="s">
        <v>4222</v>
      </c>
      <c r="H4940" s="594"/>
      <c r="I4940" s="595"/>
      <c r="J4940" s="595">
        <f t="shared" si="151"/>
        <v>0</v>
      </c>
      <c r="K4940" s="533"/>
      <c r="L4940" s="533"/>
      <c r="M4940" s="533"/>
      <c r="N4940" s="533"/>
      <c r="O4940" s="533"/>
      <c r="P4940" s="533"/>
      <c r="Q4940" s="533"/>
      <c r="R4940" s="533"/>
      <c r="S4940" s="533"/>
      <c r="T4940" s="533"/>
      <c r="U4940" s="533"/>
      <c r="V4940" s="533"/>
      <c r="W4940" s="533"/>
      <c r="X4940" s="533"/>
      <c r="Y4940" s="533"/>
    </row>
    <row r="4941" spans="1:25" s="88" customFormat="1" hidden="1" x14ac:dyDescent="0.25">
      <c r="A4941" s="509"/>
      <c r="B4941" s="256"/>
      <c r="C4941" s="228"/>
      <c r="D4941" s="218"/>
      <c r="E4941" s="218"/>
      <c r="F4941" s="527">
        <v>542</v>
      </c>
      <c r="G4941" s="520" t="s">
        <v>4223</v>
      </c>
      <c r="H4941" s="594"/>
      <c r="I4941" s="595"/>
      <c r="J4941" s="595">
        <f t="shared" si="151"/>
        <v>0</v>
      </c>
      <c r="K4941" s="533"/>
      <c r="L4941" s="533"/>
      <c r="M4941" s="533"/>
      <c r="N4941" s="533"/>
      <c r="O4941" s="533"/>
      <c r="P4941" s="533"/>
      <c r="Q4941" s="533"/>
      <c r="R4941" s="533"/>
      <c r="S4941" s="533"/>
      <c r="T4941" s="533"/>
      <c r="U4941" s="533"/>
      <c r="V4941" s="533"/>
      <c r="W4941" s="533"/>
      <c r="X4941" s="533"/>
      <c r="Y4941" s="533"/>
    </row>
    <row r="4942" spans="1:25" s="88" customFormat="1" hidden="1" x14ac:dyDescent="0.25">
      <c r="A4942" s="509"/>
      <c r="B4942" s="256"/>
      <c r="C4942" s="228"/>
      <c r="D4942" s="218"/>
      <c r="E4942" s="218"/>
      <c r="F4942" s="527">
        <v>543</v>
      </c>
      <c r="G4942" s="520" t="s">
        <v>3862</v>
      </c>
      <c r="H4942" s="594"/>
      <c r="I4942" s="595"/>
      <c r="J4942" s="595">
        <f t="shared" si="151"/>
        <v>0</v>
      </c>
      <c r="K4942" s="533"/>
      <c r="L4942" s="533"/>
      <c r="M4942" s="533"/>
      <c r="N4942" s="533"/>
      <c r="O4942" s="533"/>
      <c r="P4942" s="533"/>
      <c r="Q4942" s="533"/>
      <c r="R4942" s="533"/>
      <c r="S4942" s="533"/>
      <c r="T4942" s="533"/>
      <c r="U4942" s="533"/>
      <c r="V4942" s="533"/>
      <c r="W4942" s="533"/>
      <c r="X4942" s="533"/>
      <c r="Y4942" s="533"/>
    </row>
    <row r="4943" spans="1:25" s="88" customFormat="1" ht="30" hidden="1" x14ac:dyDescent="0.25">
      <c r="A4943" s="509"/>
      <c r="B4943" s="256"/>
      <c r="C4943" s="228"/>
      <c r="D4943" s="218"/>
      <c r="E4943" s="218"/>
      <c r="F4943" s="527">
        <v>551</v>
      </c>
      <c r="G4943" s="520" t="s">
        <v>4198</v>
      </c>
      <c r="H4943" s="594"/>
      <c r="I4943" s="595"/>
      <c r="J4943" s="595">
        <f t="shared" si="151"/>
        <v>0</v>
      </c>
      <c r="K4943" s="533"/>
      <c r="L4943" s="533"/>
      <c r="M4943" s="533"/>
      <c r="N4943" s="533"/>
      <c r="O4943" s="533"/>
      <c r="P4943" s="533"/>
      <c r="Q4943" s="533"/>
      <c r="R4943" s="533"/>
      <c r="S4943" s="533"/>
      <c r="T4943" s="533"/>
      <c r="U4943" s="533"/>
      <c r="V4943" s="533"/>
      <c r="W4943" s="533"/>
      <c r="X4943" s="533"/>
      <c r="Y4943" s="533"/>
    </row>
    <row r="4944" spans="1:25" s="88" customFormat="1" hidden="1" x14ac:dyDescent="0.25">
      <c r="A4944" s="509"/>
      <c r="B4944" s="256"/>
      <c r="C4944" s="228"/>
      <c r="D4944" s="218"/>
      <c r="E4944" s="218"/>
      <c r="F4944" s="528">
        <v>611</v>
      </c>
      <c r="G4944" s="526" t="s">
        <v>3868</v>
      </c>
      <c r="H4944" s="594"/>
      <c r="I4944" s="595"/>
      <c r="J4944" s="595">
        <f t="shared" si="151"/>
        <v>0</v>
      </c>
      <c r="K4944" s="533"/>
      <c r="L4944" s="533"/>
      <c r="M4944" s="533"/>
      <c r="N4944" s="533"/>
      <c r="O4944" s="533"/>
      <c r="P4944" s="533"/>
      <c r="Q4944" s="533"/>
      <c r="R4944" s="533"/>
      <c r="S4944" s="533"/>
      <c r="T4944" s="533"/>
      <c r="U4944" s="533"/>
      <c r="V4944" s="533"/>
      <c r="W4944" s="533"/>
      <c r="X4944" s="533"/>
      <c r="Y4944" s="533"/>
    </row>
    <row r="4945" spans="1:25" s="88" customFormat="1" ht="15.75" hidden="1" thickBot="1" x14ac:dyDescent="0.3">
      <c r="A4945" s="509"/>
      <c r="B4945" s="256"/>
      <c r="C4945" s="228"/>
      <c r="D4945" s="218"/>
      <c r="E4945" s="218"/>
      <c r="F4945" s="528">
        <v>620</v>
      </c>
      <c r="G4945" s="526" t="s">
        <v>88</v>
      </c>
      <c r="H4945" s="594"/>
      <c r="I4945" s="595"/>
      <c r="J4945" s="595">
        <f t="shared" si="151"/>
        <v>0</v>
      </c>
      <c r="K4945" s="533"/>
      <c r="L4945" s="533"/>
      <c r="M4945" s="533"/>
      <c r="N4945" s="533"/>
      <c r="O4945" s="533"/>
      <c r="P4945" s="533"/>
      <c r="Q4945" s="533"/>
      <c r="R4945" s="533"/>
      <c r="S4945" s="533"/>
      <c r="T4945" s="533"/>
      <c r="U4945" s="533"/>
      <c r="V4945" s="533"/>
      <c r="W4945" s="533"/>
      <c r="X4945" s="533"/>
      <c r="Y4945" s="533"/>
    </row>
    <row r="4946" spans="1:25" s="88" customFormat="1" hidden="1" x14ac:dyDescent="0.25">
      <c r="A4946" s="509"/>
      <c r="B4946" s="256"/>
      <c r="C4946" s="228"/>
      <c r="D4946" s="218"/>
      <c r="E4946" s="517"/>
      <c r="F4946" s="528"/>
      <c r="G4946" s="326" t="s">
        <v>4395</v>
      </c>
      <c r="H4946" s="596"/>
      <c r="I4946" s="622"/>
      <c r="J4946" s="597"/>
      <c r="K4946" s="533"/>
      <c r="L4946" s="533"/>
      <c r="M4946" s="533"/>
      <c r="N4946" s="533"/>
      <c r="O4946" s="533"/>
      <c r="P4946" s="533"/>
      <c r="Q4946" s="533"/>
      <c r="R4946" s="533"/>
      <c r="S4946" s="533"/>
      <c r="T4946" s="533"/>
      <c r="U4946" s="533"/>
      <c r="V4946" s="533"/>
      <c r="W4946" s="533"/>
      <c r="X4946" s="533"/>
      <c r="Y4946" s="533"/>
    </row>
    <row r="4947" spans="1:25" s="88" customFormat="1" hidden="1" x14ac:dyDescent="0.25">
      <c r="A4947" s="509"/>
      <c r="B4947" s="256"/>
      <c r="C4947" s="228"/>
      <c r="D4947" s="218"/>
      <c r="E4947" s="222"/>
      <c r="F4947" s="642" t="s">
        <v>234</v>
      </c>
      <c r="G4947" s="643" t="s">
        <v>235</v>
      </c>
      <c r="H4947" s="598">
        <f>SUM(H4886:H4945)</f>
        <v>0</v>
      </c>
      <c r="I4947" s="599"/>
      <c r="J4947" s="599">
        <f>SUM(H4947:I4947)</f>
        <v>0</v>
      </c>
      <c r="K4947" s="533"/>
      <c r="L4947" s="533"/>
      <c r="M4947" s="533"/>
      <c r="N4947" s="533"/>
      <c r="O4947" s="533"/>
      <c r="P4947" s="533"/>
      <c r="Q4947" s="533"/>
      <c r="R4947" s="533"/>
      <c r="S4947" s="533"/>
      <c r="T4947" s="533"/>
      <c r="U4947" s="533"/>
      <c r="V4947" s="533"/>
      <c r="W4947" s="533"/>
      <c r="X4947" s="533"/>
      <c r="Y4947" s="533"/>
    </row>
    <row r="4948" spans="1:25" s="88" customFormat="1" hidden="1" x14ac:dyDescent="0.25">
      <c r="A4948" s="509"/>
      <c r="B4948" s="256"/>
      <c r="C4948" s="228"/>
      <c r="D4948" s="218"/>
      <c r="E4948" s="218"/>
      <c r="F4948" s="642" t="s">
        <v>236</v>
      </c>
      <c r="G4948" s="643" t="s">
        <v>237</v>
      </c>
      <c r="H4948" s="594"/>
      <c r="I4948" s="595"/>
      <c r="J4948" s="599">
        <f t="shared" ref="J4948:J4962" si="152">SUM(H4948:I4948)</f>
        <v>0</v>
      </c>
      <c r="K4948" s="533"/>
      <c r="L4948" s="533"/>
      <c r="M4948" s="533"/>
      <c r="N4948" s="533"/>
      <c r="O4948" s="533"/>
      <c r="P4948" s="533"/>
      <c r="Q4948" s="533"/>
      <c r="R4948" s="533"/>
      <c r="S4948" s="533"/>
      <c r="T4948" s="533"/>
      <c r="U4948" s="533"/>
      <c r="V4948" s="533"/>
      <c r="W4948" s="533"/>
      <c r="X4948" s="533"/>
      <c r="Y4948" s="533"/>
    </row>
    <row r="4949" spans="1:25" s="88" customFormat="1" hidden="1" x14ac:dyDescent="0.25">
      <c r="A4949" s="509"/>
      <c r="B4949" s="256"/>
      <c r="C4949" s="228"/>
      <c r="D4949" s="218"/>
      <c r="E4949" s="218"/>
      <c r="F4949" s="642" t="s">
        <v>238</v>
      </c>
      <c r="G4949" s="643" t="s">
        <v>239</v>
      </c>
      <c r="H4949" s="594"/>
      <c r="I4949" s="595"/>
      <c r="J4949" s="599">
        <f t="shared" si="152"/>
        <v>0</v>
      </c>
      <c r="K4949" s="533"/>
      <c r="L4949" s="533"/>
      <c r="M4949" s="533"/>
      <c r="N4949" s="533"/>
      <c r="O4949" s="533"/>
      <c r="P4949" s="533"/>
      <c r="Q4949" s="533"/>
      <c r="R4949" s="533"/>
      <c r="S4949" s="533"/>
      <c r="T4949" s="533"/>
      <c r="U4949" s="533"/>
      <c r="V4949" s="533"/>
      <c r="W4949" s="533"/>
      <c r="X4949" s="533"/>
      <c r="Y4949" s="533"/>
    </row>
    <row r="4950" spans="1:25" s="88" customFormat="1" hidden="1" x14ac:dyDescent="0.25">
      <c r="A4950" s="509"/>
      <c r="B4950" s="256"/>
      <c r="C4950" s="228"/>
      <c r="D4950" s="218"/>
      <c r="E4950" s="218"/>
      <c r="F4950" s="642" t="s">
        <v>240</v>
      </c>
      <c r="G4950" s="643" t="s">
        <v>241</v>
      </c>
      <c r="H4950" s="594"/>
      <c r="I4950" s="595"/>
      <c r="J4950" s="599">
        <f t="shared" si="152"/>
        <v>0</v>
      </c>
      <c r="K4950" s="533"/>
      <c r="L4950" s="533"/>
      <c r="M4950" s="533"/>
      <c r="N4950" s="533"/>
      <c r="O4950" s="533"/>
      <c r="P4950" s="533"/>
      <c r="Q4950" s="533"/>
      <c r="R4950" s="533"/>
      <c r="S4950" s="533"/>
      <c r="T4950" s="533"/>
      <c r="U4950" s="533"/>
      <c r="V4950" s="533"/>
      <c r="W4950" s="533"/>
      <c r="X4950" s="533"/>
      <c r="Y4950" s="533"/>
    </row>
    <row r="4951" spans="1:25" s="88" customFormat="1" hidden="1" x14ac:dyDescent="0.25">
      <c r="A4951" s="509"/>
      <c r="B4951" s="256"/>
      <c r="C4951" s="228"/>
      <c r="D4951" s="218"/>
      <c r="E4951" s="218"/>
      <c r="F4951" s="642" t="s">
        <v>242</v>
      </c>
      <c r="G4951" s="643" t="s">
        <v>243</v>
      </c>
      <c r="H4951" s="594"/>
      <c r="I4951" s="595"/>
      <c r="J4951" s="599">
        <f t="shared" si="152"/>
        <v>0</v>
      </c>
      <c r="K4951" s="533"/>
      <c r="L4951" s="533"/>
      <c r="M4951" s="533"/>
      <c r="N4951" s="533"/>
      <c r="O4951" s="533"/>
      <c r="P4951" s="533"/>
      <c r="Q4951" s="533"/>
      <c r="R4951" s="533"/>
      <c r="S4951" s="533"/>
      <c r="T4951" s="533"/>
      <c r="U4951" s="533"/>
      <c r="V4951" s="533"/>
      <c r="W4951" s="533"/>
      <c r="X4951" s="533"/>
      <c r="Y4951" s="533"/>
    </row>
    <row r="4952" spans="1:25" s="88" customFormat="1" hidden="1" x14ac:dyDescent="0.25">
      <c r="A4952" s="509"/>
      <c r="B4952" s="256"/>
      <c r="C4952" s="228"/>
      <c r="D4952" s="218"/>
      <c r="E4952" s="218"/>
      <c r="F4952" s="642" t="s">
        <v>244</v>
      </c>
      <c r="G4952" s="643" t="s">
        <v>245</v>
      </c>
      <c r="H4952" s="594"/>
      <c r="I4952" s="595"/>
      <c r="J4952" s="599">
        <f t="shared" si="152"/>
        <v>0</v>
      </c>
      <c r="K4952" s="533"/>
      <c r="L4952" s="533"/>
      <c r="M4952" s="533"/>
      <c r="N4952" s="533"/>
      <c r="O4952" s="533"/>
      <c r="P4952" s="533"/>
      <c r="Q4952" s="533"/>
      <c r="R4952" s="533"/>
      <c r="S4952" s="533"/>
      <c r="T4952" s="533"/>
      <c r="U4952" s="533"/>
      <c r="V4952" s="533"/>
      <c r="W4952" s="533"/>
      <c r="X4952" s="533"/>
      <c r="Y4952" s="533"/>
    </row>
    <row r="4953" spans="1:25" s="88" customFormat="1" hidden="1" x14ac:dyDescent="0.25">
      <c r="A4953" s="509"/>
      <c r="B4953" s="256"/>
      <c r="C4953" s="228"/>
      <c r="D4953" s="218"/>
      <c r="E4953" s="218"/>
      <c r="F4953" s="642" t="s">
        <v>246</v>
      </c>
      <c r="G4953" s="643" t="s">
        <v>247</v>
      </c>
      <c r="H4953" s="594"/>
      <c r="I4953" s="595"/>
      <c r="J4953" s="599">
        <f t="shared" si="152"/>
        <v>0</v>
      </c>
      <c r="K4953" s="533"/>
      <c r="L4953" s="533"/>
      <c r="M4953" s="533"/>
      <c r="N4953" s="533"/>
      <c r="O4953" s="533"/>
      <c r="P4953" s="533"/>
      <c r="Q4953" s="533"/>
      <c r="R4953" s="533"/>
      <c r="S4953" s="533"/>
      <c r="T4953" s="533"/>
      <c r="U4953" s="533"/>
      <c r="V4953" s="533"/>
      <c r="W4953" s="533"/>
      <c r="X4953" s="533"/>
      <c r="Y4953" s="533"/>
    </row>
    <row r="4954" spans="1:25" s="88" customFormat="1" hidden="1" x14ac:dyDescent="0.25">
      <c r="A4954" s="509"/>
      <c r="B4954" s="256"/>
      <c r="C4954" s="228"/>
      <c r="D4954" s="218"/>
      <c r="E4954" s="218"/>
      <c r="F4954" s="642" t="s">
        <v>248</v>
      </c>
      <c r="G4954" s="643" t="s">
        <v>249</v>
      </c>
      <c r="H4954" s="594"/>
      <c r="I4954" s="595"/>
      <c r="J4954" s="599">
        <f t="shared" si="152"/>
        <v>0</v>
      </c>
      <c r="K4954" s="533"/>
      <c r="L4954" s="533"/>
      <c r="M4954" s="533"/>
      <c r="N4954" s="533"/>
      <c r="O4954" s="533"/>
      <c r="P4954" s="533"/>
      <c r="Q4954" s="533"/>
      <c r="R4954" s="533"/>
      <c r="S4954" s="533"/>
      <c r="T4954" s="533"/>
      <c r="U4954" s="533"/>
      <c r="V4954" s="533"/>
      <c r="W4954" s="533"/>
      <c r="X4954" s="533"/>
      <c r="Y4954" s="533"/>
    </row>
    <row r="4955" spans="1:25" s="88" customFormat="1" hidden="1" x14ac:dyDescent="0.25">
      <c r="A4955" s="509"/>
      <c r="B4955" s="256"/>
      <c r="C4955" s="228"/>
      <c r="D4955" s="218"/>
      <c r="E4955" s="218"/>
      <c r="F4955" s="642" t="s">
        <v>250</v>
      </c>
      <c r="G4955" s="643" t="s">
        <v>57</v>
      </c>
      <c r="H4955" s="594"/>
      <c r="I4955" s="595"/>
      <c r="J4955" s="599">
        <f t="shared" si="152"/>
        <v>0</v>
      </c>
      <c r="K4955" s="533"/>
      <c r="L4955" s="533"/>
      <c r="M4955" s="533"/>
      <c r="N4955" s="533"/>
      <c r="O4955" s="533"/>
      <c r="P4955" s="533"/>
      <c r="Q4955" s="533"/>
      <c r="R4955" s="533"/>
      <c r="S4955" s="533"/>
      <c r="T4955" s="533"/>
      <c r="U4955" s="533"/>
      <c r="V4955" s="533"/>
      <c r="W4955" s="533"/>
      <c r="X4955" s="533"/>
      <c r="Y4955" s="533"/>
    </row>
    <row r="4956" spans="1:25" s="88" customFormat="1" hidden="1" x14ac:dyDescent="0.25">
      <c r="A4956" s="509"/>
      <c r="B4956" s="256"/>
      <c r="C4956" s="228"/>
      <c r="D4956" s="218"/>
      <c r="E4956" s="218"/>
      <c r="F4956" s="642" t="s">
        <v>251</v>
      </c>
      <c r="G4956" s="643" t="s">
        <v>252</v>
      </c>
      <c r="H4956" s="594"/>
      <c r="I4956" s="595"/>
      <c r="J4956" s="599">
        <f t="shared" si="152"/>
        <v>0</v>
      </c>
      <c r="K4956" s="533"/>
      <c r="L4956" s="533"/>
      <c r="M4956" s="533"/>
      <c r="N4956" s="533"/>
      <c r="O4956" s="533"/>
      <c r="P4956" s="533"/>
      <c r="Q4956" s="533"/>
      <c r="R4956" s="533"/>
      <c r="S4956" s="533"/>
      <c r="T4956" s="533"/>
      <c r="U4956" s="533"/>
      <c r="V4956" s="533"/>
      <c r="W4956" s="533"/>
      <c r="X4956" s="533"/>
      <c r="Y4956" s="533"/>
    </row>
    <row r="4957" spans="1:25" s="88" customFormat="1" hidden="1" x14ac:dyDescent="0.25">
      <c r="A4957" s="509"/>
      <c r="B4957" s="256"/>
      <c r="C4957" s="228"/>
      <c r="D4957" s="218"/>
      <c r="E4957" s="218"/>
      <c r="F4957" s="642" t="s">
        <v>253</v>
      </c>
      <c r="G4957" s="643" t="s">
        <v>254</v>
      </c>
      <c r="H4957" s="594"/>
      <c r="I4957" s="595"/>
      <c r="J4957" s="599">
        <f t="shared" si="152"/>
        <v>0</v>
      </c>
      <c r="K4957" s="533"/>
      <c r="L4957" s="533"/>
      <c r="M4957" s="533"/>
      <c r="N4957" s="533"/>
      <c r="O4957" s="533"/>
      <c r="P4957" s="533"/>
      <c r="Q4957" s="533"/>
      <c r="R4957" s="533"/>
      <c r="S4957" s="533"/>
      <c r="T4957" s="533"/>
      <c r="U4957" s="533"/>
      <c r="V4957" s="533"/>
      <c r="W4957" s="533"/>
      <c r="X4957" s="533"/>
      <c r="Y4957" s="533"/>
    </row>
    <row r="4958" spans="1:25" s="88" customFormat="1" ht="30" hidden="1" x14ac:dyDescent="0.25">
      <c r="A4958" s="509"/>
      <c r="B4958" s="256"/>
      <c r="C4958" s="228"/>
      <c r="D4958" s="218"/>
      <c r="E4958" s="218"/>
      <c r="F4958" s="642" t="s">
        <v>255</v>
      </c>
      <c r="G4958" s="643" t="s">
        <v>256</v>
      </c>
      <c r="H4958" s="594"/>
      <c r="I4958" s="595"/>
      <c r="J4958" s="599">
        <f t="shared" si="152"/>
        <v>0</v>
      </c>
      <c r="K4958" s="533"/>
      <c r="L4958" s="533"/>
      <c r="M4958" s="533"/>
      <c r="N4958" s="533"/>
      <c r="O4958" s="533"/>
      <c r="P4958" s="533"/>
      <c r="Q4958" s="533"/>
      <c r="R4958" s="533"/>
      <c r="S4958" s="533"/>
      <c r="T4958" s="533"/>
      <c r="U4958" s="533"/>
      <c r="V4958" s="533"/>
      <c r="W4958" s="533"/>
      <c r="X4958" s="533"/>
      <c r="Y4958" s="533"/>
    </row>
    <row r="4959" spans="1:25" s="88" customFormat="1" hidden="1" x14ac:dyDescent="0.25">
      <c r="A4959" s="509"/>
      <c r="B4959" s="256"/>
      <c r="C4959" s="228"/>
      <c r="D4959" s="218"/>
      <c r="E4959" s="218"/>
      <c r="F4959" s="642" t="s">
        <v>257</v>
      </c>
      <c r="G4959" s="643" t="s">
        <v>258</v>
      </c>
      <c r="H4959" s="594"/>
      <c r="I4959" s="595"/>
      <c r="J4959" s="599">
        <f t="shared" si="152"/>
        <v>0</v>
      </c>
      <c r="K4959" s="533"/>
      <c r="L4959" s="533"/>
      <c r="M4959" s="533"/>
      <c r="N4959" s="533"/>
      <c r="O4959" s="533"/>
      <c r="P4959" s="533"/>
      <c r="Q4959" s="533"/>
      <c r="R4959" s="533"/>
      <c r="S4959" s="533"/>
      <c r="T4959" s="533"/>
      <c r="U4959" s="533"/>
      <c r="V4959" s="533"/>
      <c r="W4959" s="533"/>
      <c r="X4959" s="533"/>
      <c r="Y4959" s="533"/>
    </row>
    <row r="4960" spans="1:25" s="88" customFormat="1" ht="30" hidden="1" x14ac:dyDescent="0.25">
      <c r="A4960" s="509"/>
      <c r="B4960" s="256"/>
      <c r="C4960" s="228"/>
      <c r="D4960" s="218"/>
      <c r="E4960" s="218"/>
      <c r="F4960" s="642" t="s">
        <v>259</v>
      </c>
      <c r="G4960" s="643" t="s">
        <v>260</v>
      </c>
      <c r="H4960" s="594"/>
      <c r="I4960" s="595"/>
      <c r="J4960" s="599">
        <f t="shared" si="152"/>
        <v>0</v>
      </c>
      <c r="K4960" s="533"/>
      <c r="L4960" s="533"/>
      <c r="M4960" s="533"/>
      <c r="N4960" s="533"/>
      <c r="O4960" s="533"/>
      <c r="P4960" s="533"/>
      <c r="Q4960" s="533"/>
      <c r="R4960" s="533"/>
      <c r="S4960" s="533"/>
      <c r="T4960" s="533"/>
      <c r="U4960" s="533"/>
      <c r="V4960" s="533"/>
      <c r="W4960" s="533"/>
      <c r="X4960" s="533"/>
      <c r="Y4960" s="533"/>
    </row>
    <row r="4961" spans="1:25" s="88" customFormat="1" hidden="1" x14ac:dyDescent="0.25">
      <c r="A4961" s="509"/>
      <c r="B4961" s="256"/>
      <c r="C4961" s="228"/>
      <c r="D4961" s="218"/>
      <c r="E4961" s="218"/>
      <c r="F4961" s="642" t="s">
        <v>261</v>
      </c>
      <c r="G4961" s="643" t="s">
        <v>262</v>
      </c>
      <c r="H4961" s="594"/>
      <c r="I4961" s="595"/>
      <c r="J4961" s="599">
        <f t="shared" si="152"/>
        <v>0</v>
      </c>
      <c r="K4961" s="533"/>
      <c r="L4961" s="533"/>
      <c r="M4961" s="533"/>
      <c r="N4961" s="533"/>
      <c r="O4961" s="533"/>
      <c r="P4961" s="533"/>
      <c r="Q4961" s="533"/>
      <c r="R4961" s="533"/>
      <c r="S4961" s="533"/>
      <c r="T4961" s="533"/>
      <c r="U4961" s="533"/>
      <c r="V4961" s="533"/>
      <c r="W4961" s="533"/>
      <c r="X4961" s="533"/>
      <c r="Y4961" s="533"/>
    </row>
    <row r="4962" spans="1:25" s="88" customFormat="1" ht="15.75" hidden="1" thickBot="1" x14ac:dyDescent="0.3">
      <c r="A4962" s="509"/>
      <c r="B4962" s="256"/>
      <c r="C4962" s="228"/>
      <c r="D4962" s="218"/>
      <c r="E4962" s="218"/>
      <c r="F4962" s="642" t="s">
        <v>263</v>
      </c>
      <c r="G4962" s="643" t="s">
        <v>264</v>
      </c>
      <c r="H4962" s="598"/>
      <c r="I4962" s="599"/>
      <c r="J4962" s="599">
        <f t="shared" si="152"/>
        <v>0</v>
      </c>
      <c r="K4962" s="533"/>
      <c r="L4962" s="533"/>
      <c r="M4962" s="533"/>
      <c r="N4962" s="533"/>
      <c r="O4962" s="533"/>
      <c r="P4962" s="533"/>
      <c r="Q4962" s="533"/>
      <c r="R4962" s="533"/>
      <c r="S4962" s="533"/>
      <c r="T4962" s="533"/>
      <c r="U4962" s="533"/>
      <c r="V4962" s="533"/>
      <c r="W4962" s="533"/>
      <c r="X4962" s="533"/>
      <c r="Y4962" s="533"/>
    </row>
    <row r="4963" spans="1:25" s="88" customFormat="1" ht="15.75" hidden="1" thickBot="1" x14ac:dyDescent="0.3">
      <c r="A4963" s="509"/>
      <c r="B4963" s="256"/>
      <c r="C4963" s="228"/>
      <c r="D4963" s="218"/>
      <c r="E4963" s="218"/>
      <c r="F4963" s="218"/>
      <c r="G4963" s="229" t="s">
        <v>4334</v>
      </c>
      <c r="H4963" s="600">
        <f>SUM(H4947:H4962)</f>
        <v>0</v>
      </c>
      <c r="I4963" s="601">
        <f>SUM(I4948:I4962)</f>
        <v>0</v>
      </c>
      <c r="J4963" s="601">
        <f>SUM(J4947:J4962)</f>
        <v>0</v>
      </c>
      <c r="K4963" s="533"/>
      <c r="L4963" s="533"/>
      <c r="M4963" s="533"/>
      <c r="N4963" s="533"/>
      <c r="O4963" s="533"/>
      <c r="P4963" s="533"/>
      <c r="Q4963" s="533"/>
      <c r="R4963" s="533"/>
      <c r="S4963" s="533"/>
      <c r="T4963" s="533"/>
      <c r="U4963" s="533"/>
      <c r="V4963" s="533"/>
      <c r="W4963" s="533"/>
      <c r="X4963" s="533"/>
      <c r="Y4963" s="533"/>
    </row>
    <row r="4964" spans="1:25" s="88" customFormat="1" ht="28.5" hidden="1" x14ac:dyDescent="0.25">
      <c r="A4964" s="509"/>
      <c r="B4964" s="256"/>
      <c r="C4964" s="228"/>
      <c r="D4964" s="218"/>
      <c r="E4964" s="517"/>
      <c r="F4964" s="528"/>
      <c r="G4964" s="231" t="s">
        <v>4398</v>
      </c>
      <c r="H4964" s="602"/>
      <c r="I4964" s="623"/>
      <c r="J4964" s="603"/>
      <c r="K4964" s="533"/>
      <c r="L4964" s="533"/>
      <c r="M4964" s="533"/>
      <c r="N4964" s="533"/>
      <c r="O4964" s="533"/>
      <c r="P4964" s="533"/>
      <c r="Q4964" s="533"/>
      <c r="R4964" s="533"/>
      <c r="S4964" s="533"/>
      <c r="T4964" s="533"/>
      <c r="U4964" s="533"/>
      <c r="V4964" s="533"/>
      <c r="W4964" s="533"/>
      <c r="X4964" s="533"/>
      <c r="Y4964" s="533"/>
    </row>
    <row r="4965" spans="1:25" s="88" customFormat="1" hidden="1" x14ac:dyDescent="0.25">
      <c r="A4965" s="509"/>
      <c r="B4965" s="256"/>
      <c r="C4965" s="228"/>
      <c r="D4965" s="218"/>
      <c r="E4965" s="222"/>
      <c r="F4965" s="642" t="s">
        <v>234</v>
      </c>
      <c r="G4965" s="643" t="s">
        <v>235</v>
      </c>
      <c r="H4965" s="598">
        <f>SUM(H4886:H4945)</f>
        <v>0</v>
      </c>
      <c r="I4965" s="599"/>
      <c r="J4965" s="599">
        <f>SUM(H4965:I4965)</f>
        <v>0</v>
      </c>
      <c r="K4965" s="533"/>
      <c r="L4965" s="533"/>
      <c r="M4965" s="533"/>
      <c r="N4965" s="533"/>
      <c r="O4965" s="533"/>
      <c r="P4965" s="533"/>
      <c r="Q4965" s="533"/>
      <c r="R4965" s="533"/>
      <c r="S4965" s="533"/>
      <c r="T4965" s="533"/>
      <c r="U4965" s="533"/>
      <c r="V4965" s="533"/>
      <c r="W4965" s="533"/>
      <c r="X4965" s="533"/>
      <c r="Y4965" s="533"/>
    </row>
    <row r="4966" spans="1:25" s="88" customFormat="1" hidden="1" x14ac:dyDescent="0.25">
      <c r="A4966" s="509"/>
      <c r="B4966" s="256"/>
      <c r="C4966" s="228"/>
      <c r="D4966" s="218"/>
      <c r="E4966" s="218"/>
      <c r="F4966" s="642" t="s">
        <v>236</v>
      </c>
      <c r="G4966" s="643" t="s">
        <v>237</v>
      </c>
      <c r="H4966" s="594"/>
      <c r="I4966" s="595"/>
      <c r="J4966" s="599">
        <f t="shared" ref="J4966:J4980" si="153">SUM(H4966:I4966)</f>
        <v>0</v>
      </c>
      <c r="K4966" s="533"/>
      <c r="L4966" s="533"/>
      <c r="M4966" s="533"/>
      <c r="N4966" s="533"/>
      <c r="O4966" s="533"/>
      <c r="P4966" s="533"/>
      <c r="Q4966" s="533"/>
      <c r="R4966" s="533"/>
      <c r="S4966" s="533"/>
      <c r="T4966" s="533"/>
      <c r="U4966" s="533"/>
      <c r="V4966" s="533"/>
      <c r="W4966" s="533"/>
      <c r="X4966" s="533"/>
      <c r="Y4966" s="533"/>
    </row>
    <row r="4967" spans="1:25" s="88" customFormat="1" hidden="1" x14ac:dyDescent="0.25">
      <c r="A4967" s="509"/>
      <c r="B4967" s="256"/>
      <c r="C4967" s="228"/>
      <c r="D4967" s="218"/>
      <c r="E4967" s="218"/>
      <c r="F4967" s="642" t="s">
        <v>238</v>
      </c>
      <c r="G4967" s="643" t="s">
        <v>239</v>
      </c>
      <c r="H4967" s="594"/>
      <c r="I4967" s="595"/>
      <c r="J4967" s="599">
        <f t="shared" si="153"/>
        <v>0</v>
      </c>
      <c r="K4967" s="533"/>
      <c r="L4967" s="533"/>
      <c r="M4967" s="533"/>
      <c r="N4967" s="533"/>
      <c r="O4967" s="533"/>
      <c r="P4967" s="533"/>
      <c r="Q4967" s="533"/>
      <c r="R4967" s="533"/>
      <c r="S4967" s="533"/>
      <c r="T4967" s="533"/>
      <c r="U4967" s="533"/>
      <c r="V4967" s="533"/>
      <c r="W4967" s="533"/>
      <c r="X4967" s="533"/>
      <c r="Y4967" s="533"/>
    </row>
    <row r="4968" spans="1:25" s="88" customFormat="1" hidden="1" x14ac:dyDescent="0.25">
      <c r="A4968" s="509"/>
      <c r="B4968" s="256"/>
      <c r="C4968" s="228"/>
      <c r="D4968" s="218"/>
      <c r="E4968" s="218"/>
      <c r="F4968" s="642" t="s">
        <v>240</v>
      </c>
      <c r="G4968" s="643" t="s">
        <v>241</v>
      </c>
      <c r="H4968" s="594"/>
      <c r="I4968" s="595"/>
      <c r="J4968" s="599">
        <f t="shared" si="153"/>
        <v>0</v>
      </c>
      <c r="K4968" s="533"/>
      <c r="L4968" s="533"/>
      <c r="M4968" s="533"/>
      <c r="N4968" s="533"/>
      <c r="O4968" s="533"/>
      <c r="P4968" s="533"/>
      <c r="Q4968" s="533"/>
      <c r="R4968" s="533"/>
      <c r="S4968" s="533"/>
      <c r="T4968" s="533"/>
      <c r="U4968" s="533"/>
      <c r="V4968" s="533"/>
      <c r="W4968" s="533"/>
      <c r="X4968" s="533"/>
      <c r="Y4968" s="533"/>
    </row>
    <row r="4969" spans="1:25" s="88" customFormat="1" hidden="1" x14ac:dyDescent="0.25">
      <c r="A4969" s="509"/>
      <c r="B4969" s="256"/>
      <c r="C4969" s="228"/>
      <c r="D4969" s="218"/>
      <c r="E4969" s="218"/>
      <c r="F4969" s="642" t="s">
        <v>242</v>
      </c>
      <c r="G4969" s="643" t="s">
        <v>243</v>
      </c>
      <c r="H4969" s="594"/>
      <c r="I4969" s="595"/>
      <c r="J4969" s="599">
        <f t="shared" si="153"/>
        <v>0</v>
      </c>
      <c r="K4969" s="533"/>
      <c r="L4969" s="533"/>
      <c r="M4969" s="533"/>
      <c r="N4969" s="533"/>
      <c r="O4969" s="533"/>
      <c r="P4969" s="533"/>
      <c r="Q4969" s="533"/>
      <c r="R4969" s="533"/>
      <c r="S4969" s="533"/>
      <c r="T4969" s="533"/>
      <c r="U4969" s="533"/>
      <c r="V4969" s="533"/>
      <c r="W4969" s="533"/>
      <c r="X4969" s="533"/>
      <c r="Y4969" s="533"/>
    </row>
    <row r="4970" spans="1:25" s="88" customFormat="1" hidden="1" x14ac:dyDescent="0.25">
      <c r="A4970" s="509"/>
      <c r="B4970" s="256"/>
      <c r="C4970" s="228"/>
      <c r="D4970" s="218"/>
      <c r="E4970" s="218"/>
      <c r="F4970" s="642" t="s">
        <v>244</v>
      </c>
      <c r="G4970" s="643" t="s">
        <v>245</v>
      </c>
      <c r="H4970" s="594"/>
      <c r="I4970" s="595"/>
      <c r="J4970" s="599">
        <f t="shared" si="153"/>
        <v>0</v>
      </c>
      <c r="K4970" s="533"/>
      <c r="L4970" s="533"/>
      <c r="M4970" s="533"/>
      <c r="N4970" s="533"/>
      <c r="O4970" s="533"/>
      <c r="P4970" s="533"/>
      <c r="Q4970" s="533"/>
      <c r="R4970" s="533"/>
      <c r="S4970" s="533"/>
      <c r="T4970" s="533"/>
      <c r="U4970" s="533"/>
      <c r="V4970" s="533"/>
      <c r="W4970" s="533"/>
      <c r="X4970" s="533"/>
      <c r="Y4970" s="533"/>
    </row>
    <row r="4971" spans="1:25" s="88" customFormat="1" hidden="1" x14ac:dyDescent="0.25">
      <c r="A4971" s="509"/>
      <c r="B4971" s="256"/>
      <c r="C4971" s="228"/>
      <c r="D4971" s="218"/>
      <c r="E4971" s="218"/>
      <c r="F4971" s="642" t="s">
        <v>246</v>
      </c>
      <c r="G4971" s="643" t="s">
        <v>247</v>
      </c>
      <c r="H4971" s="594"/>
      <c r="I4971" s="595"/>
      <c r="J4971" s="599">
        <f t="shared" si="153"/>
        <v>0</v>
      </c>
      <c r="K4971" s="533"/>
      <c r="L4971" s="533"/>
      <c r="M4971" s="533"/>
      <c r="N4971" s="533"/>
      <c r="O4971" s="533"/>
      <c r="P4971" s="533"/>
      <c r="Q4971" s="533"/>
      <c r="R4971" s="533"/>
      <c r="S4971" s="533"/>
      <c r="T4971" s="533"/>
      <c r="U4971" s="533"/>
      <c r="V4971" s="533"/>
      <c r="W4971" s="533"/>
      <c r="X4971" s="533"/>
      <c r="Y4971" s="533"/>
    </row>
    <row r="4972" spans="1:25" s="88" customFormat="1" hidden="1" x14ac:dyDescent="0.25">
      <c r="A4972" s="509"/>
      <c r="B4972" s="256"/>
      <c r="C4972" s="228"/>
      <c r="D4972" s="218"/>
      <c r="E4972" s="218"/>
      <c r="F4972" s="642" t="s">
        <v>248</v>
      </c>
      <c r="G4972" s="643" t="s">
        <v>249</v>
      </c>
      <c r="H4972" s="594"/>
      <c r="I4972" s="595"/>
      <c r="J4972" s="599">
        <f t="shared" si="153"/>
        <v>0</v>
      </c>
      <c r="K4972" s="533"/>
      <c r="L4972" s="533"/>
      <c r="M4972" s="533"/>
      <c r="N4972" s="533"/>
      <c r="O4972" s="533"/>
      <c r="P4972" s="533"/>
      <c r="Q4972" s="533"/>
      <c r="R4972" s="533"/>
      <c r="S4972" s="533"/>
      <c r="T4972" s="533"/>
      <c r="U4972" s="533"/>
      <c r="V4972" s="533"/>
      <c r="W4972" s="533"/>
      <c r="X4972" s="533"/>
      <c r="Y4972" s="533"/>
    </row>
    <row r="4973" spans="1:25" s="88" customFormat="1" hidden="1" x14ac:dyDescent="0.25">
      <c r="A4973" s="509"/>
      <c r="B4973" s="256"/>
      <c r="C4973" s="228"/>
      <c r="D4973" s="218"/>
      <c r="E4973" s="218"/>
      <c r="F4973" s="642" t="s">
        <v>250</v>
      </c>
      <c r="G4973" s="643" t="s">
        <v>57</v>
      </c>
      <c r="H4973" s="594"/>
      <c r="I4973" s="595"/>
      <c r="J4973" s="599">
        <f t="shared" si="153"/>
        <v>0</v>
      </c>
      <c r="K4973" s="533"/>
      <c r="L4973" s="533"/>
      <c r="M4973" s="533"/>
      <c r="N4973" s="533"/>
      <c r="O4973" s="533"/>
      <c r="P4973" s="533"/>
      <c r="Q4973" s="533"/>
      <c r="R4973" s="533"/>
      <c r="S4973" s="533"/>
      <c r="T4973" s="533"/>
      <c r="U4973" s="533"/>
      <c r="V4973" s="533"/>
      <c r="W4973" s="533"/>
      <c r="X4973" s="533"/>
      <c r="Y4973" s="533"/>
    </row>
    <row r="4974" spans="1:25" s="88" customFormat="1" hidden="1" x14ac:dyDescent="0.25">
      <c r="A4974" s="509"/>
      <c r="B4974" s="256"/>
      <c r="C4974" s="228"/>
      <c r="D4974" s="218"/>
      <c r="E4974" s="218"/>
      <c r="F4974" s="642" t="s">
        <v>251</v>
      </c>
      <c r="G4974" s="643" t="s">
        <v>252</v>
      </c>
      <c r="H4974" s="594"/>
      <c r="I4974" s="595"/>
      <c r="J4974" s="599">
        <f t="shared" si="153"/>
        <v>0</v>
      </c>
      <c r="K4974" s="533"/>
      <c r="L4974" s="533"/>
      <c r="M4974" s="533"/>
      <c r="N4974" s="533"/>
      <c r="O4974" s="533"/>
      <c r="P4974" s="533"/>
      <c r="Q4974" s="533"/>
      <c r="R4974" s="533"/>
      <c r="S4974" s="533"/>
      <c r="T4974" s="533"/>
      <c r="U4974" s="533"/>
      <c r="V4974" s="533"/>
      <c r="W4974" s="533"/>
      <c r="X4974" s="533"/>
      <c r="Y4974" s="533"/>
    </row>
    <row r="4975" spans="1:25" s="88" customFormat="1" hidden="1" x14ac:dyDescent="0.25">
      <c r="A4975" s="509"/>
      <c r="B4975" s="256"/>
      <c r="C4975" s="228"/>
      <c r="D4975" s="218"/>
      <c r="E4975" s="218"/>
      <c r="F4975" s="642" t="s">
        <v>253</v>
      </c>
      <c r="G4975" s="643" t="s">
        <v>254</v>
      </c>
      <c r="H4975" s="594"/>
      <c r="I4975" s="595"/>
      <c r="J4975" s="599">
        <f t="shared" si="153"/>
        <v>0</v>
      </c>
      <c r="K4975" s="533"/>
      <c r="L4975" s="533"/>
      <c r="M4975" s="533"/>
      <c r="N4975" s="533"/>
      <c r="O4975" s="533"/>
      <c r="P4975" s="533"/>
      <c r="Q4975" s="533"/>
      <c r="R4975" s="533"/>
      <c r="S4975" s="533"/>
      <c r="T4975" s="533"/>
      <c r="U4975" s="533"/>
      <c r="V4975" s="533"/>
      <c r="W4975" s="533"/>
      <c r="X4975" s="533"/>
      <c r="Y4975" s="533"/>
    </row>
    <row r="4976" spans="1:25" s="88" customFormat="1" ht="30" hidden="1" x14ac:dyDescent="0.25">
      <c r="A4976" s="509"/>
      <c r="B4976" s="256"/>
      <c r="C4976" s="228"/>
      <c r="D4976" s="218"/>
      <c r="E4976" s="218"/>
      <c r="F4976" s="642" t="s">
        <v>255</v>
      </c>
      <c r="G4976" s="643" t="s">
        <v>256</v>
      </c>
      <c r="H4976" s="594"/>
      <c r="I4976" s="595"/>
      <c r="J4976" s="599">
        <f t="shared" si="153"/>
        <v>0</v>
      </c>
      <c r="K4976" s="533"/>
      <c r="L4976" s="533"/>
      <c r="M4976" s="533"/>
      <c r="N4976" s="533"/>
      <c r="O4976" s="533"/>
      <c r="P4976" s="533"/>
      <c r="Q4976" s="533"/>
      <c r="R4976" s="533"/>
      <c r="S4976" s="533"/>
      <c r="T4976" s="533"/>
      <c r="U4976" s="533"/>
      <c r="V4976" s="533"/>
      <c r="W4976" s="533"/>
      <c r="X4976" s="533"/>
      <c r="Y4976" s="533"/>
    </row>
    <row r="4977" spans="1:25" s="88" customFormat="1" hidden="1" x14ac:dyDescent="0.25">
      <c r="A4977" s="509"/>
      <c r="B4977" s="256"/>
      <c r="C4977" s="228"/>
      <c r="D4977" s="218"/>
      <c r="E4977" s="218"/>
      <c r="F4977" s="642" t="s">
        <v>257</v>
      </c>
      <c r="G4977" s="643" t="s">
        <v>258</v>
      </c>
      <c r="H4977" s="594"/>
      <c r="I4977" s="595"/>
      <c r="J4977" s="599">
        <f t="shared" si="153"/>
        <v>0</v>
      </c>
      <c r="K4977" s="533"/>
      <c r="L4977" s="533"/>
      <c r="M4977" s="533"/>
      <c r="N4977" s="533"/>
      <c r="O4977" s="533"/>
      <c r="P4977" s="533"/>
      <c r="Q4977" s="533"/>
      <c r="R4977" s="533"/>
      <c r="S4977" s="533"/>
      <c r="T4977" s="533"/>
      <c r="U4977" s="533"/>
      <c r="V4977" s="533"/>
      <c r="W4977" s="533"/>
      <c r="X4977" s="533"/>
      <c r="Y4977" s="533"/>
    </row>
    <row r="4978" spans="1:25" s="88" customFormat="1" ht="30" hidden="1" x14ac:dyDescent="0.25">
      <c r="A4978" s="509"/>
      <c r="B4978" s="256"/>
      <c r="C4978" s="228"/>
      <c r="D4978" s="218"/>
      <c r="E4978" s="218"/>
      <c r="F4978" s="642" t="s">
        <v>259</v>
      </c>
      <c r="G4978" s="643" t="s">
        <v>260</v>
      </c>
      <c r="H4978" s="594"/>
      <c r="I4978" s="595"/>
      <c r="J4978" s="599">
        <f t="shared" si="153"/>
        <v>0</v>
      </c>
      <c r="K4978" s="533"/>
      <c r="L4978" s="533"/>
      <c r="M4978" s="533"/>
      <c r="N4978" s="533"/>
      <c r="O4978" s="533"/>
      <c r="P4978" s="533"/>
      <c r="Q4978" s="533"/>
      <c r="R4978" s="533"/>
      <c r="S4978" s="533"/>
      <c r="T4978" s="533"/>
      <c r="U4978" s="533"/>
      <c r="V4978" s="533"/>
      <c r="W4978" s="533"/>
      <c r="X4978" s="533"/>
      <c r="Y4978" s="533"/>
    </row>
    <row r="4979" spans="1:25" s="88" customFormat="1" hidden="1" x14ac:dyDescent="0.25">
      <c r="A4979" s="509"/>
      <c r="B4979" s="256"/>
      <c r="C4979" s="228"/>
      <c r="D4979" s="218"/>
      <c r="E4979" s="218"/>
      <c r="F4979" s="642" t="s">
        <v>261</v>
      </c>
      <c r="G4979" s="643" t="s">
        <v>262</v>
      </c>
      <c r="H4979" s="594"/>
      <c r="I4979" s="595"/>
      <c r="J4979" s="599">
        <f t="shared" si="153"/>
        <v>0</v>
      </c>
      <c r="K4979" s="533"/>
      <c r="L4979" s="533"/>
      <c r="M4979" s="533"/>
      <c r="N4979" s="533"/>
      <c r="O4979" s="533"/>
      <c r="P4979" s="533"/>
      <c r="Q4979" s="533"/>
      <c r="R4979" s="533"/>
      <c r="S4979" s="533"/>
      <c r="T4979" s="533"/>
      <c r="U4979" s="533"/>
      <c r="V4979" s="533"/>
      <c r="W4979" s="533"/>
      <c r="X4979" s="533"/>
      <c r="Y4979" s="533"/>
    </row>
    <row r="4980" spans="1:25" s="88" customFormat="1" ht="15.75" hidden="1" thickBot="1" x14ac:dyDescent="0.3">
      <c r="A4980" s="509"/>
      <c r="B4980" s="256"/>
      <c r="C4980" s="228"/>
      <c r="D4980" s="218"/>
      <c r="E4980" s="218"/>
      <c r="F4980" s="642" t="s">
        <v>263</v>
      </c>
      <c r="G4980" s="643" t="s">
        <v>264</v>
      </c>
      <c r="H4980" s="598"/>
      <c r="I4980" s="599"/>
      <c r="J4980" s="599">
        <f t="shared" si="153"/>
        <v>0</v>
      </c>
      <c r="K4980" s="533"/>
      <c r="L4980" s="533"/>
      <c r="M4980" s="533"/>
      <c r="N4980" s="533"/>
      <c r="O4980" s="533"/>
      <c r="P4980" s="533"/>
      <c r="Q4980" s="533"/>
      <c r="R4980" s="533"/>
      <c r="S4980" s="533"/>
      <c r="T4980" s="533"/>
      <c r="U4980" s="533"/>
      <c r="V4980" s="533"/>
      <c r="W4980" s="533"/>
      <c r="X4980" s="533"/>
      <c r="Y4980" s="533"/>
    </row>
    <row r="4981" spans="1:25" s="88" customFormat="1" ht="15.75" hidden="1" thickBot="1" x14ac:dyDescent="0.3">
      <c r="A4981" s="509"/>
      <c r="B4981" s="256"/>
      <c r="C4981" s="228"/>
      <c r="D4981" s="218"/>
      <c r="E4981" s="218"/>
      <c r="F4981" s="218"/>
      <c r="G4981" s="229" t="s">
        <v>4399</v>
      </c>
      <c r="H4981" s="600">
        <f>SUM(H4965:H4980)</f>
        <v>0</v>
      </c>
      <c r="I4981" s="601">
        <f>SUM(I4966:I4980)</f>
        <v>0</v>
      </c>
      <c r="J4981" s="601">
        <f>SUM(J4965:J4980)</f>
        <v>0</v>
      </c>
      <c r="K4981" s="533"/>
      <c r="L4981" s="533"/>
      <c r="M4981" s="533"/>
      <c r="N4981" s="533"/>
      <c r="O4981" s="533"/>
      <c r="P4981" s="533"/>
      <c r="Q4981" s="533"/>
      <c r="R4981" s="533"/>
      <c r="S4981" s="533"/>
      <c r="T4981" s="533"/>
      <c r="U4981" s="533"/>
      <c r="V4981" s="533"/>
      <c r="W4981" s="533"/>
      <c r="X4981" s="533"/>
      <c r="Y4981" s="533"/>
    </row>
    <row r="4982" spans="1:25" s="88" customFormat="1" hidden="1" x14ac:dyDescent="0.25">
      <c r="A4982" s="509"/>
      <c r="B4982" s="256"/>
      <c r="C4982" s="228"/>
      <c r="D4982" s="218"/>
      <c r="E4982" s="218"/>
      <c r="F4982" s="218"/>
      <c r="G4982" s="518"/>
      <c r="H4982" s="594"/>
      <c r="I4982" s="595"/>
      <c r="J4982" s="595"/>
      <c r="K4982" s="533"/>
      <c r="L4982" s="533"/>
      <c r="M4982" s="533"/>
      <c r="N4982" s="533"/>
      <c r="O4982" s="533"/>
      <c r="P4982" s="533"/>
      <c r="Q4982" s="533"/>
      <c r="R4982" s="533"/>
      <c r="S4982" s="533"/>
      <c r="T4982" s="533"/>
      <c r="U4982" s="533"/>
      <c r="V4982" s="533"/>
      <c r="W4982" s="533"/>
      <c r="X4982" s="533"/>
      <c r="Y4982" s="533"/>
    </row>
    <row r="4983" spans="1:25" s="88" customFormat="1" hidden="1" x14ac:dyDescent="0.25">
      <c r="A4983" s="509"/>
      <c r="B4983" s="256"/>
      <c r="C4983" s="228" t="s">
        <v>4152</v>
      </c>
      <c r="D4983" s="218"/>
      <c r="E4983" s="218"/>
      <c r="F4983" s="218"/>
      <c r="G4983" s="518" t="s">
        <v>4153</v>
      </c>
      <c r="H4983" s="594"/>
      <c r="I4983" s="595"/>
      <c r="J4983" s="595"/>
      <c r="K4983" s="533"/>
      <c r="L4983" s="533"/>
      <c r="M4983" s="533"/>
      <c r="N4983" s="533"/>
      <c r="O4983" s="533"/>
      <c r="P4983" s="533"/>
      <c r="Q4983" s="533"/>
      <c r="R4983" s="533"/>
      <c r="S4983" s="533"/>
      <c r="T4983" s="533"/>
      <c r="U4983" s="533"/>
      <c r="V4983" s="533"/>
      <c r="W4983" s="533"/>
      <c r="X4983" s="533"/>
      <c r="Y4983" s="533"/>
    </row>
    <row r="4984" spans="1:25" s="88" customFormat="1" hidden="1" x14ac:dyDescent="0.25">
      <c r="A4984" s="509"/>
      <c r="B4984" s="256"/>
      <c r="C4984" s="265"/>
      <c r="D4984" s="334" t="s">
        <v>4029</v>
      </c>
      <c r="E4984" s="329"/>
      <c r="F4984" s="329"/>
      <c r="G4984" s="330" t="s">
        <v>206</v>
      </c>
      <c r="H4984" s="611"/>
      <c r="I4984" s="612"/>
      <c r="J4984" s="612"/>
      <c r="K4984" s="533"/>
      <c r="L4984" s="533"/>
      <c r="M4984" s="533"/>
      <c r="N4984" s="533"/>
      <c r="O4984" s="533"/>
      <c r="P4984" s="533"/>
      <c r="Q4984" s="533"/>
      <c r="R4984" s="533"/>
      <c r="S4984" s="533"/>
      <c r="T4984" s="533"/>
      <c r="U4984" s="533"/>
      <c r="V4984" s="533"/>
      <c r="W4984" s="533"/>
      <c r="X4984" s="533"/>
      <c r="Y4984" s="533"/>
    </row>
    <row r="4985" spans="1:25" s="88" customFormat="1" hidden="1" x14ac:dyDescent="0.25">
      <c r="A4985" s="509"/>
      <c r="B4985" s="256"/>
      <c r="C4985" s="221"/>
      <c r="D4985" s="218"/>
      <c r="E4985" s="218"/>
      <c r="F4985" s="527">
        <v>411</v>
      </c>
      <c r="G4985" s="520" t="s">
        <v>4189</v>
      </c>
      <c r="H4985" s="594"/>
      <c r="I4985" s="595"/>
      <c r="J4985" s="595">
        <f>SUM(H4985:I4985)</f>
        <v>0</v>
      </c>
      <c r="K4985" s="533"/>
      <c r="L4985" s="533"/>
      <c r="M4985" s="533"/>
      <c r="N4985" s="533"/>
      <c r="O4985" s="533"/>
      <c r="P4985" s="533"/>
      <c r="Q4985" s="533"/>
      <c r="R4985" s="533"/>
      <c r="S4985" s="533"/>
      <c r="T4985" s="533"/>
      <c r="U4985" s="533"/>
      <c r="V4985" s="533"/>
      <c r="W4985" s="533"/>
      <c r="X4985" s="533"/>
      <c r="Y4985" s="533"/>
    </row>
    <row r="4986" spans="1:25" s="88" customFormat="1" hidden="1" x14ac:dyDescent="0.25">
      <c r="A4986" s="509"/>
      <c r="B4986" s="256"/>
      <c r="C4986" s="221"/>
      <c r="D4986" s="218"/>
      <c r="E4986" s="218"/>
      <c r="F4986" s="527">
        <v>412</v>
      </c>
      <c r="G4986" s="516" t="s">
        <v>3784</v>
      </c>
      <c r="H4986" s="594"/>
      <c r="I4986" s="595"/>
      <c r="J4986" s="595">
        <f t="shared" ref="J4986:J5044" si="154">SUM(H4986:I4986)</f>
        <v>0</v>
      </c>
      <c r="K4986" s="533"/>
      <c r="L4986" s="533"/>
      <c r="M4986" s="533"/>
      <c r="N4986" s="533"/>
      <c r="O4986" s="533"/>
      <c r="P4986" s="533"/>
      <c r="Q4986" s="533"/>
      <c r="R4986" s="533"/>
      <c r="S4986" s="533"/>
      <c r="T4986" s="533"/>
      <c r="U4986" s="533"/>
      <c r="V4986" s="533"/>
      <c r="W4986" s="533"/>
      <c r="X4986" s="533"/>
      <c r="Y4986" s="533"/>
    </row>
    <row r="4987" spans="1:25" s="88" customFormat="1" hidden="1" x14ac:dyDescent="0.25">
      <c r="A4987" s="509"/>
      <c r="B4987" s="256"/>
      <c r="C4987" s="221"/>
      <c r="D4987" s="218"/>
      <c r="E4987" s="218"/>
      <c r="F4987" s="527">
        <v>413</v>
      </c>
      <c r="G4987" s="520" t="s">
        <v>4190</v>
      </c>
      <c r="H4987" s="594"/>
      <c r="I4987" s="595"/>
      <c r="J4987" s="595">
        <f t="shared" si="154"/>
        <v>0</v>
      </c>
      <c r="K4987" s="533"/>
      <c r="L4987" s="533"/>
      <c r="M4987" s="533"/>
      <c r="N4987" s="533"/>
      <c r="O4987" s="533"/>
      <c r="P4987" s="533"/>
      <c r="Q4987" s="533"/>
      <c r="R4987" s="533"/>
      <c r="S4987" s="533"/>
      <c r="T4987" s="533"/>
      <c r="U4987" s="533"/>
      <c r="V4987" s="533"/>
      <c r="W4987" s="533"/>
      <c r="X4987" s="533"/>
      <c r="Y4987" s="533"/>
    </row>
    <row r="4988" spans="1:25" s="88" customFormat="1" hidden="1" x14ac:dyDescent="0.25">
      <c r="A4988" s="509"/>
      <c r="B4988" s="256"/>
      <c r="C4988" s="221"/>
      <c r="D4988" s="218"/>
      <c r="E4988" s="218"/>
      <c r="F4988" s="527">
        <v>414</v>
      </c>
      <c r="G4988" s="520" t="s">
        <v>3787</v>
      </c>
      <c r="H4988" s="594"/>
      <c r="I4988" s="595"/>
      <c r="J4988" s="595">
        <f t="shared" si="154"/>
        <v>0</v>
      </c>
      <c r="K4988" s="533"/>
      <c r="L4988" s="533"/>
      <c r="M4988" s="533"/>
      <c r="N4988" s="533"/>
      <c r="O4988" s="533"/>
      <c r="P4988" s="533"/>
      <c r="Q4988" s="533"/>
      <c r="R4988" s="533"/>
      <c r="S4988" s="533"/>
      <c r="T4988" s="533"/>
      <c r="U4988" s="533"/>
      <c r="V4988" s="533"/>
      <c r="W4988" s="533"/>
      <c r="X4988" s="533"/>
      <c r="Y4988" s="533"/>
    </row>
    <row r="4989" spans="1:25" s="88" customFormat="1" hidden="1" x14ac:dyDescent="0.25">
      <c r="A4989" s="509"/>
      <c r="B4989" s="256"/>
      <c r="C4989" s="221"/>
      <c r="D4989" s="218"/>
      <c r="E4989" s="218"/>
      <c r="F4989" s="527">
        <v>415</v>
      </c>
      <c r="G4989" s="520" t="s">
        <v>4199</v>
      </c>
      <c r="H4989" s="594"/>
      <c r="I4989" s="595"/>
      <c r="J4989" s="595">
        <f t="shared" si="154"/>
        <v>0</v>
      </c>
      <c r="K4989" s="533"/>
      <c r="L4989" s="533"/>
      <c r="M4989" s="533"/>
      <c r="N4989" s="533"/>
      <c r="O4989" s="533"/>
      <c r="P4989" s="533"/>
      <c r="Q4989" s="533"/>
      <c r="R4989" s="533"/>
      <c r="S4989" s="533"/>
      <c r="T4989" s="533"/>
      <c r="U4989" s="533"/>
      <c r="V4989" s="533"/>
      <c r="W4989" s="533"/>
      <c r="X4989" s="533"/>
      <c r="Y4989" s="533"/>
    </row>
    <row r="4990" spans="1:25" s="88" customFormat="1" hidden="1" x14ac:dyDescent="0.25">
      <c r="A4990" s="509"/>
      <c r="B4990" s="256"/>
      <c r="C4990" s="221"/>
      <c r="D4990" s="218"/>
      <c r="E4990" s="218"/>
      <c r="F4990" s="527">
        <v>416</v>
      </c>
      <c r="G4990" s="520" t="s">
        <v>4200</v>
      </c>
      <c r="H4990" s="594"/>
      <c r="I4990" s="595"/>
      <c r="J4990" s="595">
        <f t="shared" si="154"/>
        <v>0</v>
      </c>
      <c r="K4990" s="533"/>
      <c r="L4990" s="533"/>
      <c r="M4990" s="533"/>
      <c r="N4990" s="533"/>
      <c r="O4990" s="533"/>
      <c r="P4990" s="533"/>
      <c r="Q4990" s="533"/>
      <c r="R4990" s="533"/>
      <c r="S4990" s="533"/>
      <c r="T4990" s="533"/>
      <c r="U4990" s="533"/>
      <c r="V4990" s="533"/>
      <c r="W4990" s="533"/>
      <c r="X4990" s="533"/>
      <c r="Y4990" s="533"/>
    </row>
    <row r="4991" spans="1:25" s="88" customFormat="1" hidden="1" x14ac:dyDescent="0.25">
      <c r="A4991" s="509"/>
      <c r="B4991" s="256"/>
      <c r="C4991" s="221"/>
      <c r="D4991" s="218"/>
      <c r="E4991" s="218"/>
      <c r="F4991" s="527">
        <v>417</v>
      </c>
      <c r="G4991" s="520" t="s">
        <v>4201</v>
      </c>
      <c r="H4991" s="594"/>
      <c r="I4991" s="595"/>
      <c r="J4991" s="595">
        <f t="shared" si="154"/>
        <v>0</v>
      </c>
      <c r="K4991" s="533"/>
      <c r="L4991" s="533"/>
      <c r="M4991" s="533"/>
      <c r="N4991" s="533"/>
      <c r="O4991" s="533"/>
      <c r="P4991" s="533"/>
      <c r="Q4991" s="533"/>
      <c r="R4991" s="533"/>
      <c r="S4991" s="533"/>
      <c r="T4991" s="533"/>
      <c r="U4991" s="533"/>
      <c r="V4991" s="533"/>
      <c r="W4991" s="533"/>
      <c r="X4991" s="533"/>
      <c r="Y4991" s="533"/>
    </row>
    <row r="4992" spans="1:25" s="88" customFormat="1" hidden="1" x14ac:dyDescent="0.25">
      <c r="A4992" s="509"/>
      <c r="B4992" s="256"/>
      <c r="C4992" s="221"/>
      <c r="D4992" s="218"/>
      <c r="E4992" s="218"/>
      <c r="F4992" s="527">
        <v>418</v>
      </c>
      <c r="G4992" s="520" t="s">
        <v>3793</v>
      </c>
      <c r="H4992" s="594"/>
      <c r="I4992" s="595"/>
      <c r="J4992" s="595">
        <f t="shared" si="154"/>
        <v>0</v>
      </c>
      <c r="K4992" s="533"/>
      <c r="L4992" s="533"/>
      <c r="M4992" s="533"/>
      <c r="N4992" s="533"/>
      <c r="O4992" s="533"/>
      <c r="P4992" s="533"/>
      <c r="Q4992" s="533"/>
      <c r="R4992" s="533"/>
      <c r="S4992" s="533"/>
      <c r="T4992" s="533"/>
      <c r="U4992" s="533"/>
      <c r="V4992" s="533"/>
      <c r="W4992" s="533"/>
      <c r="X4992" s="533"/>
      <c r="Y4992" s="533"/>
    </row>
    <row r="4993" spans="1:25" s="88" customFormat="1" hidden="1" x14ac:dyDescent="0.25">
      <c r="A4993" s="509"/>
      <c r="B4993" s="256"/>
      <c r="C4993" s="221"/>
      <c r="D4993" s="218"/>
      <c r="E4993" s="218"/>
      <c r="F4993" s="527">
        <v>421</v>
      </c>
      <c r="G4993" s="520" t="s">
        <v>3797</v>
      </c>
      <c r="H4993" s="594"/>
      <c r="I4993" s="595"/>
      <c r="J4993" s="595">
        <f t="shared" si="154"/>
        <v>0</v>
      </c>
      <c r="K4993" s="533"/>
      <c r="L4993" s="533"/>
      <c r="M4993" s="533"/>
      <c r="N4993" s="533"/>
      <c r="O4993" s="533"/>
      <c r="P4993" s="533"/>
      <c r="Q4993" s="533"/>
      <c r="R4993" s="533"/>
      <c r="S4993" s="533"/>
      <c r="T4993" s="533"/>
      <c r="U4993" s="533"/>
      <c r="V4993" s="533"/>
      <c r="W4993" s="533"/>
      <c r="X4993" s="533"/>
      <c r="Y4993" s="533"/>
    </row>
    <row r="4994" spans="1:25" s="88" customFormat="1" hidden="1" x14ac:dyDescent="0.25">
      <c r="A4994" s="509"/>
      <c r="B4994" s="256"/>
      <c r="C4994" s="221"/>
      <c r="D4994" s="218"/>
      <c r="E4994" s="218"/>
      <c r="F4994" s="527">
        <v>422</v>
      </c>
      <c r="G4994" s="520" t="s">
        <v>3798</v>
      </c>
      <c r="H4994" s="594"/>
      <c r="I4994" s="595"/>
      <c r="J4994" s="595">
        <f t="shared" si="154"/>
        <v>0</v>
      </c>
      <c r="K4994" s="533"/>
      <c r="L4994" s="533"/>
      <c r="M4994" s="533"/>
      <c r="N4994" s="533"/>
      <c r="O4994" s="533"/>
      <c r="P4994" s="533"/>
      <c r="Q4994" s="533"/>
      <c r="R4994" s="533"/>
      <c r="S4994" s="533"/>
      <c r="T4994" s="533"/>
      <c r="U4994" s="533"/>
      <c r="V4994" s="533"/>
      <c r="W4994" s="533"/>
      <c r="X4994" s="533"/>
      <c r="Y4994" s="533"/>
    </row>
    <row r="4995" spans="1:25" s="88" customFormat="1" hidden="1" x14ac:dyDescent="0.25">
      <c r="A4995" s="509"/>
      <c r="B4995" s="256"/>
      <c r="C4995" s="221"/>
      <c r="D4995" s="218"/>
      <c r="E4995" s="218"/>
      <c r="F4995" s="527">
        <v>423</v>
      </c>
      <c r="G4995" s="520" t="s">
        <v>3799</v>
      </c>
      <c r="H4995" s="594"/>
      <c r="I4995" s="595"/>
      <c r="J4995" s="595">
        <f t="shared" si="154"/>
        <v>0</v>
      </c>
      <c r="K4995" s="533"/>
      <c r="L4995" s="533"/>
      <c r="M4995" s="533"/>
      <c r="N4995" s="533"/>
      <c r="O4995" s="533"/>
      <c r="P4995" s="533"/>
      <c r="Q4995" s="533"/>
      <c r="R4995" s="533"/>
      <c r="S4995" s="533"/>
      <c r="T4995" s="533"/>
      <c r="U4995" s="533"/>
      <c r="V4995" s="533"/>
      <c r="W4995" s="533"/>
      <c r="X4995" s="533"/>
      <c r="Y4995" s="533"/>
    </row>
    <row r="4996" spans="1:25" s="88" customFormat="1" hidden="1" x14ac:dyDescent="0.25">
      <c r="A4996" s="509"/>
      <c r="B4996" s="256"/>
      <c r="C4996" s="221"/>
      <c r="D4996" s="218"/>
      <c r="E4996" s="218"/>
      <c r="F4996" s="527">
        <v>424</v>
      </c>
      <c r="G4996" s="520" t="s">
        <v>3801</v>
      </c>
      <c r="H4996" s="594"/>
      <c r="I4996" s="595"/>
      <c r="J4996" s="595">
        <f t="shared" si="154"/>
        <v>0</v>
      </c>
      <c r="K4996" s="533"/>
      <c r="L4996" s="533"/>
      <c r="M4996" s="533"/>
      <c r="N4996" s="533"/>
      <c r="O4996" s="533"/>
      <c r="P4996" s="533"/>
      <c r="Q4996" s="533"/>
      <c r="R4996" s="533"/>
      <c r="S4996" s="533"/>
      <c r="T4996" s="533"/>
      <c r="U4996" s="533"/>
      <c r="V4996" s="533"/>
      <c r="W4996" s="533"/>
      <c r="X4996" s="533"/>
      <c r="Y4996" s="533"/>
    </row>
    <row r="4997" spans="1:25" s="88" customFormat="1" hidden="1" x14ac:dyDescent="0.25">
      <c r="A4997" s="509"/>
      <c r="B4997" s="256"/>
      <c r="C4997" s="221"/>
      <c r="D4997" s="218"/>
      <c r="E4997" s="218"/>
      <c r="F4997" s="527">
        <v>425</v>
      </c>
      <c r="G4997" s="520" t="s">
        <v>4202</v>
      </c>
      <c r="H4997" s="594"/>
      <c r="I4997" s="595"/>
      <c r="J4997" s="595">
        <f t="shared" si="154"/>
        <v>0</v>
      </c>
      <c r="K4997" s="533"/>
      <c r="L4997" s="533"/>
      <c r="M4997" s="533"/>
      <c r="N4997" s="533"/>
      <c r="O4997" s="533"/>
      <c r="P4997" s="533"/>
      <c r="Q4997" s="533"/>
      <c r="R4997" s="533"/>
      <c r="S4997" s="533"/>
      <c r="T4997" s="533"/>
      <c r="U4997" s="533"/>
      <c r="V4997" s="533"/>
      <c r="W4997" s="533"/>
      <c r="X4997" s="533"/>
      <c r="Y4997" s="533"/>
    </row>
    <row r="4998" spans="1:25" s="88" customFormat="1" hidden="1" x14ac:dyDescent="0.25">
      <c r="A4998" s="509"/>
      <c r="B4998" s="256"/>
      <c r="C4998" s="221"/>
      <c r="D4998" s="218"/>
      <c r="E4998" s="218"/>
      <c r="F4998" s="527">
        <v>426</v>
      </c>
      <c r="G4998" s="520" t="s">
        <v>3805</v>
      </c>
      <c r="H4998" s="594"/>
      <c r="I4998" s="595"/>
      <c r="J4998" s="595">
        <f t="shared" si="154"/>
        <v>0</v>
      </c>
      <c r="K4998" s="533"/>
      <c r="L4998" s="533"/>
      <c r="M4998" s="533"/>
      <c r="N4998" s="533"/>
      <c r="O4998" s="533"/>
      <c r="P4998" s="533"/>
      <c r="Q4998" s="533"/>
      <c r="R4998" s="533"/>
      <c r="S4998" s="533"/>
      <c r="T4998" s="533"/>
      <c r="U4998" s="533"/>
      <c r="V4998" s="533"/>
      <c r="W4998" s="533"/>
      <c r="X4998" s="533"/>
      <c r="Y4998" s="533"/>
    </row>
    <row r="4999" spans="1:25" s="88" customFormat="1" hidden="1" x14ac:dyDescent="0.25">
      <c r="A4999" s="509"/>
      <c r="B4999" s="256"/>
      <c r="C4999" s="221"/>
      <c r="D4999" s="218"/>
      <c r="E4999" s="218"/>
      <c r="F4999" s="527">
        <v>431</v>
      </c>
      <c r="G4999" s="520" t="s">
        <v>4203</v>
      </c>
      <c r="H4999" s="594"/>
      <c r="I4999" s="595"/>
      <c r="J4999" s="595">
        <f t="shared" si="154"/>
        <v>0</v>
      </c>
      <c r="K4999" s="533"/>
      <c r="L4999" s="533"/>
      <c r="M4999" s="533"/>
      <c r="N4999" s="533"/>
      <c r="O4999" s="533"/>
      <c r="P4999" s="533"/>
      <c r="Q4999" s="533"/>
      <c r="R4999" s="533"/>
      <c r="S4999" s="533"/>
      <c r="T4999" s="533"/>
      <c r="U4999" s="533"/>
      <c r="V4999" s="533"/>
      <c r="W4999" s="533"/>
      <c r="X4999" s="533"/>
      <c r="Y4999" s="533"/>
    </row>
    <row r="5000" spans="1:25" s="88" customFormat="1" hidden="1" x14ac:dyDescent="0.25">
      <c r="A5000" s="509"/>
      <c r="B5000" s="256"/>
      <c r="C5000" s="221"/>
      <c r="D5000" s="218"/>
      <c r="E5000" s="218"/>
      <c r="F5000" s="527">
        <v>432</v>
      </c>
      <c r="G5000" s="520" t="s">
        <v>4204</v>
      </c>
      <c r="H5000" s="594"/>
      <c r="I5000" s="595"/>
      <c r="J5000" s="595">
        <f t="shared" si="154"/>
        <v>0</v>
      </c>
      <c r="K5000" s="533"/>
      <c r="L5000" s="533"/>
      <c r="M5000" s="533"/>
      <c r="N5000" s="533"/>
      <c r="O5000" s="533"/>
      <c r="P5000" s="533"/>
      <c r="Q5000" s="533"/>
      <c r="R5000" s="533"/>
      <c r="S5000" s="533"/>
      <c r="T5000" s="533"/>
      <c r="U5000" s="533"/>
      <c r="V5000" s="533"/>
      <c r="W5000" s="533"/>
      <c r="X5000" s="533"/>
      <c r="Y5000" s="533"/>
    </row>
    <row r="5001" spans="1:25" s="88" customFormat="1" hidden="1" x14ac:dyDescent="0.25">
      <c r="A5001" s="509"/>
      <c r="B5001" s="256"/>
      <c r="C5001" s="221"/>
      <c r="D5001" s="218"/>
      <c r="E5001" s="218"/>
      <c r="F5001" s="527">
        <v>433</v>
      </c>
      <c r="G5001" s="520" t="s">
        <v>4205</v>
      </c>
      <c r="H5001" s="594"/>
      <c r="I5001" s="595"/>
      <c r="J5001" s="595">
        <f t="shared" si="154"/>
        <v>0</v>
      </c>
      <c r="K5001" s="533"/>
      <c r="L5001" s="533"/>
      <c r="M5001" s="533"/>
      <c r="N5001" s="533"/>
      <c r="O5001" s="533"/>
      <c r="P5001" s="533"/>
      <c r="Q5001" s="533"/>
      <c r="R5001" s="533"/>
      <c r="S5001" s="533"/>
      <c r="T5001" s="533"/>
      <c r="U5001" s="533"/>
      <c r="V5001" s="533"/>
      <c r="W5001" s="533"/>
      <c r="X5001" s="533"/>
      <c r="Y5001" s="533"/>
    </row>
    <row r="5002" spans="1:25" s="88" customFormat="1" hidden="1" x14ac:dyDescent="0.25">
      <c r="A5002" s="509"/>
      <c r="B5002" s="256"/>
      <c r="C5002" s="221"/>
      <c r="D5002" s="218"/>
      <c r="E5002" s="218"/>
      <c r="F5002" s="527">
        <v>434</v>
      </c>
      <c r="G5002" s="520" t="s">
        <v>4206</v>
      </c>
      <c r="H5002" s="594"/>
      <c r="I5002" s="595"/>
      <c r="J5002" s="595">
        <f t="shared" si="154"/>
        <v>0</v>
      </c>
      <c r="K5002" s="533"/>
      <c r="L5002" s="533"/>
      <c r="M5002" s="533"/>
      <c r="N5002" s="533"/>
      <c r="O5002" s="533"/>
      <c r="P5002" s="533"/>
      <c r="Q5002" s="533"/>
      <c r="R5002" s="533"/>
      <c r="S5002" s="533"/>
      <c r="T5002" s="533"/>
      <c r="U5002" s="533"/>
      <c r="V5002" s="533"/>
      <c r="W5002" s="533"/>
      <c r="X5002" s="533"/>
      <c r="Y5002" s="533"/>
    </row>
    <row r="5003" spans="1:25" s="88" customFormat="1" hidden="1" x14ac:dyDescent="0.25">
      <c r="A5003" s="509"/>
      <c r="B5003" s="256"/>
      <c r="C5003" s="221"/>
      <c r="D5003" s="218"/>
      <c r="E5003" s="218"/>
      <c r="F5003" s="527">
        <v>435</v>
      </c>
      <c r="G5003" s="520" t="s">
        <v>3812</v>
      </c>
      <c r="H5003" s="594"/>
      <c r="I5003" s="595"/>
      <c r="J5003" s="595">
        <f t="shared" si="154"/>
        <v>0</v>
      </c>
      <c r="K5003" s="533"/>
      <c r="L5003" s="533"/>
      <c r="M5003" s="533"/>
      <c r="N5003" s="533"/>
      <c r="O5003" s="533"/>
      <c r="P5003" s="533"/>
      <c r="Q5003" s="533"/>
      <c r="R5003" s="533"/>
      <c r="S5003" s="533"/>
      <c r="T5003" s="533"/>
      <c r="U5003" s="533"/>
      <c r="V5003" s="533"/>
      <c r="W5003" s="533"/>
      <c r="X5003" s="533"/>
      <c r="Y5003" s="533"/>
    </row>
    <row r="5004" spans="1:25" s="88" customFormat="1" hidden="1" x14ac:dyDescent="0.25">
      <c r="A5004" s="509"/>
      <c r="B5004" s="256"/>
      <c r="C5004" s="221"/>
      <c r="D5004" s="218"/>
      <c r="E5004" s="218"/>
      <c r="F5004" s="527">
        <v>441</v>
      </c>
      <c r="G5004" s="520" t="s">
        <v>4207</v>
      </c>
      <c r="H5004" s="594"/>
      <c r="I5004" s="595"/>
      <c r="J5004" s="595">
        <f t="shared" si="154"/>
        <v>0</v>
      </c>
      <c r="K5004" s="533"/>
      <c r="L5004" s="533"/>
      <c r="M5004" s="533"/>
      <c r="N5004" s="533"/>
      <c r="O5004" s="533"/>
      <c r="P5004" s="533"/>
      <c r="Q5004" s="533"/>
      <c r="R5004" s="533"/>
      <c r="S5004" s="533"/>
      <c r="T5004" s="533"/>
      <c r="U5004" s="533"/>
      <c r="V5004" s="533"/>
      <c r="W5004" s="533"/>
      <c r="X5004" s="533"/>
      <c r="Y5004" s="533"/>
    </row>
    <row r="5005" spans="1:25" s="88" customFormat="1" hidden="1" x14ac:dyDescent="0.25">
      <c r="A5005" s="509"/>
      <c r="B5005" s="256"/>
      <c r="C5005" s="221"/>
      <c r="D5005" s="218"/>
      <c r="E5005" s="218"/>
      <c r="F5005" s="527">
        <v>442</v>
      </c>
      <c r="G5005" s="520" t="s">
        <v>4208</v>
      </c>
      <c r="H5005" s="594"/>
      <c r="I5005" s="595"/>
      <c r="J5005" s="595">
        <f t="shared" si="154"/>
        <v>0</v>
      </c>
      <c r="K5005" s="533"/>
      <c r="L5005" s="533"/>
      <c r="M5005" s="533"/>
      <c r="N5005" s="533"/>
      <c r="O5005" s="533"/>
      <c r="P5005" s="533"/>
      <c r="Q5005" s="533"/>
      <c r="R5005" s="533"/>
      <c r="S5005" s="533"/>
      <c r="T5005" s="533"/>
      <c r="U5005" s="533"/>
      <c r="V5005" s="533"/>
      <c r="W5005" s="533"/>
      <c r="X5005" s="533"/>
      <c r="Y5005" s="533"/>
    </row>
    <row r="5006" spans="1:25" s="88" customFormat="1" hidden="1" x14ac:dyDescent="0.25">
      <c r="A5006" s="509"/>
      <c r="B5006" s="256"/>
      <c r="C5006" s="221"/>
      <c r="D5006" s="218"/>
      <c r="E5006" s="218"/>
      <c r="F5006" s="527">
        <v>443</v>
      </c>
      <c r="G5006" s="520" t="s">
        <v>3817</v>
      </c>
      <c r="H5006" s="594"/>
      <c r="I5006" s="595"/>
      <c r="J5006" s="595">
        <f t="shared" si="154"/>
        <v>0</v>
      </c>
      <c r="K5006" s="533"/>
      <c r="L5006" s="533"/>
      <c r="M5006" s="533"/>
      <c r="N5006" s="533"/>
      <c r="O5006" s="533"/>
      <c r="P5006" s="533"/>
      <c r="Q5006" s="533"/>
      <c r="R5006" s="533"/>
      <c r="S5006" s="533"/>
      <c r="T5006" s="533"/>
      <c r="U5006" s="533"/>
      <c r="V5006" s="533"/>
      <c r="W5006" s="533"/>
      <c r="X5006" s="533"/>
      <c r="Y5006" s="533"/>
    </row>
    <row r="5007" spans="1:25" s="88" customFormat="1" hidden="1" x14ac:dyDescent="0.25">
      <c r="A5007" s="509"/>
      <c r="B5007" s="256"/>
      <c r="C5007" s="221"/>
      <c r="D5007" s="218"/>
      <c r="E5007" s="218"/>
      <c r="F5007" s="527">
        <v>444</v>
      </c>
      <c r="G5007" s="520" t="s">
        <v>3818</v>
      </c>
      <c r="H5007" s="594"/>
      <c r="I5007" s="595"/>
      <c r="J5007" s="595">
        <f t="shared" si="154"/>
        <v>0</v>
      </c>
      <c r="K5007" s="533"/>
      <c r="L5007" s="533"/>
      <c r="M5007" s="533"/>
      <c r="N5007" s="533"/>
      <c r="O5007" s="533"/>
      <c r="P5007" s="533"/>
      <c r="Q5007" s="533"/>
      <c r="R5007" s="533"/>
      <c r="S5007" s="533"/>
      <c r="T5007" s="533"/>
      <c r="U5007" s="533"/>
      <c r="V5007" s="533"/>
      <c r="W5007" s="533"/>
      <c r="X5007" s="533"/>
      <c r="Y5007" s="533"/>
    </row>
    <row r="5008" spans="1:25" s="88" customFormat="1" ht="30" hidden="1" x14ac:dyDescent="0.25">
      <c r="A5008" s="509"/>
      <c r="B5008" s="256"/>
      <c r="C5008" s="221"/>
      <c r="D5008" s="218"/>
      <c r="E5008" s="218"/>
      <c r="F5008" s="527">
        <v>4511</v>
      </c>
      <c r="G5008" s="223" t="s">
        <v>1692</v>
      </c>
      <c r="H5008" s="594"/>
      <c r="I5008" s="595"/>
      <c r="J5008" s="595">
        <f t="shared" si="154"/>
        <v>0</v>
      </c>
      <c r="K5008" s="533"/>
      <c r="L5008" s="533"/>
      <c r="M5008" s="533"/>
      <c r="N5008" s="533"/>
      <c r="O5008" s="533"/>
      <c r="P5008" s="533"/>
      <c r="Q5008" s="533"/>
      <c r="R5008" s="533"/>
      <c r="S5008" s="533"/>
      <c r="T5008" s="533"/>
      <c r="U5008" s="533"/>
      <c r="V5008" s="533"/>
      <c r="W5008" s="533"/>
      <c r="X5008" s="533"/>
      <c r="Y5008" s="533"/>
    </row>
    <row r="5009" spans="1:25" s="88" customFormat="1" ht="30" hidden="1" x14ac:dyDescent="0.25">
      <c r="A5009" s="509"/>
      <c r="B5009" s="256"/>
      <c r="C5009" s="221"/>
      <c r="D5009" s="218"/>
      <c r="E5009" s="218"/>
      <c r="F5009" s="527">
        <v>4512</v>
      </c>
      <c r="G5009" s="223" t="s">
        <v>1701</v>
      </c>
      <c r="H5009" s="594"/>
      <c r="I5009" s="595"/>
      <c r="J5009" s="595">
        <f t="shared" si="154"/>
        <v>0</v>
      </c>
      <c r="K5009" s="533"/>
      <c r="L5009" s="533"/>
      <c r="M5009" s="533"/>
      <c r="N5009" s="533"/>
      <c r="O5009" s="533"/>
      <c r="P5009" s="533"/>
      <c r="Q5009" s="533"/>
      <c r="R5009" s="533"/>
      <c r="S5009" s="533"/>
      <c r="T5009" s="533"/>
      <c r="U5009" s="533"/>
      <c r="V5009" s="533"/>
      <c r="W5009" s="533"/>
      <c r="X5009" s="533"/>
      <c r="Y5009" s="533"/>
    </row>
    <row r="5010" spans="1:25" s="88" customFormat="1" hidden="1" x14ac:dyDescent="0.25">
      <c r="A5010" s="509"/>
      <c r="B5010" s="256"/>
      <c r="C5010" s="221"/>
      <c r="D5010" s="218"/>
      <c r="E5010" s="218"/>
      <c r="F5010" s="527">
        <v>452</v>
      </c>
      <c r="G5010" s="520" t="s">
        <v>4209</v>
      </c>
      <c r="H5010" s="594"/>
      <c r="I5010" s="595"/>
      <c r="J5010" s="595">
        <f t="shared" si="154"/>
        <v>0</v>
      </c>
      <c r="K5010" s="533"/>
      <c r="L5010" s="533"/>
      <c r="M5010" s="533"/>
      <c r="N5010" s="533"/>
      <c r="O5010" s="533"/>
      <c r="P5010" s="533"/>
      <c r="Q5010" s="533"/>
      <c r="R5010" s="533"/>
      <c r="S5010" s="533"/>
      <c r="T5010" s="533"/>
      <c r="U5010" s="533"/>
      <c r="V5010" s="533"/>
      <c r="W5010" s="533"/>
      <c r="X5010" s="533"/>
      <c r="Y5010" s="533"/>
    </row>
    <row r="5011" spans="1:25" s="88" customFormat="1" hidden="1" x14ac:dyDescent="0.25">
      <c r="A5011" s="509"/>
      <c r="B5011" s="256"/>
      <c r="C5011" s="221"/>
      <c r="D5011" s="218"/>
      <c r="E5011" s="218"/>
      <c r="F5011" s="527">
        <v>453</v>
      </c>
      <c r="G5011" s="520" t="s">
        <v>4210</v>
      </c>
      <c r="H5011" s="594"/>
      <c r="I5011" s="595"/>
      <c r="J5011" s="595">
        <f t="shared" si="154"/>
        <v>0</v>
      </c>
      <c r="K5011" s="533"/>
      <c r="L5011" s="533"/>
      <c r="M5011" s="533"/>
      <c r="N5011" s="533"/>
      <c r="O5011" s="533"/>
      <c r="P5011" s="533"/>
      <c r="Q5011" s="533"/>
      <c r="R5011" s="533"/>
      <c r="S5011" s="533"/>
      <c r="T5011" s="533"/>
      <c r="U5011" s="533"/>
      <c r="V5011" s="533"/>
      <c r="W5011" s="533"/>
      <c r="X5011" s="533"/>
      <c r="Y5011" s="533"/>
    </row>
    <row r="5012" spans="1:25" s="88" customFormat="1" hidden="1" x14ac:dyDescent="0.25">
      <c r="A5012" s="509"/>
      <c r="B5012" s="256"/>
      <c r="C5012" s="221"/>
      <c r="D5012" s="218"/>
      <c r="E5012" s="218"/>
      <c r="F5012" s="527">
        <v>454</v>
      </c>
      <c r="G5012" s="520" t="s">
        <v>3823</v>
      </c>
      <c r="H5012" s="594"/>
      <c r="I5012" s="595"/>
      <c r="J5012" s="595">
        <f t="shared" si="154"/>
        <v>0</v>
      </c>
      <c r="K5012" s="533"/>
      <c r="L5012" s="533"/>
      <c r="M5012" s="533"/>
      <c r="N5012" s="533"/>
      <c r="O5012" s="533"/>
      <c r="P5012" s="533"/>
      <c r="Q5012" s="533"/>
      <c r="R5012" s="533"/>
      <c r="S5012" s="533"/>
      <c r="T5012" s="533"/>
      <c r="U5012" s="533"/>
      <c r="V5012" s="533"/>
      <c r="W5012" s="533"/>
      <c r="X5012" s="533"/>
      <c r="Y5012" s="533"/>
    </row>
    <row r="5013" spans="1:25" s="88" customFormat="1" hidden="1" x14ac:dyDescent="0.25">
      <c r="A5013" s="509"/>
      <c r="B5013" s="256"/>
      <c r="C5013" s="221"/>
      <c r="D5013" s="218"/>
      <c r="E5013" s="218"/>
      <c r="F5013" s="527">
        <v>461</v>
      </c>
      <c r="G5013" s="520" t="s">
        <v>4191</v>
      </c>
      <c r="H5013" s="594"/>
      <c r="I5013" s="595"/>
      <c r="J5013" s="595">
        <f t="shared" si="154"/>
        <v>0</v>
      </c>
      <c r="K5013" s="533"/>
      <c r="L5013" s="533"/>
      <c r="M5013" s="533"/>
      <c r="N5013" s="533"/>
      <c r="O5013" s="533"/>
      <c r="P5013" s="533"/>
      <c r="Q5013" s="533"/>
      <c r="R5013" s="533"/>
      <c r="S5013" s="533"/>
      <c r="T5013" s="533"/>
      <c r="U5013" s="533"/>
      <c r="V5013" s="533"/>
      <c r="W5013" s="533"/>
      <c r="X5013" s="533"/>
      <c r="Y5013" s="533"/>
    </row>
    <row r="5014" spans="1:25" s="88" customFormat="1" hidden="1" x14ac:dyDescent="0.25">
      <c r="A5014" s="509"/>
      <c r="B5014" s="256"/>
      <c r="C5014" s="221"/>
      <c r="D5014" s="218"/>
      <c r="E5014" s="218"/>
      <c r="F5014" s="527">
        <v>462</v>
      </c>
      <c r="G5014" s="520" t="s">
        <v>3826</v>
      </c>
      <c r="H5014" s="594"/>
      <c r="I5014" s="595"/>
      <c r="J5014" s="595">
        <f t="shared" si="154"/>
        <v>0</v>
      </c>
      <c r="K5014" s="533"/>
      <c r="L5014" s="533"/>
      <c r="M5014" s="533"/>
      <c r="N5014" s="533"/>
      <c r="O5014" s="533"/>
      <c r="P5014" s="533"/>
      <c r="Q5014" s="533"/>
      <c r="R5014" s="533"/>
      <c r="S5014" s="533"/>
      <c r="T5014" s="533"/>
      <c r="U5014" s="533"/>
      <c r="V5014" s="533"/>
      <c r="W5014" s="533"/>
      <c r="X5014" s="533"/>
      <c r="Y5014" s="533"/>
    </row>
    <row r="5015" spans="1:25" s="88" customFormat="1" hidden="1" x14ac:dyDescent="0.25">
      <c r="A5015" s="509"/>
      <c r="B5015" s="256"/>
      <c r="C5015" s="221"/>
      <c r="D5015" s="218"/>
      <c r="E5015" s="218"/>
      <c r="F5015" s="527">
        <v>4631</v>
      </c>
      <c r="G5015" s="520" t="s">
        <v>3827</v>
      </c>
      <c r="H5015" s="594"/>
      <c r="I5015" s="595"/>
      <c r="J5015" s="595">
        <f t="shared" si="154"/>
        <v>0</v>
      </c>
      <c r="K5015" s="533"/>
      <c r="L5015" s="533"/>
      <c r="M5015" s="533"/>
      <c r="N5015" s="533"/>
      <c r="O5015" s="533"/>
      <c r="P5015" s="533"/>
      <c r="Q5015" s="533"/>
      <c r="R5015" s="533"/>
      <c r="S5015" s="533"/>
      <c r="T5015" s="533"/>
      <c r="U5015" s="533"/>
      <c r="V5015" s="533"/>
      <c r="W5015" s="533"/>
      <c r="X5015" s="533"/>
      <c r="Y5015" s="533"/>
    </row>
    <row r="5016" spans="1:25" s="88" customFormat="1" hidden="1" x14ac:dyDescent="0.25">
      <c r="A5016" s="509"/>
      <c r="B5016" s="256"/>
      <c r="C5016" s="221"/>
      <c r="D5016" s="218"/>
      <c r="E5016" s="218"/>
      <c r="F5016" s="527">
        <v>4632</v>
      </c>
      <c r="G5016" s="520" t="s">
        <v>3828</v>
      </c>
      <c r="H5016" s="594"/>
      <c r="I5016" s="595"/>
      <c r="J5016" s="595">
        <f t="shared" si="154"/>
        <v>0</v>
      </c>
      <c r="K5016" s="533"/>
      <c r="L5016" s="533"/>
      <c r="M5016" s="533"/>
      <c r="N5016" s="533"/>
      <c r="O5016" s="533"/>
      <c r="P5016" s="533"/>
      <c r="Q5016" s="533"/>
      <c r="R5016" s="533"/>
      <c r="S5016" s="533"/>
      <c r="T5016" s="533"/>
      <c r="U5016" s="533"/>
      <c r="V5016" s="533"/>
      <c r="W5016" s="533"/>
      <c r="X5016" s="533"/>
      <c r="Y5016" s="533"/>
    </row>
    <row r="5017" spans="1:25" s="88" customFormat="1" hidden="1" x14ac:dyDescent="0.25">
      <c r="A5017" s="509"/>
      <c r="B5017" s="256"/>
      <c r="C5017" s="221"/>
      <c r="D5017" s="218"/>
      <c r="E5017" s="218"/>
      <c r="F5017" s="527">
        <v>464</v>
      </c>
      <c r="G5017" s="520" t="s">
        <v>3829</v>
      </c>
      <c r="H5017" s="594"/>
      <c r="I5017" s="595"/>
      <c r="J5017" s="595">
        <f t="shared" si="154"/>
        <v>0</v>
      </c>
      <c r="K5017" s="533"/>
      <c r="L5017" s="533"/>
      <c r="M5017" s="533"/>
      <c r="N5017" s="533"/>
      <c r="O5017" s="533"/>
      <c r="P5017" s="533"/>
      <c r="Q5017" s="533"/>
      <c r="R5017" s="533"/>
      <c r="S5017" s="533"/>
      <c r="T5017" s="533"/>
      <c r="U5017" s="533"/>
      <c r="V5017" s="533"/>
      <c r="W5017" s="533"/>
      <c r="X5017" s="533"/>
      <c r="Y5017" s="533"/>
    </row>
    <row r="5018" spans="1:25" s="88" customFormat="1" hidden="1" x14ac:dyDescent="0.25">
      <c r="A5018" s="509"/>
      <c r="B5018" s="256"/>
      <c r="C5018" s="221"/>
      <c r="D5018" s="218"/>
      <c r="E5018" s="218"/>
      <c r="F5018" s="527">
        <v>465</v>
      </c>
      <c r="G5018" s="520" t="s">
        <v>4192</v>
      </c>
      <c r="H5018" s="594"/>
      <c r="I5018" s="595"/>
      <c r="J5018" s="595">
        <f t="shared" si="154"/>
        <v>0</v>
      </c>
      <c r="K5018" s="533"/>
      <c r="L5018" s="533"/>
      <c r="M5018" s="533"/>
      <c r="N5018" s="533"/>
      <c r="O5018" s="533"/>
      <c r="P5018" s="533"/>
      <c r="Q5018" s="533"/>
      <c r="R5018" s="533"/>
      <c r="S5018" s="533"/>
      <c r="T5018" s="533"/>
      <c r="U5018" s="533"/>
      <c r="V5018" s="533"/>
      <c r="W5018" s="533"/>
      <c r="X5018" s="533"/>
      <c r="Y5018" s="533"/>
    </row>
    <row r="5019" spans="1:25" s="88" customFormat="1" hidden="1" x14ac:dyDescent="0.25">
      <c r="A5019" s="509"/>
      <c r="B5019" s="256"/>
      <c r="C5019" s="221"/>
      <c r="D5019" s="218"/>
      <c r="E5019" s="218"/>
      <c r="F5019" s="527">
        <v>472</v>
      </c>
      <c r="G5019" s="520" t="s">
        <v>3833</v>
      </c>
      <c r="H5019" s="594"/>
      <c r="I5019" s="595"/>
      <c r="J5019" s="595">
        <f t="shared" si="154"/>
        <v>0</v>
      </c>
      <c r="K5019" s="533"/>
      <c r="L5019" s="533"/>
      <c r="M5019" s="533"/>
      <c r="N5019" s="533"/>
      <c r="O5019" s="533"/>
      <c r="P5019" s="533"/>
      <c r="Q5019" s="533"/>
      <c r="R5019" s="533"/>
      <c r="S5019" s="533"/>
      <c r="T5019" s="533"/>
      <c r="U5019" s="533"/>
      <c r="V5019" s="533"/>
      <c r="W5019" s="533"/>
      <c r="X5019" s="533"/>
      <c r="Y5019" s="533"/>
    </row>
    <row r="5020" spans="1:25" s="88" customFormat="1" hidden="1" x14ac:dyDescent="0.25">
      <c r="A5020" s="509"/>
      <c r="B5020" s="256"/>
      <c r="C5020" s="221"/>
      <c r="D5020" s="218"/>
      <c r="E5020" s="218"/>
      <c r="F5020" s="527">
        <v>481</v>
      </c>
      <c r="G5020" s="520" t="s">
        <v>4211</v>
      </c>
      <c r="H5020" s="594"/>
      <c r="I5020" s="595"/>
      <c r="J5020" s="595">
        <f t="shared" si="154"/>
        <v>0</v>
      </c>
      <c r="K5020" s="533"/>
      <c r="L5020" s="533"/>
      <c r="M5020" s="533"/>
      <c r="N5020" s="533"/>
      <c r="O5020" s="533"/>
      <c r="P5020" s="533"/>
      <c r="Q5020" s="533"/>
      <c r="R5020" s="533"/>
      <c r="S5020" s="533"/>
      <c r="T5020" s="533"/>
      <c r="U5020" s="533"/>
      <c r="V5020" s="533"/>
      <c r="W5020" s="533"/>
      <c r="X5020" s="533"/>
      <c r="Y5020" s="533"/>
    </row>
    <row r="5021" spans="1:25" s="88" customFormat="1" hidden="1" x14ac:dyDescent="0.25">
      <c r="A5021" s="509"/>
      <c r="B5021" s="256"/>
      <c r="C5021" s="221"/>
      <c r="D5021" s="218"/>
      <c r="E5021" s="218"/>
      <c r="F5021" s="527">
        <v>482</v>
      </c>
      <c r="G5021" s="520" t="s">
        <v>4212</v>
      </c>
      <c r="H5021" s="594"/>
      <c r="I5021" s="595"/>
      <c r="J5021" s="595">
        <f t="shared" si="154"/>
        <v>0</v>
      </c>
      <c r="K5021" s="533"/>
      <c r="L5021" s="533"/>
      <c r="M5021" s="533"/>
      <c r="N5021" s="533"/>
      <c r="O5021" s="533"/>
      <c r="P5021" s="533"/>
      <c r="Q5021" s="533"/>
      <c r="R5021" s="533"/>
      <c r="S5021" s="533"/>
      <c r="T5021" s="533"/>
      <c r="U5021" s="533"/>
      <c r="V5021" s="533"/>
      <c r="W5021" s="533"/>
      <c r="X5021" s="533"/>
      <c r="Y5021" s="533"/>
    </row>
    <row r="5022" spans="1:25" s="88" customFormat="1" hidden="1" x14ac:dyDescent="0.25">
      <c r="A5022" s="509"/>
      <c r="B5022" s="256"/>
      <c r="C5022" s="221"/>
      <c r="D5022" s="218"/>
      <c r="E5022" s="218"/>
      <c r="F5022" s="527">
        <v>483</v>
      </c>
      <c r="G5022" s="524" t="s">
        <v>4213</v>
      </c>
      <c r="H5022" s="594"/>
      <c r="I5022" s="595"/>
      <c r="J5022" s="595">
        <f t="shared" si="154"/>
        <v>0</v>
      </c>
      <c r="K5022" s="533"/>
      <c r="L5022" s="533"/>
      <c r="M5022" s="533"/>
      <c r="N5022" s="533"/>
      <c r="O5022" s="533"/>
      <c r="P5022" s="533"/>
      <c r="Q5022" s="533"/>
      <c r="R5022" s="533"/>
      <c r="S5022" s="533"/>
      <c r="T5022" s="533"/>
      <c r="U5022" s="533"/>
      <c r="V5022" s="533"/>
      <c r="W5022" s="533"/>
      <c r="X5022" s="533"/>
      <c r="Y5022" s="533"/>
    </row>
    <row r="5023" spans="1:25" s="88" customFormat="1" ht="30" hidden="1" x14ac:dyDescent="0.25">
      <c r="A5023" s="509"/>
      <c r="B5023" s="256"/>
      <c r="C5023" s="221"/>
      <c r="D5023" s="218"/>
      <c r="E5023" s="218"/>
      <c r="F5023" s="527">
        <v>484</v>
      </c>
      <c r="G5023" s="520" t="s">
        <v>4214</v>
      </c>
      <c r="H5023" s="594"/>
      <c r="I5023" s="595"/>
      <c r="J5023" s="595">
        <f t="shared" si="154"/>
        <v>0</v>
      </c>
      <c r="K5023" s="533"/>
      <c r="L5023" s="533"/>
      <c r="M5023" s="533"/>
      <c r="N5023" s="533"/>
      <c r="O5023" s="533"/>
      <c r="P5023" s="533"/>
      <c r="Q5023" s="533"/>
      <c r="R5023" s="533"/>
      <c r="S5023" s="533"/>
      <c r="T5023" s="533"/>
      <c r="U5023" s="533"/>
      <c r="V5023" s="533"/>
      <c r="W5023" s="533"/>
      <c r="X5023" s="533"/>
      <c r="Y5023" s="533"/>
    </row>
    <row r="5024" spans="1:25" s="88" customFormat="1" ht="30" hidden="1" x14ac:dyDescent="0.25">
      <c r="A5024" s="509"/>
      <c r="B5024" s="256"/>
      <c r="C5024" s="221"/>
      <c r="D5024" s="218"/>
      <c r="E5024" s="218"/>
      <c r="F5024" s="527">
        <v>485</v>
      </c>
      <c r="G5024" s="520" t="s">
        <v>4215</v>
      </c>
      <c r="H5024" s="594"/>
      <c r="I5024" s="595"/>
      <c r="J5024" s="595">
        <f t="shared" si="154"/>
        <v>0</v>
      </c>
      <c r="K5024" s="533"/>
      <c r="L5024" s="533"/>
      <c r="M5024" s="533"/>
      <c r="N5024" s="533"/>
      <c r="O5024" s="533"/>
      <c r="P5024" s="533"/>
      <c r="Q5024" s="533"/>
      <c r="R5024" s="533"/>
      <c r="S5024" s="533"/>
      <c r="T5024" s="533"/>
      <c r="U5024" s="533"/>
      <c r="V5024" s="533"/>
      <c r="W5024" s="533"/>
      <c r="X5024" s="533"/>
      <c r="Y5024" s="533"/>
    </row>
    <row r="5025" spans="1:25" s="88" customFormat="1" ht="30" hidden="1" x14ac:dyDescent="0.25">
      <c r="A5025" s="509"/>
      <c r="B5025" s="256"/>
      <c r="C5025" s="221"/>
      <c r="D5025" s="218"/>
      <c r="E5025" s="218"/>
      <c r="F5025" s="527">
        <v>489</v>
      </c>
      <c r="G5025" s="520" t="s">
        <v>3841</v>
      </c>
      <c r="H5025" s="594"/>
      <c r="I5025" s="595"/>
      <c r="J5025" s="595">
        <f t="shared" si="154"/>
        <v>0</v>
      </c>
      <c r="K5025" s="533"/>
      <c r="L5025" s="533"/>
      <c r="M5025" s="533"/>
      <c r="N5025" s="533"/>
      <c r="O5025" s="533"/>
      <c r="P5025" s="533"/>
      <c r="Q5025" s="533"/>
      <c r="R5025" s="533"/>
      <c r="S5025" s="533"/>
      <c r="T5025" s="533"/>
      <c r="U5025" s="533"/>
      <c r="V5025" s="533"/>
      <c r="W5025" s="533"/>
      <c r="X5025" s="533"/>
      <c r="Y5025" s="533"/>
    </row>
    <row r="5026" spans="1:25" s="88" customFormat="1" hidden="1" x14ac:dyDescent="0.25">
      <c r="A5026" s="509"/>
      <c r="B5026" s="256"/>
      <c r="C5026" s="221"/>
      <c r="D5026" s="218"/>
      <c r="E5026" s="218"/>
      <c r="F5026" s="527">
        <v>494</v>
      </c>
      <c r="G5026" s="520" t="s">
        <v>4193</v>
      </c>
      <c r="H5026" s="594"/>
      <c r="I5026" s="595"/>
      <c r="J5026" s="595">
        <f t="shared" si="154"/>
        <v>0</v>
      </c>
      <c r="K5026" s="533"/>
      <c r="L5026" s="533"/>
      <c r="M5026" s="533"/>
      <c r="N5026" s="533"/>
      <c r="O5026" s="533"/>
      <c r="P5026" s="533"/>
      <c r="Q5026" s="533"/>
      <c r="R5026" s="533"/>
      <c r="S5026" s="533"/>
      <c r="T5026" s="533"/>
      <c r="U5026" s="533"/>
      <c r="V5026" s="533"/>
      <c r="W5026" s="533"/>
      <c r="X5026" s="533"/>
      <c r="Y5026" s="533"/>
    </row>
    <row r="5027" spans="1:25" s="88" customFormat="1" ht="30" hidden="1" x14ac:dyDescent="0.25">
      <c r="A5027" s="509"/>
      <c r="B5027" s="256"/>
      <c r="C5027" s="221"/>
      <c r="D5027" s="218"/>
      <c r="E5027" s="218"/>
      <c r="F5027" s="527">
        <v>495</v>
      </c>
      <c r="G5027" s="520" t="s">
        <v>4194</v>
      </c>
      <c r="H5027" s="594"/>
      <c r="I5027" s="595"/>
      <c r="J5027" s="595">
        <f t="shared" si="154"/>
        <v>0</v>
      </c>
      <c r="K5027" s="533"/>
      <c r="L5027" s="533"/>
      <c r="M5027" s="533"/>
      <c r="N5027" s="533"/>
      <c r="O5027" s="533"/>
      <c r="P5027" s="533"/>
      <c r="Q5027" s="533"/>
      <c r="R5027" s="533"/>
      <c r="S5027" s="533"/>
      <c r="T5027" s="533"/>
      <c r="U5027" s="533"/>
      <c r="V5027" s="533"/>
      <c r="W5027" s="533"/>
      <c r="X5027" s="533"/>
      <c r="Y5027" s="533"/>
    </row>
    <row r="5028" spans="1:25" s="88" customFormat="1" ht="30" hidden="1" x14ac:dyDescent="0.25">
      <c r="A5028" s="509"/>
      <c r="B5028" s="256"/>
      <c r="C5028" s="221"/>
      <c r="D5028" s="218"/>
      <c r="E5028" s="218"/>
      <c r="F5028" s="527">
        <v>496</v>
      </c>
      <c r="G5028" s="520" t="s">
        <v>4195</v>
      </c>
      <c r="H5028" s="594"/>
      <c r="I5028" s="595"/>
      <c r="J5028" s="595">
        <f t="shared" si="154"/>
        <v>0</v>
      </c>
      <c r="K5028" s="533"/>
      <c r="L5028" s="533"/>
      <c r="M5028" s="533"/>
      <c r="N5028" s="533"/>
      <c r="O5028" s="533"/>
      <c r="P5028" s="533"/>
      <c r="Q5028" s="533"/>
      <c r="R5028" s="533"/>
      <c r="S5028" s="533"/>
      <c r="T5028" s="533"/>
      <c r="U5028" s="533"/>
      <c r="V5028" s="533"/>
      <c r="W5028" s="533"/>
      <c r="X5028" s="533"/>
      <c r="Y5028" s="533"/>
    </row>
    <row r="5029" spans="1:25" s="88" customFormat="1" hidden="1" x14ac:dyDescent="0.25">
      <c r="A5029" s="509"/>
      <c r="B5029" s="256"/>
      <c r="C5029" s="221"/>
      <c r="D5029" s="218"/>
      <c r="E5029" s="218"/>
      <c r="F5029" s="527">
        <v>499</v>
      </c>
      <c r="G5029" s="520" t="s">
        <v>4196</v>
      </c>
      <c r="H5029" s="594"/>
      <c r="I5029" s="595"/>
      <c r="J5029" s="595">
        <f t="shared" si="154"/>
        <v>0</v>
      </c>
      <c r="K5029" s="533"/>
      <c r="L5029" s="533"/>
      <c r="M5029" s="533"/>
      <c r="N5029" s="533"/>
      <c r="O5029" s="533"/>
      <c r="P5029" s="533"/>
      <c r="Q5029" s="533"/>
      <c r="R5029" s="533"/>
      <c r="S5029" s="533"/>
      <c r="T5029" s="533"/>
      <c r="U5029" s="533"/>
      <c r="V5029" s="533"/>
      <c r="W5029" s="533"/>
      <c r="X5029" s="533"/>
      <c r="Y5029" s="533"/>
    </row>
    <row r="5030" spans="1:25" s="88" customFormat="1" hidden="1" x14ac:dyDescent="0.25">
      <c r="A5030" s="509"/>
      <c r="B5030" s="256"/>
      <c r="C5030" s="221"/>
      <c r="D5030" s="218"/>
      <c r="E5030" s="218"/>
      <c r="F5030" s="527">
        <v>511</v>
      </c>
      <c r="G5030" s="524" t="s">
        <v>4216</v>
      </c>
      <c r="H5030" s="594"/>
      <c r="I5030" s="595"/>
      <c r="J5030" s="595">
        <f t="shared" si="154"/>
        <v>0</v>
      </c>
      <c r="K5030" s="533"/>
      <c r="L5030" s="533"/>
      <c r="M5030" s="533"/>
      <c r="N5030" s="533"/>
      <c r="O5030" s="533"/>
      <c r="P5030" s="533"/>
      <c r="Q5030" s="533"/>
      <c r="R5030" s="533"/>
      <c r="S5030" s="533"/>
      <c r="T5030" s="533"/>
      <c r="U5030" s="533"/>
      <c r="V5030" s="533"/>
      <c r="W5030" s="533"/>
      <c r="X5030" s="533"/>
      <c r="Y5030" s="533"/>
    </row>
    <row r="5031" spans="1:25" s="88" customFormat="1" hidden="1" x14ac:dyDescent="0.25">
      <c r="A5031" s="509"/>
      <c r="B5031" s="256"/>
      <c r="C5031" s="221"/>
      <c r="D5031" s="218"/>
      <c r="E5031" s="218"/>
      <c r="F5031" s="527">
        <v>512</v>
      </c>
      <c r="G5031" s="524" t="s">
        <v>4217</v>
      </c>
      <c r="H5031" s="594"/>
      <c r="I5031" s="595"/>
      <c r="J5031" s="595">
        <f t="shared" si="154"/>
        <v>0</v>
      </c>
      <c r="K5031" s="533"/>
      <c r="L5031" s="533"/>
      <c r="M5031" s="533"/>
      <c r="N5031" s="533"/>
      <c r="O5031" s="533"/>
      <c r="P5031" s="533"/>
      <c r="Q5031" s="533"/>
      <c r="R5031" s="533"/>
      <c r="S5031" s="533"/>
      <c r="T5031" s="533"/>
      <c r="U5031" s="533"/>
      <c r="V5031" s="533"/>
      <c r="W5031" s="533"/>
      <c r="X5031" s="533"/>
      <c r="Y5031" s="533"/>
    </row>
    <row r="5032" spans="1:25" s="88" customFormat="1" hidden="1" x14ac:dyDescent="0.25">
      <c r="A5032" s="509"/>
      <c r="B5032" s="256"/>
      <c r="C5032" s="221"/>
      <c r="D5032" s="218"/>
      <c r="E5032" s="218"/>
      <c r="F5032" s="527">
        <v>513</v>
      </c>
      <c r="G5032" s="524" t="s">
        <v>4218</v>
      </c>
      <c r="H5032" s="594"/>
      <c r="I5032" s="595"/>
      <c r="J5032" s="595">
        <f t="shared" si="154"/>
        <v>0</v>
      </c>
      <c r="K5032" s="533"/>
      <c r="L5032" s="533"/>
      <c r="M5032" s="533"/>
      <c r="N5032" s="533"/>
      <c r="O5032" s="533"/>
      <c r="P5032" s="533"/>
      <c r="Q5032" s="533"/>
      <c r="R5032" s="533"/>
      <c r="S5032" s="533"/>
      <c r="T5032" s="533"/>
      <c r="U5032" s="533"/>
      <c r="V5032" s="533"/>
      <c r="W5032" s="533"/>
      <c r="X5032" s="533"/>
      <c r="Y5032" s="533"/>
    </row>
    <row r="5033" spans="1:25" s="88" customFormat="1" hidden="1" x14ac:dyDescent="0.25">
      <c r="A5033" s="509"/>
      <c r="B5033" s="256"/>
      <c r="C5033" s="221"/>
      <c r="D5033" s="218"/>
      <c r="E5033" s="218"/>
      <c r="F5033" s="527">
        <v>514</v>
      </c>
      <c r="G5033" s="520" t="s">
        <v>4219</v>
      </c>
      <c r="H5033" s="594"/>
      <c r="I5033" s="595"/>
      <c r="J5033" s="595">
        <f t="shared" si="154"/>
        <v>0</v>
      </c>
      <c r="K5033" s="533"/>
      <c r="L5033" s="533"/>
      <c r="M5033" s="533"/>
      <c r="N5033" s="533"/>
      <c r="O5033" s="533"/>
      <c r="P5033" s="533"/>
      <c r="Q5033" s="533"/>
      <c r="R5033" s="533"/>
      <c r="S5033" s="533"/>
      <c r="T5033" s="533"/>
      <c r="U5033" s="533"/>
      <c r="V5033" s="533"/>
      <c r="W5033" s="533"/>
      <c r="X5033" s="533"/>
      <c r="Y5033" s="533"/>
    </row>
    <row r="5034" spans="1:25" s="88" customFormat="1" hidden="1" x14ac:dyDescent="0.25">
      <c r="A5034" s="509"/>
      <c r="B5034" s="256"/>
      <c r="C5034" s="221"/>
      <c r="D5034" s="218"/>
      <c r="E5034" s="218"/>
      <c r="F5034" s="527">
        <v>515</v>
      </c>
      <c r="G5034" s="520" t="s">
        <v>3852</v>
      </c>
      <c r="H5034" s="594"/>
      <c r="I5034" s="595"/>
      <c r="J5034" s="595">
        <f t="shared" si="154"/>
        <v>0</v>
      </c>
      <c r="K5034" s="533"/>
      <c r="L5034" s="533"/>
      <c r="M5034" s="533"/>
      <c r="N5034" s="533"/>
      <c r="O5034" s="533"/>
      <c r="P5034" s="533"/>
      <c r="Q5034" s="533"/>
      <c r="R5034" s="533"/>
      <c r="S5034" s="533"/>
      <c r="T5034" s="533"/>
      <c r="U5034" s="533"/>
      <c r="V5034" s="533"/>
      <c r="W5034" s="533"/>
      <c r="X5034" s="533"/>
      <c r="Y5034" s="533"/>
    </row>
    <row r="5035" spans="1:25" s="88" customFormat="1" hidden="1" x14ac:dyDescent="0.25">
      <c r="A5035" s="509"/>
      <c r="B5035" s="256"/>
      <c r="C5035" s="221"/>
      <c r="D5035" s="218"/>
      <c r="E5035" s="218"/>
      <c r="F5035" s="527">
        <v>521</v>
      </c>
      <c r="G5035" s="520" t="s">
        <v>4220</v>
      </c>
      <c r="H5035" s="594"/>
      <c r="I5035" s="595"/>
      <c r="J5035" s="595">
        <f t="shared" si="154"/>
        <v>0</v>
      </c>
      <c r="K5035" s="533"/>
      <c r="L5035" s="533"/>
      <c r="M5035" s="533"/>
      <c r="N5035" s="533"/>
      <c r="O5035" s="533"/>
      <c r="P5035" s="533"/>
      <c r="Q5035" s="533"/>
      <c r="R5035" s="533"/>
      <c r="S5035" s="533"/>
      <c r="T5035" s="533"/>
      <c r="U5035" s="533"/>
      <c r="V5035" s="533"/>
      <c r="W5035" s="533"/>
      <c r="X5035" s="533"/>
      <c r="Y5035" s="533"/>
    </row>
    <row r="5036" spans="1:25" s="88" customFormat="1" hidden="1" x14ac:dyDescent="0.25">
      <c r="A5036" s="509"/>
      <c r="B5036" s="256"/>
      <c r="C5036" s="221"/>
      <c r="D5036" s="218"/>
      <c r="E5036" s="218"/>
      <c r="F5036" s="527">
        <v>522</v>
      </c>
      <c r="G5036" s="520" t="s">
        <v>4221</v>
      </c>
      <c r="H5036" s="594"/>
      <c r="I5036" s="595"/>
      <c r="J5036" s="595">
        <f t="shared" si="154"/>
        <v>0</v>
      </c>
      <c r="K5036" s="533"/>
      <c r="L5036" s="533"/>
      <c r="M5036" s="533"/>
      <c r="N5036" s="533"/>
      <c r="O5036" s="533"/>
      <c r="P5036" s="533"/>
      <c r="Q5036" s="533"/>
      <c r="R5036" s="533"/>
      <c r="S5036" s="533"/>
      <c r="T5036" s="533"/>
      <c r="U5036" s="533"/>
      <c r="V5036" s="533"/>
      <c r="W5036" s="533"/>
      <c r="X5036" s="533"/>
      <c r="Y5036" s="533"/>
    </row>
    <row r="5037" spans="1:25" s="88" customFormat="1" hidden="1" x14ac:dyDescent="0.25">
      <c r="A5037" s="509"/>
      <c r="B5037" s="256"/>
      <c r="C5037" s="221"/>
      <c r="D5037" s="218"/>
      <c r="E5037" s="218"/>
      <c r="F5037" s="527">
        <v>523</v>
      </c>
      <c r="G5037" s="520" t="s">
        <v>3857</v>
      </c>
      <c r="H5037" s="594"/>
      <c r="I5037" s="595"/>
      <c r="J5037" s="595">
        <f t="shared" si="154"/>
        <v>0</v>
      </c>
      <c r="K5037" s="533"/>
      <c r="L5037" s="533"/>
      <c r="M5037" s="533"/>
      <c r="N5037" s="533"/>
      <c r="O5037" s="533"/>
      <c r="P5037" s="533"/>
      <c r="Q5037" s="533"/>
      <c r="R5037" s="533"/>
      <c r="S5037" s="533"/>
      <c r="T5037" s="533"/>
      <c r="U5037" s="533"/>
      <c r="V5037" s="533"/>
      <c r="W5037" s="533"/>
      <c r="X5037" s="533"/>
      <c r="Y5037" s="533"/>
    </row>
    <row r="5038" spans="1:25" s="88" customFormat="1" hidden="1" x14ac:dyDescent="0.25">
      <c r="A5038" s="509"/>
      <c r="B5038" s="256"/>
      <c r="C5038" s="221"/>
      <c r="D5038" s="218"/>
      <c r="E5038" s="218"/>
      <c r="F5038" s="527">
        <v>531</v>
      </c>
      <c r="G5038" s="516" t="s">
        <v>4197</v>
      </c>
      <c r="H5038" s="594"/>
      <c r="I5038" s="595"/>
      <c r="J5038" s="595">
        <f t="shared" si="154"/>
        <v>0</v>
      </c>
      <c r="K5038" s="533"/>
      <c r="L5038" s="533"/>
      <c r="M5038" s="533"/>
      <c r="N5038" s="533"/>
      <c r="O5038" s="533"/>
      <c r="P5038" s="533"/>
      <c r="Q5038" s="533"/>
      <c r="R5038" s="533"/>
      <c r="S5038" s="533"/>
      <c r="T5038" s="533"/>
      <c r="U5038" s="533"/>
      <c r="V5038" s="533"/>
      <c r="W5038" s="533"/>
      <c r="X5038" s="533"/>
      <c r="Y5038" s="533"/>
    </row>
    <row r="5039" spans="1:25" s="88" customFormat="1" hidden="1" x14ac:dyDescent="0.25">
      <c r="A5039" s="509"/>
      <c r="B5039" s="256"/>
      <c r="C5039" s="221"/>
      <c r="D5039" s="218"/>
      <c r="E5039" s="218"/>
      <c r="F5039" s="527">
        <v>541</v>
      </c>
      <c r="G5039" s="520" t="s">
        <v>4222</v>
      </c>
      <c r="H5039" s="594"/>
      <c r="I5039" s="595"/>
      <c r="J5039" s="595">
        <f t="shared" si="154"/>
        <v>0</v>
      </c>
      <c r="K5039" s="533"/>
      <c r="L5039" s="533"/>
      <c r="M5039" s="533"/>
      <c r="N5039" s="533"/>
      <c r="O5039" s="533"/>
      <c r="P5039" s="533"/>
      <c r="Q5039" s="533"/>
      <c r="R5039" s="533"/>
      <c r="S5039" s="533"/>
      <c r="T5039" s="533"/>
      <c r="U5039" s="533"/>
      <c r="V5039" s="533"/>
      <c r="W5039" s="533"/>
      <c r="X5039" s="533"/>
      <c r="Y5039" s="533"/>
    </row>
    <row r="5040" spans="1:25" s="88" customFormat="1" hidden="1" x14ac:dyDescent="0.25">
      <c r="A5040" s="509"/>
      <c r="B5040" s="256"/>
      <c r="C5040" s="221"/>
      <c r="D5040" s="218"/>
      <c r="E5040" s="218"/>
      <c r="F5040" s="527">
        <v>542</v>
      </c>
      <c r="G5040" s="520" t="s">
        <v>4223</v>
      </c>
      <c r="H5040" s="594"/>
      <c r="I5040" s="595"/>
      <c r="J5040" s="595">
        <f t="shared" si="154"/>
        <v>0</v>
      </c>
      <c r="K5040" s="533"/>
      <c r="L5040" s="533"/>
      <c r="M5040" s="533"/>
      <c r="N5040" s="533"/>
      <c r="O5040" s="533"/>
      <c r="P5040" s="533"/>
      <c r="Q5040" s="533"/>
      <c r="R5040" s="533"/>
      <c r="S5040" s="533"/>
      <c r="T5040" s="533"/>
      <c r="U5040" s="533"/>
      <c r="V5040" s="533"/>
      <c r="W5040" s="533"/>
      <c r="X5040" s="533"/>
      <c r="Y5040" s="533"/>
    </row>
    <row r="5041" spans="1:25" s="88" customFormat="1" hidden="1" x14ac:dyDescent="0.25">
      <c r="A5041" s="509"/>
      <c r="B5041" s="256"/>
      <c r="C5041" s="221"/>
      <c r="D5041" s="218"/>
      <c r="E5041" s="218"/>
      <c r="F5041" s="527">
        <v>543</v>
      </c>
      <c r="G5041" s="520" t="s">
        <v>3862</v>
      </c>
      <c r="H5041" s="594"/>
      <c r="I5041" s="595"/>
      <c r="J5041" s="595">
        <f t="shared" si="154"/>
        <v>0</v>
      </c>
      <c r="K5041" s="533"/>
      <c r="L5041" s="533"/>
      <c r="M5041" s="533"/>
      <c r="N5041" s="533"/>
      <c r="O5041" s="533"/>
      <c r="P5041" s="533"/>
      <c r="Q5041" s="533"/>
      <c r="R5041" s="533"/>
      <c r="S5041" s="533"/>
      <c r="T5041" s="533"/>
      <c r="U5041" s="533"/>
      <c r="V5041" s="533"/>
      <c r="W5041" s="533"/>
      <c r="X5041" s="533"/>
      <c r="Y5041" s="533"/>
    </row>
    <row r="5042" spans="1:25" s="88" customFormat="1" ht="30" hidden="1" x14ac:dyDescent="0.25">
      <c r="A5042" s="509"/>
      <c r="B5042" s="256"/>
      <c r="C5042" s="221"/>
      <c r="D5042" s="218"/>
      <c r="E5042" s="218"/>
      <c r="F5042" s="527">
        <v>551</v>
      </c>
      <c r="G5042" s="520" t="s">
        <v>4198</v>
      </c>
      <c r="H5042" s="594"/>
      <c r="I5042" s="595"/>
      <c r="J5042" s="595">
        <f t="shared" si="154"/>
        <v>0</v>
      </c>
      <c r="K5042" s="533"/>
      <c r="L5042" s="533"/>
      <c r="M5042" s="533"/>
      <c r="N5042" s="533"/>
      <c r="O5042" s="533"/>
      <c r="P5042" s="533"/>
      <c r="Q5042" s="533"/>
      <c r="R5042" s="533"/>
      <c r="S5042" s="533"/>
      <c r="T5042" s="533"/>
      <c r="U5042" s="533"/>
      <c r="V5042" s="533"/>
      <c r="W5042" s="533"/>
      <c r="X5042" s="533"/>
      <c r="Y5042" s="533"/>
    </row>
    <row r="5043" spans="1:25" s="88" customFormat="1" hidden="1" x14ac:dyDescent="0.25">
      <c r="A5043" s="509"/>
      <c r="B5043" s="256"/>
      <c r="C5043" s="221"/>
      <c r="D5043" s="218"/>
      <c r="E5043" s="218"/>
      <c r="F5043" s="528">
        <v>611</v>
      </c>
      <c r="G5043" s="526" t="s">
        <v>3868</v>
      </c>
      <c r="H5043" s="594"/>
      <c r="I5043" s="595"/>
      <c r="J5043" s="595">
        <f t="shared" si="154"/>
        <v>0</v>
      </c>
      <c r="K5043" s="533"/>
      <c r="L5043" s="533"/>
      <c r="M5043" s="533"/>
      <c r="N5043" s="533"/>
      <c r="O5043" s="533"/>
      <c r="P5043" s="533"/>
      <c r="Q5043" s="533"/>
      <c r="R5043" s="533"/>
      <c r="S5043" s="533"/>
      <c r="T5043" s="533"/>
      <c r="U5043" s="533"/>
      <c r="V5043" s="533"/>
      <c r="W5043" s="533"/>
      <c r="X5043" s="533"/>
      <c r="Y5043" s="533"/>
    </row>
    <row r="5044" spans="1:25" s="88" customFormat="1" ht="15.75" hidden="1" thickBot="1" x14ac:dyDescent="0.3">
      <c r="A5044" s="509"/>
      <c r="B5044" s="256"/>
      <c r="C5044" s="221"/>
      <c r="D5044" s="218"/>
      <c r="E5044" s="218"/>
      <c r="F5044" s="528">
        <v>620</v>
      </c>
      <c r="G5044" s="526" t="s">
        <v>88</v>
      </c>
      <c r="H5044" s="594"/>
      <c r="I5044" s="595"/>
      <c r="J5044" s="595">
        <f t="shared" si="154"/>
        <v>0</v>
      </c>
      <c r="K5044" s="533"/>
      <c r="L5044" s="533"/>
      <c r="M5044" s="533"/>
      <c r="N5044" s="533"/>
      <c r="O5044" s="533"/>
      <c r="P5044" s="533"/>
      <c r="Q5044" s="533"/>
      <c r="R5044" s="533"/>
      <c r="S5044" s="533"/>
      <c r="T5044" s="533"/>
      <c r="U5044" s="533"/>
      <c r="V5044" s="533"/>
      <c r="W5044" s="533"/>
      <c r="X5044" s="533"/>
      <c r="Y5044" s="533"/>
    </row>
    <row r="5045" spans="1:25" s="88" customFormat="1" hidden="1" x14ac:dyDescent="0.25">
      <c r="A5045" s="509"/>
      <c r="B5045" s="256"/>
      <c r="C5045" s="221"/>
      <c r="D5045" s="218"/>
      <c r="E5045" s="517"/>
      <c r="F5045" s="528"/>
      <c r="G5045" s="326" t="s">
        <v>4395</v>
      </c>
      <c r="H5045" s="596"/>
      <c r="I5045" s="622"/>
      <c r="J5045" s="597"/>
      <c r="K5045" s="533"/>
      <c r="L5045" s="533"/>
      <c r="M5045" s="533"/>
      <c r="N5045" s="533"/>
      <c r="O5045" s="533"/>
      <c r="P5045" s="533"/>
      <c r="Q5045" s="533"/>
      <c r="R5045" s="533"/>
      <c r="S5045" s="533"/>
      <c r="T5045" s="533"/>
      <c r="U5045" s="533"/>
      <c r="V5045" s="533"/>
      <c r="W5045" s="533"/>
      <c r="X5045" s="533"/>
      <c r="Y5045" s="533"/>
    </row>
    <row r="5046" spans="1:25" s="88" customFormat="1" hidden="1" x14ac:dyDescent="0.25">
      <c r="A5046" s="509"/>
      <c r="B5046" s="256"/>
      <c r="C5046" s="221"/>
      <c r="D5046" s="218"/>
      <c r="E5046" s="222"/>
      <c r="F5046" s="642" t="s">
        <v>234</v>
      </c>
      <c r="G5046" s="643" t="s">
        <v>235</v>
      </c>
      <c r="H5046" s="598">
        <f>SUM(H4985:H5044)</f>
        <v>0</v>
      </c>
      <c r="I5046" s="599"/>
      <c r="J5046" s="599">
        <f>SUM(H5046:I5046)</f>
        <v>0</v>
      </c>
      <c r="K5046" s="533"/>
      <c r="L5046" s="533"/>
      <c r="M5046" s="533"/>
      <c r="N5046" s="533"/>
      <c r="O5046" s="533"/>
      <c r="P5046" s="533"/>
      <c r="Q5046" s="533"/>
      <c r="R5046" s="533"/>
      <c r="S5046" s="533"/>
      <c r="T5046" s="533"/>
      <c r="U5046" s="533"/>
      <c r="V5046" s="533"/>
      <c r="W5046" s="533"/>
      <c r="X5046" s="533"/>
      <c r="Y5046" s="533"/>
    </row>
    <row r="5047" spans="1:25" s="88" customFormat="1" hidden="1" x14ac:dyDescent="0.25">
      <c r="A5047" s="509"/>
      <c r="B5047" s="256"/>
      <c r="C5047" s="221"/>
      <c r="D5047" s="218"/>
      <c r="E5047" s="218"/>
      <c r="F5047" s="642" t="s">
        <v>236</v>
      </c>
      <c r="G5047" s="643" t="s">
        <v>237</v>
      </c>
      <c r="H5047" s="594"/>
      <c r="I5047" s="595"/>
      <c r="J5047" s="599">
        <f t="shared" ref="J5047:J5061" si="155">SUM(H5047:I5047)</f>
        <v>0</v>
      </c>
      <c r="K5047" s="533"/>
      <c r="L5047" s="533"/>
      <c r="M5047" s="533"/>
      <c r="N5047" s="533"/>
      <c r="O5047" s="533"/>
      <c r="P5047" s="533"/>
      <c r="Q5047" s="533"/>
      <c r="R5047" s="533"/>
      <c r="S5047" s="533"/>
      <c r="T5047" s="533"/>
      <c r="U5047" s="533"/>
      <c r="V5047" s="533"/>
      <c r="W5047" s="533"/>
      <c r="X5047" s="533"/>
      <c r="Y5047" s="533"/>
    </row>
    <row r="5048" spans="1:25" s="88" customFormat="1" hidden="1" x14ac:dyDescent="0.25">
      <c r="A5048" s="509"/>
      <c r="B5048" s="256"/>
      <c r="C5048" s="221"/>
      <c r="D5048" s="218"/>
      <c r="E5048" s="218"/>
      <c r="F5048" s="642" t="s">
        <v>238</v>
      </c>
      <c r="G5048" s="643" t="s">
        <v>239</v>
      </c>
      <c r="H5048" s="594"/>
      <c r="I5048" s="595"/>
      <c r="J5048" s="599">
        <f t="shared" si="155"/>
        <v>0</v>
      </c>
      <c r="K5048" s="533"/>
      <c r="L5048" s="533"/>
      <c r="M5048" s="533"/>
      <c r="N5048" s="533"/>
      <c r="O5048" s="533"/>
      <c r="P5048" s="533"/>
      <c r="Q5048" s="533"/>
      <c r="R5048" s="533"/>
      <c r="S5048" s="533"/>
      <c r="T5048" s="533"/>
      <c r="U5048" s="533"/>
      <c r="V5048" s="533"/>
      <c r="W5048" s="533"/>
      <c r="X5048" s="533"/>
      <c r="Y5048" s="533"/>
    </row>
    <row r="5049" spans="1:25" s="88" customFormat="1" hidden="1" x14ac:dyDescent="0.25">
      <c r="A5049" s="509"/>
      <c r="B5049" s="256"/>
      <c r="C5049" s="221"/>
      <c r="D5049" s="218"/>
      <c r="E5049" s="218"/>
      <c r="F5049" s="642" t="s">
        <v>240</v>
      </c>
      <c r="G5049" s="643" t="s">
        <v>241</v>
      </c>
      <c r="H5049" s="594"/>
      <c r="I5049" s="595"/>
      <c r="J5049" s="599">
        <f t="shared" si="155"/>
        <v>0</v>
      </c>
      <c r="K5049" s="533"/>
      <c r="L5049" s="533"/>
      <c r="M5049" s="533"/>
      <c r="N5049" s="533"/>
      <c r="O5049" s="533"/>
      <c r="P5049" s="533"/>
      <c r="Q5049" s="533"/>
      <c r="R5049" s="533"/>
      <c r="S5049" s="533"/>
      <c r="T5049" s="533"/>
      <c r="U5049" s="533"/>
      <c r="V5049" s="533"/>
      <c r="W5049" s="533"/>
      <c r="X5049" s="533"/>
      <c r="Y5049" s="533"/>
    </row>
    <row r="5050" spans="1:25" s="88" customFormat="1" hidden="1" x14ac:dyDescent="0.25">
      <c r="A5050" s="509"/>
      <c r="B5050" s="256"/>
      <c r="C5050" s="221"/>
      <c r="D5050" s="218"/>
      <c r="E5050" s="218"/>
      <c r="F5050" s="642" t="s">
        <v>242</v>
      </c>
      <c r="G5050" s="643" t="s">
        <v>243</v>
      </c>
      <c r="H5050" s="594"/>
      <c r="I5050" s="595"/>
      <c r="J5050" s="599">
        <f t="shared" si="155"/>
        <v>0</v>
      </c>
      <c r="K5050" s="533"/>
      <c r="L5050" s="533"/>
      <c r="M5050" s="533"/>
      <c r="N5050" s="533"/>
      <c r="O5050" s="533"/>
      <c r="P5050" s="533"/>
      <c r="Q5050" s="533"/>
      <c r="R5050" s="533"/>
      <c r="S5050" s="533"/>
      <c r="T5050" s="533"/>
      <c r="U5050" s="533"/>
      <c r="V5050" s="533"/>
      <c r="W5050" s="533"/>
      <c r="X5050" s="533"/>
      <c r="Y5050" s="533"/>
    </row>
    <row r="5051" spans="1:25" s="88" customFormat="1" hidden="1" x14ac:dyDescent="0.25">
      <c r="A5051" s="509"/>
      <c r="B5051" s="256"/>
      <c r="C5051" s="221"/>
      <c r="D5051" s="218"/>
      <c r="E5051" s="218"/>
      <c r="F5051" s="642" t="s">
        <v>244</v>
      </c>
      <c r="G5051" s="643" t="s">
        <v>245</v>
      </c>
      <c r="H5051" s="594"/>
      <c r="I5051" s="595"/>
      <c r="J5051" s="599">
        <f t="shared" si="155"/>
        <v>0</v>
      </c>
      <c r="K5051" s="533"/>
      <c r="L5051" s="533"/>
      <c r="M5051" s="533"/>
      <c r="N5051" s="533"/>
      <c r="O5051" s="533"/>
      <c r="P5051" s="533"/>
      <c r="Q5051" s="533"/>
      <c r="R5051" s="533"/>
      <c r="S5051" s="533"/>
      <c r="T5051" s="533"/>
      <c r="U5051" s="533"/>
      <c r="V5051" s="533"/>
      <c r="W5051" s="533"/>
      <c r="X5051" s="533"/>
      <c r="Y5051" s="533"/>
    </row>
    <row r="5052" spans="1:25" s="88" customFormat="1" hidden="1" x14ac:dyDescent="0.25">
      <c r="A5052" s="509"/>
      <c r="B5052" s="256"/>
      <c r="C5052" s="221"/>
      <c r="D5052" s="218"/>
      <c r="E5052" s="218"/>
      <c r="F5052" s="642" t="s">
        <v>246</v>
      </c>
      <c r="G5052" s="643" t="s">
        <v>247</v>
      </c>
      <c r="H5052" s="594"/>
      <c r="I5052" s="595"/>
      <c r="J5052" s="599">
        <f t="shared" si="155"/>
        <v>0</v>
      </c>
      <c r="K5052" s="533"/>
      <c r="L5052" s="533"/>
      <c r="M5052" s="533"/>
      <c r="N5052" s="533"/>
      <c r="O5052" s="533"/>
      <c r="P5052" s="533"/>
      <c r="Q5052" s="533"/>
      <c r="R5052" s="533"/>
      <c r="S5052" s="533"/>
      <c r="T5052" s="533"/>
      <c r="U5052" s="533"/>
      <c r="V5052" s="533"/>
      <c r="W5052" s="533"/>
      <c r="X5052" s="533"/>
      <c r="Y5052" s="533"/>
    </row>
    <row r="5053" spans="1:25" s="88" customFormat="1" hidden="1" x14ac:dyDescent="0.25">
      <c r="A5053" s="509"/>
      <c r="B5053" s="256"/>
      <c r="C5053" s="221"/>
      <c r="D5053" s="218"/>
      <c r="E5053" s="218"/>
      <c r="F5053" s="642" t="s">
        <v>248</v>
      </c>
      <c r="G5053" s="643" t="s">
        <v>249</v>
      </c>
      <c r="H5053" s="594"/>
      <c r="I5053" s="595"/>
      <c r="J5053" s="599">
        <f t="shared" si="155"/>
        <v>0</v>
      </c>
      <c r="K5053" s="533"/>
      <c r="L5053" s="533"/>
      <c r="M5053" s="533"/>
      <c r="N5053" s="533"/>
      <c r="O5053" s="533"/>
      <c r="P5053" s="533"/>
      <c r="Q5053" s="533"/>
      <c r="R5053" s="533"/>
      <c r="S5053" s="533"/>
      <c r="T5053" s="533"/>
      <c r="U5053" s="533"/>
      <c r="V5053" s="533"/>
      <c r="W5053" s="533"/>
      <c r="X5053" s="533"/>
      <c r="Y5053" s="533"/>
    </row>
    <row r="5054" spans="1:25" s="88" customFormat="1" hidden="1" x14ac:dyDescent="0.25">
      <c r="A5054" s="509"/>
      <c r="B5054" s="256"/>
      <c r="C5054" s="221"/>
      <c r="D5054" s="218"/>
      <c r="E5054" s="218"/>
      <c r="F5054" s="642" t="s">
        <v>250</v>
      </c>
      <c r="G5054" s="643" t="s">
        <v>57</v>
      </c>
      <c r="H5054" s="594"/>
      <c r="I5054" s="595"/>
      <c r="J5054" s="599">
        <f t="shared" si="155"/>
        <v>0</v>
      </c>
      <c r="K5054" s="533"/>
      <c r="L5054" s="533"/>
      <c r="M5054" s="533"/>
      <c r="N5054" s="533"/>
      <c r="O5054" s="533"/>
      <c r="P5054" s="533"/>
      <c r="Q5054" s="533"/>
      <c r="R5054" s="533"/>
      <c r="S5054" s="533"/>
      <c r="T5054" s="533"/>
      <c r="U5054" s="533"/>
      <c r="V5054" s="533"/>
      <c r="W5054" s="533"/>
      <c r="X5054" s="533"/>
      <c r="Y5054" s="533"/>
    </row>
    <row r="5055" spans="1:25" s="88" customFormat="1" hidden="1" x14ac:dyDescent="0.25">
      <c r="A5055" s="509"/>
      <c r="B5055" s="256"/>
      <c r="C5055" s="221"/>
      <c r="D5055" s="218"/>
      <c r="E5055" s="218"/>
      <c r="F5055" s="642" t="s">
        <v>251</v>
      </c>
      <c r="G5055" s="643" t="s">
        <v>252</v>
      </c>
      <c r="H5055" s="594"/>
      <c r="I5055" s="595"/>
      <c r="J5055" s="599">
        <f t="shared" si="155"/>
        <v>0</v>
      </c>
      <c r="K5055" s="533"/>
      <c r="L5055" s="533"/>
      <c r="M5055" s="533"/>
      <c r="N5055" s="533"/>
      <c r="O5055" s="533"/>
      <c r="P5055" s="533"/>
      <c r="Q5055" s="533"/>
      <c r="R5055" s="533"/>
      <c r="S5055" s="533"/>
      <c r="T5055" s="533"/>
      <c r="U5055" s="533"/>
      <c r="V5055" s="533"/>
      <c r="W5055" s="533"/>
      <c r="X5055" s="533"/>
      <c r="Y5055" s="533"/>
    </row>
    <row r="5056" spans="1:25" s="88" customFormat="1" hidden="1" x14ac:dyDescent="0.25">
      <c r="A5056" s="509"/>
      <c r="B5056" s="256"/>
      <c r="C5056" s="221"/>
      <c r="D5056" s="218"/>
      <c r="E5056" s="218"/>
      <c r="F5056" s="642" t="s">
        <v>253</v>
      </c>
      <c r="G5056" s="643" t="s">
        <v>254</v>
      </c>
      <c r="H5056" s="594"/>
      <c r="I5056" s="595"/>
      <c r="J5056" s="599">
        <f t="shared" si="155"/>
        <v>0</v>
      </c>
      <c r="K5056" s="533"/>
      <c r="L5056" s="533"/>
      <c r="M5056" s="533"/>
      <c r="N5056" s="533"/>
      <c r="O5056" s="533"/>
      <c r="P5056" s="533"/>
      <c r="Q5056" s="533"/>
      <c r="R5056" s="533"/>
      <c r="S5056" s="533"/>
      <c r="T5056" s="533"/>
      <c r="U5056" s="533"/>
      <c r="V5056" s="533"/>
      <c r="W5056" s="533"/>
      <c r="X5056" s="533"/>
      <c r="Y5056" s="533"/>
    </row>
    <row r="5057" spans="1:25" s="88" customFormat="1" ht="30" hidden="1" x14ac:dyDescent="0.25">
      <c r="A5057" s="509"/>
      <c r="B5057" s="256"/>
      <c r="C5057" s="221"/>
      <c r="D5057" s="218"/>
      <c r="E5057" s="218"/>
      <c r="F5057" s="642" t="s">
        <v>255</v>
      </c>
      <c r="G5057" s="643" t="s">
        <v>256</v>
      </c>
      <c r="H5057" s="594"/>
      <c r="I5057" s="595"/>
      <c r="J5057" s="599">
        <f t="shared" si="155"/>
        <v>0</v>
      </c>
      <c r="K5057" s="533"/>
      <c r="L5057" s="533"/>
      <c r="M5057" s="533"/>
      <c r="N5057" s="533"/>
      <c r="O5057" s="533"/>
      <c r="P5057" s="533"/>
      <c r="Q5057" s="533"/>
      <c r="R5057" s="533"/>
      <c r="S5057" s="533"/>
      <c r="T5057" s="533"/>
      <c r="U5057" s="533"/>
      <c r="V5057" s="533"/>
      <c r="W5057" s="533"/>
      <c r="X5057" s="533"/>
      <c r="Y5057" s="533"/>
    </row>
    <row r="5058" spans="1:25" s="88" customFormat="1" hidden="1" x14ac:dyDescent="0.25">
      <c r="A5058" s="509"/>
      <c r="B5058" s="256"/>
      <c r="C5058" s="221"/>
      <c r="D5058" s="218"/>
      <c r="E5058" s="218"/>
      <c r="F5058" s="642" t="s">
        <v>257</v>
      </c>
      <c r="G5058" s="643" t="s">
        <v>258</v>
      </c>
      <c r="H5058" s="594"/>
      <c r="I5058" s="595"/>
      <c r="J5058" s="599">
        <f t="shared" si="155"/>
        <v>0</v>
      </c>
      <c r="K5058" s="533"/>
      <c r="L5058" s="533"/>
      <c r="M5058" s="533"/>
      <c r="N5058" s="533"/>
      <c r="O5058" s="533"/>
      <c r="P5058" s="533"/>
      <c r="Q5058" s="533"/>
      <c r="R5058" s="533"/>
      <c r="S5058" s="533"/>
      <c r="T5058" s="533"/>
      <c r="U5058" s="533"/>
      <c r="V5058" s="533"/>
      <c r="W5058" s="533"/>
      <c r="X5058" s="533"/>
      <c r="Y5058" s="533"/>
    </row>
    <row r="5059" spans="1:25" s="88" customFormat="1" ht="30" hidden="1" x14ac:dyDescent="0.25">
      <c r="A5059" s="509"/>
      <c r="B5059" s="256"/>
      <c r="C5059" s="221"/>
      <c r="D5059" s="218"/>
      <c r="E5059" s="218"/>
      <c r="F5059" s="642" t="s">
        <v>259</v>
      </c>
      <c r="G5059" s="643" t="s">
        <v>260</v>
      </c>
      <c r="H5059" s="594"/>
      <c r="I5059" s="595"/>
      <c r="J5059" s="599">
        <f t="shared" si="155"/>
        <v>0</v>
      </c>
      <c r="K5059" s="533"/>
      <c r="L5059" s="533"/>
      <c r="M5059" s="533"/>
      <c r="N5059" s="533"/>
      <c r="O5059" s="533"/>
      <c r="P5059" s="533"/>
      <c r="Q5059" s="533"/>
      <c r="R5059" s="533"/>
      <c r="S5059" s="533"/>
      <c r="T5059" s="533"/>
      <c r="U5059" s="533"/>
      <c r="V5059" s="533"/>
      <c r="W5059" s="533"/>
      <c r="X5059" s="533"/>
      <c r="Y5059" s="533"/>
    </row>
    <row r="5060" spans="1:25" s="88" customFormat="1" hidden="1" x14ac:dyDescent="0.25">
      <c r="A5060" s="509"/>
      <c r="B5060" s="256"/>
      <c r="C5060" s="221"/>
      <c r="D5060" s="218"/>
      <c r="E5060" s="218"/>
      <c r="F5060" s="642" t="s">
        <v>261</v>
      </c>
      <c r="G5060" s="643" t="s">
        <v>262</v>
      </c>
      <c r="H5060" s="594"/>
      <c r="I5060" s="595"/>
      <c r="J5060" s="599">
        <f t="shared" si="155"/>
        <v>0</v>
      </c>
      <c r="K5060" s="533"/>
      <c r="L5060" s="533"/>
      <c r="M5060" s="533"/>
      <c r="N5060" s="533"/>
      <c r="O5060" s="533"/>
      <c r="P5060" s="533"/>
      <c r="Q5060" s="533"/>
      <c r="R5060" s="533"/>
      <c r="S5060" s="533"/>
      <c r="T5060" s="533"/>
      <c r="U5060" s="533"/>
      <c r="V5060" s="533"/>
      <c r="W5060" s="533"/>
      <c r="X5060" s="533"/>
      <c r="Y5060" s="533"/>
    </row>
    <row r="5061" spans="1:25" s="88" customFormat="1" ht="15.75" hidden="1" thickBot="1" x14ac:dyDescent="0.3">
      <c r="A5061" s="509"/>
      <c r="B5061" s="256"/>
      <c r="C5061" s="221"/>
      <c r="D5061" s="218"/>
      <c r="E5061" s="218"/>
      <c r="F5061" s="642" t="s">
        <v>263</v>
      </c>
      <c r="G5061" s="643" t="s">
        <v>264</v>
      </c>
      <c r="H5061" s="598"/>
      <c r="I5061" s="599"/>
      <c r="J5061" s="599">
        <f t="shared" si="155"/>
        <v>0</v>
      </c>
      <c r="K5061" s="533"/>
      <c r="L5061" s="533"/>
      <c r="M5061" s="533"/>
      <c r="N5061" s="533"/>
      <c r="O5061" s="533"/>
      <c r="P5061" s="533"/>
      <c r="Q5061" s="533"/>
      <c r="R5061" s="533"/>
      <c r="S5061" s="533"/>
      <c r="T5061" s="533"/>
      <c r="U5061" s="533"/>
      <c r="V5061" s="533"/>
      <c r="W5061" s="533"/>
      <c r="X5061" s="533"/>
      <c r="Y5061" s="533"/>
    </row>
    <row r="5062" spans="1:25" s="88" customFormat="1" ht="15.75" hidden="1" thickBot="1" x14ac:dyDescent="0.3">
      <c r="A5062" s="509"/>
      <c r="B5062" s="256"/>
      <c r="C5062" s="221"/>
      <c r="D5062" s="218"/>
      <c r="E5062" s="218"/>
      <c r="F5062" s="218"/>
      <c r="G5062" s="229" t="s">
        <v>4334</v>
      </c>
      <c r="H5062" s="600">
        <f>SUM(H5046:H5061)</f>
        <v>0</v>
      </c>
      <c r="I5062" s="601">
        <f>SUM(I5047:I5061)</f>
        <v>0</v>
      </c>
      <c r="J5062" s="601">
        <f>SUM(J5046:J5061)</f>
        <v>0</v>
      </c>
      <c r="K5062" s="533"/>
      <c r="L5062" s="533"/>
      <c r="M5062" s="533"/>
      <c r="N5062" s="533"/>
      <c r="O5062" s="533"/>
      <c r="P5062" s="533"/>
      <c r="Q5062" s="533"/>
      <c r="R5062" s="533"/>
      <c r="S5062" s="533"/>
      <c r="T5062" s="533"/>
      <c r="U5062" s="533"/>
      <c r="V5062" s="533"/>
      <c r="W5062" s="533"/>
      <c r="X5062" s="533"/>
      <c r="Y5062" s="533"/>
    </row>
    <row r="5063" spans="1:25" s="88" customFormat="1" ht="28.5" hidden="1" x14ac:dyDescent="0.25">
      <c r="A5063" s="509"/>
      <c r="B5063" s="256"/>
      <c r="C5063" s="221"/>
      <c r="D5063" s="218"/>
      <c r="E5063" s="517"/>
      <c r="F5063" s="528"/>
      <c r="G5063" s="231" t="s">
        <v>4400</v>
      </c>
      <c r="H5063" s="602"/>
      <c r="I5063" s="623"/>
      <c r="J5063" s="603"/>
      <c r="K5063" s="533"/>
      <c r="L5063" s="533"/>
      <c r="M5063" s="533"/>
      <c r="N5063" s="533"/>
      <c r="O5063" s="533"/>
      <c r="P5063" s="533"/>
      <c r="Q5063" s="533"/>
      <c r="R5063" s="533"/>
      <c r="S5063" s="533"/>
      <c r="T5063" s="533"/>
      <c r="U5063" s="533"/>
      <c r="V5063" s="533"/>
      <c r="W5063" s="533"/>
      <c r="X5063" s="533"/>
      <c r="Y5063" s="533"/>
    </row>
    <row r="5064" spans="1:25" s="88" customFormat="1" hidden="1" x14ac:dyDescent="0.25">
      <c r="A5064" s="509"/>
      <c r="B5064" s="256"/>
      <c r="C5064" s="221"/>
      <c r="D5064" s="218"/>
      <c r="E5064" s="222"/>
      <c r="F5064" s="642" t="s">
        <v>234</v>
      </c>
      <c r="G5064" s="643" t="s">
        <v>235</v>
      </c>
      <c r="H5064" s="598">
        <f>SUM(H4985:H5044)</f>
        <v>0</v>
      </c>
      <c r="I5064" s="599"/>
      <c r="J5064" s="599">
        <f>SUM(H5064:I5064)</f>
        <v>0</v>
      </c>
      <c r="K5064" s="533"/>
      <c r="L5064" s="533"/>
      <c r="M5064" s="533"/>
      <c r="N5064" s="533"/>
      <c r="O5064" s="533"/>
      <c r="P5064" s="533"/>
      <c r="Q5064" s="533"/>
      <c r="R5064" s="533"/>
      <c r="S5064" s="533"/>
      <c r="T5064" s="533"/>
      <c r="U5064" s="533"/>
      <c r="V5064" s="533"/>
      <c r="W5064" s="533"/>
      <c r="X5064" s="533"/>
      <c r="Y5064" s="533"/>
    </row>
    <row r="5065" spans="1:25" s="88" customFormat="1" hidden="1" x14ac:dyDescent="0.25">
      <c r="A5065" s="509"/>
      <c r="B5065" s="256"/>
      <c r="C5065" s="221"/>
      <c r="D5065" s="218"/>
      <c r="E5065" s="218"/>
      <c r="F5065" s="642" t="s">
        <v>236</v>
      </c>
      <c r="G5065" s="643" t="s">
        <v>237</v>
      </c>
      <c r="H5065" s="594"/>
      <c r="I5065" s="595"/>
      <c r="J5065" s="599">
        <f t="shared" ref="J5065:J5079" si="156">SUM(H5065:I5065)</f>
        <v>0</v>
      </c>
      <c r="K5065" s="533"/>
      <c r="L5065" s="533"/>
      <c r="M5065" s="533"/>
      <c r="N5065" s="533"/>
      <c r="O5065" s="533"/>
      <c r="P5065" s="533"/>
      <c r="Q5065" s="533"/>
      <c r="R5065" s="533"/>
      <c r="S5065" s="533"/>
      <c r="T5065" s="533"/>
      <c r="U5065" s="533"/>
      <c r="V5065" s="533"/>
      <c r="W5065" s="533"/>
      <c r="X5065" s="533"/>
      <c r="Y5065" s="533"/>
    </row>
    <row r="5066" spans="1:25" s="88" customFormat="1" hidden="1" x14ac:dyDescent="0.25">
      <c r="A5066" s="509"/>
      <c r="B5066" s="256"/>
      <c r="C5066" s="221"/>
      <c r="D5066" s="218"/>
      <c r="E5066" s="218"/>
      <c r="F5066" s="642" t="s">
        <v>238</v>
      </c>
      <c r="G5066" s="643" t="s">
        <v>239</v>
      </c>
      <c r="H5066" s="594"/>
      <c r="I5066" s="595"/>
      <c r="J5066" s="599">
        <f t="shared" si="156"/>
        <v>0</v>
      </c>
      <c r="K5066" s="533"/>
      <c r="L5066" s="533"/>
      <c r="M5066" s="533"/>
      <c r="N5066" s="533"/>
      <c r="O5066" s="533"/>
      <c r="P5066" s="533"/>
      <c r="Q5066" s="533"/>
      <c r="R5066" s="533"/>
      <c r="S5066" s="533"/>
      <c r="T5066" s="533"/>
      <c r="U5066" s="533"/>
      <c r="V5066" s="533"/>
      <c r="W5066" s="533"/>
      <c r="X5066" s="533"/>
      <c r="Y5066" s="533"/>
    </row>
    <row r="5067" spans="1:25" s="88" customFormat="1" hidden="1" x14ac:dyDescent="0.25">
      <c r="A5067" s="509"/>
      <c r="B5067" s="256"/>
      <c r="C5067" s="221"/>
      <c r="D5067" s="218"/>
      <c r="E5067" s="218"/>
      <c r="F5067" s="642" t="s">
        <v>240</v>
      </c>
      <c r="G5067" s="643" t="s">
        <v>241</v>
      </c>
      <c r="H5067" s="594"/>
      <c r="I5067" s="595"/>
      <c r="J5067" s="599">
        <f t="shared" si="156"/>
        <v>0</v>
      </c>
      <c r="K5067" s="533"/>
      <c r="L5067" s="533"/>
      <c r="M5067" s="533"/>
      <c r="N5067" s="533"/>
      <c r="O5067" s="533"/>
      <c r="P5067" s="533"/>
      <c r="Q5067" s="533"/>
      <c r="R5067" s="533"/>
      <c r="S5067" s="533"/>
      <c r="T5067" s="533"/>
      <c r="U5067" s="533"/>
      <c r="V5067" s="533"/>
      <c r="W5067" s="533"/>
      <c r="X5067" s="533"/>
      <c r="Y5067" s="533"/>
    </row>
    <row r="5068" spans="1:25" s="88" customFormat="1" hidden="1" x14ac:dyDescent="0.25">
      <c r="A5068" s="509"/>
      <c r="B5068" s="256"/>
      <c r="C5068" s="221"/>
      <c r="D5068" s="218"/>
      <c r="E5068" s="218"/>
      <c r="F5068" s="642" t="s">
        <v>242</v>
      </c>
      <c r="G5068" s="643" t="s">
        <v>243</v>
      </c>
      <c r="H5068" s="594"/>
      <c r="I5068" s="595"/>
      <c r="J5068" s="599">
        <f t="shared" si="156"/>
        <v>0</v>
      </c>
      <c r="K5068" s="533"/>
      <c r="L5068" s="533"/>
      <c r="M5068" s="533"/>
      <c r="N5068" s="533"/>
      <c r="O5068" s="533"/>
      <c r="P5068" s="533"/>
      <c r="Q5068" s="533"/>
      <c r="R5068" s="533"/>
      <c r="S5068" s="533"/>
      <c r="T5068" s="533"/>
      <c r="U5068" s="533"/>
      <c r="V5068" s="533"/>
      <c r="W5068" s="533"/>
      <c r="X5068" s="533"/>
      <c r="Y5068" s="533"/>
    </row>
    <row r="5069" spans="1:25" s="88" customFormat="1" hidden="1" x14ac:dyDescent="0.25">
      <c r="A5069" s="509"/>
      <c r="B5069" s="256"/>
      <c r="C5069" s="221"/>
      <c r="D5069" s="218"/>
      <c r="E5069" s="218"/>
      <c r="F5069" s="642" t="s">
        <v>244</v>
      </c>
      <c r="G5069" s="643" t="s">
        <v>245</v>
      </c>
      <c r="H5069" s="594"/>
      <c r="I5069" s="595"/>
      <c r="J5069" s="599">
        <f t="shared" si="156"/>
        <v>0</v>
      </c>
      <c r="K5069" s="533"/>
      <c r="L5069" s="533"/>
      <c r="M5069" s="533"/>
      <c r="N5069" s="533"/>
      <c r="O5069" s="533"/>
      <c r="P5069" s="533"/>
      <c r="Q5069" s="533"/>
      <c r="R5069" s="533"/>
      <c r="S5069" s="533"/>
      <c r="T5069" s="533"/>
      <c r="U5069" s="533"/>
      <c r="V5069" s="533"/>
      <c r="W5069" s="533"/>
      <c r="X5069" s="533"/>
      <c r="Y5069" s="533"/>
    </row>
    <row r="5070" spans="1:25" s="88" customFormat="1" hidden="1" x14ac:dyDescent="0.25">
      <c r="A5070" s="509"/>
      <c r="B5070" s="256"/>
      <c r="C5070" s="221"/>
      <c r="D5070" s="218"/>
      <c r="E5070" s="218"/>
      <c r="F5070" s="642" t="s">
        <v>246</v>
      </c>
      <c r="G5070" s="643" t="s">
        <v>247</v>
      </c>
      <c r="H5070" s="594"/>
      <c r="I5070" s="595"/>
      <c r="J5070" s="599">
        <f t="shared" si="156"/>
        <v>0</v>
      </c>
      <c r="K5070" s="533"/>
      <c r="L5070" s="533"/>
      <c r="M5070" s="533"/>
      <c r="N5070" s="533"/>
      <c r="O5070" s="533"/>
      <c r="P5070" s="533"/>
      <c r="Q5070" s="533"/>
      <c r="R5070" s="533"/>
      <c r="S5070" s="533"/>
      <c r="T5070" s="533"/>
      <c r="U5070" s="533"/>
      <c r="V5070" s="533"/>
      <c r="W5070" s="533"/>
      <c r="X5070" s="533"/>
      <c r="Y5070" s="533"/>
    </row>
    <row r="5071" spans="1:25" s="88" customFormat="1" hidden="1" x14ac:dyDescent="0.25">
      <c r="A5071" s="509"/>
      <c r="B5071" s="256"/>
      <c r="C5071" s="221"/>
      <c r="D5071" s="218"/>
      <c r="E5071" s="218"/>
      <c r="F5071" s="642" t="s">
        <v>248</v>
      </c>
      <c r="G5071" s="643" t="s">
        <v>249</v>
      </c>
      <c r="H5071" s="594"/>
      <c r="I5071" s="595"/>
      <c r="J5071" s="599">
        <f t="shared" si="156"/>
        <v>0</v>
      </c>
      <c r="K5071" s="533"/>
      <c r="L5071" s="533"/>
      <c r="M5071" s="533"/>
      <c r="N5071" s="533"/>
      <c r="O5071" s="533"/>
      <c r="P5071" s="533"/>
      <c r="Q5071" s="533"/>
      <c r="R5071" s="533"/>
      <c r="S5071" s="533"/>
      <c r="T5071" s="533"/>
      <c r="U5071" s="533"/>
      <c r="V5071" s="533"/>
      <c r="W5071" s="533"/>
      <c r="X5071" s="533"/>
      <c r="Y5071" s="533"/>
    </row>
    <row r="5072" spans="1:25" s="88" customFormat="1" hidden="1" x14ac:dyDescent="0.25">
      <c r="A5072" s="509"/>
      <c r="B5072" s="256"/>
      <c r="C5072" s="221"/>
      <c r="D5072" s="218"/>
      <c r="E5072" s="218"/>
      <c r="F5072" s="642" t="s">
        <v>250</v>
      </c>
      <c r="G5072" s="643" t="s">
        <v>57</v>
      </c>
      <c r="H5072" s="594"/>
      <c r="I5072" s="595"/>
      <c r="J5072" s="599">
        <f t="shared" si="156"/>
        <v>0</v>
      </c>
      <c r="K5072" s="533"/>
      <c r="L5072" s="533"/>
      <c r="M5072" s="533"/>
      <c r="N5072" s="533"/>
      <c r="O5072" s="533"/>
      <c r="P5072" s="533"/>
      <c r="Q5072" s="533"/>
      <c r="R5072" s="533"/>
      <c r="S5072" s="533"/>
      <c r="T5072" s="533"/>
      <c r="U5072" s="533"/>
      <c r="V5072" s="533"/>
      <c r="W5072" s="533"/>
      <c r="X5072" s="533"/>
      <c r="Y5072" s="533"/>
    </row>
    <row r="5073" spans="1:25" s="88" customFormat="1" hidden="1" x14ac:dyDescent="0.25">
      <c r="A5073" s="509"/>
      <c r="B5073" s="256"/>
      <c r="C5073" s="221"/>
      <c r="D5073" s="218"/>
      <c r="E5073" s="218"/>
      <c r="F5073" s="642" t="s">
        <v>251</v>
      </c>
      <c r="G5073" s="643" t="s">
        <v>252</v>
      </c>
      <c r="H5073" s="594"/>
      <c r="I5073" s="595"/>
      <c r="J5073" s="599">
        <f t="shared" si="156"/>
        <v>0</v>
      </c>
      <c r="K5073" s="533"/>
      <c r="L5073" s="533"/>
      <c r="M5073" s="533"/>
      <c r="N5073" s="533"/>
      <c r="O5073" s="533"/>
      <c r="P5073" s="533"/>
      <c r="Q5073" s="533"/>
      <c r="R5073" s="533"/>
      <c r="S5073" s="533"/>
      <c r="T5073" s="533"/>
      <c r="U5073" s="533"/>
      <c r="V5073" s="533"/>
      <c r="W5073" s="533"/>
      <c r="X5073" s="533"/>
      <c r="Y5073" s="533"/>
    </row>
    <row r="5074" spans="1:25" s="88" customFormat="1" hidden="1" x14ac:dyDescent="0.25">
      <c r="A5074" s="509"/>
      <c r="B5074" s="256"/>
      <c r="C5074" s="221"/>
      <c r="D5074" s="218"/>
      <c r="E5074" s="218"/>
      <c r="F5074" s="642" t="s">
        <v>253</v>
      </c>
      <c r="G5074" s="643" t="s">
        <v>254</v>
      </c>
      <c r="H5074" s="594"/>
      <c r="I5074" s="595"/>
      <c r="J5074" s="599">
        <f t="shared" si="156"/>
        <v>0</v>
      </c>
      <c r="K5074" s="533"/>
      <c r="L5074" s="533"/>
      <c r="M5074" s="533"/>
      <c r="N5074" s="533"/>
      <c r="O5074" s="533"/>
      <c r="P5074" s="533"/>
      <c r="Q5074" s="533"/>
      <c r="R5074" s="533"/>
      <c r="S5074" s="533"/>
      <c r="T5074" s="533"/>
      <c r="U5074" s="533"/>
      <c r="V5074" s="533"/>
      <c r="W5074" s="533"/>
      <c r="X5074" s="533"/>
      <c r="Y5074" s="533"/>
    </row>
    <row r="5075" spans="1:25" s="88" customFormat="1" ht="30" hidden="1" x14ac:dyDescent="0.25">
      <c r="A5075" s="509"/>
      <c r="B5075" s="256"/>
      <c r="C5075" s="221"/>
      <c r="D5075" s="218"/>
      <c r="E5075" s="218"/>
      <c r="F5075" s="642" t="s">
        <v>255</v>
      </c>
      <c r="G5075" s="643" t="s">
        <v>256</v>
      </c>
      <c r="H5075" s="594"/>
      <c r="I5075" s="595"/>
      <c r="J5075" s="599">
        <f t="shared" si="156"/>
        <v>0</v>
      </c>
      <c r="K5075" s="533"/>
      <c r="L5075" s="533"/>
      <c r="M5075" s="533"/>
      <c r="N5075" s="533"/>
      <c r="O5075" s="533"/>
      <c r="P5075" s="533"/>
      <c r="Q5075" s="533"/>
      <c r="R5075" s="533"/>
      <c r="S5075" s="533"/>
      <c r="T5075" s="533"/>
      <c r="U5075" s="533"/>
      <c r="V5075" s="533"/>
      <c r="W5075" s="533"/>
      <c r="X5075" s="533"/>
      <c r="Y5075" s="533"/>
    </row>
    <row r="5076" spans="1:25" s="88" customFormat="1" hidden="1" x14ac:dyDescent="0.25">
      <c r="A5076" s="509"/>
      <c r="B5076" s="256"/>
      <c r="C5076" s="221"/>
      <c r="D5076" s="218"/>
      <c r="E5076" s="218"/>
      <c r="F5076" s="642" t="s">
        <v>257</v>
      </c>
      <c r="G5076" s="643" t="s">
        <v>258</v>
      </c>
      <c r="H5076" s="594"/>
      <c r="I5076" s="595"/>
      <c r="J5076" s="599">
        <f t="shared" si="156"/>
        <v>0</v>
      </c>
      <c r="K5076" s="533"/>
      <c r="L5076" s="533"/>
      <c r="M5076" s="533"/>
      <c r="N5076" s="533"/>
      <c r="O5076" s="533"/>
      <c r="P5076" s="533"/>
      <c r="Q5076" s="533"/>
      <c r="R5076" s="533"/>
      <c r="S5076" s="533"/>
      <c r="T5076" s="533"/>
      <c r="U5076" s="533"/>
      <c r="V5076" s="533"/>
      <c r="W5076" s="533"/>
      <c r="X5076" s="533"/>
      <c r="Y5076" s="533"/>
    </row>
    <row r="5077" spans="1:25" s="88" customFormat="1" ht="30" hidden="1" x14ac:dyDescent="0.25">
      <c r="A5077" s="509"/>
      <c r="B5077" s="256"/>
      <c r="C5077" s="221"/>
      <c r="D5077" s="218"/>
      <c r="E5077" s="218"/>
      <c r="F5077" s="642" t="s">
        <v>259</v>
      </c>
      <c r="G5077" s="643" t="s">
        <v>260</v>
      </c>
      <c r="H5077" s="594"/>
      <c r="I5077" s="595"/>
      <c r="J5077" s="599">
        <f t="shared" si="156"/>
        <v>0</v>
      </c>
      <c r="K5077" s="533"/>
      <c r="L5077" s="533"/>
      <c r="M5077" s="533"/>
      <c r="N5077" s="533"/>
      <c r="O5077" s="533"/>
      <c r="P5077" s="533"/>
      <c r="Q5077" s="533"/>
      <c r="R5077" s="533"/>
      <c r="S5077" s="533"/>
      <c r="T5077" s="533"/>
      <c r="U5077" s="533"/>
      <c r="V5077" s="533"/>
      <c r="W5077" s="533"/>
      <c r="X5077" s="533"/>
      <c r="Y5077" s="533"/>
    </row>
    <row r="5078" spans="1:25" s="88" customFormat="1" hidden="1" x14ac:dyDescent="0.25">
      <c r="A5078" s="509"/>
      <c r="B5078" s="256"/>
      <c r="C5078" s="221"/>
      <c r="D5078" s="218"/>
      <c r="E5078" s="218"/>
      <c r="F5078" s="642" t="s">
        <v>261</v>
      </c>
      <c r="G5078" s="643" t="s">
        <v>262</v>
      </c>
      <c r="H5078" s="594"/>
      <c r="I5078" s="595"/>
      <c r="J5078" s="599">
        <f t="shared" si="156"/>
        <v>0</v>
      </c>
      <c r="K5078" s="533"/>
      <c r="L5078" s="533"/>
      <c r="M5078" s="533"/>
      <c r="N5078" s="533"/>
      <c r="O5078" s="533"/>
      <c r="P5078" s="533"/>
      <c r="Q5078" s="533"/>
      <c r="R5078" s="533"/>
      <c r="S5078" s="533"/>
      <c r="T5078" s="533"/>
      <c r="U5078" s="533"/>
      <c r="V5078" s="533"/>
      <c r="W5078" s="533"/>
      <c r="X5078" s="533"/>
      <c r="Y5078" s="533"/>
    </row>
    <row r="5079" spans="1:25" s="88" customFormat="1" ht="15.75" hidden="1" thickBot="1" x14ac:dyDescent="0.3">
      <c r="A5079" s="509"/>
      <c r="B5079" s="256"/>
      <c r="C5079" s="221"/>
      <c r="D5079" s="218"/>
      <c r="E5079" s="218"/>
      <c r="F5079" s="642" t="s">
        <v>263</v>
      </c>
      <c r="G5079" s="643" t="s">
        <v>264</v>
      </c>
      <c r="H5079" s="598"/>
      <c r="I5079" s="599"/>
      <c r="J5079" s="599">
        <f t="shared" si="156"/>
        <v>0</v>
      </c>
      <c r="K5079" s="533"/>
      <c r="L5079" s="533"/>
      <c r="M5079" s="533"/>
      <c r="N5079" s="533"/>
      <c r="O5079" s="533"/>
      <c r="P5079" s="533"/>
      <c r="Q5079" s="533"/>
      <c r="R5079" s="533"/>
      <c r="S5079" s="533"/>
      <c r="T5079" s="533"/>
      <c r="U5079" s="533"/>
      <c r="V5079" s="533"/>
      <c r="W5079" s="533"/>
      <c r="X5079" s="533"/>
      <c r="Y5079" s="533"/>
    </row>
    <row r="5080" spans="1:25" s="88" customFormat="1" ht="15.75" hidden="1" thickBot="1" x14ac:dyDescent="0.3">
      <c r="A5080" s="509"/>
      <c r="B5080" s="256"/>
      <c r="C5080" s="221"/>
      <c r="D5080" s="218"/>
      <c r="E5080" s="218"/>
      <c r="F5080" s="218"/>
      <c r="G5080" s="229" t="s">
        <v>4401</v>
      </c>
      <c r="H5080" s="600">
        <f>SUM(H5064:H5079)</f>
        <v>0</v>
      </c>
      <c r="I5080" s="601">
        <f>SUM(I5065:I5079)</f>
        <v>0</v>
      </c>
      <c r="J5080" s="601">
        <f>SUM(J5064:J5079)</f>
        <v>0</v>
      </c>
      <c r="K5080" s="533"/>
      <c r="L5080" s="533"/>
      <c r="M5080" s="533"/>
      <c r="N5080" s="533"/>
      <c r="O5080" s="533"/>
      <c r="P5080" s="533"/>
      <c r="Q5080" s="533"/>
      <c r="R5080" s="533"/>
      <c r="S5080" s="533"/>
      <c r="T5080" s="533"/>
      <c r="U5080" s="533"/>
      <c r="V5080" s="533"/>
      <c r="W5080" s="533"/>
      <c r="X5080" s="533"/>
      <c r="Y5080" s="533"/>
    </row>
    <row r="5081" spans="1:25" s="88" customFormat="1" hidden="1" x14ac:dyDescent="0.25">
      <c r="A5081" s="509"/>
      <c r="B5081" s="256"/>
      <c r="C5081" s="221"/>
      <c r="D5081" s="218"/>
      <c r="E5081" s="218"/>
      <c r="F5081" s="218"/>
      <c r="G5081" s="518"/>
      <c r="H5081" s="594"/>
      <c r="I5081" s="595"/>
      <c r="J5081" s="595"/>
      <c r="K5081" s="533"/>
      <c r="L5081" s="533"/>
      <c r="M5081" s="533"/>
      <c r="N5081" s="533"/>
      <c r="O5081" s="533"/>
      <c r="P5081" s="533"/>
      <c r="Q5081" s="533"/>
      <c r="R5081" s="533"/>
      <c r="S5081" s="533"/>
      <c r="T5081" s="533"/>
      <c r="U5081" s="533"/>
      <c r="V5081" s="533"/>
      <c r="W5081" s="533"/>
      <c r="X5081" s="533"/>
      <c r="Y5081" s="533"/>
    </row>
    <row r="5082" spans="1:25" s="88" customFormat="1" x14ac:dyDescent="0.25">
      <c r="A5082" s="509"/>
      <c r="B5082" s="256"/>
      <c r="C5082" s="316"/>
      <c r="D5082" s="251"/>
      <c r="E5082" s="251"/>
      <c r="F5082" s="528"/>
      <c r="G5082" s="250" t="s">
        <v>4346</v>
      </c>
      <c r="H5082" s="606"/>
      <c r="I5082" s="624"/>
      <c r="J5082" s="607"/>
      <c r="K5082" s="533"/>
      <c r="L5082" s="533"/>
      <c r="M5082" s="533"/>
      <c r="N5082" s="533"/>
      <c r="O5082" s="533"/>
      <c r="P5082" s="533"/>
      <c r="Q5082" s="533"/>
      <c r="R5082" s="533"/>
      <c r="S5082" s="533"/>
      <c r="T5082" s="533"/>
      <c r="U5082" s="533"/>
      <c r="V5082" s="533"/>
      <c r="W5082" s="533"/>
      <c r="X5082" s="533"/>
      <c r="Y5082" s="533"/>
    </row>
    <row r="5083" spans="1:25" s="88" customFormat="1" ht="15.75" thickBot="1" x14ac:dyDescent="0.3">
      <c r="A5083" s="509"/>
      <c r="B5083" s="256"/>
      <c r="C5083" s="316"/>
      <c r="D5083" s="251"/>
      <c r="E5083" s="251"/>
      <c r="F5083" s="642" t="s">
        <v>234</v>
      </c>
      <c r="G5083" s="643" t="s">
        <v>235</v>
      </c>
      <c r="H5083" s="598">
        <f>SUM(H5064,H4965,H4866)</f>
        <v>4000000</v>
      </c>
      <c r="I5083" s="599"/>
      <c r="J5083" s="599">
        <f>SUM(H5083:I5083)</f>
        <v>4000000</v>
      </c>
      <c r="K5083" s="533"/>
      <c r="L5083" s="533"/>
      <c r="M5083" s="533"/>
      <c r="N5083" s="533"/>
      <c r="O5083" s="533"/>
      <c r="P5083" s="533"/>
      <c r="Q5083" s="533"/>
      <c r="R5083" s="533"/>
      <c r="S5083" s="533"/>
      <c r="T5083" s="533"/>
      <c r="U5083" s="533"/>
      <c r="V5083" s="533"/>
      <c r="W5083" s="533"/>
      <c r="X5083" s="533"/>
      <c r="Y5083" s="533"/>
    </row>
    <row r="5084" spans="1:25" s="88" customFormat="1" hidden="1" x14ac:dyDescent="0.25">
      <c r="A5084" s="509"/>
      <c r="B5084" s="256"/>
      <c r="C5084" s="316"/>
      <c r="D5084" s="251"/>
      <c r="E5084" s="251"/>
      <c r="F5084" s="642" t="s">
        <v>236</v>
      </c>
      <c r="G5084" s="643" t="s">
        <v>237</v>
      </c>
      <c r="H5084" s="594"/>
      <c r="I5084" s="595"/>
      <c r="J5084" s="599">
        <f t="shared" ref="J5084:J5098" si="157">SUM(H5084:I5084)</f>
        <v>0</v>
      </c>
      <c r="K5084" s="533"/>
      <c r="L5084" s="533"/>
      <c r="M5084" s="533"/>
      <c r="N5084" s="533"/>
      <c r="O5084" s="533"/>
      <c r="P5084" s="533"/>
      <c r="Q5084" s="533"/>
      <c r="R5084" s="533"/>
      <c r="S5084" s="533"/>
      <c r="T5084" s="533"/>
      <c r="U5084" s="533"/>
      <c r="V5084" s="533"/>
      <c r="W5084" s="533"/>
      <c r="X5084" s="533"/>
      <c r="Y5084" s="533"/>
    </row>
    <row r="5085" spans="1:25" s="88" customFormat="1" hidden="1" x14ac:dyDescent="0.25">
      <c r="A5085" s="509"/>
      <c r="B5085" s="256"/>
      <c r="C5085" s="316"/>
      <c r="D5085" s="251"/>
      <c r="E5085" s="251"/>
      <c r="F5085" s="642" t="s">
        <v>238</v>
      </c>
      <c r="G5085" s="643" t="s">
        <v>239</v>
      </c>
      <c r="H5085" s="594"/>
      <c r="I5085" s="595"/>
      <c r="J5085" s="599">
        <f t="shared" si="157"/>
        <v>0</v>
      </c>
      <c r="K5085" s="533"/>
      <c r="L5085" s="533"/>
      <c r="M5085" s="533"/>
      <c r="N5085" s="533"/>
      <c r="O5085" s="533"/>
      <c r="P5085" s="533"/>
      <c r="Q5085" s="533"/>
      <c r="R5085" s="533"/>
      <c r="S5085" s="533"/>
      <c r="T5085" s="533"/>
      <c r="U5085" s="533"/>
      <c r="V5085" s="533"/>
      <c r="W5085" s="533"/>
      <c r="X5085" s="533"/>
      <c r="Y5085" s="533"/>
    </row>
    <row r="5086" spans="1:25" s="88" customFormat="1" hidden="1" x14ac:dyDescent="0.25">
      <c r="A5086" s="509"/>
      <c r="B5086" s="256"/>
      <c r="C5086" s="316"/>
      <c r="D5086" s="251"/>
      <c r="E5086" s="251"/>
      <c r="F5086" s="642" t="s">
        <v>240</v>
      </c>
      <c r="G5086" s="643" t="s">
        <v>241</v>
      </c>
      <c r="H5086" s="594"/>
      <c r="I5086" s="595"/>
      <c r="J5086" s="599">
        <f t="shared" si="157"/>
        <v>0</v>
      </c>
      <c r="K5086" s="533"/>
      <c r="L5086" s="533"/>
      <c r="M5086" s="533"/>
      <c r="N5086" s="533"/>
      <c r="O5086" s="533"/>
      <c r="P5086" s="533"/>
      <c r="Q5086" s="533"/>
      <c r="R5086" s="533"/>
      <c r="S5086" s="533"/>
      <c r="T5086" s="533"/>
      <c r="U5086" s="533"/>
      <c r="V5086" s="533"/>
      <c r="W5086" s="533"/>
      <c r="X5086" s="533"/>
      <c r="Y5086" s="533"/>
    </row>
    <row r="5087" spans="1:25" s="88" customFormat="1" hidden="1" x14ac:dyDescent="0.25">
      <c r="A5087" s="509"/>
      <c r="B5087" s="256"/>
      <c r="C5087" s="316"/>
      <c r="D5087" s="251"/>
      <c r="E5087" s="251"/>
      <c r="F5087" s="642" t="s">
        <v>242</v>
      </c>
      <c r="G5087" s="643" t="s">
        <v>243</v>
      </c>
      <c r="H5087" s="594"/>
      <c r="I5087" s="595"/>
      <c r="J5087" s="599">
        <f t="shared" si="157"/>
        <v>0</v>
      </c>
      <c r="K5087" s="533"/>
      <c r="L5087" s="533"/>
      <c r="M5087" s="533"/>
      <c r="N5087" s="533"/>
      <c r="O5087" s="533"/>
      <c r="P5087" s="533"/>
      <c r="Q5087" s="533"/>
      <c r="R5087" s="533"/>
      <c r="S5087" s="533"/>
      <c r="T5087" s="533"/>
      <c r="U5087" s="533"/>
      <c r="V5087" s="533"/>
      <c r="W5087" s="533"/>
      <c r="X5087" s="533"/>
      <c r="Y5087" s="533"/>
    </row>
    <row r="5088" spans="1:25" s="88" customFormat="1" hidden="1" x14ac:dyDescent="0.25">
      <c r="A5088" s="509"/>
      <c r="B5088" s="256"/>
      <c r="C5088" s="316"/>
      <c r="D5088" s="251"/>
      <c r="E5088" s="251"/>
      <c r="F5088" s="642" t="s">
        <v>244</v>
      </c>
      <c r="G5088" s="643" t="s">
        <v>245</v>
      </c>
      <c r="H5088" s="594"/>
      <c r="I5088" s="595"/>
      <c r="J5088" s="599">
        <f t="shared" si="157"/>
        <v>0</v>
      </c>
      <c r="K5088" s="533"/>
      <c r="L5088" s="533"/>
      <c r="M5088" s="533"/>
      <c r="N5088" s="533"/>
      <c r="O5088" s="533"/>
      <c r="P5088" s="533"/>
      <c r="Q5088" s="533"/>
      <c r="R5088" s="533"/>
      <c r="S5088" s="533"/>
      <c r="T5088" s="533"/>
      <c r="U5088" s="533"/>
      <c r="V5088" s="533"/>
      <c r="W5088" s="533"/>
      <c r="X5088" s="533"/>
      <c r="Y5088" s="533"/>
    </row>
    <row r="5089" spans="1:25" s="88" customFormat="1" hidden="1" x14ac:dyDescent="0.25">
      <c r="A5089" s="509"/>
      <c r="B5089" s="256"/>
      <c r="C5089" s="316"/>
      <c r="D5089" s="251"/>
      <c r="E5089" s="251"/>
      <c r="F5089" s="642" t="s">
        <v>246</v>
      </c>
      <c r="G5089" s="643" t="s">
        <v>247</v>
      </c>
      <c r="H5089" s="594"/>
      <c r="I5089" s="595"/>
      <c r="J5089" s="599">
        <f t="shared" si="157"/>
        <v>0</v>
      </c>
      <c r="K5089" s="533"/>
      <c r="L5089" s="533"/>
      <c r="M5089" s="533"/>
      <c r="N5089" s="533"/>
      <c r="O5089" s="533"/>
      <c r="P5089" s="533"/>
      <c r="Q5089" s="533"/>
      <c r="R5089" s="533"/>
      <c r="S5089" s="533"/>
      <c r="T5089" s="533"/>
      <c r="U5089" s="533"/>
      <c r="V5089" s="533"/>
      <c r="W5089" s="533"/>
      <c r="X5089" s="533"/>
      <c r="Y5089" s="533"/>
    </row>
    <row r="5090" spans="1:25" s="88" customFormat="1" hidden="1" x14ac:dyDescent="0.25">
      <c r="A5090" s="509"/>
      <c r="B5090" s="256"/>
      <c r="C5090" s="316"/>
      <c r="D5090" s="251"/>
      <c r="E5090" s="251"/>
      <c r="F5090" s="642" t="s">
        <v>248</v>
      </c>
      <c r="G5090" s="643" t="s">
        <v>249</v>
      </c>
      <c r="H5090" s="594"/>
      <c r="I5090" s="595"/>
      <c r="J5090" s="599">
        <f t="shared" si="157"/>
        <v>0</v>
      </c>
      <c r="K5090" s="533"/>
      <c r="L5090" s="533"/>
      <c r="M5090" s="533"/>
      <c r="N5090" s="533"/>
      <c r="O5090" s="533"/>
      <c r="P5090" s="533"/>
      <c r="Q5090" s="533"/>
      <c r="R5090" s="533"/>
      <c r="S5090" s="533"/>
      <c r="T5090" s="533"/>
      <c r="U5090" s="533"/>
      <c r="V5090" s="533"/>
      <c r="W5090" s="533"/>
      <c r="X5090" s="533"/>
      <c r="Y5090" s="533"/>
    </row>
    <row r="5091" spans="1:25" s="88" customFormat="1" hidden="1" x14ac:dyDescent="0.25">
      <c r="A5091" s="509"/>
      <c r="B5091" s="256"/>
      <c r="C5091" s="316"/>
      <c r="D5091" s="251"/>
      <c r="E5091" s="251"/>
      <c r="F5091" s="642" t="s">
        <v>250</v>
      </c>
      <c r="G5091" s="643" t="s">
        <v>57</v>
      </c>
      <c r="H5091" s="594"/>
      <c r="I5091" s="595"/>
      <c r="J5091" s="599">
        <f t="shared" si="157"/>
        <v>0</v>
      </c>
      <c r="K5091" s="533"/>
      <c r="L5091" s="533"/>
      <c r="M5091" s="533"/>
      <c r="N5091" s="533"/>
      <c r="O5091" s="533"/>
      <c r="P5091" s="533"/>
      <c r="Q5091" s="533"/>
      <c r="R5091" s="533"/>
      <c r="S5091" s="533"/>
      <c r="T5091" s="533"/>
      <c r="U5091" s="533"/>
      <c r="V5091" s="533"/>
      <c r="W5091" s="533"/>
      <c r="X5091" s="533"/>
      <c r="Y5091" s="533"/>
    </row>
    <row r="5092" spans="1:25" s="88" customFormat="1" hidden="1" x14ac:dyDescent="0.25">
      <c r="A5092" s="509"/>
      <c r="B5092" s="256"/>
      <c r="C5092" s="316"/>
      <c r="D5092" s="251"/>
      <c r="E5092" s="251"/>
      <c r="F5092" s="642" t="s">
        <v>251</v>
      </c>
      <c r="G5092" s="643" t="s">
        <v>252</v>
      </c>
      <c r="H5092" s="594"/>
      <c r="I5092" s="595"/>
      <c r="J5092" s="599">
        <f t="shared" si="157"/>
        <v>0</v>
      </c>
      <c r="K5092" s="533"/>
      <c r="L5092" s="533"/>
      <c r="M5092" s="533"/>
      <c r="N5092" s="533"/>
      <c r="O5092" s="533"/>
      <c r="P5092" s="533"/>
      <c r="Q5092" s="533"/>
      <c r="R5092" s="533"/>
      <c r="S5092" s="533"/>
      <c r="T5092" s="533"/>
      <c r="U5092" s="533"/>
      <c r="V5092" s="533"/>
      <c r="W5092" s="533"/>
      <c r="X5092" s="533"/>
      <c r="Y5092" s="533"/>
    </row>
    <row r="5093" spans="1:25" s="88" customFormat="1" hidden="1" x14ac:dyDescent="0.25">
      <c r="A5093" s="509"/>
      <c r="B5093" s="256"/>
      <c r="C5093" s="316"/>
      <c r="D5093" s="251"/>
      <c r="E5093" s="251"/>
      <c r="F5093" s="642" t="s">
        <v>253</v>
      </c>
      <c r="G5093" s="643" t="s">
        <v>254</v>
      </c>
      <c r="H5093" s="594"/>
      <c r="I5093" s="595"/>
      <c r="J5093" s="599">
        <f t="shared" si="157"/>
        <v>0</v>
      </c>
      <c r="K5093" s="533"/>
      <c r="L5093" s="533"/>
      <c r="M5093" s="533"/>
      <c r="N5093" s="533"/>
      <c r="O5093" s="533"/>
      <c r="P5093" s="533"/>
      <c r="Q5093" s="533"/>
      <c r="R5093" s="533"/>
      <c r="S5093" s="533"/>
      <c r="T5093" s="533"/>
      <c r="U5093" s="533"/>
      <c r="V5093" s="533"/>
      <c r="W5093" s="533"/>
      <c r="X5093" s="533"/>
      <c r="Y5093" s="533"/>
    </row>
    <row r="5094" spans="1:25" s="88" customFormat="1" ht="30" hidden="1" x14ac:dyDescent="0.25">
      <c r="A5094" s="509"/>
      <c r="B5094" s="256"/>
      <c r="C5094" s="316"/>
      <c r="D5094" s="251"/>
      <c r="E5094" s="251"/>
      <c r="F5094" s="642" t="s">
        <v>255</v>
      </c>
      <c r="G5094" s="643" t="s">
        <v>256</v>
      </c>
      <c r="H5094" s="594"/>
      <c r="I5094" s="595"/>
      <c r="J5094" s="599">
        <f t="shared" si="157"/>
        <v>0</v>
      </c>
      <c r="K5094" s="533"/>
      <c r="L5094" s="533"/>
      <c r="M5094" s="533"/>
      <c r="N5094" s="533"/>
      <c r="O5094" s="533"/>
      <c r="P5094" s="533"/>
      <c r="Q5094" s="533"/>
      <c r="R5094" s="533"/>
      <c r="S5094" s="533"/>
      <c r="T5094" s="533"/>
      <c r="U5094" s="533"/>
      <c r="V5094" s="533"/>
      <c r="W5094" s="533"/>
      <c r="X5094" s="533"/>
      <c r="Y5094" s="533"/>
    </row>
    <row r="5095" spans="1:25" s="88" customFormat="1" hidden="1" x14ac:dyDescent="0.25">
      <c r="A5095" s="509"/>
      <c r="B5095" s="256"/>
      <c r="C5095" s="316"/>
      <c r="D5095" s="251"/>
      <c r="E5095" s="251"/>
      <c r="F5095" s="642" t="s">
        <v>257</v>
      </c>
      <c r="G5095" s="643" t="s">
        <v>258</v>
      </c>
      <c r="H5095" s="594"/>
      <c r="I5095" s="595"/>
      <c r="J5095" s="599">
        <f t="shared" si="157"/>
        <v>0</v>
      </c>
      <c r="K5095" s="533"/>
      <c r="L5095" s="533"/>
      <c r="M5095" s="533"/>
      <c r="N5095" s="533"/>
      <c r="O5095" s="533"/>
      <c r="P5095" s="533"/>
      <c r="Q5095" s="533"/>
      <c r="R5095" s="533"/>
      <c r="S5095" s="533"/>
      <c r="T5095" s="533"/>
      <c r="U5095" s="533"/>
      <c r="V5095" s="533"/>
      <c r="W5095" s="533"/>
      <c r="X5095" s="533"/>
      <c r="Y5095" s="533"/>
    </row>
    <row r="5096" spans="1:25" s="88" customFormat="1" ht="30" hidden="1" x14ac:dyDescent="0.25">
      <c r="A5096" s="509"/>
      <c r="B5096" s="256"/>
      <c r="C5096" s="316"/>
      <c r="D5096" s="251"/>
      <c r="E5096" s="251"/>
      <c r="F5096" s="642" t="s">
        <v>259</v>
      </c>
      <c r="G5096" s="643" t="s">
        <v>260</v>
      </c>
      <c r="H5096" s="594"/>
      <c r="I5096" s="595"/>
      <c r="J5096" s="599">
        <f t="shared" si="157"/>
        <v>0</v>
      </c>
      <c r="K5096" s="533"/>
      <c r="L5096" s="533"/>
      <c r="M5096" s="533"/>
      <c r="N5096" s="533"/>
      <c r="O5096" s="533"/>
      <c r="P5096" s="533"/>
      <c r="Q5096" s="533"/>
      <c r="R5096" s="533"/>
      <c r="S5096" s="533"/>
      <c r="T5096" s="533"/>
      <c r="U5096" s="533"/>
      <c r="V5096" s="533"/>
      <c r="W5096" s="533"/>
      <c r="X5096" s="533"/>
      <c r="Y5096" s="533"/>
    </row>
    <row r="5097" spans="1:25" s="88" customFormat="1" hidden="1" x14ac:dyDescent="0.25">
      <c r="A5097" s="509"/>
      <c r="B5097" s="256"/>
      <c r="C5097" s="316"/>
      <c r="D5097" s="251"/>
      <c r="E5097" s="251"/>
      <c r="F5097" s="642" t="s">
        <v>261</v>
      </c>
      <c r="G5097" s="643" t="s">
        <v>262</v>
      </c>
      <c r="H5097" s="594"/>
      <c r="I5097" s="595"/>
      <c r="J5097" s="599">
        <f t="shared" si="157"/>
        <v>0</v>
      </c>
      <c r="K5097" s="533"/>
      <c r="L5097" s="533"/>
      <c r="M5097" s="533"/>
      <c r="N5097" s="533"/>
      <c r="O5097" s="533"/>
      <c r="P5097" s="533"/>
      <c r="Q5097" s="533"/>
      <c r="R5097" s="533"/>
      <c r="S5097" s="533"/>
      <c r="T5097" s="533"/>
      <c r="U5097" s="533"/>
      <c r="V5097" s="533"/>
      <c r="W5097" s="533"/>
      <c r="X5097" s="533"/>
      <c r="Y5097" s="533"/>
    </row>
    <row r="5098" spans="1:25" s="88" customFormat="1" ht="15.75" hidden="1" thickBot="1" x14ac:dyDescent="0.3">
      <c r="A5098" s="509"/>
      <c r="B5098" s="256"/>
      <c r="C5098" s="316"/>
      <c r="D5098" s="251"/>
      <c r="E5098" s="251"/>
      <c r="F5098" s="642" t="s">
        <v>263</v>
      </c>
      <c r="G5098" s="643" t="s">
        <v>264</v>
      </c>
      <c r="H5098" s="598"/>
      <c r="I5098" s="599"/>
      <c r="J5098" s="599">
        <f t="shared" si="157"/>
        <v>0</v>
      </c>
      <c r="K5098" s="533"/>
      <c r="L5098" s="533"/>
      <c r="M5098" s="533"/>
      <c r="N5098" s="533"/>
      <c r="O5098" s="533"/>
      <c r="P5098" s="533"/>
      <c r="Q5098" s="533"/>
      <c r="R5098" s="533"/>
      <c r="S5098" s="533"/>
      <c r="T5098" s="533"/>
      <c r="U5098" s="533"/>
      <c r="V5098" s="533"/>
      <c r="W5098" s="533"/>
      <c r="X5098" s="533"/>
      <c r="Y5098" s="533"/>
    </row>
    <row r="5099" spans="1:25" s="88" customFormat="1" ht="15.75" thickBot="1" x14ac:dyDescent="0.3">
      <c r="A5099" s="509"/>
      <c r="B5099" s="256"/>
      <c r="C5099" s="316"/>
      <c r="D5099" s="251"/>
      <c r="E5099" s="251"/>
      <c r="F5099" s="218"/>
      <c r="G5099" s="229" t="s">
        <v>4347</v>
      </c>
      <c r="H5099" s="600">
        <f>SUM(H5083:H5098)</f>
        <v>4000000</v>
      </c>
      <c r="I5099" s="601">
        <f>SUM(I5084:I5098)</f>
        <v>0</v>
      </c>
      <c r="J5099" s="601">
        <f>SUM(J5083:J5098)</f>
        <v>4000000</v>
      </c>
      <c r="K5099" s="533"/>
      <c r="L5099" s="533"/>
      <c r="M5099" s="533"/>
      <c r="N5099" s="533"/>
      <c r="O5099" s="533"/>
      <c r="P5099" s="533"/>
      <c r="Q5099" s="533"/>
      <c r="R5099" s="533"/>
      <c r="S5099" s="533"/>
      <c r="T5099" s="533"/>
      <c r="U5099" s="533"/>
      <c r="V5099" s="533"/>
      <c r="W5099" s="533"/>
      <c r="X5099" s="533"/>
      <c r="Y5099" s="533"/>
    </row>
    <row r="5100" spans="1:25" s="88" customFormat="1" ht="18" hidden="1" customHeight="1" x14ac:dyDescent="0.25">
      <c r="A5100" s="509"/>
      <c r="B5100" s="256"/>
      <c r="C5100" s="316"/>
      <c r="D5100" s="251"/>
      <c r="E5100" s="251"/>
      <c r="F5100" s="218"/>
      <c r="G5100" s="286"/>
      <c r="H5100" s="604"/>
      <c r="I5100" s="605"/>
      <c r="J5100" s="605"/>
      <c r="K5100" s="533"/>
      <c r="L5100" s="533"/>
      <c r="M5100" s="533"/>
      <c r="N5100" s="533"/>
      <c r="O5100" s="533"/>
      <c r="P5100" s="533"/>
      <c r="Q5100" s="533"/>
      <c r="R5100" s="533"/>
      <c r="S5100" s="533"/>
      <c r="T5100" s="533"/>
      <c r="U5100" s="533"/>
      <c r="V5100" s="533"/>
      <c r="W5100" s="533"/>
      <c r="X5100" s="533"/>
      <c r="Y5100" s="533"/>
    </row>
    <row r="5101" spans="1:25" s="88" customFormat="1" hidden="1" x14ac:dyDescent="0.25">
      <c r="A5101" s="509"/>
      <c r="B5101" s="256"/>
      <c r="C5101" s="316"/>
      <c r="D5101" s="251"/>
      <c r="E5101" s="251"/>
      <c r="F5101" s="218"/>
      <c r="G5101" s="286"/>
      <c r="H5101" s="604"/>
      <c r="I5101" s="605"/>
      <c r="J5101" s="605"/>
      <c r="K5101" s="533"/>
      <c r="L5101" s="533"/>
      <c r="M5101" s="533"/>
      <c r="N5101" s="533"/>
      <c r="O5101" s="533"/>
      <c r="P5101" s="533"/>
      <c r="Q5101" s="533"/>
      <c r="R5101" s="533"/>
      <c r="S5101" s="533"/>
      <c r="T5101" s="533"/>
      <c r="U5101" s="533"/>
      <c r="V5101" s="533"/>
      <c r="W5101" s="533"/>
      <c r="X5101" s="533"/>
      <c r="Y5101" s="533"/>
    </row>
    <row r="5102" spans="1:25" s="88" customFormat="1" hidden="1" x14ac:dyDescent="0.25">
      <c r="A5102" s="509"/>
      <c r="B5102" s="256"/>
      <c r="C5102" s="316"/>
      <c r="D5102" s="251"/>
      <c r="E5102" s="251"/>
      <c r="F5102" s="218"/>
      <c r="G5102" s="286"/>
      <c r="H5102" s="604"/>
      <c r="I5102" s="605"/>
      <c r="J5102" s="605"/>
      <c r="K5102" s="533"/>
      <c r="L5102" s="533"/>
      <c r="M5102" s="533"/>
      <c r="N5102" s="533"/>
      <c r="O5102" s="533"/>
      <c r="P5102" s="533"/>
      <c r="Q5102" s="533"/>
      <c r="R5102" s="533"/>
      <c r="S5102" s="533"/>
      <c r="T5102" s="533"/>
      <c r="U5102" s="533"/>
      <c r="V5102" s="533"/>
      <c r="W5102" s="533"/>
      <c r="X5102" s="533"/>
      <c r="Y5102" s="533"/>
    </row>
    <row r="5103" spans="1:25" s="88" customFormat="1" hidden="1" x14ac:dyDescent="0.25">
      <c r="A5103" s="509"/>
      <c r="B5103" s="256"/>
      <c r="C5103" s="316"/>
      <c r="D5103" s="251"/>
      <c r="E5103" s="251"/>
      <c r="F5103" s="218"/>
      <c r="G5103" s="286"/>
      <c r="H5103" s="604"/>
      <c r="I5103" s="605"/>
      <c r="J5103" s="605"/>
      <c r="K5103" s="533"/>
      <c r="L5103" s="533"/>
      <c r="M5103" s="533"/>
      <c r="N5103" s="533"/>
      <c r="O5103" s="533"/>
      <c r="P5103" s="533"/>
      <c r="Q5103" s="533"/>
      <c r="R5103" s="533"/>
      <c r="S5103" s="533"/>
      <c r="T5103" s="533"/>
      <c r="U5103" s="533"/>
      <c r="V5103" s="533"/>
      <c r="W5103" s="533"/>
      <c r="X5103" s="533"/>
      <c r="Y5103" s="533"/>
    </row>
    <row r="5104" spans="1:25" s="88" customFormat="1" hidden="1" x14ac:dyDescent="0.25">
      <c r="A5104" s="509"/>
      <c r="B5104" s="256"/>
      <c r="C5104" s="316"/>
      <c r="D5104" s="251"/>
      <c r="E5104" s="251"/>
      <c r="F5104" s="218"/>
      <c r="G5104" s="286"/>
      <c r="H5104" s="604"/>
      <c r="I5104" s="605"/>
      <c r="J5104" s="605"/>
      <c r="K5104" s="533"/>
      <c r="L5104" s="533"/>
      <c r="M5104" s="533"/>
      <c r="N5104" s="533"/>
      <c r="O5104" s="533"/>
      <c r="P5104" s="533"/>
      <c r="Q5104" s="533"/>
      <c r="R5104" s="533"/>
      <c r="S5104" s="533"/>
      <c r="T5104" s="533"/>
      <c r="U5104" s="533"/>
      <c r="V5104" s="533"/>
      <c r="W5104" s="533"/>
      <c r="X5104" s="533"/>
      <c r="Y5104" s="533"/>
    </row>
    <row r="5105" spans="1:25" s="88" customFormat="1" hidden="1" x14ac:dyDescent="0.25">
      <c r="A5105" s="509"/>
      <c r="B5105" s="256"/>
      <c r="C5105" s="316"/>
      <c r="D5105" s="251"/>
      <c r="E5105" s="251"/>
      <c r="F5105" s="218"/>
      <c r="G5105" s="286"/>
      <c r="H5105" s="604"/>
      <c r="I5105" s="605"/>
      <c r="J5105" s="605"/>
      <c r="K5105" s="533"/>
      <c r="L5105" s="533"/>
      <c r="M5105" s="533"/>
      <c r="N5105" s="533"/>
      <c r="O5105" s="533"/>
      <c r="P5105" s="533"/>
      <c r="Q5105" s="533"/>
      <c r="R5105" s="533"/>
      <c r="S5105" s="533"/>
      <c r="T5105" s="533"/>
      <c r="U5105" s="533"/>
      <c r="V5105" s="533"/>
      <c r="W5105" s="533"/>
      <c r="X5105" s="533"/>
      <c r="Y5105" s="533"/>
    </row>
    <row r="5106" spans="1:25" s="88" customFormat="1" hidden="1" x14ac:dyDescent="0.25">
      <c r="A5106" s="509"/>
      <c r="B5106" s="256"/>
      <c r="C5106" s="316"/>
      <c r="D5106" s="251"/>
      <c r="E5106" s="251"/>
      <c r="F5106" s="218"/>
      <c r="G5106" s="286"/>
      <c r="H5106" s="604"/>
      <c r="I5106" s="605"/>
      <c r="J5106" s="605"/>
      <c r="K5106" s="533"/>
      <c r="L5106" s="533"/>
      <c r="M5106" s="533"/>
      <c r="N5106" s="533"/>
      <c r="O5106" s="533"/>
      <c r="P5106" s="533"/>
      <c r="Q5106" s="533"/>
      <c r="R5106" s="533"/>
      <c r="S5106" s="533"/>
      <c r="T5106" s="533"/>
      <c r="U5106" s="533"/>
      <c r="V5106" s="533"/>
      <c r="W5106" s="533"/>
      <c r="X5106" s="533"/>
      <c r="Y5106" s="533"/>
    </row>
    <row r="5107" spans="1:25" s="88" customFormat="1" hidden="1" x14ac:dyDescent="0.25">
      <c r="A5107" s="509"/>
      <c r="B5107" s="256"/>
      <c r="C5107" s="316"/>
      <c r="D5107" s="251"/>
      <c r="E5107" s="251"/>
      <c r="F5107" s="218"/>
      <c r="G5107" s="286"/>
      <c r="H5107" s="604"/>
      <c r="I5107" s="605"/>
      <c r="J5107" s="605"/>
      <c r="K5107" s="533"/>
      <c r="L5107" s="533"/>
      <c r="M5107" s="533"/>
      <c r="N5107" s="533"/>
      <c r="O5107" s="533"/>
      <c r="P5107" s="533"/>
      <c r="Q5107" s="533"/>
      <c r="R5107" s="533"/>
      <c r="S5107" s="533"/>
      <c r="T5107" s="533"/>
      <c r="U5107" s="533"/>
      <c r="V5107" s="533"/>
      <c r="W5107" s="533"/>
      <c r="X5107" s="533"/>
      <c r="Y5107" s="533"/>
    </row>
    <row r="5108" spans="1:25" s="88" customFormat="1" hidden="1" x14ac:dyDescent="0.25">
      <c r="A5108" s="509"/>
      <c r="B5108" s="256"/>
      <c r="C5108" s="316"/>
      <c r="D5108" s="251"/>
      <c r="E5108" s="251"/>
      <c r="F5108" s="218"/>
      <c r="G5108" s="286"/>
      <c r="H5108" s="604"/>
      <c r="I5108" s="605"/>
      <c r="J5108" s="605"/>
      <c r="K5108" s="533"/>
      <c r="L5108" s="533"/>
      <c r="M5108" s="533"/>
      <c r="N5108" s="533"/>
      <c r="O5108" s="533"/>
      <c r="P5108" s="533"/>
      <c r="Q5108" s="533"/>
      <c r="R5108" s="533"/>
      <c r="S5108" s="533"/>
      <c r="T5108" s="533"/>
      <c r="U5108" s="533"/>
      <c r="V5108" s="533"/>
      <c r="W5108" s="533"/>
      <c r="X5108" s="533"/>
      <c r="Y5108" s="533"/>
    </row>
    <row r="5109" spans="1:25" s="88" customFormat="1" hidden="1" x14ac:dyDescent="0.25">
      <c r="A5109" s="509"/>
      <c r="B5109" s="256"/>
      <c r="C5109" s="316"/>
      <c r="D5109" s="251"/>
      <c r="E5109" s="251"/>
      <c r="F5109" s="218"/>
      <c r="G5109" s="286"/>
      <c r="H5109" s="604"/>
      <c r="I5109" s="605"/>
      <c r="J5109" s="605"/>
      <c r="K5109" s="533"/>
      <c r="L5109" s="533"/>
      <c r="M5109" s="533"/>
      <c r="N5109" s="533"/>
      <c r="O5109" s="533"/>
      <c r="P5109" s="533"/>
      <c r="Q5109" s="533"/>
      <c r="R5109" s="533"/>
      <c r="S5109" s="533"/>
      <c r="T5109" s="533"/>
      <c r="U5109" s="533"/>
      <c r="V5109" s="533"/>
      <c r="W5109" s="533"/>
      <c r="X5109" s="533"/>
      <c r="Y5109" s="533"/>
    </row>
    <row r="5110" spans="1:25" s="88" customFormat="1" hidden="1" x14ac:dyDescent="0.25">
      <c r="A5110" s="509"/>
      <c r="B5110" s="256"/>
      <c r="C5110" s="316"/>
      <c r="D5110" s="251"/>
      <c r="E5110" s="251"/>
      <c r="F5110" s="218"/>
      <c r="G5110" s="286"/>
      <c r="H5110" s="604"/>
      <c r="I5110" s="605"/>
      <c r="J5110" s="605"/>
      <c r="K5110" s="533"/>
      <c r="L5110" s="533"/>
      <c r="M5110" s="533"/>
      <c r="N5110" s="533"/>
      <c r="O5110" s="533"/>
      <c r="P5110" s="533"/>
      <c r="Q5110" s="533"/>
      <c r="R5110" s="533"/>
      <c r="S5110" s="533"/>
      <c r="T5110" s="533"/>
      <c r="U5110" s="533"/>
      <c r="V5110" s="533"/>
      <c r="W5110" s="533"/>
      <c r="X5110" s="533"/>
      <c r="Y5110" s="533"/>
    </row>
    <row r="5111" spans="1:25" s="88" customFormat="1" hidden="1" x14ac:dyDescent="0.25">
      <c r="A5111" s="509"/>
      <c r="B5111" s="256"/>
      <c r="C5111" s="316"/>
      <c r="D5111" s="251"/>
      <c r="E5111" s="251"/>
      <c r="F5111" s="218"/>
      <c r="G5111" s="286"/>
      <c r="H5111" s="604"/>
      <c r="I5111" s="605"/>
      <c r="J5111" s="605"/>
      <c r="K5111" s="533"/>
      <c r="L5111" s="533"/>
      <c r="M5111" s="533"/>
      <c r="N5111" s="533"/>
      <c r="O5111" s="533"/>
      <c r="P5111" s="533"/>
      <c r="Q5111" s="533"/>
      <c r="R5111" s="533"/>
      <c r="S5111" s="533"/>
      <c r="T5111" s="533"/>
      <c r="U5111" s="533"/>
      <c r="V5111" s="533"/>
      <c r="W5111" s="533"/>
      <c r="X5111" s="533"/>
      <c r="Y5111" s="533"/>
    </row>
    <row r="5112" spans="1:25" s="88" customFormat="1" hidden="1" x14ac:dyDescent="0.25">
      <c r="A5112" s="509"/>
      <c r="B5112" s="256"/>
      <c r="C5112" s="316"/>
      <c r="D5112" s="251"/>
      <c r="E5112" s="251"/>
      <c r="F5112" s="218"/>
      <c r="G5112" s="286"/>
      <c r="H5112" s="604"/>
      <c r="I5112" s="605"/>
      <c r="J5112" s="605"/>
      <c r="K5112" s="533"/>
      <c r="L5112" s="533"/>
      <c r="M5112" s="533"/>
      <c r="N5112" s="533"/>
      <c r="O5112" s="533"/>
      <c r="P5112" s="533"/>
      <c r="Q5112" s="533"/>
      <c r="R5112" s="533"/>
      <c r="S5112" s="533"/>
      <c r="T5112" s="533"/>
      <c r="U5112" s="533"/>
      <c r="V5112" s="533"/>
      <c r="W5112" s="533"/>
      <c r="X5112" s="533"/>
      <c r="Y5112" s="533"/>
    </row>
    <row r="5113" spans="1:25" s="88" customFormat="1" hidden="1" x14ac:dyDescent="0.25">
      <c r="A5113" s="509"/>
      <c r="B5113" s="256"/>
      <c r="C5113" s="316"/>
      <c r="D5113" s="251"/>
      <c r="E5113" s="251"/>
      <c r="F5113" s="218"/>
      <c r="G5113" s="286"/>
      <c r="H5113" s="604"/>
      <c r="I5113" s="605"/>
      <c r="J5113" s="605"/>
      <c r="K5113" s="533"/>
      <c r="L5113" s="533"/>
      <c r="M5113" s="533"/>
      <c r="N5113" s="533"/>
      <c r="O5113" s="533"/>
      <c r="P5113" s="533"/>
      <c r="Q5113" s="533"/>
      <c r="R5113" s="533"/>
      <c r="S5113" s="533"/>
      <c r="T5113" s="533"/>
      <c r="U5113" s="533"/>
      <c r="V5113" s="533"/>
      <c r="W5113" s="533"/>
      <c r="X5113" s="533"/>
      <c r="Y5113" s="533"/>
    </row>
    <row r="5114" spans="1:25" s="88" customFormat="1" hidden="1" x14ac:dyDescent="0.25">
      <c r="A5114" s="509"/>
      <c r="B5114" s="256"/>
      <c r="C5114" s="316"/>
      <c r="D5114" s="251"/>
      <c r="E5114" s="251"/>
      <c r="F5114" s="218"/>
      <c r="G5114" s="286"/>
      <c r="H5114" s="604"/>
      <c r="I5114" s="605"/>
      <c r="J5114" s="605"/>
      <c r="K5114" s="533"/>
      <c r="L5114" s="533"/>
      <c r="M5114" s="533"/>
      <c r="N5114" s="533"/>
      <c r="O5114" s="533"/>
      <c r="P5114" s="533"/>
      <c r="Q5114" s="533"/>
      <c r="R5114" s="533"/>
      <c r="S5114" s="533"/>
      <c r="T5114" s="533"/>
      <c r="U5114" s="533"/>
      <c r="V5114" s="533"/>
      <c r="W5114" s="533"/>
      <c r="X5114" s="533"/>
      <c r="Y5114" s="533"/>
    </row>
    <row r="5115" spans="1:25" s="88" customFormat="1" hidden="1" x14ac:dyDescent="0.25">
      <c r="A5115" s="509"/>
      <c r="B5115" s="256"/>
      <c r="C5115" s="316"/>
      <c r="D5115" s="251"/>
      <c r="E5115" s="251"/>
      <c r="F5115" s="218"/>
      <c r="G5115" s="286"/>
      <c r="H5115" s="604"/>
      <c r="I5115" s="605"/>
      <c r="J5115" s="605"/>
      <c r="K5115" s="533"/>
      <c r="L5115" s="533"/>
      <c r="M5115" s="533"/>
      <c r="N5115" s="533"/>
      <c r="O5115" s="533"/>
      <c r="P5115" s="533"/>
      <c r="Q5115" s="533"/>
      <c r="R5115" s="533"/>
      <c r="S5115" s="533"/>
      <c r="T5115" s="533"/>
      <c r="U5115" s="533"/>
      <c r="V5115" s="533"/>
      <c r="W5115" s="533"/>
      <c r="X5115" s="533"/>
      <c r="Y5115" s="533"/>
    </row>
    <row r="5116" spans="1:25" s="88" customFormat="1" hidden="1" x14ac:dyDescent="0.25">
      <c r="A5116" s="509"/>
      <c r="B5116" s="256"/>
      <c r="C5116" s="316"/>
      <c r="D5116" s="251"/>
      <c r="E5116" s="251"/>
      <c r="F5116" s="218"/>
      <c r="G5116" s="286"/>
      <c r="H5116" s="604"/>
      <c r="I5116" s="605"/>
      <c r="J5116" s="605"/>
      <c r="K5116" s="533"/>
      <c r="L5116" s="533"/>
      <c r="M5116" s="533"/>
      <c r="N5116" s="533"/>
      <c r="O5116" s="533"/>
      <c r="P5116" s="533"/>
      <c r="Q5116" s="533"/>
      <c r="R5116" s="533"/>
      <c r="S5116" s="533"/>
      <c r="T5116" s="533"/>
      <c r="U5116" s="533"/>
      <c r="V5116" s="533"/>
      <c r="W5116" s="533"/>
      <c r="X5116" s="533"/>
      <c r="Y5116" s="533"/>
    </row>
    <row r="5117" spans="1:25" s="88" customFormat="1" hidden="1" x14ac:dyDescent="0.25">
      <c r="A5117" s="509"/>
      <c r="B5117" s="256"/>
      <c r="C5117" s="316"/>
      <c r="D5117" s="251"/>
      <c r="E5117" s="251"/>
      <c r="F5117" s="218"/>
      <c r="G5117" s="286"/>
      <c r="H5117" s="604"/>
      <c r="I5117" s="605"/>
      <c r="J5117" s="605"/>
      <c r="K5117" s="533"/>
      <c r="L5117" s="533"/>
      <c r="M5117" s="533"/>
      <c r="N5117" s="533"/>
      <c r="O5117" s="533"/>
      <c r="P5117" s="533"/>
      <c r="Q5117" s="533"/>
      <c r="R5117" s="533"/>
      <c r="S5117" s="533"/>
      <c r="T5117" s="533"/>
      <c r="U5117" s="533"/>
      <c r="V5117" s="533"/>
      <c r="W5117" s="533"/>
      <c r="X5117" s="533"/>
      <c r="Y5117" s="533"/>
    </row>
    <row r="5118" spans="1:25" s="88" customFormat="1" hidden="1" x14ac:dyDescent="0.25">
      <c r="A5118" s="509"/>
      <c r="B5118" s="256"/>
      <c r="C5118" s="316"/>
      <c r="D5118" s="251"/>
      <c r="E5118" s="251"/>
      <c r="F5118" s="218"/>
      <c r="G5118" s="286"/>
      <c r="H5118" s="604"/>
      <c r="I5118" s="605"/>
      <c r="J5118" s="605"/>
      <c r="K5118" s="533"/>
      <c r="L5118" s="533"/>
      <c r="M5118" s="533"/>
      <c r="N5118" s="533"/>
      <c r="O5118" s="533"/>
      <c r="P5118" s="533"/>
      <c r="Q5118" s="533"/>
      <c r="R5118" s="533"/>
      <c r="S5118" s="533"/>
      <c r="T5118" s="533"/>
      <c r="U5118" s="533"/>
      <c r="V5118" s="533"/>
      <c r="W5118" s="533"/>
      <c r="X5118" s="533"/>
      <c r="Y5118" s="533"/>
    </row>
    <row r="5119" spans="1:25" s="88" customFormat="1" hidden="1" x14ac:dyDescent="0.25">
      <c r="A5119" s="509"/>
      <c r="B5119" s="256"/>
      <c r="C5119" s="316"/>
      <c r="D5119" s="251"/>
      <c r="E5119" s="251"/>
      <c r="F5119" s="218"/>
      <c r="G5119" s="286"/>
      <c r="H5119" s="604"/>
      <c r="I5119" s="605"/>
      <c r="J5119" s="605"/>
      <c r="K5119" s="533"/>
      <c r="L5119" s="533"/>
      <c r="M5119" s="533"/>
      <c r="N5119" s="533"/>
      <c r="O5119" s="533"/>
      <c r="P5119" s="533"/>
      <c r="Q5119" s="533"/>
      <c r="R5119" s="533"/>
      <c r="S5119" s="533"/>
      <c r="T5119" s="533"/>
      <c r="U5119" s="533"/>
      <c r="V5119" s="533"/>
      <c r="W5119" s="533"/>
      <c r="X5119" s="533"/>
      <c r="Y5119" s="533"/>
    </row>
    <row r="5120" spans="1:25" s="88" customFormat="1" hidden="1" x14ac:dyDescent="0.25">
      <c r="A5120" s="509"/>
      <c r="B5120" s="256"/>
      <c r="C5120" s="316"/>
      <c r="D5120" s="251"/>
      <c r="E5120" s="251"/>
      <c r="F5120" s="218"/>
      <c r="G5120" s="286"/>
      <c r="H5120" s="604"/>
      <c r="I5120" s="605"/>
      <c r="J5120" s="605"/>
      <c r="K5120" s="533"/>
      <c r="L5120" s="533"/>
      <c r="M5120" s="533"/>
      <c r="N5120" s="533"/>
      <c r="O5120" s="533"/>
      <c r="P5120" s="533"/>
      <c r="Q5120" s="533"/>
      <c r="R5120" s="533"/>
      <c r="S5120" s="533"/>
      <c r="T5120" s="533"/>
      <c r="U5120" s="533"/>
      <c r="V5120" s="533"/>
      <c r="W5120" s="533"/>
      <c r="X5120" s="533"/>
      <c r="Y5120" s="533"/>
    </row>
    <row r="5121" spans="1:25" s="88" customFormat="1" hidden="1" x14ac:dyDescent="0.25">
      <c r="A5121" s="509"/>
      <c r="B5121" s="256"/>
      <c r="C5121" s="316"/>
      <c r="D5121" s="251"/>
      <c r="E5121" s="251"/>
      <c r="F5121" s="218"/>
      <c r="G5121" s="286"/>
      <c r="H5121" s="604"/>
      <c r="I5121" s="605"/>
      <c r="J5121" s="605"/>
      <c r="K5121" s="533"/>
      <c r="L5121" s="533"/>
      <c r="M5121" s="533"/>
      <c r="N5121" s="533"/>
      <c r="O5121" s="533"/>
      <c r="P5121" s="533"/>
      <c r="Q5121" s="533"/>
      <c r="R5121" s="533"/>
      <c r="S5121" s="533"/>
      <c r="T5121" s="533"/>
      <c r="U5121" s="533"/>
      <c r="V5121" s="533"/>
      <c r="W5121" s="533"/>
      <c r="X5121" s="533"/>
      <c r="Y5121" s="533"/>
    </row>
    <row r="5122" spans="1:25" s="88" customFormat="1" hidden="1" x14ac:dyDescent="0.25">
      <c r="A5122" s="509"/>
      <c r="B5122" s="256"/>
      <c r="C5122" s="316"/>
      <c r="D5122" s="251"/>
      <c r="E5122" s="251"/>
      <c r="F5122" s="218"/>
      <c r="G5122" s="286"/>
      <c r="H5122" s="604"/>
      <c r="I5122" s="605"/>
      <c r="J5122" s="605"/>
      <c r="K5122" s="533"/>
      <c r="L5122" s="533"/>
      <c r="M5122" s="533"/>
      <c r="N5122" s="533"/>
      <c r="O5122" s="533"/>
      <c r="P5122" s="533"/>
      <c r="Q5122" s="533"/>
      <c r="R5122" s="533"/>
      <c r="S5122" s="533"/>
      <c r="T5122" s="533"/>
      <c r="U5122" s="533"/>
      <c r="V5122" s="533"/>
      <c r="W5122" s="533"/>
      <c r="X5122" s="533"/>
      <c r="Y5122" s="533"/>
    </row>
    <row r="5123" spans="1:25" s="88" customFormat="1" hidden="1" x14ac:dyDescent="0.25">
      <c r="A5123" s="509"/>
      <c r="B5123" s="256"/>
      <c r="C5123" s="316"/>
      <c r="D5123" s="251"/>
      <c r="E5123" s="251"/>
      <c r="F5123" s="218"/>
      <c r="G5123" s="286"/>
      <c r="H5123" s="604"/>
      <c r="I5123" s="605"/>
      <c r="J5123" s="605"/>
      <c r="K5123" s="533"/>
      <c r="L5123" s="533"/>
      <c r="M5123" s="533"/>
      <c r="N5123" s="533"/>
      <c r="O5123" s="533"/>
      <c r="P5123" s="533"/>
      <c r="Q5123" s="533"/>
      <c r="R5123" s="533"/>
      <c r="S5123" s="533"/>
      <c r="T5123" s="533"/>
      <c r="U5123" s="533"/>
      <c r="V5123" s="533"/>
      <c r="W5123" s="533"/>
      <c r="X5123" s="533"/>
      <c r="Y5123" s="533"/>
    </row>
    <row r="5124" spans="1:25" s="88" customFormat="1" hidden="1" x14ac:dyDescent="0.25">
      <c r="A5124" s="509"/>
      <c r="B5124" s="256"/>
      <c r="C5124" s="316"/>
      <c r="D5124" s="251"/>
      <c r="E5124" s="251"/>
      <c r="F5124" s="218"/>
      <c r="G5124" s="286"/>
      <c r="H5124" s="604"/>
      <c r="I5124" s="605"/>
      <c r="J5124" s="605"/>
      <c r="K5124" s="533"/>
      <c r="L5124" s="533"/>
      <c r="M5124" s="533"/>
      <c r="N5124" s="533"/>
      <c r="O5124" s="533"/>
      <c r="P5124" s="533"/>
      <c r="Q5124" s="533"/>
      <c r="R5124" s="533"/>
      <c r="S5124" s="533"/>
      <c r="T5124" s="533"/>
      <c r="U5124" s="533"/>
      <c r="V5124" s="533"/>
      <c r="W5124" s="533"/>
      <c r="X5124" s="533"/>
      <c r="Y5124" s="533"/>
    </row>
    <row r="5125" spans="1:25" s="88" customFormat="1" hidden="1" x14ac:dyDescent="0.25">
      <c r="A5125" s="509"/>
      <c r="B5125" s="256"/>
      <c r="C5125" s="316"/>
      <c r="D5125" s="251"/>
      <c r="E5125" s="251"/>
      <c r="F5125" s="218"/>
      <c r="G5125" s="286"/>
      <c r="H5125" s="604"/>
      <c r="I5125" s="605"/>
      <c r="J5125" s="605"/>
      <c r="K5125" s="533"/>
      <c r="L5125" s="533"/>
      <c r="M5125" s="533"/>
      <c r="N5125" s="533"/>
      <c r="O5125" s="533"/>
      <c r="P5125" s="533"/>
      <c r="Q5125" s="533"/>
      <c r="R5125" s="533"/>
      <c r="S5125" s="533"/>
      <c r="T5125" s="533"/>
      <c r="U5125" s="533"/>
      <c r="V5125" s="533"/>
      <c r="W5125" s="533"/>
      <c r="X5125" s="533"/>
      <c r="Y5125" s="533"/>
    </row>
    <row r="5126" spans="1:25" s="88" customFormat="1" hidden="1" x14ac:dyDescent="0.25">
      <c r="A5126" s="509"/>
      <c r="B5126" s="256"/>
      <c r="C5126" s="316"/>
      <c r="D5126" s="251"/>
      <c r="E5126" s="251"/>
      <c r="F5126" s="218"/>
      <c r="G5126" s="286"/>
      <c r="H5126" s="604"/>
      <c r="I5126" s="605"/>
      <c r="J5126" s="605"/>
      <c r="K5126" s="533"/>
      <c r="L5126" s="533"/>
      <c r="M5126" s="533"/>
      <c r="N5126" s="533"/>
      <c r="O5126" s="533"/>
      <c r="P5126" s="533"/>
      <c r="Q5126" s="533"/>
      <c r="R5126" s="533"/>
      <c r="S5126" s="533"/>
      <c r="T5126" s="533"/>
      <c r="U5126" s="533"/>
      <c r="V5126" s="533"/>
      <c r="W5126" s="533"/>
      <c r="X5126" s="533"/>
      <c r="Y5126" s="533"/>
    </row>
    <row r="5127" spans="1:25" s="88" customFormat="1" hidden="1" x14ac:dyDescent="0.25">
      <c r="A5127" s="509"/>
      <c r="B5127" s="256"/>
      <c r="C5127" s="316"/>
      <c r="D5127" s="251"/>
      <c r="E5127" s="251"/>
      <c r="F5127" s="218"/>
      <c r="G5127" s="286"/>
      <c r="H5127" s="604"/>
      <c r="I5127" s="605"/>
      <c r="J5127" s="605"/>
      <c r="K5127" s="533"/>
      <c r="L5127" s="533"/>
      <c r="M5127" s="533"/>
      <c r="N5127" s="533"/>
      <c r="O5127" s="533"/>
      <c r="P5127" s="533"/>
      <c r="Q5127" s="533"/>
      <c r="R5127" s="533"/>
      <c r="S5127" s="533"/>
      <c r="T5127" s="533"/>
      <c r="U5127" s="533"/>
      <c r="V5127" s="533"/>
      <c r="W5127" s="533"/>
      <c r="X5127" s="533"/>
      <c r="Y5127" s="533"/>
    </row>
    <row r="5128" spans="1:25" s="88" customFormat="1" hidden="1" x14ac:dyDescent="0.25">
      <c r="A5128" s="509"/>
      <c r="B5128" s="256"/>
      <c r="C5128" s="316"/>
      <c r="D5128" s="251"/>
      <c r="E5128" s="251"/>
      <c r="F5128" s="218"/>
      <c r="G5128" s="286"/>
      <c r="H5128" s="604"/>
      <c r="I5128" s="605"/>
      <c r="J5128" s="605"/>
      <c r="K5128" s="533"/>
      <c r="L5128" s="533"/>
      <c r="M5128" s="533"/>
      <c r="N5128" s="533"/>
      <c r="O5128" s="533"/>
      <c r="P5128" s="533"/>
      <c r="Q5128" s="533"/>
      <c r="R5128" s="533"/>
      <c r="S5128" s="533"/>
      <c r="T5128" s="533"/>
      <c r="U5128" s="533"/>
      <c r="V5128" s="533"/>
      <c r="W5128" s="533"/>
      <c r="X5128" s="533"/>
      <c r="Y5128" s="533"/>
    </row>
    <row r="5129" spans="1:25" s="88" customFormat="1" hidden="1" x14ac:dyDescent="0.25">
      <c r="A5129" s="509"/>
      <c r="B5129" s="256"/>
      <c r="C5129" s="316"/>
      <c r="D5129" s="251"/>
      <c r="E5129" s="251"/>
      <c r="F5129" s="218"/>
      <c r="G5129" s="286"/>
      <c r="H5129" s="604"/>
      <c r="I5129" s="605"/>
      <c r="J5129" s="605"/>
      <c r="K5129" s="533"/>
      <c r="L5129" s="533"/>
      <c r="M5129" s="533"/>
      <c r="N5129" s="533"/>
      <c r="O5129" s="533"/>
      <c r="P5129" s="533"/>
      <c r="Q5129" s="533"/>
      <c r="R5129" s="533"/>
      <c r="S5129" s="533"/>
      <c r="T5129" s="533"/>
      <c r="U5129" s="533"/>
      <c r="V5129" s="533"/>
      <c r="W5129" s="533"/>
      <c r="X5129" s="533"/>
      <c r="Y5129" s="533"/>
    </row>
    <row r="5130" spans="1:25" s="88" customFormat="1" hidden="1" x14ac:dyDescent="0.25">
      <c r="A5130" s="509"/>
      <c r="B5130" s="256"/>
      <c r="C5130" s="316"/>
      <c r="D5130" s="251"/>
      <c r="E5130" s="251"/>
      <c r="F5130" s="218"/>
      <c r="G5130" s="286"/>
      <c r="H5130" s="604"/>
      <c r="I5130" s="605"/>
      <c r="J5130" s="605"/>
      <c r="K5130" s="533"/>
      <c r="L5130" s="533"/>
      <c r="M5130" s="533"/>
      <c r="N5130" s="533"/>
      <c r="O5130" s="533"/>
      <c r="P5130" s="533"/>
      <c r="Q5130" s="533"/>
      <c r="R5130" s="533"/>
      <c r="S5130" s="533"/>
      <c r="T5130" s="533"/>
      <c r="U5130" s="533"/>
      <c r="V5130" s="533"/>
      <c r="W5130" s="533"/>
      <c r="X5130" s="533"/>
      <c r="Y5130" s="533"/>
    </row>
    <row r="5131" spans="1:25" s="88" customFormat="1" hidden="1" x14ac:dyDescent="0.25">
      <c r="A5131" s="509"/>
      <c r="B5131" s="256"/>
      <c r="C5131" s="316"/>
      <c r="D5131" s="251"/>
      <c r="E5131" s="251"/>
      <c r="F5131" s="218"/>
      <c r="G5131" s="286"/>
      <c r="H5131" s="604"/>
      <c r="I5131" s="605"/>
      <c r="J5131" s="605"/>
      <c r="K5131" s="533"/>
      <c r="L5131" s="533"/>
      <c r="M5131" s="533"/>
      <c r="N5131" s="533"/>
      <c r="O5131" s="533"/>
      <c r="P5131" s="533"/>
      <c r="Q5131" s="533"/>
      <c r="R5131" s="533"/>
      <c r="S5131" s="533"/>
      <c r="T5131" s="533"/>
      <c r="U5131" s="533"/>
      <c r="V5131" s="533"/>
      <c r="W5131" s="533"/>
      <c r="X5131" s="533"/>
      <c r="Y5131" s="533"/>
    </row>
    <row r="5132" spans="1:25" s="88" customFormat="1" hidden="1" x14ac:dyDescent="0.25">
      <c r="A5132" s="509"/>
      <c r="B5132" s="256"/>
      <c r="C5132" s="316"/>
      <c r="D5132" s="251"/>
      <c r="E5132" s="251"/>
      <c r="F5132" s="218"/>
      <c r="G5132" s="286"/>
      <c r="H5132" s="604"/>
      <c r="I5132" s="605"/>
      <c r="J5132" s="605"/>
      <c r="K5132" s="533"/>
      <c r="L5132" s="533"/>
      <c r="M5132" s="533"/>
      <c r="N5132" s="533"/>
      <c r="O5132" s="533"/>
      <c r="P5132" s="533"/>
      <c r="Q5132" s="533"/>
      <c r="R5132" s="533"/>
      <c r="S5132" s="533"/>
      <c r="T5132" s="533"/>
      <c r="U5132" s="533"/>
      <c r="V5132" s="533"/>
      <c r="W5132" s="533"/>
      <c r="X5132" s="533"/>
      <c r="Y5132" s="533"/>
    </row>
    <row r="5133" spans="1:25" s="88" customFormat="1" hidden="1" x14ac:dyDescent="0.25">
      <c r="A5133" s="509"/>
      <c r="B5133" s="256"/>
      <c r="C5133" s="316"/>
      <c r="D5133" s="251"/>
      <c r="E5133" s="251"/>
      <c r="F5133" s="218"/>
      <c r="G5133" s="286"/>
      <c r="H5133" s="604"/>
      <c r="I5133" s="605"/>
      <c r="J5133" s="605"/>
      <c r="K5133" s="533"/>
      <c r="L5133" s="533"/>
      <c r="M5133" s="533"/>
      <c r="N5133" s="533"/>
      <c r="O5133" s="533"/>
      <c r="P5133" s="533"/>
      <c r="Q5133" s="533"/>
      <c r="R5133" s="533"/>
      <c r="S5133" s="533"/>
      <c r="T5133" s="533"/>
      <c r="U5133" s="533"/>
      <c r="V5133" s="533"/>
      <c r="W5133" s="533"/>
      <c r="X5133" s="533"/>
      <c r="Y5133" s="533"/>
    </row>
    <row r="5134" spans="1:25" s="88" customFormat="1" hidden="1" x14ac:dyDescent="0.25">
      <c r="A5134" s="509"/>
      <c r="B5134" s="256"/>
      <c r="C5134" s="316"/>
      <c r="D5134" s="251"/>
      <c r="E5134" s="251"/>
      <c r="F5134" s="218"/>
      <c r="G5134" s="286"/>
      <c r="H5134" s="604"/>
      <c r="I5134" s="605"/>
      <c r="J5134" s="605"/>
      <c r="K5134" s="533"/>
      <c r="L5134" s="533"/>
      <c r="M5134" s="533"/>
      <c r="N5134" s="533"/>
      <c r="O5134" s="533"/>
      <c r="P5134" s="533"/>
      <c r="Q5134" s="533"/>
      <c r="R5134" s="533"/>
      <c r="S5134" s="533"/>
      <c r="T5134" s="533"/>
      <c r="U5134" s="533"/>
      <c r="V5134" s="533"/>
      <c r="W5134" s="533"/>
      <c r="X5134" s="533"/>
      <c r="Y5134" s="533"/>
    </row>
    <row r="5135" spans="1:25" s="88" customFormat="1" hidden="1" x14ac:dyDescent="0.25">
      <c r="A5135" s="509"/>
      <c r="B5135" s="256"/>
      <c r="C5135" s="316"/>
      <c r="D5135" s="251"/>
      <c r="E5135" s="251"/>
      <c r="F5135" s="218"/>
      <c r="G5135" s="286"/>
      <c r="H5135" s="604"/>
      <c r="I5135" s="605"/>
      <c r="J5135" s="605"/>
      <c r="K5135" s="533"/>
      <c r="L5135" s="533"/>
      <c r="M5135" s="533"/>
      <c r="N5135" s="533"/>
      <c r="O5135" s="533"/>
      <c r="P5135" s="533"/>
      <c r="Q5135" s="533"/>
      <c r="R5135" s="533"/>
      <c r="S5135" s="533"/>
      <c r="T5135" s="533"/>
      <c r="U5135" s="533"/>
      <c r="V5135" s="533"/>
      <c r="W5135" s="533"/>
      <c r="X5135" s="533"/>
      <c r="Y5135" s="533"/>
    </row>
    <row r="5136" spans="1:25" s="88" customFormat="1" hidden="1" x14ac:dyDescent="0.25">
      <c r="A5136" s="509"/>
      <c r="B5136" s="256"/>
      <c r="C5136" s="316"/>
      <c r="D5136" s="251"/>
      <c r="E5136" s="251"/>
      <c r="F5136" s="218"/>
      <c r="G5136" s="286"/>
      <c r="H5136" s="604"/>
      <c r="I5136" s="605"/>
      <c r="J5136" s="605"/>
      <c r="K5136" s="533"/>
      <c r="L5136" s="533"/>
      <c r="M5136" s="533"/>
      <c r="N5136" s="533"/>
      <c r="O5136" s="533"/>
      <c r="P5136" s="533"/>
      <c r="Q5136" s="533"/>
      <c r="R5136" s="533"/>
      <c r="S5136" s="533"/>
      <c r="T5136" s="533"/>
      <c r="U5136" s="533"/>
      <c r="V5136" s="533"/>
      <c r="W5136" s="533"/>
      <c r="X5136" s="533"/>
      <c r="Y5136" s="533"/>
    </row>
    <row r="5137" spans="1:25" s="88" customFormat="1" hidden="1" x14ac:dyDescent="0.25">
      <c r="A5137" s="509"/>
      <c r="B5137" s="256"/>
      <c r="C5137" s="316"/>
      <c r="D5137" s="251"/>
      <c r="E5137" s="251"/>
      <c r="F5137" s="218"/>
      <c r="G5137" s="286"/>
      <c r="H5137" s="604"/>
      <c r="I5137" s="605"/>
      <c r="J5137" s="605"/>
      <c r="K5137" s="533"/>
      <c r="L5137" s="533"/>
      <c r="M5137" s="533"/>
      <c r="N5137" s="533"/>
      <c r="O5137" s="533"/>
      <c r="P5137" s="533"/>
      <c r="Q5137" s="533"/>
      <c r="R5137" s="533"/>
      <c r="S5137" s="533"/>
      <c r="T5137" s="533"/>
      <c r="U5137" s="533"/>
      <c r="V5137" s="533"/>
      <c r="W5137" s="533"/>
      <c r="X5137" s="533"/>
      <c r="Y5137" s="533"/>
    </row>
    <row r="5138" spans="1:25" s="88" customFormat="1" hidden="1" x14ac:dyDescent="0.25">
      <c r="A5138" s="509"/>
      <c r="B5138" s="256"/>
      <c r="C5138" s="316"/>
      <c r="D5138" s="251"/>
      <c r="E5138" s="251"/>
      <c r="F5138" s="218"/>
      <c r="G5138" s="286"/>
      <c r="H5138" s="604"/>
      <c r="I5138" s="605"/>
      <c r="J5138" s="605"/>
      <c r="K5138" s="533"/>
      <c r="L5138" s="533"/>
      <c r="M5138" s="533"/>
      <c r="N5138" s="533"/>
      <c r="O5138" s="533"/>
      <c r="P5138" s="533"/>
      <c r="Q5138" s="533"/>
      <c r="R5138" s="533"/>
      <c r="S5138" s="533"/>
      <c r="T5138" s="533"/>
      <c r="U5138" s="533"/>
      <c r="V5138" s="533"/>
      <c r="W5138" s="533"/>
      <c r="X5138" s="533"/>
      <c r="Y5138" s="533"/>
    </row>
    <row r="5139" spans="1:25" s="88" customFormat="1" hidden="1" x14ac:dyDescent="0.25">
      <c r="A5139" s="509"/>
      <c r="B5139" s="256"/>
      <c r="C5139" s="316"/>
      <c r="D5139" s="251"/>
      <c r="E5139" s="251"/>
      <c r="F5139" s="218"/>
      <c r="G5139" s="286"/>
      <c r="H5139" s="604"/>
      <c r="I5139" s="605"/>
      <c r="J5139" s="605"/>
      <c r="K5139" s="533"/>
      <c r="L5139" s="533"/>
      <c r="M5139" s="533"/>
      <c r="N5139" s="533"/>
      <c r="O5139" s="533"/>
      <c r="P5139" s="533"/>
      <c r="Q5139" s="533"/>
      <c r="R5139" s="533"/>
      <c r="S5139" s="533"/>
      <c r="T5139" s="533"/>
      <c r="U5139" s="533"/>
      <c r="V5139" s="533"/>
      <c r="W5139" s="533"/>
      <c r="X5139" s="533"/>
      <c r="Y5139" s="533"/>
    </row>
    <row r="5140" spans="1:25" s="88" customFormat="1" hidden="1" x14ac:dyDescent="0.25">
      <c r="A5140" s="509"/>
      <c r="B5140" s="256"/>
      <c r="C5140" s="316"/>
      <c r="D5140" s="251"/>
      <c r="E5140" s="251"/>
      <c r="F5140" s="218"/>
      <c r="G5140" s="286"/>
      <c r="H5140" s="604"/>
      <c r="I5140" s="605"/>
      <c r="J5140" s="605"/>
      <c r="K5140" s="533"/>
      <c r="L5140" s="533"/>
      <c r="M5140" s="533"/>
      <c r="N5140" s="533"/>
      <c r="O5140" s="533"/>
      <c r="P5140" s="533"/>
      <c r="Q5140" s="533"/>
      <c r="R5140" s="533"/>
      <c r="S5140" s="533"/>
      <c r="T5140" s="533"/>
      <c r="U5140" s="533"/>
      <c r="V5140" s="533"/>
      <c r="W5140" s="533"/>
      <c r="X5140" s="533"/>
      <c r="Y5140" s="533"/>
    </row>
    <row r="5141" spans="1:25" s="88" customFormat="1" hidden="1" x14ac:dyDescent="0.25">
      <c r="A5141" s="509"/>
      <c r="B5141" s="256"/>
      <c r="C5141" s="316"/>
      <c r="D5141" s="251"/>
      <c r="E5141" s="251"/>
      <c r="F5141" s="218"/>
      <c r="G5141" s="286"/>
      <c r="H5141" s="604"/>
      <c r="I5141" s="605"/>
      <c r="J5141" s="605"/>
      <c r="K5141" s="533"/>
      <c r="L5141" s="533"/>
      <c r="M5141" s="533"/>
      <c r="N5141" s="533"/>
      <c r="O5141" s="533"/>
      <c r="P5141" s="533"/>
      <c r="Q5141" s="533"/>
      <c r="R5141" s="533"/>
      <c r="S5141" s="533"/>
      <c r="T5141" s="533"/>
      <c r="U5141" s="533"/>
      <c r="V5141" s="533"/>
      <c r="W5141" s="533"/>
      <c r="X5141" s="533"/>
      <c r="Y5141" s="533"/>
    </row>
    <row r="5142" spans="1:25" s="88" customFormat="1" hidden="1" x14ac:dyDescent="0.25">
      <c r="A5142" s="509"/>
      <c r="B5142" s="256"/>
      <c r="C5142" s="316"/>
      <c r="D5142" s="251"/>
      <c r="E5142" s="251"/>
      <c r="F5142" s="218"/>
      <c r="G5142" s="286"/>
      <c r="H5142" s="604"/>
      <c r="I5142" s="605"/>
      <c r="J5142" s="605"/>
      <c r="K5142" s="533"/>
      <c r="L5142" s="533"/>
      <c r="M5142" s="533"/>
      <c r="N5142" s="533"/>
      <c r="O5142" s="533"/>
      <c r="P5142" s="533"/>
      <c r="Q5142" s="533"/>
      <c r="R5142" s="533"/>
      <c r="S5142" s="533"/>
      <c r="T5142" s="533"/>
      <c r="U5142" s="533"/>
      <c r="V5142" s="533"/>
      <c r="W5142" s="533"/>
      <c r="X5142" s="533"/>
      <c r="Y5142" s="533"/>
    </row>
    <row r="5143" spans="1:25" s="88" customFormat="1" hidden="1" x14ac:dyDescent="0.25">
      <c r="A5143" s="509"/>
      <c r="B5143" s="256"/>
      <c r="C5143" s="316"/>
      <c r="D5143" s="251"/>
      <c r="E5143" s="251"/>
      <c r="F5143" s="218"/>
      <c r="G5143" s="286"/>
      <c r="H5143" s="604"/>
      <c r="I5143" s="605"/>
      <c r="J5143" s="605"/>
      <c r="K5143" s="533"/>
      <c r="L5143" s="533"/>
      <c r="M5143" s="533"/>
      <c r="N5143" s="533"/>
      <c r="O5143" s="533"/>
      <c r="P5143" s="533"/>
      <c r="Q5143" s="533"/>
      <c r="R5143" s="533"/>
      <c r="S5143" s="533"/>
      <c r="T5143" s="533"/>
      <c r="U5143" s="533"/>
      <c r="V5143" s="533"/>
      <c r="W5143" s="533"/>
      <c r="X5143" s="533"/>
      <c r="Y5143" s="533"/>
    </row>
    <row r="5144" spans="1:25" s="88" customFormat="1" hidden="1" x14ac:dyDescent="0.25">
      <c r="A5144" s="509"/>
      <c r="B5144" s="256"/>
      <c r="C5144" s="316"/>
      <c r="D5144" s="251"/>
      <c r="E5144" s="251"/>
      <c r="F5144" s="218"/>
      <c r="G5144" s="286"/>
      <c r="H5144" s="604"/>
      <c r="I5144" s="605"/>
      <c r="J5144" s="605"/>
      <c r="K5144" s="533"/>
      <c r="L5144" s="533"/>
      <c r="M5144" s="533"/>
      <c r="N5144" s="533"/>
      <c r="O5144" s="533"/>
      <c r="P5144" s="533"/>
      <c r="Q5144" s="533"/>
      <c r="R5144" s="533"/>
      <c r="S5144" s="533"/>
      <c r="T5144" s="533"/>
      <c r="U5144" s="533"/>
      <c r="V5144" s="533"/>
      <c r="W5144" s="533"/>
      <c r="X5144" s="533"/>
      <c r="Y5144" s="533"/>
    </row>
    <row r="5145" spans="1:25" s="88" customFormat="1" hidden="1" x14ac:dyDescent="0.25">
      <c r="A5145" s="509"/>
      <c r="B5145" s="256"/>
      <c r="C5145" s="316"/>
      <c r="D5145" s="251"/>
      <c r="E5145" s="251"/>
      <c r="F5145" s="218"/>
      <c r="G5145" s="286"/>
      <c r="H5145" s="604"/>
      <c r="I5145" s="605"/>
      <c r="J5145" s="605"/>
      <c r="K5145" s="533"/>
      <c r="L5145" s="533"/>
      <c r="M5145" s="533"/>
      <c r="N5145" s="533"/>
      <c r="O5145" s="533"/>
      <c r="P5145" s="533"/>
      <c r="Q5145" s="533"/>
      <c r="R5145" s="533"/>
      <c r="S5145" s="533"/>
      <c r="T5145" s="533"/>
      <c r="U5145" s="533"/>
      <c r="V5145" s="533"/>
      <c r="W5145" s="533"/>
      <c r="X5145" s="533"/>
      <c r="Y5145" s="533"/>
    </row>
    <row r="5146" spans="1:25" s="88" customFormat="1" hidden="1" x14ac:dyDescent="0.25">
      <c r="A5146" s="509"/>
      <c r="B5146" s="256"/>
      <c r="C5146" s="316"/>
      <c r="D5146" s="251"/>
      <c r="E5146" s="251"/>
      <c r="F5146" s="218"/>
      <c r="G5146" s="286"/>
      <c r="H5146" s="604"/>
      <c r="I5146" s="605"/>
      <c r="J5146" s="605"/>
      <c r="K5146" s="533"/>
      <c r="L5146" s="533"/>
      <c r="M5146" s="533"/>
      <c r="N5146" s="533"/>
      <c r="O5146" s="533"/>
      <c r="P5146" s="533"/>
      <c r="Q5146" s="533"/>
      <c r="R5146" s="533"/>
      <c r="S5146" s="533"/>
      <c r="T5146" s="533"/>
      <c r="U5146" s="533"/>
      <c r="V5146" s="533"/>
      <c r="W5146" s="533"/>
      <c r="X5146" s="533"/>
      <c r="Y5146" s="533"/>
    </row>
    <row r="5147" spans="1:25" s="88" customFormat="1" hidden="1" x14ac:dyDescent="0.25">
      <c r="A5147" s="509"/>
      <c r="B5147" s="256"/>
      <c r="C5147" s="316"/>
      <c r="D5147" s="251"/>
      <c r="E5147" s="251"/>
      <c r="F5147" s="218"/>
      <c r="G5147" s="286"/>
      <c r="H5147" s="604"/>
      <c r="I5147" s="605"/>
      <c r="J5147" s="605"/>
      <c r="K5147" s="533"/>
      <c r="L5147" s="533"/>
      <c r="M5147" s="533"/>
      <c r="N5147" s="533"/>
      <c r="O5147" s="533"/>
      <c r="P5147" s="533"/>
      <c r="Q5147" s="533"/>
      <c r="R5147" s="533"/>
      <c r="S5147" s="533"/>
      <c r="T5147" s="533"/>
      <c r="U5147" s="533"/>
      <c r="V5147" s="533"/>
      <c r="W5147" s="533"/>
      <c r="X5147" s="533"/>
      <c r="Y5147" s="533"/>
    </row>
    <row r="5148" spans="1:25" s="88" customFormat="1" hidden="1" x14ac:dyDescent="0.25">
      <c r="A5148" s="509"/>
      <c r="B5148" s="256"/>
      <c r="C5148" s="316"/>
      <c r="D5148" s="251"/>
      <c r="E5148" s="251"/>
      <c r="F5148" s="218"/>
      <c r="G5148" s="286"/>
      <c r="H5148" s="604"/>
      <c r="I5148" s="605"/>
      <c r="J5148" s="605"/>
      <c r="K5148" s="533"/>
      <c r="L5148" s="533"/>
      <c r="M5148" s="533"/>
      <c r="N5148" s="533"/>
      <c r="O5148" s="533"/>
      <c r="P5148" s="533"/>
      <c r="Q5148" s="533"/>
      <c r="R5148" s="533"/>
      <c r="S5148" s="533"/>
      <c r="T5148" s="533"/>
      <c r="U5148" s="533"/>
      <c r="V5148" s="533"/>
      <c r="W5148" s="533"/>
      <c r="X5148" s="533"/>
      <c r="Y5148" s="533"/>
    </row>
    <row r="5149" spans="1:25" s="88" customFormat="1" hidden="1" x14ac:dyDescent="0.25">
      <c r="A5149" s="509"/>
      <c r="B5149" s="256"/>
      <c r="C5149" s="316"/>
      <c r="D5149" s="251"/>
      <c r="E5149" s="251"/>
      <c r="F5149" s="218"/>
      <c r="G5149" s="286"/>
      <c r="H5149" s="604"/>
      <c r="I5149" s="605"/>
      <c r="J5149" s="605"/>
      <c r="K5149" s="533"/>
      <c r="L5149" s="533"/>
      <c r="M5149" s="533"/>
      <c r="N5149" s="533"/>
      <c r="O5149" s="533"/>
      <c r="P5149" s="533"/>
      <c r="Q5149" s="533"/>
      <c r="R5149" s="533"/>
      <c r="S5149" s="533"/>
      <c r="T5149" s="533"/>
      <c r="U5149" s="533"/>
      <c r="V5149" s="533"/>
      <c r="W5149" s="533"/>
      <c r="X5149" s="533"/>
      <c r="Y5149" s="533"/>
    </row>
    <row r="5150" spans="1:25" s="88" customFormat="1" hidden="1" x14ac:dyDescent="0.25">
      <c r="A5150" s="509"/>
      <c r="B5150" s="256"/>
      <c r="C5150" s="316"/>
      <c r="D5150" s="251"/>
      <c r="E5150" s="251"/>
      <c r="F5150" s="218"/>
      <c r="G5150" s="286"/>
      <c r="H5150" s="604"/>
      <c r="I5150" s="605"/>
      <c r="J5150" s="605"/>
      <c r="K5150" s="533"/>
      <c r="L5150" s="533"/>
      <c r="M5150" s="533"/>
      <c r="N5150" s="533"/>
      <c r="O5150" s="533"/>
      <c r="P5150" s="533"/>
      <c r="Q5150" s="533"/>
      <c r="R5150" s="533"/>
      <c r="S5150" s="533"/>
      <c r="T5150" s="533"/>
      <c r="U5150" s="533"/>
      <c r="V5150" s="533"/>
      <c r="W5150" s="533"/>
      <c r="X5150" s="533"/>
      <c r="Y5150" s="533"/>
    </row>
    <row r="5151" spans="1:25" s="88" customFormat="1" hidden="1" x14ac:dyDescent="0.25">
      <c r="A5151" s="509"/>
      <c r="B5151" s="256"/>
      <c r="C5151" s="316"/>
      <c r="D5151" s="251"/>
      <c r="E5151" s="251"/>
      <c r="F5151" s="218"/>
      <c r="G5151" s="286"/>
      <c r="H5151" s="604"/>
      <c r="I5151" s="605"/>
      <c r="J5151" s="605"/>
      <c r="K5151" s="533"/>
      <c r="L5151" s="533"/>
      <c r="M5151" s="533"/>
      <c r="N5151" s="533"/>
      <c r="O5151" s="533"/>
      <c r="P5151" s="533"/>
      <c r="Q5151" s="533"/>
      <c r="R5151" s="533"/>
      <c r="S5151" s="533"/>
      <c r="T5151" s="533"/>
      <c r="U5151" s="533"/>
      <c r="V5151" s="533"/>
      <c r="W5151" s="533"/>
      <c r="X5151" s="533"/>
      <c r="Y5151" s="533"/>
    </row>
    <row r="5152" spans="1:25" s="88" customFormat="1" hidden="1" x14ac:dyDescent="0.25">
      <c r="A5152" s="509"/>
      <c r="B5152" s="256"/>
      <c r="C5152" s="316"/>
      <c r="D5152" s="251"/>
      <c r="E5152" s="251"/>
      <c r="F5152" s="218"/>
      <c r="G5152" s="286"/>
      <c r="H5152" s="604"/>
      <c r="I5152" s="605"/>
      <c r="J5152" s="605"/>
      <c r="K5152" s="533"/>
      <c r="L5152" s="533"/>
      <c r="M5152" s="533"/>
      <c r="N5152" s="533"/>
      <c r="O5152" s="533"/>
      <c r="P5152" s="533"/>
      <c r="Q5152" s="533"/>
      <c r="R5152" s="533"/>
      <c r="S5152" s="533"/>
      <c r="T5152" s="533"/>
      <c r="U5152" s="533"/>
      <c r="V5152" s="533"/>
      <c r="W5152" s="533"/>
      <c r="X5152" s="533"/>
      <c r="Y5152" s="533"/>
    </row>
    <row r="5153" spans="1:25" s="88" customFormat="1" hidden="1" x14ac:dyDescent="0.25">
      <c r="A5153" s="509"/>
      <c r="B5153" s="256"/>
      <c r="C5153" s="316"/>
      <c r="D5153" s="251"/>
      <c r="E5153" s="251"/>
      <c r="F5153" s="218"/>
      <c r="G5153" s="286"/>
      <c r="H5153" s="604"/>
      <c r="I5153" s="605"/>
      <c r="J5153" s="605"/>
      <c r="K5153" s="533"/>
      <c r="L5153" s="533"/>
      <c r="M5153" s="533"/>
      <c r="N5153" s="533"/>
      <c r="O5153" s="533"/>
      <c r="P5153" s="533"/>
      <c r="Q5153" s="533"/>
      <c r="R5153" s="533"/>
      <c r="S5153" s="533"/>
      <c r="T5153" s="533"/>
      <c r="U5153" s="533"/>
      <c r="V5153" s="533"/>
      <c r="W5153" s="533"/>
      <c r="X5153" s="533"/>
      <c r="Y5153" s="533"/>
    </row>
    <row r="5154" spans="1:25" s="88" customFormat="1" hidden="1" x14ac:dyDescent="0.25">
      <c r="A5154" s="509"/>
      <c r="B5154" s="256"/>
      <c r="C5154" s="316"/>
      <c r="D5154" s="251"/>
      <c r="E5154" s="251"/>
      <c r="F5154" s="218"/>
      <c r="G5154" s="286"/>
      <c r="H5154" s="604"/>
      <c r="I5154" s="605"/>
      <c r="J5154" s="605"/>
      <c r="K5154" s="533"/>
      <c r="L5154" s="533"/>
      <c r="M5154" s="533"/>
      <c r="N5154" s="533"/>
      <c r="O5154" s="533"/>
      <c r="P5154" s="533"/>
      <c r="Q5154" s="533"/>
      <c r="R5154" s="533"/>
      <c r="S5154" s="533"/>
      <c r="T5154" s="533"/>
      <c r="U5154" s="533"/>
      <c r="V5154" s="533"/>
      <c r="W5154" s="533"/>
      <c r="X5154" s="533"/>
      <c r="Y5154" s="533"/>
    </row>
    <row r="5155" spans="1:25" s="88" customFormat="1" hidden="1" x14ac:dyDescent="0.25">
      <c r="A5155" s="509"/>
      <c r="B5155" s="256"/>
      <c r="C5155" s="316"/>
      <c r="D5155" s="251"/>
      <c r="E5155" s="251"/>
      <c r="F5155" s="218"/>
      <c r="G5155" s="286"/>
      <c r="H5155" s="604"/>
      <c r="I5155" s="605"/>
      <c r="J5155" s="605"/>
      <c r="K5155" s="533"/>
      <c r="L5155" s="533"/>
      <c r="M5155" s="533"/>
      <c r="N5155" s="533"/>
      <c r="O5155" s="533"/>
      <c r="P5155" s="533"/>
      <c r="Q5155" s="533"/>
      <c r="R5155" s="533"/>
      <c r="S5155" s="533"/>
      <c r="T5155" s="533"/>
      <c r="U5155" s="533"/>
      <c r="V5155" s="533"/>
      <c r="W5155" s="533"/>
      <c r="X5155" s="533"/>
      <c r="Y5155" s="533"/>
    </row>
    <row r="5156" spans="1:25" s="88" customFormat="1" hidden="1" x14ac:dyDescent="0.25">
      <c r="A5156" s="509"/>
      <c r="B5156" s="256"/>
      <c r="C5156" s="316"/>
      <c r="D5156" s="251"/>
      <c r="E5156" s="251"/>
      <c r="F5156" s="218"/>
      <c r="G5156" s="286"/>
      <c r="H5156" s="604"/>
      <c r="I5156" s="605"/>
      <c r="J5156" s="605"/>
      <c r="K5156" s="533"/>
      <c r="L5156" s="533"/>
      <c r="M5156" s="533"/>
      <c r="N5156" s="533"/>
      <c r="O5156" s="533"/>
      <c r="P5156" s="533"/>
      <c r="Q5156" s="533"/>
      <c r="R5156" s="533"/>
      <c r="S5156" s="533"/>
      <c r="T5156" s="533"/>
      <c r="U5156" s="533"/>
      <c r="V5156" s="533"/>
      <c r="W5156" s="533"/>
      <c r="X5156" s="533"/>
      <c r="Y5156" s="533"/>
    </row>
    <row r="5157" spans="1:25" s="88" customFormat="1" hidden="1" x14ac:dyDescent="0.25">
      <c r="A5157" s="509"/>
      <c r="B5157" s="256"/>
      <c r="C5157" s="316"/>
      <c r="D5157" s="251"/>
      <c r="E5157" s="251"/>
      <c r="F5157" s="218"/>
      <c r="G5157" s="286"/>
      <c r="H5157" s="604"/>
      <c r="I5157" s="605"/>
      <c r="J5157" s="605"/>
      <c r="K5157" s="533"/>
      <c r="L5157" s="533"/>
      <c r="M5157" s="533"/>
      <c r="N5157" s="533"/>
      <c r="O5157" s="533"/>
      <c r="P5157" s="533"/>
      <c r="Q5157" s="533"/>
      <c r="R5157" s="533"/>
      <c r="S5157" s="533"/>
      <c r="T5157" s="533"/>
      <c r="U5157" s="533"/>
      <c r="V5157" s="533"/>
      <c r="W5157" s="533"/>
      <c r="X5157" s="533"/>
      <c r="Y5157" s="533"/>
    </row>
    <row r="5158" spans="1:25" s="88" customFormat="1" hidden="1" x14ac:dyDescent="0.25">
      <c r="A5158" s="509"/>
      <c r="B5158" s="256"/>
      <c r="C5158" s="316"/>
      <c r="D5158" s="251"/>
      <c r="E5158" s="251"/>
      <c r="F5158" s="218"/>
      <c r="G5158" s="286"/>
      <c r="H5158" s="604"/>
      <c r="I5158" s="605"/>
      <c r="J5158" s="605"/>
      <c r="K5158" s="533"/>
      <c r="L5158" s="533"/>
      <c r="M5158" s="533"/>
      <c r="N5158" s="533"/>
      <c r="O5158" s="533"/>
      <c r="P5158" s="533"/>
      <c r="Q5158" s="533"/>
      <c r="R5158" s="533"/>
      <c r="S5158" s="533"/>
      <c r="T5158" s="533"/>
      <c r="U5158" s="533"/>
      <c r="V5158" s="533"/>
      <c r="W5158" s="533"/>
      <c r="X5158" s="533"/>
      <c r="Y5158" s="533"/>
    </row>
    <row r="5159" spans="1:25" s="88" customFormat="1" hidden="1" x14ac:dyDescent="0.25">
      <c r="A5159" s="509"/>
      <c r="B5159" s="256"/>
      <c r="C5159" s="316"/>
      <c r="D5159" s="251"/>
      <c r="E5159" s="251"/>
      <c r="F5159" s="218"/>
      <c r="G5159" s="286"/>
      <c r="H5159" s="604"/>
      <c r="I5159" s="605"/>
      <c r="J5159" s="605"/>
      <c r="K5159" s="533"/>
      <c r="L5159" s="533"/>
      <c r="M5159" s="533"/>
      <c r="N5159" s="533"/>
      <c r="O5159" s="533"/>
      <c r="P5159" s="533"/>
      <c r="Q5159" s="533"/>
      <c r="R5159" s="533"/>
      <c r="S5159" s="533"/>
      <c r="T5159" s="533"/>
      <c r="U5159" s="533"/>
      <c r="V5159" s="533"/>
      <c r="W5159" s="533"/>
      <c r="X5159" s="533"/>
      <c r="Y5159" s="533"/>
    </row>
    <row r="5160" spans="1:25" s="88" customFormat="1" hidden="1" x14ac:dyDescent="0.25">
      <c r="A5160" s="509"/>
      <c r="B5160" s="256"/>
      <c r="C5160" s="316"/>
      <c r="D5160" s="251"/>
      <c r="E5160" s="251"/>
      <c r="F5160" s="218"/>
      <c r="G5160" s="286"/>
      <c r="H5160" s="604"/>
      <c r="I5160" s="605"/>
      <c r="J5160" s="605"/>
      <c r="K5160" s="533"/>
      <c r="L5160" s="533"/>
      <c r="M5160" s="533"/>
      <c r="N5160" s="533"/>
      <c r="O5160" s="533"/>
      <c r="P5160" s="533"/>
      <c r="Q5160" s="533"/>
      <c r="R5160" s="533"/>
      <c r="S5160" s="533"/>
      <c r="T5160" s="533"/>
      <c r="U5160" s="533"/>
      <c r="V5160" s="533"/>
      <c r="W5160" s="533"/>
      <c r="X5160" s="533"/>
      <c r="Y5160" s="533"/>
    </row>
    <row r="5161" spans="1:25" s="88" customFormat="1" hidden="1" x14ac:dyDescent="0.25">
      <c r="A5161" s="509"/>
      <c r="B5161" s="256"/>
      <c r="C5161" s="316"/>
      <c r="D5161" s="251"/>
      <c r="E5161" s="251"/>
      <c r="F5161" s="218"/>
      <c r="G5161" s="286"/>
      <c r="H5161" s="604"/>
      <c r="I5161" s="605"/>
      <c r="J5161" s="605"/>
      <c r="K5161" s="533"/>
      <c r="L5161" s="533"/>
      <c r="M5161" s="533"/>
      <c r="N5161" s="533"/>
      <c r="O5161" s="533"/>
      <c r="P5161" s="533"/>
      <c r="Q5161" s="533"/>
      <c r="R5161" s="533"/>
      <c r="S5161" s="533"/>
      <c r="T5161" s="533"/>
      <c r="U5161" s="533"/>
      <c r="V5161" s="533"/>
      <c r="W5161" s="533"/>
      <c r="X5161" s="533"/>
      <c r="Y5161" s="533"/>
    </row>
    <row r="5162" spans="1:25" s="88" customFormat="1" hidden="1" x14ac:dyDescent="0.25">
      <c r="A5162" s="509"/>
      <c r="B5162" s="256"/>
      <c r="C5162" s="316"/>
      <c r="D5162" s="251"/>
      <c r="E5162" s="251"/>
      <c r="F5162" s="218"/>
      <c r="G5162" s="286"/>
      <c r="H5162" s="604"/>
      <c r="I5162" s="605"/>
      <c r="J5162" s="605"/>
      <c r="K5162" s="533"/>
      <c r="L5162" s="533"/>
      <c r="M5162" s="533"/>
      <c r="N5162" s="533"/>
      <c r="O5162" s="533"/>
      <c r="P5162" s="533"/>
      <c r="Q5162" s="533"/>
      <c r="R5162" s="533"/>
      <c r="S5162" s="533"/>
      <c r="T5162" s="533"/>
      <c r="U5162" s="533"/>
      <c r="V5162" s="533"/>
      <c r="W5162" s="533"/>
      <c r="X5162" s="533"/>
      <c r="Y5162" s="533"/>
    </row>
    <row r="5163" spans="1:25" s="88" customFormat="1" hidden="1" x14ac:dyDescent="0.25">
      <c r="A5163" s="509"/>
      <c r="B5163" s="256"/>
      <c r="C5163" s="316"/>
      <c r="D5163" s="251"/>
      <c r="E5163" s="251"/>
      <c r="F5163" s="218"/>
      <c r="G5163" s="286"/>
      <c r="H5163" s="604"/>
      <c r="I5163" s="605"/>
      <c r="J5163" s="605"/>
      <c r="K5163" s="533"/>
      <c r="L5163" s="533"/>
      <c r="M5163" s="533"/>
      <c r="N5163" s="533"/>
      <c r="O5163" s="533"/>
      <c r="P5163" s="533"/>
      <c r="Q5163" s="533"/>
      <c r="R5163" s="533"/>
      <c r="S5163" s="533"/>
      <c r="T5163" s="533"/>
      <c r="U5163" s="533"/>
      <c r="V5163" s="533"/>
      <c r="W5163" s="533"/>
      <c r="X5163" s="533"/>
      <c r="Y5163" s="533"/>
    </row>
    <row r="5164" spans="1:25" x14ac:dyDescent="0.25">
      <c r="G5164" s="409"/>
    </row>
    <row r="5165" spans="1:25" s="88" customFormat="1" hidden="1" x14ac:dyDescent="0.25">
      <c r="A5165" s="261"/>
      <c r="B5165" s="256"/>
      <c r="C5165" s="316"/>
      <c r="D5165" s="251"/>
      <c r="E5165" s="251"/>
      <c r="F5165" s="257"/>
      <c r="G5165" s="294"/>
      <c r="H5165" s="627"/>
      <c r="I5165" s="610"/>
      <c r="J5165" s="628"/>
      <c r="K5165" s="533"/>
      <c r="L5165" s="533"/>
      <c r="M5165" s="533"/>
      <c r="N5165" s="533"/>
      <c r="O5165" s="533"/>
      <c r="P5165" s="533"/>
      <c r="Q5165" s="533"/>
      <c r="R5165" s="533"/>
      <c r="S5165" s="533"/>
      <c r="T5165" s="533"/>
      <c r="U5165" s="533"/>
      <c r="V5165" s="533"/>
      <c r="W5165" s="533"/>
      <c r="X5165" s="533"/>
      <c r="Y5165" s="533"/>
    </row>
    <row r="5166" spans="1:25" s="88" customFormat="1" x14ac:dyDescent="0.25">
      <c r="A5166" s="509"/>
      <c r="B5166" s="256"/>
      <c r="C5166" s="487">
        <v>920</v>
      </c>
      <c r="D5166" s="740"/>
      <c r="E5166" s="741"/>
      <c r="F5166" s="741"/>
      <c r="G5166" s="742" t="s">
        <v>5158</v>
      </c>
      <c r="H5166" s="743"/>
      <c r="I5166" s="744"/>
      <c r="J5166" s="745"/>
      <c r="K5166" s="533"/>
      <c r="L5166" s="533"/>
      <c r="M5166" s="533"/>
      <c r="N5166" s="533"/>
      <c r="O5166" s="533"/>
      <c r="P5166" s="533"/>
      <c r="Q5166" s="533"/>
      <c r="R5166" s="533"/>
      <c r="S5166" s="533"/>
      <c r="T5166" s="533"/>
      <c r="U5166" s="533"/>
      <c r="V5166" s="533"/>
      <c r="W5166" s="533"/>
      <c r="X5166" s="533"/>
      <c r="Y5166" s="533"/>
    </row>
    <row r="5167" spans="1:25" s="88" customFormat="1" x14ac:dyDescent="0.25">
      <c r="A5167" s="509"/>
      <c r="B5167" s="256"/>
      <c r="C5167" s="749" t="s">
        <v>3593</v>
      </c>
      <c r="D5167" s="748"/>
      <c r="E5167" s="748"/>
      <c r="F5167" s="748"/>
      <c r="G5167" s="750" t="s">
        <v>4358</v>
      </c>
      <c r="H5167" s="751"/>
      <c r="I5167" s="752"/>
      <c r="J5167" s="752"/>
      <c r="K5167" s="533"/>
      <c r="L5167" s="533"/>
      <c r="M5167" s="533"/>
      <c r="N5167" s="533"/>
      <c r="O5167" s="533"/>
      <c r="P5167" s="533"/>
      <c r="Q5167" s="533"/>
      <c r="R5167" s="533"/>
      <c r="S5167" s="533"/>
      <c r="T5167" s="533"/>
      <c r="U5167" s="533"/>
      <c r="V5167" s="533"/>
      <c r="W5167" s="533"/>
      <c r="X5167" s="533"/>
      <c r="Y5167" s="533"/>
    </row>
    <row r="5168" spans="1:25" s="88" customFormat="1" x14ac:dyDescent="0.25">
      <c r="A5168" s="509"/>
      <c r="B5168" s="256"/>
      <c r="C5168" s="749" t="s">
        <v>4359</v>
      </c>
      <c r="D5168" s="753"/>
      <c r="E5168" s="748"/>
      <c r="F5168" s="748"/>
      <c r="G5168" s="750" t="s">
        <v>4127</v>
      </c>
      <c r="H5168" s="751"/>
      <c r="I5168" s="752"/>
      <c r="J5168" s="752"/>
      <c r="K5168" s="533"/>
      <c r="L5168" s="533"/>
      <c r="M5168" s="533"/>
      <c r="N5168" s="533"/>
      <c r="O5168" s="533"/>
      <c r="P5168" s="533"/>
      <c r="Q5168" s="533"/>
      <c r="R5168" s="533"/>
      <c r="S5168" s="533"/>
      <c r="T5168" s="533"/>
      <c r="U5168" s="533"/>
      <c r="V5168" s="533"/>
      <c r="W5168" s="533"/>
      <c r="X5168" s="533"/>
      <c r="Y5168" s="533"/>
    </row>
    <row r="5169" spans="1:25" s="88" customFormat="1" x14ac:dyDescent="0.25">
      <c r="A5169" s="509"/>
      <c r="B5169" s="256"/>
      <c r="C5169" s="749"/>
      <c r="D5169" s="343">
        <v>920</v>
      </c>
      <c r="E5169" s="343"/>
      <c r="F5169" s="343"/>
      <c r="G5169" s="754" t="s">
        <v>220</v>
      </c>
      <c r="H5169" s="751"/>
      <c r="I5169" s="752"/>
      <c r="J5169" s="752"/>
      <c r="K5169" s="533"/>
      <c r="L5169" s="533"/>
      <c r="M5169" s="533"/>
      <c r="N5169" s="533"/>
      <c r="O5169" s="533"/>
      <c r="P5169" s="533"/>
      <c r="Q5169" s="533"/>
      <c r="R5169" s="533"/>
      <c r="S5169" s="533"/>
      <c r="T5169" s="533"/>
      <c r="U5169" s="533"/>
      <c r="V5169" s="533"/>
      <c r="W5169" s="533"/>
      <c r="X5169" s="533"/>
      <c r="Y5169" s="533"/>
    </row>
    <row r="5170" spans="1:25" s="88" customFormat="1" x14ac:dyDescent="0.25">
      <c r="A5170" s="509"/>
      <c r="B5170" s="256"/>
      <c r="C5170" s="755"/>
      <c r="D5170" s="721"/>
      <c r="E5170" s="721" t="s">
        <v>5340</v>
      </c>
      <c r="F5170" s="779" t="s">
        <v>5156</v>
      </c>
      <c r="G5170" s="756" t="s">
        <v>3827</v>
      </c>
      <c r="H5170" s="751">
        <v>4645000</v>
      </c>
      <c r="I5170" s="752"/>
      <c r="J5170" s="752">
        <f t="shared" ref="J5170:J5201" si="158">SUM(H5170:I5170)</f>
        <v>4645000</v>
      </c>
      <c r="K5170" s="533"/>
      <c r="L5170" s="533"/>
      <c r="M5170" s="533"/>
      <c r="N5170" s="533"/>
      <c r="O5170" s="533"/>
      <c r="P5170" s="533"/>
      <c r="Q5170" s="533"/>
      <c r="R5170" s="533"/>
      <c r="S5170" s="533"/>
      <c r="T5170" s="533"/>
      <c r="U5170" s="533"/>
      <c r="V5170" s="533"/>
      <c r="W5170" s="533"/>
      <c r="X5170" s="533"/>
      <c r="Y5170" s="533"/>
    </row>
    <row r="5171" spans="1:25" s="88" customFormat="1" x14ac:dyDescent="0.25">
      <c r="A5171" s="509"/>
      <c r="B5171" s="256"/>
      <c r="C5171" s="755"/>
      <c r="D5171" s="721"/>
      <c r="E5171" s="721" t="s">
        <v>5341</v>
      </c>
      <c r="F5171" s="779" t="s">
        <v>5157</v>
      </c>
      <c r="G5171" s="756" t="s">
        <v>3828</v>
      </c>
      <c r="H5171" s="751">
        <v>200000</v>
      </c>
      <c r="I5171" s="752"/>
      <c r="J5171" s="752">
        <f t="shared" si="158"/>
        <v>200000</v>
      </c>
      <c r="K5171" s="533"/>
      <c r="L5171" s="533"/>
      <c r="M5171" s="533"/>
      <c r="N5171" s="533"/>
      <c r="O5171" s="533"/>
      <c r="P5171" s="533"/>
      <c r="Q5171" s="533"/>
      <c r="R5171" s="533"/>
      <c r="S5171" s="533"/>
      <c r="T5171" s="533"/>
      <c r="U5171" s="533"/>
      <c r="V5171" s="533"/>
      <c r="W5171" s="533"/>
      <c r="X5171" s="533"/>
      <c r="Y5171" s="533"/>
    </row>
    <row r="5172" spans="1:25" s="88" customFormat="1" hidden="1" x14ac:dyDescent="0.25">
      <c r="A5172" s="509"/>
      <c r="B5172" s="256"/>
      <c r="C5172" s="755"/>
      <c r="D5172" s="721"/>
      <c r="E5172" s="721"/>
      <c r="F5172" s="779">
        <v>413</v>
      </c>
      <c r="G5172" s="756" t="s">
        <v>4190</v>
      </c>
      <c r="H5172" s="751"/>
      <c r="I5172" s="752"/>
      <c r="J5172" s="752">
        <f t="shared" si="158"/>
        <v>0</v>
      </c>
      <c r="K5172" s="533"/>
      <c r="L5172" s="533"/>
      <c r="M5172" s="533"/>
      <c r="N5172" s="533"/>
      <c r="O5172" s="533"/>
      <c r="P5172" s="533"/>
      <c r="Q5172" s="533"/>
      <c r="R5172" s="533"/>
      <c r="S5172" s="533"/>
      <c r="T5172" s="533"/>
      <c r="U5172" s="533"/>
      <c r="V5172" s="533"/>
      <c r="W5172" s="533"/>
      <c r="X5172" s="533"/>
      <c r="Y5172" s="533"/>
    </row>
    <row r="5173" spans="1:25" s="88" customFormat="1" x14ac:dyDescent="0.25">
      <c r="A5173" s="509"/>
      <c r="B5173" s="256"/>
      <c r="C5173" s="755"/>
      <c r="D5173" s="721"/>
      <c r="E5173" s="721"/>
      <c r="F5173" s="779">
        <v>414</v>
      </c>
      <c r="G5173" s="756" t="s">
        <v>5270</v>
      </c>
      <c r="H5173" s="751"/>
      <c r="I5173" s="752"/>
      <c r="J5173" s="752">
        <f t="shared" si="158"/>
        <v>0</v>
      </c>
      <c r="K5173" s="533"/>
      <c r="L5173" s="533"/>
      <c r="M5173" s="533"/>
      <c r="N5173" s="533"/>
      <c r="O5173" s="533"/>
      <c r="P5173" s="533"/>
      <c r="Q5173" s="533"/>
      <c r="R5173" s="533"/>
      <c r="S5173" s="533"/>
      <c r="T5173" s="533"/>
      <c r="U5173" s="533"/>
      <c r="V5173" s="533"/>
      <c r="W5173" s="533"/>
      <c r="X5173" s="533"/>
      <c r="Y5173" s="533"/>
    </row>
    <row r="5174" spans="1:25" s="88" customFormat="1" ht="21" customHeight="1" x14ac:dyDescent="0.25">
      <c r="A5174" s="509"/>
      <c r="B5174" s="256"/>
      <c r="C5174" s="755"/>
      <c r="D5174" s="721"/>
      <c r="E5174" s="721"/>
      <c r="F5174" s="779">
        <v>415</v>
      </c>
      <c r="G5174" s="796" t="s">
        <v>5269</v>
      </c>
      <c r="H5174" s="751"/>
      <c r="I5174" s="752"/>
      <c r="J5174" s="752">
        <f t="shared" si="158"/>
        <v>0</v>
      </c>
      <c r="K5174" s="533"/>
      <c r="L5174" s="533"/>
      <c r="M5174" s="533"/>
      <c r="N5174" s="533"/>
      <c r="O5174" s="533"/>
      <c r="P5174" s="533"/>
      <c r="Q5174" s="533"/>
      <c r="R5174" s="533"/>
      <c r="S5174" s="533"/>
      <c r="T5174" s="533"/>
      <c r="U5174" s="533"/>
      <c r="V5174" s="533"/>
      <c r="W5174" s="533"/>
      <c r="X5174" s="533"/>
      <c r="Y5174" s="533"/>
    </row>
    <row r="5175" spans="1:25" s="88" customFormat="1" ht="21" customHeight="1" x14ac:dyDescent="0.25">
      <c r="A5175" s="509"/>
      <c r="B5175" s="256"/>
      <c r="C5175" s="755"/>
      <c r="D5175" s="721"/>
      <c r="E5175" s="721"/>
      <c r="F5175" s="779">
        <v>416</v>
      </c>
      <c r="G5175" s="756" t="s">
        <v>5271</v>
      </c>
      <c r="H5175" s="751"/>
      <c r="I5175" s="752"/>
      <c r="J5175" s="752">
        <f t="shared" si="158"/>
        <v>0</v>
      </c>
      <c r="K5175" s="533"/>
      <c r="L5175" s="533"/>
      <c r="M5175" s="533"/>
      <c r="N5175" s="533"/>
      <c r="O5175" s="533"/>
      <c r="P5175" s="533"/>
      <c r="Q5175" s="533"/>
      <c r="R5175" s="533"/>
      <c r="S5175" s="533"/>
      <c r="T5175" s="533"/>
      <c r="U5175" s="533"/>
      <c r="V5175" s="533"/>
      <c r="W5175" s="533"/>
      <c r="X5175" s="533"/>
      <c r="Y5175" s="533"/>
    </row>
    <row r="5176" spans="1:25" s="88" customFormat="1" hidden="1" x14ac:dyDescent="0.25">
      <c r="A5176" s="509"/>
      <c r="B5176" s="256"/>
      <c r="C5176" s="755"/>
      <c r="D5176" s="721"/>
      <c r="E5176" s="721"/>
      <c r="F5176" s="779">
        <v>417</v>
      </c>
      <c r="G5176" s="756" t="s">
        <v>4201</v>
      </c>
      <c r="H5176" s="751"/>
      <c r="I5176" s="752"/>
      <c r="J5176" s="752">
        <f t="shared" si="158"/>
        <v>0</v>
      </c>
      <c r="K5176" s="533"/>
      <c r="L5176" s="533"/>
      <c r="M5176" s="533"/>
      <c r="N5176" s="533"/>
      <c r="O5176" s="533"/>
      <c r="P5176" s="533"/>
      <c r="Q5176" s="533"/>
      <c r="R5176" s="533"/>
      <c r="S5176" s="533"/>
      <c r="T5176" s="533"/>
      <c r="U5176" s="533"/>
      <c r="V5176" s="533"/>
      <c r="W5176" s="533"/>
      <c r="X5176" s="533"/>
      <c r="Y5176" s="533"/>
    </row>
    <row r="5177" spans="1:25" s="88" customFormat="1" hidden="1" x14ac:dyDescent="0.25">
      <c r="A5177" s="509"/>
      <c r="B5177" s="256"/>
      <c r="C5177" s="755"/>
      <c r="D5177" s="721"/>
      <c r="E5177" s="721"/>
      <c r="F5177" s="779">
        <v>418</v>
      </c>
      <c r="G5177" s="756" t="s">
        <v>3793</v>
      </c>
      <c r="H5177" s="751"/>
      <c r="I5177" s="752"/>
      <c r="J5177" s="752">
        <f t="shared" si="158"/>
        <v>0</v>
      </c>
      <c r="K5177" s="533"/>
      <c r="L5177" s="533"/>
      <c r="M5177" s="533"/>
      <c r="N5177" s="533"/>
      <c r="O5177" s="533"/>
      <c r="P5177" s="533"/>
      <c r="Q5177" s="533"/>
      <c r="R5177" s="533"/>
      <c r="S5177" s="533"/>
      <c r="T5177" s="533"/>
      <c r="U5177" s="533"/>
      <c r="V5177" s="533"/>
      <c r="W5177" s="533"/>
      <c r="X5177" s="533"/>
      <c r="Y5177" s="533"/>
    </row>
    <row r="5178" spans="1:25" s="88" customFormat="1" ht="17.25" customHeight="1" x14ac:dyDescent="0.25">
      <c r="A5178" s="509"/>
      <c r="B5178" s="256"/>
      <c r="C5178" s="755"/>
      <c r="D5178" s="721"/>
      <c r="E5178" s="721"/>
      <c r="F5178" s="779">
        <v>421</v>
      </c>
      <c r="G5178" s="756" t="s">
        <v>5272</v>
      </c>
      <c r="H5178" s="751"/>
      <c r="I5178" s="752"/>
      <c r="J5178" s="752">
        <f t="shared" si="158"/>
        <v>0</v>
      </c>
      <c r="K5178" s="533"/>
      <c r="L5178" s="533"/>
      <c r="M5178" s="533"/>
      <c r="N5178" s="533"/>
      <c r="O5178" s="533"/>
      <c r="P5178" s="533"/>
      <c r="Q5178" s="533"/>
      <c r="R5178" s="533"/>
      <c r="S5178" s="533"/>
      <c r="T5178" s="533"/>
      <c r="U5178" s="533"/>
      <c r="V5178" s="533"/>
      <c r="W5178" s="533"/>
      <c r="X5178" s="533"/>
      <c r="Y5178" s="533"/>
    </row>
    <row r="5179" spans="1:25" s="88" customFormat="1" ht="17.25" customHeight="1" x14ac:dyDescent="0.25">
      <c r="A5179" s="509"/>
      <c r="B5179" s="256"/>
      <c r="C5179" s="755"/>
      <c r="D5179" s="721"/>
      <c r="E5179" s="721"/>
      <c r="F5179" s="779">
        <v>422</v>
      </c>
      <c r="G5179" s="756" t="s">
        <v>5273</v>
      </c>
      <c r="H5179" s="751"/>
      <c r="I5179" s="752"/>
      <c r="J5179" s="752">
        <f t="shared" si="158"/>
        <v>0</v>
      </c>
      <c r="K5179" s="533"/>
      <c r="L5179" s="533"/>
      <c r="M5179" s="533"/>
      <c r="N5179" s="533"/>
      <c r="O5179" s="533"/>
      <c r="P5179" s="533"/>
      <c r="Q5179" s="533"/>
      <c r="R5179" s="533"/>
      <c r="S5179" s="533"/>
      <c r="T5179" s="533"/>
      <c r="U5179" s="533"/>
      <c r="V5179" s="533"/>
      <c r="W5179" s="533"/>
      <c r="X5179" s="533"/>
      <c r="Y5179" s="533"/>
    </row>
    <row r="5180" spans="1:25" s="88" customFormat="1" ht="16.5" customHeight="1" x14ac:dyDescent="0.25">
      <c r="A5180" s="509"/>
      <c r="B5180" s="256"/>
      <c r="C5180" s="755"/>
      <c r="D5180" s="721"/>
      <c r="E5180" s="721"/>
      <c r="F5180" s="779">
        <v>423</v>
      </c>
      <c r="G5180" s="756" t="s">
        <v>5274</v>
      </c>
      <c r="H5180" s="751"/>
      <c r="I5180" s="752"/>
      <c r="J5180" s="752">
        <f t="shared" si="158"/>
        <v>0</v>
      </c>
      <c r="K5180" s="533"/>
      <c r="L5180" s="533"/>
      <c r="M5180" s="533"/>
      <c r="N5180" s="533"/>
      <c r="O5180" s="533"/>
      <c r="P5180" s="533"/>
      <c r="Q5180" s="533"/>
      <c r="R5180" s="533"/>
      <c r="S5180" s="533"/>
      <c r="T5180" s="533"/>
      <c r="U5180" s="533"/>
      <c r="V5180" s="533"/>
      <c r="W5180" s="533"/>
      <c r="X5180" s="533"/>
      <c r="Y5180" s="533"/>
    </row>
    <row r="5181" spans="1:25" s="88" customFormat="1" ht="19.5" customHeight="1" x14ac:dyDescent="0.25">
      <c r="A5181" s="509"/>
      <c r="B5181" s="256"/>
      <c r="C5181" s="755"/>
      <c r="D5181" s="721"/>
      <c r="E5181" s="721"/>
      <c r="F5181" s="779">
        <v>424</v>
      </c>
      <c r="G5181" s="756" t="s">
        <v>5275</v>
      </c>
      <c r="H5181" s="751"/>
      <c r="I5181" s="752"/>
      <c r="J5181" s="752">
        <f t="shared" si="158"/>
        <v>0</v>
      </c>
      <c r="K5181" s="533"/>
      <c r="L5181" s="533"/>
      <c r="M5181" s="533"/>
      <c r="N5181" s="533"/>
      <c r="O5181" s="533"/>
      <c r="P5181" s="533"/>
      <c r="Q5181" s="533"/>
      <c r="R5181" s="533"/>
      <c r="S5181" s="533"/>
      <c r="T5181" s="533"/>
      <c r="U5181" s="533"/>
      <c r="V5181" s="533"/>
      <c r="W5181" s="533"/>
      <c r="X5181" s="533"/>
      <c r="Y5181" s="533"/>
    </row>
    <row r="5182" spans="1:25" s="88" customFormat="1" ht="21" customHeight="1" x14ac:dyDescent="0.25">
      <c r="A5182" s="509"/>
      <c r="B5182" s="256"/>
      <c r="C5182" s="755"/>
      <c r="D5182" s="721"/>
      <c r="E5182" s="721"/>
      <c r="F5182" s="779">
        <v>425</v>
      </c>
      <c r="G5182" s="756" t="s">
        <v>5276</v>
      </c>
      <c r="H5182" s="751"/>
      <c r="I5182" s="752"/>
      <c r="J5182" s="752">
        <f t="shared" si="158"/>
        <v>0</v>
      </c>
      <c r="K5182" s="533"/>
      <c r="L5182" s="533"/>
      <c r="M5182" s="533"/>
      <c r="N5182" s="533"/>
      <c r="O5182" s="533"/>
      <c r="P5182" s="533"/>
      <c r="Q5182" s="533"/>
      <c r="R5182" s="533"/>
      <c r="S5182" s="533"/>
      <c r="T5182" s="533"/>
      <c r="U5182" s="533"/>
      <c r="V5182" s="533"/>
      <c r="W5182" s="533"/>
      <c r="X5182" s="533"/>
      <c r="Y5182" s="533"/>
    </row>
    <row r="5183" spans="1:25" s="88" customFormat="1" ht="16.5" customHeight="1" x14ac:dyDescent="0.25">
      <c r="A5183" s="509"/>
      <c r="B5183" s="256"/>
      <c r="C5183" s="755"/>
      <c r="D5183" s="721"/>
      <c r="E5183" s="721"/>
      <c r="F5183" s="779">
        <v>426</v>
      </c>
      <c r="G5183" s="756" t="s">
        <v>5277</v>
      </c>
      <c r="H5183" s="751"/>
      <c r="I5183" s="752"/>
      <c r="J5183" s="752">
        <f t="shared" si="158"/>
        <v>0</v>
      </c>
      <c r="K5183" s="533"/>
      <c r="L5183" s="533"/>
      <c r="M5183" s="533"/>
      <c r="N5183" s="533"/>
      <c r="O5183" s="533"/>
      <c r="P5183" s="533"/>
      <c r="Q5183" s="533"/>
      <c r="R5183" s="533"/>
      <c r="S5183" s="533"/>
      <c r="T5183" s="533"/>
      <c r="U5183" s="533"/>
      <c r="V5183" s="533"/>
      <c r="W5183" s="533"/>
      <c r="X5183" s="533"/>
      <c r="Y5183" s="533"/>
    </row>
    <row r="5184" spans="1:25" s="88" customFormat="1" hidden="1" x14ac:dyDescent="0.25">
      <c r="A5184" s="509"/>
      <c r="B5184" s="256"/>
      <c r="C5184" s="755"/>
      <c r="D5184" s="721"/>
      <c r="E5184" s="721"/>
      <c r="F5184" s="779">
        <v>431</v>
      </c>
      <c r="G5184" s="756" t="s">
        <v>4203</v>
      </c>
      <c r="H5184" s="751"/>
      <c r="I5184" s="752"/>
      <c r="J5184" s="752">
        <f t="shared" si="158"/>
        <v>0</v>
      </c>
      <c r="K5184" s="533"/>
      <c r="L5184" s="533"/>
      <c r="M5184" s="533"/>
      <c r="N5184" s="533"/>
      <c r="O5184" s="533"/>
      <c r="P5184" s="533"/>
      <c r="Q5184" s="533"/>
      <c r="R5184" s="533"/>
      <c r="S5184" s="533"/>
      <c r="T5184" s="533"/>
      <c r="U5184" s="533"/>
      <c r="V5184" s="533"/>
      <c r="W5184" s="533"/>
      <c r="X5184" s="533"/>
      <c r="Y5184" s="533"/>
    </row>
    <row r="5185" spans="1:25" s="88" customFormat="1" hidden="1" x14ac:dyDescent="0.25">
      <c r="A5185" s="509"/>
      <c r="B5185" s="256"/>
      <c r="C5185" s="755"/>
      <c r="D5185" s="721"/>
      <c r="E5185" s="721"/>
      <c r="F5185" s="779">
        <v>432</v>
      </c>
      <c r="G5185" s="756" t="s">
        <v>4204</v>
      </c>
      <c r="H5185" s="751"/>
      <c r="I5185" s="752"/>
      <c r="J5185" s="752">
        <f t="shared" si="158"/>
        <v>0</v>
      </c>
      <c r="K5185" s="533"/>
      <c r="L5185" s="533"/>
      <c r="M5185" s="533"/>
      <c r="N5185" s="533"/>
      <c r="O5185" s="533"/>
      <c r="P5185" s="533"/>
      <c r="Q5185" s="533"/>
      <c r="R5185" s="533"/>
      <c r="S5185" s="533"/>
      <c r="T5185" s="533"/>
      <c r="U5185" s="533"/>
      <c r="V5185" s="533"/>
      <c r="W5185" s="533"/>
      <c r="X5185" s="533"/>
      <c r="Y5185" s="533"/>
    </row>
    <row r="5186" spans="1:25" s="88" customFormat="1" hidden="1" x14ac:dyDescent="0.25">
      <c r="A5186" s="509"/>
      <c r="B5186" s="256"/>
      <c r="C5186" s="755"/>
      <c r="D5186" s="721"/>
      <c r="E5186" s="721"/>
      <c r="F5186" s="779">
        <v>433</v>
      </c>
      <c r="G5186" s="756" t="s">
        <v>4205</v>
      </c>
      <c r="H5186" s="751"/>
      <c r="I5186" s="752"/>
      <c r="J5186" s="752">
        <f t="shared" si="158"/>
        <v>0</v>
      </c>
      <c r="K5186" s="533"/>
      <c r="L5186" s="533"/>
      <c r="M5186" s="533"/>
      <c r="N5186" s="533"/>
      <c r="O5186" s="533"/>
      <c r="P5186" s="533"/>
      <c r="Q5186" s="533"/>
      <c r="R5186" s="533"/>
      <c r="S5186" s="533"/>
      <c r="T5186" s="533"/>
      <c r="U5186" s="533"/>
      <c r="V5186" s="533"/>
      <c r="W5186" s="533"/>
      <c r="X5186" s="533"/>
      <c r="Y5186" s="533"/>
    </row>
    <row r="5187" spans="1:25" s="88" customFormat="1" hidden="1" x14ac:dyDescent="0.25">
      <c r="A5187" s="509"/>
      <c r="B5187" s="256"/>
      <c r="C5187" s="755"/>
      <c r="D5187" s="721"/>
      <c r="E5187" s="721"/>
      <c r="F5187" s="779">
        <v>434</v>
      </c>
      <c r="G5187" s="756" t="s">
        <v>4206</v>
      </c>
      <c r="H5187" s="751"/>
      <c r="I5187" s="752"/>
      <c r="J5187" s="752">
        <f t="shared" si="158"/>
        <v>0</v>
      </c>
      <c r="K5187" s="533"/>
      <c r="L5187" s="533"/>
      <c r="M5187" s="533"/>
      <c r="N5187" s="533"/>
      <c r="O5187" s="533"/>
      <c r="P5187" s="533"/>
      <c r="Q5187" s="533"/>
      <c r="R5187" s="533"/>
      <c r="S5187" s="533"/>
      <c r="T5187" s="533"/>
      <c r="U5187" s="533"/>
      <c r="V5187" s="533"/>
      <c r="W5187" s="533"/>
      <c r="X5187" s="533"/>
      <c r="Y5187" s="533"/>
    </row>
    <row r="5188" spans="1:25" s="88" customFormat="1" hidden="1" x14ac:dyDescent="0.25">
      <c r="A5188" s="509"/>
      <c r="B5188" s="256"/>
      <c r="C5188" s="755"/>
      <c r="D5188" s="721"/>
      <c r="E5188" s="721"/>
      <c r="F5188" s="779">
        <v>435</v>
      </c>
      <c r="G5188" s="756" t="s">
        <v>3812</v>
      </c>
      <c r="H5188" s="751"/>
      <c r="I5188" s="752"/>
      <c r="J5188" s="752">
        <f t="shared" si="158"/>
        <v>0</v>
      </c>
      <c r="K5188" s="533"/>
      <c r="L5188" s="533"/>
      <c r="M5188" s="533"/>
      <c r="N5188" s="533"/>
      <c r="O5188" s="533"/>
      <c r="P5188" s="533"/>
      <c r="Q5188" s="533"/>
      <c r="R5188" s="533"/>
      <c r="S5188" s="533"/>
      <c r="T5188" s="533"/>
      <c r="U5188" s="533"/>
      <c r="V5188" s="533"/>
      <c r="W5188" s="533"/>
      <c r="X5188" s="533"/>
      <c r="Y5188" s="533"/>
    </row>
    <row r="5189" spans="1:25" s="88" customFormat="1" hidden="1" x14ac:dyDescent="0.25">
      <c r="A5189" s="509"/>
      <c r="B5189" s="256"/>
      <c r="C5189" s="755"/>
      <c r="D5189" s="721"/>
      <c r="E5189" s="721"/>
      <c r="F5189" s="779">
        <v>441</v>
      </c>
      <c r="G5189" s="756" t="s">
        <v>4207</v>
      </c>
      <c r="H5189" s="751"/>
      <c r="I5189" s="752"/>
      <c r="J5189" s="752">
        <f t="shared" si="158"/>
        <v>0</v>
      </c>
      <c r="K5189" s="533"/>
      <c r="L5189" s="533"/>
      <c r="M5189" s="533"/>
      <c r="N5189" s="533"/>
      <c r="O5189" s="533"/>
      <c r="P5189" s="533"/>
      <c r="Q5189" s="533"/>
      <c r="R5189" s="533"/>
      <c r="S5189" s="533"/>
      <c r="T5189" s="533"/>
      <c r="U5189" s="533"/>
      <c r="V5189" s="533"/>
      <c r="W5189" s="533"/>
      <c r="X5189" s="533"/>
      <c r="Y5189" s="533"/>
    </row>
    <row r="5190" spans="1:25" s="88" customFormat="1" hidden="1" x14ac:dyDescent="0.25">
      <c r="A5190" s="509"/>
      <c r="B5190" s="256"/>
      <c r="C5190" s="755"/>
      <c r="D5190" s="721"/>
      <c r="E5190" s="721"/>
      <c r="F5190" s="779">
        <v>442</v>
      </c>
      <c r="G5190" s="756" t="s">
        <v>4208</v>
      </c>
      <c r="H5190" s="751"/>
      <c r="I5190" s="752"/>
      <c r="J5190" s="752">
        <f t="shared" si="158"/>
        <v>0</v>
      </c>
      <c r="K5190" s="533"/>
      <c r="L5190" s="533"/>
      <c r="M5190" s="533"/>
      <c r="N5190" s="533"/>
      <c r="O5190" s="533"/>
      <c r="P5190" s="533"/>
      <c r="Q5190" s="533"/>
      <c r="R5190" s="533"/>
      <c r="S5190" s="533"/>
      <c r="T5190" s="533"/>
      <c r="U5190" s="533"/>
      <c r="V5190" s="533"/>
      <c r="W5190" s="533"/>
      <c r="X5190" s="533"/>
      <c r="Y5190" s="533"/>
    </row>
    <row r="5191" spans="1:25" s="88" customFormat="1" hidden="1" x14ac:dyDescent="0.25">
      <c r="A5191" s="509"/>
      <c r="B5191" s="256"/>
      <c r="C5191" s="755"/>
      <c r="D5191" s="721"/>
      <c r="E5191" s="721"/>
      <c r="F5191" s="779">
        <v>443</v>
      </c>
      <c r="G5191" s="756" t="s">
        <v>3817</v>
      </c>
      <c r="H5191" s="751"/>
      <c r="I5191" s="752"/>
      <c r="J5191" s="752">
        <f t="shared" si="158"/>
        <v>0</v>
      </c>
      <c r="K5191" s="533"/>
      <c r="L5191" s="533"/>
      <c r="M5191" s="533"/>
      <c r="N5191" s="533"/>
      <c r="O5191" s="533"/>
      <c r="P5191" s="533"/>
      <c r="Q5191" s="533"/>
      <c r="R5191" s="533"/>
      <c r="S5191" s="533"/>
      <c r="T5191" s="533"/>
      <c r="U5191" s="533"/>
      <c r="V5191" s="533"/>
      <c r="W5191" s="533"/>
      <c r="X5191" s="533"/>
      <c r="Y5191" s="533"/>
    </row>
    <row r="5192" spans="1:25" s="88" customFormat="1" hidden="1" x14ac:dyDescent="0.25">
      <c r="A5192" s="509"/>
      <c r="B5192" s="256"/>
      <c r="C5192" s="755"/>
      <c r="D5192" s="721"/>
      <c r="E5192" s="721"/>
      <c r="F5192" s="779">
        <v>444</v>
      </c>
      <c r="G5192" s="756" t="s">
        <v>3818</v>
      </c>
      <c r="H5192" s="751"/>
      <c r="I5192" s="752"/>
      <c r="J5192" s="752">
        <f t="shared" si="158"/>
        <v>0</v>
      </c>
      <c r="K5192" s="533"/>
      <c r="L5192" s="533"/>
      <c r="M5192" s="533"/>
      <c r="N5192" s="533"/>
      <c r="O5192" s="533"/>
      <c r="P5192" s="533"/>
      <c r="Q5192" s="533"/>
      <c r="R5192" s="533"/>
      <c r="S5192" s="533"/>
      <c r="T5192" s="533"/>
      <c r="U5192" s="533"/>
      <c r="V5192" s="533"/>
      <c r="W5192" s="533"/>
      <c r="X5192" s="533"/>
      <c r="Y5192" s="533"/>
    </row>
    <row r="5193" spans="1:25" s="88" customFormat="1" ht="30" hidden="1" x14ac:dyDescent="0.25">
      <c r="A5193" s="509"/>
      <c r="B5193" s="256"/>
      <c r="C5193" s="755"/>
      <c r="D5193" s="721"/>
      <c r="E5193" s="721"/>
      <c r="F5193" s="779">
        <v>4511</v>
      </c>
      <c r="G5193" s="758" t="s">
        <v>1692</v>
      </c>
      <c r="H5193" s="751"/>
      <c r="I5193" s="752"/>
      <c r="J5193" s="752">
        <f t="shared" si="158"/>
        <v>0</v>
      </c>
      <c r="K5193" s="533"/>
      <c r="L5193" s="533"/>
      <c r="M5193" s="533"/>
      <c r="N5193" s="533"/>
      <c r="O5193" s="533"/>
      <c r="P5193" s="533"/>
      <c r="Q5193" s="533"/>
      <c r="R5193" s="533"/>
      <c r="S5193" s="533"/>
      <c r="T5193" s="533"/>
      <c r="U5193" s="533"/>
      <c r="V5193" s="533"/>
      <c r="W5193" s="533"/>
      <c r="X5193" s="533"/>
      <c r="Y5193" s="533"/>
    </row>
    <row r="5194" spans="1:25" s="88" customFormat="1" ht="30" hidden="1" x14ac:dyDescent="0.25">
      <c r="A5194" s="509"/>
      <c r="B5194" s="256"/>
      <c r="C5194" s="755"/>
      <c r="D5194" s="721"/>
      <c r="E5194" s="721"/>
      <c r="F5194" s="779">
        <v>4512</v>
      </c>
      <c r="G5194" s="758" t="s">
        <v>1701</v>
      </c>
      <c r="H5194" s="751"/>
      <c r="I5194" s="752"/>
      <c r="J5194" s="752">
        <f t="shared" si="158"/>
        <v>0</v>
      </c>
      <c r="K5194" s="533"/>
      <c r="L5194" s="533"/>
      <c r="M5194" s="533"/>
      <c r="N5194" s="533"/>
      <c r="O5194" s="533"/>
      <c r="P5194" s="533"/>
      <c r="Q5194" s="533"/>
      <c r="R5194" s="533"/>
      <c r="S5194" s="533"/>
      <c r="T5194" s="533"/>
      <c r="U5194" s="533"/>
      <c r="V5194" s="533"/>
      <c r="W5194" s="533"/>
      <c r="X5194" s="533"/>
      <c r="Y5194" s="533"/>
    </row>
    <row r="5195" spans="1:25" s="88" customFormat="1" hidden="1" x14ac:dyDescent="0.25">
      <c r="A5195" s="509"/>
      <c r="B5195" s="256"/>
      <c r="C5195" s="755"/>
      <c r="D5195" s="721"/>
      <c r="E5195" s="721"/>
      <c r="F5195" s="779">
        <v>452</v>
      </c>
      <c r="G5195" s="756" t="s">
        <v>4209</v>
      </c>
      <c r="H5195" s="751"/>
      <c r="I5195" s="752"/>
      <c r="J5195" s="752">
        <f t="shared" si="158"/>
        <v>0</v>
      </c>
      <c r="K5195" s="533"/>
      <c r="L5195" s="533"/>
      <c r="M5195" s="533"/>
      <c r="N5195" s="533"/>
      <c r="O5195" s="533"/>
      <c r="P5195" s="533"/>
      <c r="Q5195" s="533"/>
      <c r="R5195" s="533"/>
      <c r="S5195" s="533"/>
      <c r="T5195" s="533"/>
      <c r="U5195" s="533"/>
      <c r="V5195" s="533"/>
      <c r="W5195" s="533"/>
      <c r="X5195" s="533"/>
      <c r="Y5195" s="533"/>
    </row>
    <row r="5196" spans="1:25" s="88" customFormat="1" hidden="1" x14ac:dyDescent="0.25">
      <c r="A5196" s="509"/>
      <c r="B5196" s="256"/>
      <c r="C5196" s="755"/>
      <c r="D5196" s="721"/>
      <c r="E5196" s="721"/>
      <c r="F5196" s="779">
        <v>453</v>
      </c>
      <c r="G5196" s="756" t="s">
        <v>4210</v>
      </c>
      <c r="H5196" s="751"/>
      <c r="I5196" s="752"/>
      <c r="J5196" s="752">
        <f t="shared" si="158"/>
        <v>0</v>
      </c>
      <c r="K5196" s="533"/>
      <c r="L5196" s="533"/>
      <c r="M5196" s="533"/>
      <c r="N5196" s="533"/>
      <c r="O5196" s="533"/>
      <c r="P5196" s="533"/>
      <c r="Q5196" s="533"/>
      <c r="R5196" s="533"/>
      <c r="S5196" s="533"/>
      <c r="T5196" s="533"/>
      <c r="U5196" s="533"/>
      <c r="V5196" s="533"/>
      <c r="W5196" s="533"/>
      <c r="X5196" s="533"/>
      <c r="Y5196" s="533"/>
    </row>
    <row r="5197" spans="1:25" s="88" customFormat="1" hidden="1" x14ac:dyDescent="0.25">
      <c r="A5197" s="509"/>
      <c r="B5197" s="256"/>
      <c r="C5197" s="755"/>
      <c r="D5197" s="721"/>
      <c r="E5197" s="721"/>
      <c r="F5197" s="779">
        <v>454</v>
      </c>
      <c r="G5197" s="756" t="s">
        <v>3823</v>
      </c>
      <c r="H5197" s="751"/>
      <c r="I5197" s="752"/>
      <c r="J5197" s="752">
        <f t="shared" si="158"/>
        <v>0</v>
      </c>
      <c r="K5197" s="533"/>
      <c r="L5197" s="533"/>
      <c r="M5197" s="533"/>
      <c r="N5197" s="533"/>
      <c r="O5197" s="533"/>
      <c r="P5197" s="533"/>
      <c r="Q5197" s="533"/>
      <c r="R5197" s="533"/>
      <c r="S5197" s="533"/>
      <c r="T5197" s="533"/>
      <c r="U5197" s="533"/>
      <c r="V5197" s="533"/>
      <c r="W5197" s="533"/>
      <c r="X5197" s="533"/>
      <c r="Y5197" s="533"/>
    </row>
    <row r="5198" spans="1:25" s="88" customFormat="1" hidden="1" x14ac:dyDescent="0.25">
      <c r="A5198" s="509"/>
      <c r="B5198" s="256"/>
      <c r="C5198" s="755"/>
      <c r="D5198" s="721"/>
      <c r="E5198" s="721"/>
      <c r="F5198" s="779">
        <v>461</v>
      </c>
      <c r="G5198" s="756" t="s">
        <v>4191</v>
      </c>
      <c r="H5198" s="751"/>
      <c r="I5198" s="752"/>
      <c r="J5198" s="752">
        <f t="shared" si="158"/>
        <v>0</v>
      </c>
      <c r="K5198" s="533"/>
      <c r="L5198" s="533"/>
      <c r="M5198" s="533"/>
      <c r="N5198" s="533"/>
      <c r="O5198" s="533"/>
      <c r="P5198" s="533"/>
      <c r="Q5198" s="533"/>
      <c r="R5198" s="533"/>
      <c r="S5198" s="533"/>
      <c r="T5198" s="533"/>
      <c r="U5198" s="533"/>
      <c r="V5198" s="533"/>
      <c r="W5198" s="533"/>
      <c r="X5198" s="533"/>
      <c r="Y5198" s="533"/>
    </row>
    <row r="5199" spans="1:25" s="88" customFormat="1" hidden="1" x14ac:dyDescent="0.25">
      <c r="A5199" s="509"/>
      <c r="B5199" s="256"/>
      <c r="C5199" s="755"/>
      <c r="D5199" s="721"/>
      <c r="E5199" s="721"/>
      <c r="F5199" s="779">
        <v>462</v>
      </c>
      <c r="G5199" s="756" t="s">
        <v>3826</v>
      </c>
      <c r="H5199" s="751"/>
      <c r="I5199" s="752"/>
      <c r="J5199" s="752">
        <f t="shared" si="158"/>
        <v>0</v>
      </c>
      <c r="K5199" s="533"/>
      <c r="L5199" s="533"/>
      <c r="M5199" s="533"/>
      <c r="N5199" s="533"/>
      <c r="O5199" s="533"/>
      <c r="P5199" s="533"/>
      <c r="Q5199" s="533"/>
      <c r="R5199" s="533"/>
      <c r="S5199" s="533"/>
      <c r="T5199" s="533"/>
      <c r="U5199" s="533"/>
      <c r="V5199" s="533"/>
      <c r="W5199" s="533"/>
      <c r="X5199" s="533"/>
      <c r="Y5199" s="533"/>
    </row>
    <row r="5200" spans="1:25" s="88" customFormat="1" hidden="1" x14ac:dyDescent="0.25">
      <c r="A5200" s="509"/>
      <c r="B5200" s="256"/>
      <c r="C5200" s="755"/>
      <c r="D5200" s="721"/>
      <c r="E5200" s="721"/>
      <c r="F5200" s="779">
        <v>4631</v>
      </c>
      <c r="G5200" s="756" t="s">
        <v>3827</v>
      </c>
      <c r="H5200" s="751"/>
      <c r="I5200" s="752"/>
      <c r="J5200" s="752">
        <f t="shared" si="158"/>
        <v>0</v>
      </c>
      <c r="K5200" s="533"/>
      <c r="L5200" s="533"/>
      <c r="M5200" s="533"/>
      <c r="N5200" s="533"/>
      <c r="O5200" s="533"/>
      <c r="P5200" s="533"/>
      <c r="Q5200" s="533"/>
      <c r="R5200" s="533"/>
      <c r="S5200" s="533"/>
      <c r="T5200" s="533"/>
      <c r="U5200" s="533"/>
      <c r="V5200" s="533"/>
      <c r="W5200" s="533"/>
      <c r="X5200" s="533"/>
      <c r="Y5200" s="533"/>
    </row>
    <row r="5201" spans="1:25" s="88" customFormat="1" hidden="1" x14ac:dyDescent="0.25">
      <c r="A5201" s="509"/>
      <c r="B5201" s="256"/>
      <c r="C5201" s="755"/>
      <c r="D5201" s="721"/>
      <c r="E5201" s="721"/>
      <c r="F5201" s="779">
        <v>4632</v>
      </c>
      <c r="G5201" s="756" t="s">
        <v>3828</v>
      </c>
      <c r="H5201" s="751"/>
      <c r="I5201" s="752"/>
      <c r="J5201" s="752">
        <f t="shared" si="158"/>
        <v>0</v>
      </c>
      <c r="K5201" s="533"/>
      <c r="L5201" s="533"/>
      <c r="M5201" s="533"/>
      <c r="N5201" s="533"/>
      <c r="O5201" s="533"/>
      <c r="P5201" s="533"/>
      <c r="Q5201" s="533"/>
      <c r="R5201" s="533"/>
      <c r="S5201" s="533"/>
      <c r="T5201" s="533"/>
      <c r="U5201" s="533"/>
      <c r="V5201" s="533"/>
      <c r="W5201" s="533"/>
      <c r="X5201" s="533"/>
      <c r="Y5201" s="533"/>
    </row>
    <row r="5202" spans="1:25" s="88" customFormat="1" hidden="1" x14ac:dyDescent="0.25">
      <c r="A5202" s="509"/>
      <c r="B5202" s="256"/>
      <c r="C5202" s="755"/>
      <c r="D5202" s="721"/>
      <c r="E5202" s="721"/>
      <c r="F5202" s="779">
        <v>464</v>
      </c>
      <c r="G5202" s="756" t="s">
        <v>3829</v>
      </c>
      <c r="H5202" s="751"/>
      <c r="I5202" s="752"/>
      <c r="J5202" s="752">
        <f t="shared" ref="J5202:J5229" si="159">SUM(H5202:I5202)</f>
        <v>0</v>
      </c>
      <c r="K5202" s="533"/>
      <c r="L5202" s="533"/>
      <c r="M5202" s="533"/>
      <c r="N5202" s="533"/>
      <c r="O5202" s="533"/>
      <c r="P5202" s="533"/>
      <c r="Q5202" s="533"/>
      <c r="R5202" s="533"/>
      <c r="S5202" s="533"/>
      <c r="T5202" s="533"/>
      <c r="U5202" s="533"/>
      <c r="V5202" s="533"/>
      <c r="W5202" s="533"/>
      <c r="X5202" s="533"/>
      <c r="Y5202" s="533"/>
    </row>
    <row r="5203" spans="1:25" s="88" customFormat="1" hidden="1" x14ac:dyDescent="0.25">
      <c r="A5203" s="509"/>
      <c r="B5203" s="256"/>
      <c r="C5203" s="755"/>
      <c r="D5203" s="721"/>
      <c r="E5203" s="721"/>
      <c r="F5203" s="779">
        <v>465</v>
      </c>
      <c r="G5203" s="756" t="s">
        <v>4192</v>
      </c>
      <c r="H5203" s="751"/>
      <c r="I5203" s="752"/>
      <c r="J5203" s="752">
        <f t="shared" si="159"/>
        <v>0</v>
      </c>
      <c r="K5203" s="533"/>
      <c r="L5203" s="533"/>
      <c r="M5203" s="533"/>
      <c r="N5203" s="533"/>
      <c r="O5203" s="533"/>
      <c r="P5203" s="533"/>
      <c r="Q5203" s="533"/>
      <c r="R5203" s="533"/>
      <c r="S5203" s="533"/>
      <c r="T5203" s="533"/>
      <c r="U5203" s="533"/>
      <c r="V5203" s="533"/>
      <c r="W5203" s="533"/>
      <c r="X5203" s="533"/>
      <c r="Y5203" s="533"/>
    </row>
    <row r="5204" spans="1:25" s="88" customFormat="1" hidden="1" x14ac:dyDescent="0.25">
      <c r="A5204" s="509"/>
      <c r="B5204" s="256"/>
      <c r="C5204" s="755"/>
      <c r="D5204" s="721"/>
      <c r="E5204" s="721"/>
      <c r="F5204" s="779">
        <v>472</v>
      </c>
      <c r="G5204" s="756" t="s">
        <v>3833</v>
      </c>
      <c r="H5204" s="751"/>
      <c r="I5204" s="752"/>
      <c r="J5204" s="752">
        <f t="shared" si="159"/>
        <v>0</v>
      </c>
      <c r="K5204" s="533"/>
      <c r="L5204" s="533"/>
      <c r="M5204" s="533"/>
      <c r="N5204" s="533"/>
      <c r="O5204" s="533"/>
      <c r="P5204" s="533"/>
      <c r="Q5204" s="533"/>
      <c r="R5204" s="533"/>
      <c r="S5204" s="533"/>
      <c r="T5204" s="533"/>
      <c r="U5204" s="533"/>
      <c r="V5204" s="533"/>
      <c r="W5204" s="533"/>
      <c r="X5204" s="533"/>
      <c r="Y5204" s="533"/>
    </row>
    <row r="5205" spans="1:25" s="88" customFormat="1" hidden="1" x14ac:dyDescent="0.25">
      <c r="A5205" s="509"/>
      <c r="B5205" s="256"/>
      <c r="C5205" s="755"/>
      <c r="D5205" s="721"/>
      <c r="E5205" s="721"/>
      <c r="F5205" s="779">
        <v>481</v>
      </c>
      <c r="G5205" s="756" t="s">
        <v>4211</v>
      </c>
      <c r="H5205" s="751"/>
      <c r="I5205" s="752"/>
      <c r="J5205" s="752">
        <f t="shared" si="159"/>
        <v>0</v>
      </c>
      <c r="K5205" s="533"/>
      <c r="L5205" s="533"/>
      <c r="M5205" s="533"/>
      <c r="N5205" s="533"/>
      <c r="O5205" s="533"/>
      <c r="P5205" s="533"/>
      <c r="Q5205" s="533"/>
      <c r="R5205" s="533"/>
      <c r="S5205" s="533"/>
      <c r="T5205" s="533"/>
      <c r="U5205" s="533"/>
      <c r="V5205" s="533"/>
      <c r="W5205" s="533"/>
      <c r="X5205" s="533"/>
      <c r="Y5205" s="533"/>
    </row>
    <row r="5206" spans="1:25" s="88" customFormat="1" ht="19.5" customHeight="1" x14ac:dyDescent="0.25">
      <c r="A5206" s="509"/>
      <c r="B5206" s="256"/>
      <c r="C5206" s="755"/>
      <c r="D5206" s="721"/>
      <c r="E5206" s="721"/>
      <c r="F5206" s="779">
        <v>482</v>
      </c>
      <c r="G5206" s="756" t="s">
        <v>5278</v>
      </c>
      <c r="H5206" s="751"/>
      <c r="I5206" s="752"/>
      <c r="J5206" s="752">
        <f t="shared" si="159"/>
        <v>0</v>
      </c>
      <c r="K5206" s="533"/>
      <c r="L5206" s="533"/>
      <c r="M5206" s="533"/>
      <c r="N5206" s="533"/>
      <c r="O5206" s="533"/>
      <c r="P5206" s="533"/>
      <c r="Q5206" s="533"/>
      <c r="R5206" s="533"/>
      <c r="S5206" s="533"/>
      <c r="T5206" s="533"/>
      <c r="U5206" s="533"/>
      <c r="V5206" s="533"/>
      <c r="W5206" s="533"/>
      <c r="X5206" s="533"/>
      <c r="Y5206" s="533"/>
    </row>
    <row r="5207" spans="1:25" s="88" customFormat="1" hidden="1" x14ac:dyDescent="0.25">
      <c r="A5207" s="509"/>
      <c r="B5207" s="256"/>
      <c r="C5207" s="755"/>
      <c r="D5207" s="721"/>
      <c r="E5207" s="721"/>
      <c r="F5207" s="779">
        <v>483</v>
      </c>
      <c r="G5207" s="759" t="s">
        <v>4213</v>
      </c>
      <c r="H5207" s="751"/>
      <c r="I5207" s="752"/>
      <c r="J5207" s="752">
        <f t="shared" si="159"/>
        <v>0</v>
      </c>
      <c r="K5207" s="533"/>
      <c r="L5207" s="533"/>
      <c r="M5207" s="533"/>
      <c r="N5207" s="533"/>
      <c r="O5207" s="533"/>
      <c r="P5207" s="533"/>
      <c r="Q5207" s="533"/>
      <c r="R5207" s="533"/>
      <c r="S5207" s="533"/>
      <c r="T5207" s="533"/>
      <c r="U5207" s="533"/>
      <c r="V5207" s="533"/>
      <c r="W5207" s="533"/>
      <c r="X5207" s="533"/>
      <c r="Y5207" s="533"/>
    </row>
    <row r="5208" spans="1:25" s="88" customFormat="1" ht="30" hidden="1" x14ac:dyDescent="0.25">
      <c r="A5208" s="509"/>
      <c r="B5208" s="256"/>
      <c r="C5208" s="755"/>
      <c r="D5208" s="721"/>
      <c r="E5208" s="721"/>
      <c r="F5208" s="779">
        <v>484</v>
      </c>
      <c r="G5208" s="756" t="s">
        <v>4214</v>
      </c>
      <c r="H5208" s="751"/>
      <c r="I5208" s="752"/>
      <c r="J5208" s="752">
        <f t="shared" si="159"/>
        <v>0</v>
      </c>
      <c r="K5208" s="533"/>
      <c r="L5208" s="533"/>
      <c r="M5208" s="533"/>
      <c r="N5208" s="533"/>
      <c r="O5208" s="533"/>
      <c r="P5208" s="533"/>
      <c r="Q5208" s="533"/>
      <c r="R5208" s="533"/>
      <c r="S5208" s="533"/>
      <c r="T5208" s="533"/>
      <c r="U5208" s="533"/>
      <c r="V5208" s="533"/>
      <c r="W5208" s="533"/>
      <c r="X5208" s="533"/>
      <c r="Y5208" s="533"/>
    </row>
    <row r="5209" spans="1:25" s="88" customFormat="1" ht="30" hidden="1" x14ac:dyDescent="0.25">
      <c r="A5209" s="509"/>
      <c r="B5209" s="256"/>
      <c r="C5209" s="755"/>
      <c r="D5209" s="721"/>
      <c r="E5209" s="721"/>
      <c r="F5209" s="779">
        <v>485</v>
      </c>
      <c r="G5209" s="756" t="s">
        <v>4215</v>
      </c>
      <c r="H5209" s="751"/>
      <c r="I5209" s="752"/>
      <c r="J5209" s="752">
        <f t="shared" si="159"/>
        <v>0</v>
      </c>
      <c r="K5209" s="533"/>
      <c r="L5209" s="533"/>
      <c r="M5209" s="533"/>
      <c r="N5209" s="533"/>
      <c r="O5209" s="533"/>
      <c r="P5209" s="533"/>
      <c r="Q5209" s="533"/>
      <c r="R5209" s="533"/>
      <c r="S5209" s="533"/>
      <c r="T5209" s="533"/>
      <c r="U5209" s="533"/>
      <c r="V5209" s="533"/>
      <c r="W5209" s="533"/>
      <c r="X5209" s="533"/>
      <c r="Y5209" s="533"/>
    </row>
    <row r="5210" spans="1:25" s="88" customFormat="1" ht="30" hidden="1" x14ac:dyDescent="0.25">
      <c r="A5210" s="509"/>
      <c r="B5210" s="256"/>
      <c r="C5210" s="755"/>
      <c r="D5210" s="721"/>
      <c r="E5210" s="721"/>
      <c r="F5210" s="779">
        <v>489</v>
      </c>
      <c r="G5210" s="756" t="s">
        <v>3841</v>
      </c>
      <c r="H5210" s="751"/>
      <c r="I5210" s="752"/>
      <c r="J5210" s="752">
        <f t="shared" si="159"/>
        <v>0</v>
      </c>
      <c r="K5210" s="533"/>
      <c r="L5210" s="533"/>
      <c r="M5210" s="533"/>
      <c r="N5210" s="533"/>
      <c r="O5210" s="533"/>
      <c r="P5210" s="533"/>
      <c r="Q5210" s="533"/>
      <c r="R5210" s="533"/>
      <c r="S5210" s="533"/>
      <c r="T5210" s="533"/>
      <c r="U5210" s="533"/>
      <c r="V5210" s="533"/>
      <c r="W5210" s="533"/>
      <c r="X5210" s="533"/>
      <c r="Y5210" s="533"/>
    </row>
    <row r="5211" spans="1:25" s="88" customFormat="1" hidden="1" x14ac:dyDescent="0.25">
      <c r="A5211" s="509"/>
      <c r="B5211" s="256"/>
      <c r="C5211" s="755"/>
      <c r="D5211" s="721"/>
      <c r="E5211" s="721"/>
      <c r="F5211" s="779">
        <v>494</v>
      </c>
      <c r="G5211" s="756" t="s">
        <v>4193</v>
      </c>
      <c r="H5211" s="751"/>
      <c r="I5211" s="752"/>
      <c r="J5211" s="752">
        <f t="shared" si="159"/>
        <v>0</v>
      </c>
      <c r="K5211" s="533"/>
      <c r="L5211" s="533"/>
      <c r="M5211" s="533"/>
      <c r="N5211" s="533"/>
      <c r="O5211" s="533"/>
      <c r="P5211" s="533"/>
      <c r="Q5211" s="533"/>
      <c r="R5211" s="533"/>
      <c r="S5211" s="533"/>
      <c r="T5211" s="533"/>
      <c r="U5211" s="533"/>
      <c r="V5211" s="533"/>
      <c r="W5211" s="533"/>
      <c r="X5211" s="533"/>
      <c r="Y5211" s="533"/>
    </row>
    <row r="5212" spans="1:25" s="88" customFormat="1" ht="30" hidden="1" x14ac:dyDescent="0.25">
      <c r="A5212" s="509"/>
      <c r="B5212" s="256"/>
      <c r="C5212" s="755"/>
      <c r="D5212" s="721"/>
      <c r="E5212" s="721"/>
      <c r="F5212" s="779">
        <v>495</v>
      </c>
      <c r="G5212" s="756" t="s">
        <v>4194</v>
      </c>
      <c r="H5212" s="751"/>
      <c r="I5212" s="752"/>
      <c r="J5212" s="752">
        <f t="shared" si="159"/>
        <v>0</v>
      </c>
      <c r="K5212" s="533"/>
      <c r="L5212" s="533"/>
      <c r="M5212" s="533"/>
      <c r="N5212" s="533"/>
      <c r="O5212" s="533"/>
      <c r="P5212" s="533"/>
      <c r="Q5212" s="533"/>
      <c r="R5212" s="533"/>
      <c r="S5212" s="533"/>
      <c r="T5212" s="533"/>
      <c r="U5212" s="533"/>
      <c r="V5212" s="533"/>
      <c r="W5212" s="533"/>
      <c r="X5212" s="533"/>
      <c r="Y5212" s="533"/>
    </row>
    <row r="5213" spans="1:25" s="88" customFormat="1" ht="30" hidden="1" x14ac:dyDescent="0.25">
      <c r="A5213" s="509"/>
      <c r="B5213" s="256"/>
      <c r="C5213" s="755"/>
      <c r="D5213" s="721"/>
      <c r="E5213" s="721"/>
      <c r="F5213" s="779">
        <v>496</v>
      </c>
      <c r="G5213" s="756" t="s">
        <v>4195</v>
      </c>
      <c r="H5213" s="751"/>
      <c r="I5213" s="752"/>
      <c r="J5213" s="752">
        <f t="shared" si="159"/>
        <v>0</v>
      </c>
      <c r="K5213" s="533"/>
      <c r="L5213" s="533"/>
      <c r="M5213" s="533"/>
      <c r="N5213" s="533"/>
      <c r="O5213" s="533"/>
      <c r="P5213" s="533"/>
      <c r="Q5213" s="533"/>
      <c r="R5213" s="533"/>
      <c r="S5213" s="533"/>
      <c r="T5213" s="533"/>
      <c r="U5213" s="533"/>
      <c r="V5213" s="533"/>
      <c r="W5213" s="533"/>
      <c r="X5213" s="533"/>
      <c r="Y5213" s="533"/>
    </row>
    <row r="5214" spans="1:25" s="88" customFormat="1" hidden="1" x14ac:dyDescent="0.25">
      <c r="A5214" s="509"/>
      <c r="B5214" s="256"/>
      <c r="C5214" s="755"/>
      <c r="D5214" s="721"/>
      <c r="E5214" s="721"/>
      <c r="F5214" s="779">
        <v>499</v>
      </c>
      <c r="G5214" s="756" t="s">
        <v>4196</v>
      </c>
      <c r="H5214" s="751"/>
      <c r="I5214" s="752"/>
      <c r="J5214" s="752">
        <f t="shared" si="159"/>
        <v>0</v>
      </c>
      <c r="K5214" s="533"/>
      <c r="L5214" s="533"/>
      <c r="M5214" s="533"/>
      <c r="N5214" s="533"/>
      <c r="O5214" s="533"/>
      <c r="P5214" s="533"/>
      <c r="Q5214" s="533"/>
      <c r="R5214" s="533"/>
      <c r="S5214" s="533"/>
      <c r="T5214" s="533"/>
      <c r="U5214" s="533"/>
      <c r="V5214" s="533"/>
      <c r="W5214" s="533"/>
      <c r="X5214" s="533"/>
      <c r="Y5214" s="533"/>
    </row>
    <row r="5215" spans="1:25" s="88" customFormat="1" hidden="1" x14ac:dyDescent="0.25">
      <c r="A5215" s="509"/>
      <c r="B5215" s="256"/>
      <c r="C5215" s="755"/>
      <c r="D5215" s="721"/>
      <c r="E5215" s="721"/>
      <c r="F5215" s="779">
        <v>511</v>
      </c>
      <c r="G5215" s="759" t="s">
        <v>4216</v>
      </c>
      <c r="H5215" s="751"/>
      <c r="I5215" s="752"/>
      <c r="J5215" s="752">
        <f t="shared" si="159"/>
        <v>0</v>
      </c>
      <c r="K5215" s="533"/>
      <c r="L5215" s="533"/>
      <c r="M5215" s="533"/>
      <c r="N5215" s="533"/>
      <c r="O5215" s="533"/>
      <c r="P5215" s="533"/>
      <c r="Q5215" s="533"/>
      <c r="R5215" s="533"/>
      <c r="S5215" s="533"/>
      <c r="T5215" s="533"/>
      <c r="U5215" s="533"/>
      <c r="V5215" s="533"/>
      <c r="W5215" s="533"/>
      <c r="X5215" s="533"/>
      <c r="Y5215" s="533"/>
    </row>
    <row r="5216" spans="1:25" s="88" customFormat="1" ht="15.75" customHeight="1" thickBot="1" x14ac:dyDescent="0.3">
      <c r="A5216" s="509"/>
      <c r="B5216" s="256"/>
      <c r="C5216" s="755"/>
      <c r="D5216" s="721"/>
      <c r="E5216" s="721"/>
      <c r="F5216" s="779">
        <v>512</v>
      </c>
      <c r="G5216" s="759" t="s">
        <v>5279</v>
      </c>
      <c r="H5216" s="751"/>
      <c r="I5216" s="752"/>
      <c r="J5216" s="752">
        <f t="shared" si="159"/>
        <v>0</v>
      </c>
      <c r="K5216" s="533"/>
      <c r="L5216" s="533"/>
      <c r="M5216" s="533"/>
      <c r="N5216" s="533"/>
      <c r="O5216" s="533"/>
      <c r="P5216" s="533"/>
      <c r="Q5216" s="533"/>
      <c r="R5216" s="533"/>
      <c r="S5216" s="533"/>
      <c r="T5216" s="533"/>
      <c r="U5216" s="533"/>
      <c r="V5216" s="533"/>
      <c r="W5216" s="533"/>
      <c r="X5216" s="533"/>
      <c r="Y5216" s="533"/>
    </row>
    <row r="5217" spans="1:25" s="88" customFormat="1" ht="15.75" hidden="1" thickBot="1" x14ac:dyDescent="0.3">
      <c r="A5217" s="509"/>
      <c r="B5217" s="256"/>
      <c r="C5217" s="755"/>
      <c r="D5217" s="721"/>
      <c r="E5217" s="721"/>
      <c r="F5217" s="779">
        <v>513</v>
      </c>
      <c r="G5217" s="759" t="s">
        <v>4218</v>
      </c>
      <c r="H5217" s="751"/>
      <c r="I5217" s="752"/>
      <c r="J5217" s="752">
        <f t="shared" si="159"/>
        <v>0</v>
      </c>
      <c r="K5217" s="533"/>
      <c r="L5217" s="533"/>
      <c r="M5217" s="533"/>
      <c r="N5217" s="533"/>
      <c r="O5217" s="533"/>
      <c r="P5217" s="533"/>
      <c r="Q5217" s="533"/>
      <c r="R5217" s="533"/>
      <c r="S5217" s="533"/>
      <c r="T5217" s="533"/>
      <c r="U5217" s="533"/>
      <c r="V5217" s="533"/>
      <c r="W5217" s="533"/>
      <c r="X5217" s="533"/>
      <c r="Y5217" s="533"/>
    </row>
    <row r="5218" spans="1:25" s="88" customFormat="1" ht="15.75" hidden="1" thickBot="1" x14ac:dyDescent="0.3">
      <c r="A5218" s="509"/>
      <c r="B5218" s="256"/>
      <c r="C5218" s="755"/>
      <c r="D5218" s="721"/>
      <c r="E5218" s="721"/>
      <c r="F5218" s="779">
        <v>514</v>
      </c>
      <c r="G5218" s="756" t="s">
        <v>4219</v>
      </c>
      <c r="H5218" s="751"/>
      <c r="I5218" s="752"/>
      <c r="J5218" s="752">
        <f t="shared" si="159"/>
        <v>0</v>
      </c>
      <c r="K5218" s="533"/>
      <c r="L5218" s="533"/>
      <c r="M5218" s="533"/>
      <c r="N5218" s="533"/>
      <c r="O5218" s="533"/>
      <c r="P5218" s="533"/>
      <c r="Q5218" s="533"/>
      <c r="R5218" s="533"/>
      <c r="S5218" s="533"/>
      <c r="T5218" s="533"/>
      <c r="U5218" s="533"/>
      <c r="V5218" s="533"/>
      <c r="W5218" s="533"/>
      <c r="X5218" s="533"/>
      <c r="Y5218" s="533"/>
    </row>
    <row r="5219" spans="1:25" s="88" customFormat="1" ht="15.75" hidden="1" thickBot="1" x14ac:dyDescent="0.3">
      <c r="A5219" s="509"/>
      <c r="B5219" s="256"/>
      <c r="C5219" s="755"/>
      <c r="D5219" s="721"/>
      <c r="E5219" s="721"/>
      <c r="F5219" s="779">
        <v>515</v>
      </c>
      <c r="G5219" s="756" t="s">
        <v>3852</v>
      </c>
      <c r="H5219" s="751"/>
      <c r="I5219" s="752"/>
      <c r="J5219" s="752">
        <f t="shared" si="159"/>
        <v>0</v>
      </c>
      <c r="K5219" s="533"/>
      <c r="L5219" s="533"/>
      <c r="M5219" s="533"/>
      <c r="N5219" s="533"/>
      <c r="O5219" s="533"/>
      <c r="P5219" s="533"/>
      <c r="Q5219" s="533"/>
      <c r="R5219" s="533"/>
      <c r="S5219" s="533"/>
      <c r="T5219" s="533"/>
      <c r="U5219" s="533"/>
      <c r="V5219" s="533"/>
      <c r="W5219" s="533"/>
      <c r="X5219" s="533"/>
      <c r="Y5219" s="533"/>
    </row>
    <row r="5220" spans="1:25" s="88" customFormat="1" ht="15.75" hidden="1" thickBot="1" x14ac:dyDescent="0.3">
      <c r="A5220" s="509"/>
      <c r="B5220" s="256"/>
      <c r="C5220" s="755"/>
      <c r="D5220" s="721"/>
      <c r="E5220" s="721"/>
      <c r="F5220" s="779">
        <v>521</v>
      </c>
      <c r="G5220" s="756" t="s">
        <v>4220</v>
      </c>
      <c r="H5220" s="751"/>
      <c r="I5220" s="752"/>
      <c r="J5220" s="752">
        <f t="shared" si="159"/>
        <v>0</v>
      </c>
      <c r="K5220" s="533"/>
      <c r="L5220" s="533"/>
      <c r="M5220" s="533"/>
      <c r="N5220" s="533"/>
      <c r="O5220" s="533"/>
      <c r="P5220" s="533"/>
      <c r="Q5220" s="533"/>
      <c r="R5220" s="533"/>
      <c r="S5220" s="533"/>
      <c r="T5220" s="533"/>
      <c r="U5220" s="533"/>
      <c r="V5220" s="533"/>
      <c r="W5220" s="533"/>
      <c r="X5220" s="533"/>
      <c r="Y5220" s="533"/>
    </row>
    <row r="5221" spans="1:25" s="88" customFormat="1" ht="15.75" hidden="1" thickBot="1" x14ac:dyDescent="0.3">
      <c r="A5221" s="509"/>
      <c r="B5221" s="256"/>
      <c r="C5221" s="755"/>
      <c r="D5221" s="721"/>
      <c r="E5221" s="721"/>
      <c r="F5221" s="779">
        <v>522</v>
      </c>
      <c r="G5221" s="756" t="s">
        <v>4221</v>
      </c>
      <c r="H5221" s="751"/>
      <c r="I5221" s="752"/>
      <c r="J5221" s="752">
        <f t="shared" si="159"/>
        <v>0</v>
      </c>
      <c r="K5221" s="533"/>
      <c r="L5221" s="533"/>
      <c r="M5221" s="533"/>
      <c r="N5221" s="533"/>
      <c r="O5221" s="533"/>
      <c r="P5221" s="533"/>
      <c r="Q5221" s="533"/>
      <c r="R5221" s="533"/>
      <c r="S5221" s="533"/>
      <c r="T5221" s="533"/>
      <c r="U5221" s="533"/>
      <c r="V5221" s="533"/>
      <c r="W5221" s="533"/>
      <c r="X5221" s="533"/>
      <c r="Y5221" s="533"/>
    </row>
    <row r="5222" spans="1:25" s="88" customFormat="1" ht="15.75" hidden="1" thickBot="1" x14ac:dyDescent="0.3">
      <c r="A5222" s="509"/>
      <c r="B5222" s="256"/>
      <c r="C5222" s="755"/>
      <c r="D5222" s="721"/>
      <c r="E5222" s="721"/>
      <c r="F5222" s="779">
        <v>523</v>
      </c>
      <c r="G5222" s="756" t="s">
        <v>3857</v>
      </c>
      <c r="H5222" s="751"/>
      <c r="I5222" s="752"/>
      <c r="J5222" s="752">
        <f t="shared" si="159"/>
        <v>0</v>
      </c>
      <c r="K5222" s="533"/>
      <c r="L5222" s="533"/>
      <c r="M5222" s="533"/>
      <c r="N5222" s="533"/>
      <c r="O5222" s="533"/>
      <c r="P5222" s="533"/>
      <c r="Q5222" s="533"/>
      <c r="R5222" s="533"/>
      <c r="S5222" s="533"/>
      <c r="T5222" s="533"/>
      <c r="U5222" s="533"/>
      <c r="V5222" s="533"/>
      <c r="W5222" s="533"/>
      <c r="X5222" s="533"/>
      <c r="Y5222" s="533"/>
    </row>
    <row r="5223" spans="1:25" s="88" customFormat="1" ht="15.75" hidden="1" thickBot="1" x14ac:dyDescent="0.3">
      <c r="A5223" s="509"/>
      <c r="B5223" s="256"/>
      <c r="C5223" s="755"/>
      <c r="D5223" s="721"/>
      <c r="E5223" s="721"/>
      <c r="F5223" s="779">
        <v>531</v>
      </c>
      <c r="G5223" s="757" t="s">
        <v>4197</v>
      </c>
      <c r="H5223" s="751"/>
      <c r="I5223" s="752"/>
      <c r="J5223" s="752">
        <f t="shared" si="159"/>
        <v>0</v>
      </c>
      <c r="K5223" s="533"/>
      <c r="L5223" s="533"/>
      <c r="M5223" s="533"/>
      <c r="N5223" s="533"/>
      <c r="O5223" s="533"/>
      <c r="P5223" s="533"/>
      <c r="Q5223" s="533"/>
      <c r="R5223" s="533"/>
      <c r="S5223" s="533"/>
      <c r="T5223" s="533"/>
      <c r="U5223" s="533"/>
      <c r="V5223" s="533"/>
      <c r="W5223" s="533"/>
      <c r="X5223" s="533"/>
      <c r="Y5223" s="533"/>
    </row>
    <row r="5224" spans="1:25" s="88" customFormat="1" ht="15.75" hidden="1" thickBot="1" x14ac:dyDescent="0.3">
      <c r="A5224" s="509"/>
      <c r="B5224" s="256"/>
      <c r="C5224" s="755"/>
      <c r="D5224" s="721"/>
      <c r="E5224" s="721"/>
      <c r="F5224" s="779">
        <v>541</v>
      </c>
      <c r="G5224" s="756" t="s">
        <v>4222</v>
      </c>
      <c r="H5224" s="751"/>
      <c r="I5224" s="752"/>
      <c r="J5224" s="752">
        <f t="shared" si="159"/>
        <v>0</v>
      </c>
      <c r="K5224" s="533"/>
      <c r="L5224" s="533"/>
      <c r="M5224" s="533"/>
      <c r="N5224" s="533"/>
      <c r="O5224" s="533"/>
      <c r="P5224" s="533"/>
      <c r="Q5224" s="533"/>
      <c r="R5224" s="533"/>
      <c r="S5224" s="533"/>
      <c r="T5224" s="533"/>
      <c r="U5224" s="533"/>
      <c r="V5224" s="533"/>
      <c r="W5224" s="533"/>
      <c r="X5224" s="533"/>
      <c r="Y5224" s="533"/>
    </row>
    <row r="5225" spans="1:25" s="88" customFormat="1" ht="15.75" hidden="1" thickBot="1" x14ac:dyDescent="0.3">
      <c r="A5225" s="509"/>
      <c r="B5225" s="256"/>
      <c r="C5225" s="755"/>
      <c r="D5225" s="721"/>
      <c r="E5225" s="721"/>
      <c r="F5225" s="779">
        <v>542</v>
      </c>
      <c r="G5225" s="756" t="s">
        <v>4223</v>
      </c>
      <c r="H5225" s="751"/>
      <c r="I5225" s="752"/>
      <c r="J5225" s="752">
        <f t="shared" si="159"/>
        <v>0</v>
      </c>
      <c r="K5225" s="533"/>
      <c r="L5225" s="533"/>
      <c r="M5225" s="533"/>
      <c r="N5225" s="533"/>
      <c r="O5225" s="533"/>
      <c r="P5225" s="533"/>
      <c r="Q5225" s="533"/>
      <c r="R5225" s="533"/>
      <c r="S5225" s="533"/>
      <c r="T5225" s="533"/>
      <c r="U5225" s="533"/>
      <c r="V5225" s="533"/>
      <c r="W5225" s="533"/>
      <c r="X5225" s="533"/>
      <c r="Y5225" s="533"/>
    </row>
    <row r="5226" spans="1:25" s="88" customFormat="1" ht="15.75" hidden="1" thickBot="1" x14ac:dyDescent="0.3">
      <c r="A5226" s="509"/>
      <c r="B5226" s="256"/>
      <c r="C5226" s="755"/>
      <c r="D5226" s="721"/>
      <c r="E5226" s="721"/>
      <c r="F5226" s="779">
        <v>543</v>
      </c>
      <c r="G5226" s="756" t="s">
        <v>3862</v>
      </c>
      <c r="H5226" s="751"/>
      <c r="I5226" s="752"/>
      <c r="J5226" s="752">
        <f t="shared" si="159"/>
        <v>0</v>
      </c>
      <c r="K5226" s="533"/>
      <c r="L5226" s="533"/>
      <c r="M5226" s="533"/>
      <c r="N5226" s="533"/>
      <c r="O5226" s="533"/>
      <c r="P5226" s="533"/>
      <c r="Q5226" s="533"/>
      <c r="R5226" s="533"/>
      <c r="S5226" s="533"/>
      <c r="T5226" s="533"/>
      <c r="U5226" s="533"/>
      <c r="V5226" s="533"/>
      <c r="W5226" s="533"/>
      <c r="X5226" s="533"/>
      <c r="Y5226" s="533"/>
    </row>
    <row r="5227" spans="1:25" s="88" customFormat="1" ht="30.75" hidden="1" thickBot="1" x14ac:dyDescent="0.3">
      <c r="A5227" s="509"/>
      <c r="B5227" s="256"/>
      <c r="C5227" s="755"/>
      <c r="D5227" s="721"/>
      <c r="E5227" s="721"/>
      <c r="F5227" s="779">
        <v>551</v>
      </c>
      <c r="G5227" s="756" t="s">
        <v>4198</v>
      </c>
      <c r="H5227" s="751"/>
      <c r="I5227" s="752"/>
      <c r="J5227" s="752">
        <f t="shared" si="159"/>
        <v>0</v>
      </c>
      <c r="K5227" s="533"/>
      <c r="L5227" s="533"/>
      <c r="M5227" s="533"/>
      <c r="N5227" s="533"/>
      <c r="O5227" s="533"/>
      <c r="P5227" s="533"/>
      <c r="Q5227" s="533"/>
      <c r="R5227" s="533"/>
      <c r="S5227" s="533"/>
      <c r="T5227" s="533"/>
      <c r="U5227" s="533"/>
      <c r="V5227" s="533"/>
      <c r="W5227" s="533"/>
      <c r="X5227" s="533"/>
      <c r="Y5227" s="533"/>
    </row>
    <row r="5228" spans="1:25" s="88" customFormat="1" ht="15.75" hidden="1" thickBot="1" x14ac:dyDescent="0.3">
      <c r="A5228" s="509"/>
      <c r="B5228" s="256"/>
      <c r="C5228" s="755"/>
      <c r="D5228" s="721"/>
      <c r="E5228" s="721"/>
      <c r="F5228" s="780">
        <v>611</v>
      </c>
      <c r="G5228" s="761" t="s">
        <v>3868</v>
      </c>
      <c r="H5228" s="751"/>
      <c r="I5228" s="752"/>
      <c r="J5228" s="752">
        <f t="shared" si="159"/>
        <v>0</v>
      </c>
      <c r="K5228" s="533"/>
      <c r="L5228" s="533"/>
      <c r="M5228" s="533"/>
      <c r="N5228" s="533"/>
      <c r="O5228" s="533"/>
      <c r="P5228" s="533"/>
      <c r="Q5228" s="533"/>
      <c r="R5228" s="533"/>
      <c r="S5228" s="533"/>
      <c r="T5228" s="533"/>
      <c r="U5228" s="533"/>
      <c r="V5228" s="533"/>
      <c r="W5228" s="533"/>
      <c r="X5228" s="533"/>
      <c r="Y5228" s="533"/>
    </row>
    <row r="5229" spans="1:25" s="88" customFormat="1" ht="15.75" hidden="1" thickBot="1" x14ac:dyDescent="0.3">
      <c r="A5229" s="509"/>
      <c r="B5229" s="256"/>
      <c r="C5229" s="755"/>
      <c r="D5229" s="748"/>
      <c r="E5229" s="748"/>
      <c r="F5229" s="760">
        <v>620</v>
      </c>
      <c r="G5229" s="761" t="s">
        <v>88</v>
      </c>
      <c r="H5229" s="751"/>
      <c r="I5229" s="752"/>
      <c r="J5229" s="752">
        <f t="shared" si="159"/>
        <v>0</v>
      </c>
      <c r="K5229" s="533"/>
      <c r="L5229" s="533"/>
      <c r="M5229" s="533"/>
      <c r="N5229" s="533"/>
      <c r="O5229" s="533"/>
      <c r="P5229" s="533"/>
      <c r="Q5229" s="533"/>
      <c r="R5229" s="533"/>
      <c r="S5229" s="533"/>
      <c r="T5229" s="533"/>
      <c r="U5229" s="533"/>
      <c r="V5229" s="533"/>
      <c r="W5229" s="533"/>
      <c r="X5229" s="533"/>
      <c r="Y5229" s="533"/>
    </row>
    <row r="5230" spans="1:25" s="88" customFormat="1" x14ac:dyDescent="0.25">
      <c r="A5230" s="509"/>
      <c r="B5230" s="256"/>
      <c r="C5230" s="755"/>
      <c r="D5230" s="748"/>
      <c r="E5230" s="760"/>
      <c r="F5230" s="760"/>
      <c r="G5230" s="762" t="s">
        <v>4478</v>
      </c>
      <c r="H5230" s="763"/>
      <c r="I5230" s="764"/>
      <c r="J5230" s="765"/>
      <c r="K5230" s="533"/>
      <c r="L5230" s="533"/>
      <c r="M5230" s="533"/>
      <c r="N5230" s="533"/>
      <c r="O5230" s="533"/>
      <c r="P5230" s="533"/>
      <c r="Q5230" s="533"/>
      <c r="R5230" s="533"/>
      <c r="S5230" s="533"/>
      <c r="T5230" s="533"/>
      <c r="U5230" s="533"/>
      <c r="V5230" s="533"/>
      <c r="W5230" s="533"/>
      <c r="X5230" s="533"/>
      <c r="Y5230" s="533"/>
    </row>
    <row r="5231" spans="1:25" s="88" customFormat="1" ht="15.75" thickBot="1" x14ac:dyDescent="0.3">
      <c r="A5231" s="509"/>
      <c r="B5231" s="256"/>
      <c r="C5231" s="755"/>
      <c r="D5231" s="748"/>
      <c r="E5231" s="766"/>
      <c r="F5231" s="767" t="s">
        <v>234</v>
      </c>
      <c r="G5231" s="768" t="s">
        <v>235</v>
      </c>
      <c r="H5231" s="769">
        <f>SUM(H5170:H5229)</f>
        <v>4845000</v>
      </c>
      <c r="I5231" s="770"/>
      <c r="J5231" s="770">
        <f t="shared" ref="J5231:J5246" si="160">SUM(H5231:I5231)</f>
        <v>4845000</v>
      </c>
      <c r="K5231" s="533"/>
      <c r="L5231" s="533"/>
      <c r="M5231" s="533"/>
      <c r="N5231" s="533"/>
      <c r="O5231" s="533"/>
      <c r="P5231" s="533"/>
      <c r="Q5231" s="533"/>
      <c r="R5231" s="533"/>
      <c r="S5231" s="533"/>
      <c r="T5231" s="533"/>
      <c r="U5231" s="533"/>
      <c r="V5231" s="533"/>
      <c r="W5231" s="533"/>
      <c r="X5231" s="533"/>
      <c r="Y5231" s="533"/>
    </row>
    <row r="5232" spans="1:25" s="88" customFormat="1" ht="15.75" hidden="1" thickBot="1" x14ac:dyDescent="0.3">
      <c r="A5232" s="509"/>
      <c r="B5232" s="256"/>
      <c r="C5232" s="755"/>
      <c r="D5232" s="748"/>
      <c r="E5232" s="748"/>
      <c r="F5232" s="767" t="s">
        <v>236</v>
      </c>
      <c r="G5232" s="768" t="s">
        <v>237</v>
      </c>
      <c r="H5232" s="751"/>
      <c r="I5232" s="752"/>
      <c r="J5232" s="770">
        <f t="shared" si="160"/>
        <v>0</v>
      </c>
      <c r="K5232" s="533"/>
      <c r="L5232" s="533"/>
      <c r="M5232" s="533"/>
      <c r="N5232" s="533"/>
      <c r="O5232" s="533"/>
      <c r="P5232" s="533"/>
      <c r="Q5232" s="533"/>
      <c r="R5232" s="533"/>
      <c r="S5232" s="533"/>
      <c r="T5232" s="533"/>
      <c r="U5232" s="533"/>
      <c r="V5232" s="533"/>
      <c r="W5232" s="533"/>
      <c r="X5232" s="533"/>
      <c r="Y5232" s="533"/>
    </row>
    <row r="5233" spans="1:25" s="88" customFormat="1" ht="15.75" hidden="1" thickBot="1" x14ac:dyDescent="0.3">
      <c r="A5233" s="509"/>
      <c r="B5233" s="256"/>
      <c r="C5233" s="755"/>
      <c r="D5233" s="748"/>
      <c r="E5233" s="748"/>
      <c r="F5233" s="767" t="s">
        <v>238</v>
      </c>
      <c r="G5233" s="768" t="s">
        <v>239</v>
      </c>
      <c r="H5233" s="751"/>
      <c r="I5233" s="752"/>
      <c r="J5233" s="770">
        <f t="shared" si="160"/>
        <v>0</v>
      </c>
      <c r="K5233" s="533"/>
      <c r="L5233" s="533"/>
      <c r="M5233" s="533"/>
      <c r="N5233" s="533"/>
      <c r="O5233" s="533"/>
      <c r="P5233" s="533"/>
      <c r="Q5233" s="533"/>
      <c r="R5233" s="533"/>
      <c r="S5233" s="533"/>
      <c r="T5233" s="533"/>
      <c r="U5233" s="533"/>
      <c r="V5233" s="533"/>
      <c r="W5233" s="533"/>
      <c r="X5233" s="533"/>
      <c r="Y5233" s="533"/>
    </row>
    <row r="5234" spans="1:25" s="88" customFormat="1" ht="15.75" hidden="1" thickBot="1" x14ac:dyDescent="0.3">
      <c r="A5234" s="509"/>
      <c r="B5234" s="256"/>
      <c r="C5234" s="755"/>
      <c r="D5234" s="748"/>
      <c r="E5234" s="748"/>
      <c r="F5234" s="767" t="s">
        <v>240</v>
      </c>
      <c r="G5234" s="768" t="s">
        <v>241</v>
      </c>
      <c r="H5234" s="751"/>
      <c r="I5234" s="752"/>
      <c r="J5234" s="770">
        <f t="shared" si="160"/>
        <v>0</v>
      </c>
      <c r="K5234" s="533"/>
      <c r="L5234" s="533"/>
      <c r="M5234" s="533"/>
      <c r="N5234" s="533"/>
      <c r="O5234" s="533"/>
      <c r="P5234" s="533"/>
      <c r="Q5234" s="533"/>
      <c r="R5234" s="533"/>
      <c r="S5234" s="533"/>
      <c r="T5234" s="533"/>
      <c r="U5234" s="533"/>
      <c r="V5234" s="533"/>
      <c r="W5234" s="533"/>
      <c r="X5234" s="533"/>
      <c r="Y5234" s="533"/>
    </row>
    <row r="5235" spans="1:25" s="88" customFormat="1" ht="15.75" hidden="1" thickBot="1" x14ac:dyDescent="0.3">
      <c r="A5235" s="509"/>
      <c r="B5235" s="256"/>
      <c r="C5235" s="755"/>
      <c r="D5235" s="748"/>
      <c r="E5235" s="748"/>
      <c r="F5235" s="767" t="s">
        <v>242</v>
      </c>
      <c r="G5235" s="768" t="s">
        <v>243</v>
      </c>
      <c r="H5235" s="751"/>
      <c r="I5235" s="752"/>
      <c r="J5235" s="770">
        <f t="shared" si="160"/>
        <v>0</v>
      </c>
      <c r="K5235" s="533"/>
      <c r="L5235" s="533"/>
      <c r="M5235" s="533"/>
      <c r="N5235" s="533"/>
      <c r="O5235" s="533"/>
      <c r="P5235" s="533"/>
      <c r="Q5235" s="533"/>
      <c r="R5235" s="533"/>
      <c r="S5235" s="533"/>
      <c r="T5235" s="533"/>
      <c r="U5235" s="533"/>
      <c r="V5235" s="533"/>
      <c r="W5235" s="533"/>
      <c r="X5235" s="533"/>
      <c r="Y5235" s="533"/>
    </row>
    <row r="5236" spans="1:25" s="88" customFormat="1" ht="15.75" hidden="1" thickBot="1" x14ac:dyDescent="0.3">
      <c r="A5236" s="509"/>
      <c r="B5236" s="256"/>
      <c r="C5236" s="755"/>
      <c r="D5236" s="748"/>
      <c r="E5236" s="748"/>
      <c r="F5236" s="767" t="s">
        <v>244</v>
      </c>
      <c r="G5236" s="768" t="s">
        <v>245</v>
      </c>
      <c r="H5236" s="751"/>
      <c r="I5236" s="752"/>
      <c r="J5236" s="770">
        <f t="shared" si="160"/>
        <v>0</v>
      </c>
      <c r="K5236" s="533"/>
      <c r="L5236" s="533"/>
      <c r="M5236" s="533"/>
      <c r="N5236" s="533"/>
      <c r="O5236" s="533"/>
      <c r="P5236" s="533"/>
      <c r="Q5236" s="533"/>
      <c r="R5236" s="533"/>
      <c r="S5236" s="533"/>
      <c r="T5236" s="533"/>
      <c r="U5236" s="533"/>
      <c r="V5236" s="533"/>
      <c r="W5236" s="533"/>
      <c r="X5236" s="533"/>
      <c r="Y5236" s="533"/>
    </row>
    <row r="5237" spans="1:25" s="88" customFormat="1" ht="15.75" hidden="1" thickBot="1" x14ac:dyDescent="0.3">
      <c r="A5237" s="509"/>
      <c r="B5237" s="256"/>
      <c r="C5237" s="755"/>
      <c r="D5237" s="748"/>
      <c r="E5237" s="748"/>
      <c r="F5237" s="767" t="s">
        <v>246</v>
      </c>
      <c r="G5237" s="768" t="s">
        <v>247</v>
      </c>
      <c r="H5237" s="751"/>
      <c r="I5237" s="752"/>
      <c r="J5237" s="770">
        <f t="shared" si="160"/>
        <v>0</v>
      </c>
      <c r="K5237" s="533"/>
      <c r="L5237" s="533"/>
      <c r="M5237" s="533"/>
      <c r="N5237" s="533"/>
      <c r="O5237" s="533"/>
      <c r="P5237" s="533"/>
      <c r="Q5237" s="533"/>
      <c r="R5237" s="533"/>
      <c r="S5237" s="533"/>
      <c r="T5237" s="533"/>
      <c r="U5237" s="533"/>
      <c r="V5237" s="533"/>
      <c r="W5237" s="533"/>
      <c r="X5237" s="533"/>
      <c r="Y5237" s="533"/>
    </row>
    <row r="5238" spans="1:25" s="88" customFormat="1" ht="15.75" hidden="1" thickBot="1" x14ac:dyDescent="0.3">
      <c r="A5238" s="509"/>
      <c r="B5238" s="256"/>
      <c r="C5238" s="755"/>
      <c r="D5238" s="748"/>
      <c r="E5238" s="748"/>
      <c r="F5238" s="767" t="s">
        <v>248</v>
      </c>
      <c r="G5238" s="768" t="s">
        <v>249</v>
      </c>
      <c r="H5238" s="751"/>
      <c r="I5238" s="752"/>
      <c r="J5238" s="770">
        <f t="shared" si="160"/>
        <v>0</v>
      </c>
      <c r="K5238" s="533"/>
      <c r="L5238" s="533"/>
      <c r="M5238" s="533"/>
      <c r="N5238" s="533"/>
      <c r="O5238" s="533"/>
      <c r="P5238" s="533"/>
      <c r="Q5238" s="533"/>
      <c r="R5238" s="533"/>
      <c r="S5238" s="533"/>
      <c r="T5238" s="533"/>
      <c r="U5238" s="533"/>
      <c r="V5238" s="533"/>
      <c r="W5238" s="533"/>
      <c r="X5238" s="533"/>
      <c r="Y5238" s="533"/>
    </row>
    <row r="5239" spans="1:25" s="88" customFormat="1" ht="15.75" hidden="1" thickBot="1" x14ac:dyDescent="0.3">
      <c r="A5239" s="509"/>
      <c r="B5239" s="256"/>
      <c r="C5239" s="755"/>
      <c r="D5239" s="748"/>
      <c r="E5239" s="748"/>
      <c r="F5239" s="767" t="s">
        <v>250</v>
      </c>
      <c r="G5239" s="768" t="s">
        <v>57</v>
      </c>
      <c r="H5239" s="751"/>
      <c r="I5239" s="752"/>
      <c r="J5239" s="770">
        <f t="shared" si="160"/>
        <v>0</v>
      </c>
      <c r="K5239" s="533"/>
      <c r="L5239" s="533"/>
      <c r="M5239" s="533"/>
      <c r="N5239" s="533"/>
      <c r="O5239" s="533"/>
      <c r="P5239" s="533"/>
      <c r="Q5239" s="533"/>
      <c r="R5239" s="533"/>
      <c r="S5239" s="533"/>
      <c r="T5239" s="533"/>
      <c r="U5239" s="533"/>
      <c r="V5239" s="533"/>
      <c r="W5239" s="533"/>
      <c r="X5239" s="533"/>
      <c r="Y5239" s="533"/>
    </row>
    <row r="5240" spans="1:25" s="88" customFormat="1" ht="15.75" hidden="1" thickBot="1" x14ac:dyDescent="0.3">
      <c r="A5240" s="509"/>
      <c r="B5240" s="256"/>
      <c r="C5240" s="755"/>
      <c r="D5240" s="748"/>
      <c r="E5240" s="748"/>
      <c r="F5240" s="767" t="s">
        <v>251</v>
      </c>
      <c r="G5240" s="768" t="s">
        <v>252</v>
      </c>
      <c r="H5240" s="751"/>
      <c r="I5240" s="752"/>
      <c r="J5240" s="770">
        <f t="shared" si="160"/>
        <v>0</v>
      </c>
      <c r="K5240" s="533"/>
      <c r="L5240" s="533"/>
      <c r="M5240" s="533"/>
      <c r="N5240" s="533"/>
      <c r="O5240" s="533"/>
      <c r="P5240" s="533"/>
      <c r="Q5240" s="533"/>
      <c r="R5240" s="533"/>
      <c r="S5240" s="533"/>
      <c r="T5240" s="533"/>
      <c r="U5240" s="533"/>
      <c r="V5240" s="533"/>
      <c r="W5240" s="533"/>
      <c r="X5240" s="533"/>
      <c r="Y5240" s="533"/>
    </row>
    <row r="5241" spans="1:25" s="88" customFormat="1" ht="15.75" hidden="1" thickBot="1" x14ac:dyDescent="0.3">
      <c r="A5241" s="509"/>
      <c r="B5241" s="256"/>
      <c r="C5241" s="755"/>
      <c r="D5241" s="748"/>
      <c r="E5241" s="748"/>
      <c r="F5241" s="767" t="s">
        <v>253</v>
      </c>
      <c r="G5241" s="768" t="s">
        <v>254</v>
      </c>
      <c r="H5241" s="751"/>
      <c r="I5241" s="752"/>
      <c r="J5241" s="770">
        <f t="shared" si="160"/>
        <v>0</v>
      </c>
      <c r="K5241" s="533"/>
      <c r="L5241" s="533"/>
      <c r="M5241" s="533"/>
      <c r="N5241" s="533"/>
      <c r="O5241" s="533"/>
      <c r="P5241" s="533"/>
      <c r="Q5241" s="533"/>
      <c r="R5241" s="533"/>
      <c r="S5241" s="533"/>
      <c r="T5241" s="533"/>
      <c r="U5241" s="533"/>
      <c r="V5241" s="533"/>
      <c r="W5241" s="533"/>
      <c r="X5241" s="533"/>
      <c r="Y5241" s="533"/>
    </row>
    <row r="5242" spans="1:25" s="88" customFormat="1" ht="30.75" hidden="1" thickBot="1" x14ac:dyDescent="0.3">
      <c r="A5242" s="509"/>
      <c r="B5242" s="256"/>
      <c r="C5242" s="755"/>
      <c r="D5242" s="748"/>
      <c r="E5242" s="748"/>
      <c r="F5242" s="767" t="s">
        <v>255</v>
      </c>
      <c r="G5242" s="768" t="s">
        <v>256</v>
      </c>
      <c r="H5242" s="751"/>
      <c r="I5242" s="752"/>
      <c r="J5242" s="770">
        <f t="shared" si="160"/>
        <v>0</v>
      </c>
      <c r="K5242" s="533"/>
      <c r="L5242" s="533"/>
      <c r="M5242" s="533"/>
      <c r="N5242" s="533"/>
      <c r="O5242" s="533"/>
      <c r="P5242" s="533"/>
      <c r="Q5242" s="533"/>
      <c r="R5242" s="533"/>
      <c r="S5242" s="533"/>
      <c r="T5242" s="533"/>
      <c r="U5242" s="533"/>
      <c r="V5242" s="533"/>
      <c r="W5242" s="533"/>
      <c r="X5242" s="533"/>
      <c r="Y5242" s="533"/>
    </row>
    <row r="5243" spans="1:25" s="88" customFormat="1" ht="15.75" hidden="1" thickBot="1" x14ac:dyDescent="0.3">
      <c r="A5243" s="509"/>
      <c r="B5243" s="256"/>
      <c r="C5243" s="755"/>
      <c r="D5243" s="748"/>
      <c r="E5243" s="748"/>
      <c r="F5243" s="767" t="s">
        <v>257</v>
      </c>
      <c r="G5243" s="768" t="s">
        <v>258</v>
      </c>
      <c r="H5243" s="751"/>
      <c r="I5243" s="752"/>
      <c r="J5243" s="770">
        <f t="shared" si="160"/>
        <v>0</v>
      </c>
      <c r="K5243" s="533"/>
      <c r="L5243" s="533"/>
      <c r="M5243" s="533"/>
      <c r="N5243" s="533"/>
      <c r="O5243" s="533"/>
      <c r="P5243" s="533"/>
      <c r="Q5243" s="533"/>
      <c r="R5243" s="533"/>
      <c r="S5243" s="533"/>
      <c r="T5243" s="533"/>
      <c r="U5243" s="533"/>
      <c r="V5243" s="533"/>
      <c r="W5243" s="533"/>
      <c r="X5243" s="533"/>
      <c r="Y5243" s="533"/>
    </row>
    <row r="5244" spans="1:25" s="88" customFormat="1" ht="30.75" hidden="1" thickBot="1" x14ac:dyDescent="0.3">
      <c r="A5244" s="509"/>
      <c r="B5244" s="256"/>
      <c r="C5244" s="755"/>
      <c r="D5244" s="748"/>
      <c r="E5244" s="748"/>
      <c r="F5244" s="767" t="s">
        <v>259</v>
      </c>
      <c r="G5244" s="768" t="s">
        <v>260</v>
      </c>
      <c r="H5244" s="751"/>
      <c r="I5244" s="752"/>
      <c r="J5244" s="770">
        <f t="shared" si="160"/>
        <v>0</v>
      </c>
      <c r="K5244" s="533"/>
      <c r="L5244" s="533"/>
      <c r="M5244" s="533"/>
      <c r="N5244" s="533"/>
      <c r="O5244" s="533"/>
      <c r="P5244" s="533"/>
      <c r="Q5244" s="533"/>
      <c r="R5244" s="533"/>
      <c r="S5244" s="533"/>
      <c r="T5244" s="533"/>
      <c r="U5244" s="533"/>
      <c r="V5244" s="533"/>
      <c r="W5244" s="533"/>
      <c r="X5244" s="533"/>
      <c r="Y5244" s="533"/>
    </row>
    <row r="5245" spans="1:25" s="88" customFormat="1" ht="15.75" hidden="1" thickBot="1" x14ac:dyDescent="0.3">
      <c r="A5245" s="509"/>
      <c r="B5245" s="256"/>
      <c r="C5245" s="755"/>
      <c r="D5245" s="748"/>
      <c r="E5245" s="748"/>
      <c r="F5245" s="767" t="s">
        <v>261</v>
      </c>
      <c r="G5245" s="768" t="s">
        <v>262</v>
      </c>
      <c r="H5245" s="751"/>
      <c r="I5245" s="752"/>
      <c r="J5245" s="770">
        <f t="shared" si="160"/>
        <v>0</v>
      </c>
      <c r="K5245" s="533"/>
      <c r="L5245" s="533"/>
      <c r="M5245" s="533"/>
      <c r="N5245" s="533"/>
      <c r="O5245" s="533"/>
      <c r="P5245" s="533"/>
      <c r="Q5245" s="533"/>
      <c r="R5245" s="533"/>
      <c r="S5245" s="533"/>
      <c r="T5245" s="533"/>
      <c r="U5245" s="533"/>
      <c r="V5245" s="533"/>
      <c r="W5245" s="533"/>
      <c r="X5245" s="533"/>
      <c r="Y5245" s="533"/>
    </row>
    <row r="5246" spans="1:25" s="88" customFormat="1" ht="15.75" hidden="1" thickBot="1" x14ac:dyDescent="0.3">
      <c r="A5246" s="509"/>
      <c r="B5246" s="256"/>
      <c r="C5246" s="755"/>
      <c r="D5246" s="748"/>
      <c r="E5246" s="748"/>
      <c r="F5246" s="767" t="s">
        <v>263</v>
      </c>
      <c r="G5246" s="768" t="s">
        <v>264</v>
      </c>
      <c r="H5246" s="769"/>
      <c r="I5246" s="770"/>
      <c r="J5246" s="770">
        <f t="shared" si="160"/>
        <v>0</v>
      </c>
      <c r="K5246" s="533"/>
      <c r="L5246" s="533"/>
      <c r="M5246" s="533"/>
      <c r="N5246" s="533"/>
      <c r="O5246" s="533"/>
      <c r="P5246" s="533"/>
      <c r="Q5246" s="533"/>
      <c r="R5246" s="533"/>
      <c r="S5246" s="533"/>
      <c r="T5246" s="533"/>
      <c r="U5246" s="533"/>
      <c r="V5246" s="533"/>
      <c r="W5246" s="533"/>
      <c r="X5246" s="533"/>
      <c r="Y5246" s="533"/>
    </row>
    <row r="5247" spans="1:25" s="88" customFormat="1" ht="15.75" thickBot="1" x14ac:dyDescent="0.3">
      <c r="A5247" s="509"/>
      <c r="B5247" s="256"/>
      <c r="C5247" s="755"/>
      <c r="D5247" s="748"/>
      <c r="E5247" s="748"/>
      <c r="F5247" s="748"/>
      <c r="G5247" s="771" t="s">
        <v>4479</v>
      </c>
      <c r="H5247" s="772">
        <f>SUM(H5231:H5246)</f>
        <v>4845000</v>
      </c>
      <c r="I5247" s="773">
        <f>SUM(I5232:I5246)</f>
        <v>0</v>
      </c>
      <c r="J5247" s="773">
        <f>SUM(J5231:J5246)</f>
        <v>4845000</v>
      </c>
      <c r="K5247" s="533"/>
      <c r="L5247" s="533"/>
      <c r="M5247" s="533"/>
      <c r="N5247" s="533"/>
      <c r="O5247" s="533"/>
      <c r="P5247" s="533"/>
      <c r="Q5247" s="533"/>
      <c r="R5247" s="533"/>
      <c r="S5247" s="533"/>
      <c r="T5247" s="533"/>
      <c r="U5247" s="533"/>
      <c r="V5247" s="533"/>
      <c r="W5247" s="533"/>
      <c r="X5247" s="533"/>
      <c r="Y5247" s="533"/>
    </row>
    <row r="5248" spans="1:25" s="88" customFormat="1" ht="20.25" customHeight="1" x14ac:dyDescent="0.25">
      <c r="A5248" s="509"/>
      <c r="B5248" s="256"/>
      <c r="C5248" s="755"/>
      <c r="D5248" s="748"/>
      <c r="E5248" s="760"/>
      <c r="F5248" s="760"/>
      <c r="G5248" s="774" t="s">
        <v>4488</v>
      </c>
      <c r="H5248" s="775"/>
      <c r="I5248" s="776"/>
      <c r="J5248" s="777"/>
      <c r="K5248" s="533"/>
      <c r="L5248" s="533"/>
      <c r="M5248" s="533"/>
      <c r="N5248" s="533"/>
      <c r="O5248" s="533"/>
      <c r="P5248" s="533"/>
      <c r="Q5248" s="533"/>
      <c r="R5248" s="533"/>
      <c r="S5248" s="533"/>
      <c r="T5248" s="533"/>
      <c r="U5248" s="533"/>
      <c r="V5248" s="533"/>
      <c r="W5248" s="533"/>
      <c r="X5248" s="533"/>
      <c r="Y5248" s="533"/>
    </row>
    <row r="5249" spans="1:25" s="88" customFormat="1" ht="15.75" thickBot="1" x14ac:dyDescent="0.3">
      <c r="A5249" s="509"/>
      <c r="B5249" s="256"/>
      <c r="C5249" s="755"/>
      <c r="D5249" s="748"/>
      <c r="E5249" s="766"/>
      <c r="F5249" s="767" t="s">
        <v>234</v>
      </c>
      <c r="G5249" s="768" t="s">
        <v>235</v>
      </c>
      <c r="H5249" s="769">
        <f>SUM(H5170:H5229)</f>
        <v>4845000</v>
      </c>
      <c r="I5249" s="770"/>
      <c r="J5249" s="770">
        <f t="shared" ref="J5249:J5264" si="161">SUM(H5249:I5249)</f>
        <v>4845000</v>
      </c>
      <c r="K5249" s="533"/>
      <c r="L5249" s="533"/>
      <c r="M5249" s="533"/>
      <c r="N5249" s="533"/>
      <c r="O5249" s="533"/>
      <c r="P5249" s="533"/>
      <c r="Q5249" s="533"/>
      <c r="R5249" s="533"/>
      <c r="S5249" s="533"/>
      <c r="T5249" s="533"/>
      <c r="U5249" s="533"/>
      <c r="V5249" s="533"/>
      <c r="W5249" s="533"/>
      <c r="X5249" s="533"/>
      <c r="Y5249" s="533"/>
    </row>
    <row r="5250" spans="1:25" s="88" customFormat="1" ht="15.75" hidden="1" thickBot="1" x14ac:dyDescent="0.3">
      <c r="A5250" s="509"/>
      <c r="B5250" s="256"/>
      <c r="C5250" s="755"/>
      <c r="D5250" s="748"/>
      <c r="E5250" s="748"/>
      <c r="F5250" s="767" t="s">
        <v>236</v>
      </c>
      <c r="G5250" s="768" t="s">
        <v>237</v>
      </c>
      <c r="H5250" s="751"/>
      <c r="I5250" s="752"/>
      <c r="J5250" s="770">
        <f t="shared" si="161"/>
        <v>0</v>
      </c>
      <c r="K5250" s="533"/>
      <c r="L5250" s="533"/>
      <c r="M5250" s="533"/>
      <c r="N5250" s="533"/>
      <c r="O5250" s="533"/>
      <c r="P5250" s="533"/>
      <c r="Q5250" s="533"/>
      <c r="R5250" s="533"/>
      <c r="S5250" s="533"/>
      <c r="T5250" s="533"/>
      <c r="U5250" s="533"/>
      <c r="V5250" s="533"/>
      <c r="W5250" s="533"/>
      <c r="X5250" s="533"/>
      <c r="Y5250" s="533"/>
    </row>
    <row r="5251" spans="1:25" s="88" customFormat="1" ht="15.75" hidden="1" thickBot="1" x14ac:dyDescent="0.3">
      <c r="A5251" s="509"/>
      <c r="B5251" s="256"/>
      <c r="C5251" s="755"/>
      <c r="D5251" s="748"/>
      <c r="E5251" s="748"/>
      <c r="F5251" s="767" t="s">
        <v>238</v>
      </c>
      <c r="G5251" s="768" t="s">
        <v>239</v>
      </c>
      <c r="H5251" s="751"/>
      <c r="I5251" s="752"/>
      <c r="J5251" s="770">
        <f t="shared" si="161"/>
        <v>0</v>
      </c>
      <c r="K5251" s="533"/>
      <c r="L5251" s="533"/>
      <c r="M5251" s="533"/>
      <c r="N5251" s="533"/>
      <c r="O5251" s="533"/>
      <c r="P5251" s="533"/>
      <c r="Q5251" s="533"/>
      <c r="R5251" s="533"/>
      <c r="S5251" s="533"/>
      <c r="T5251" s="533"/>
      <c r="U5251" s="533"/>
      <c r="V5251" s="533"/>
      <c r="W5251" s="533"/>
      <c r="X5251" s="533"/>
      <c r="Y5251" s="533"/>
    </row>
    <row r="5252" spans="1:25" s="88" customFormat="1" ht="15.75" hidden="1" thickBot="1" x14ac:dyDescent="0.3">
      <c r="A5252" s="509"/>
      <c r="B5252" s="256"/>
      <c r="C5252" s="755"/>
      <c r="D5252" s="748"/>
      <c r="E5252" s="748"/>
      <c r="F5252" s="767" t="s">
        <v>240</v>
      </c>
      <c r="G5252" s="768" t="s">
        <v>241</v>
      </c>
      <c r="H5252" s="751"/>
      <c r="I5252" s="752"/>
      <c r="J5252" s="770">
        <f t="shared" si="161"/>
        <v>0</v>
      </c>
      <c r="K5252" s="533"/>
      <c r="L5252" s="533"/>
      <c r="M5252" s="533"/>
      <c r="N5252" s="533"/>
      <c r="O5252" s="533"/>
      <c r="P5252" s="533"/>
      <c r="Q5252" s="533"/>
      <c r="R5252" s="533"/>
      <c r="S5252" s="533"/>
      <c r="T5252" s="533"/>
      <c r="U5252" s="533"/>
      <c r="V5252" s="533"/>
      <c r="W5252" s="533"/>
      <c r="X5252" s="533"/>
      <c r="Y5252" s="533"/>
    </row>
    <row r="5253" spans="1:25" s="88" customFormat="1" ht="15.75" hidden="1" thickBot="1" x14ac:dyDescent="0.3">
      <c r="A5253" s="509"/>
      <c r="B5253" s="256"/>
      <c r="C5253" s="755"/>
      <c r="D5253" s="748"/>
      <c r="E5253" s="748"/>
      <c r="F5253" s="767" t="s">
        <v>242</v>
      </c>
      <c r="G5253" s="768" t="s">
        <v>243</v>
      </c>
      <c r="H5253" s="751"/>
      <c r="I5253" s="752"/>
      <c r="J5253" s="770">
        <f t="shared" si="161"/>
        <v>0</v>
      </c>
      <c r="K5253" s="533"/>
      <c r="L5253" s="533"/>
      <c r="M5253" s="533"/>
      <c r="N5253" s="533"/>
      <c r="O5253" s="533"/>
      <c r="P5253" s="533"/>
      <c r="Q5253" s="533"/>
      <c r="R5253" s="533"/>
      <c r="S5253" s="533"/>
      <c r="T5253" s="533"/>
      <c r="U5253" s="533"/>
      <c r="V5253" s="533"/>
      <c r="W5253" s="533"/>
      <c r="X5253" s="533"/>
      <c r="Y5253" s="533"/>
    </row>
    <row r="5254" spans="1:25" s="88" customFormat="1" ht="15.75" hidden="1" thickBot="1" x14ac:dyDescent="0.3">
      <c r="A5254" s="509"/>
      <c r="B5254" s="256"/>
      <c r="C5254" s="755"/>
      <c r="D5254" s="748"/>
      <c r="E5254" s="748"/>
      <c r="F5254" s="767" t="s">
        <v>244</v>
      </c>
      <c r="G5254" s="768" t="s">
        <v>245</v>
      </c>
      <c r="H5254" s="751"/>
      <c r="I5254" s="752"/>
      <c r="J5254" s="770">
        <f t="shared" si="161"/>
        <v>0</v>
      </c>
      <c r="K5254" s="533"/>
      <c r="L5254" s="533"/>
      <c r="M5254" s="533"/>
      <c r="N5254" s="533"/>
      <c r="O5254" s="533"/>
      <c r="P5254" s="533"/>
      <c r="Q5254" s="533"/>
      <c r="R5254" s="533"/>
      <c r="S5254" s="533"/>
      <c r="T5254" s="533"/>
      <c r="U5254" s="533"/>
      <c r="V5254" s="533"/>
      <c r="W5254" s="533"/>
      <c r="X5254" s="533"/>
      <c r="Y5254" s="533"/>
    </row>
    <row r="5255" spans="1:25" s="88" customFormat="1" ht="15.75" hidden="1" thickBot="1" x14ac:dyDescent="0.3">
      <c r="A5255" s="509"/>
      <c r="B5255" s="256"/>
      <c r="C5255" s="755"/>
      <c r="D5255" s="748"/>
      <c r="E5255" s="748"/>
      <c r="F5255" s="767" t="s">
        <v>246</v>
      </c>
      <c r="G5255" s="768" t="s">
        <v>247</v>
      </c>
      <c r="H5255" s="751"/>
      <c r="I5255" s="752"/>
      <c r="J5255" s="770">
        <f t="shared" si="161"/>
        <v>0</v>
      </c>
      <c r="K5255" s="533"/>
      <c r="L5255" s="533"/>
      <c r="M5255" s="533"/>
      <c r="N5255" s="533"/>
      <c r="O5255" s="533"/>
      <c r="P5255" s="533"/>
      <c r="Q5255" s="533"/>
      <c r="R5255" s="533"/>
      <c r="S5255" s="533"/>
      <c r="T5255" s="533"/>
      <c r="U5255" s="533"/>
      <c r="V5255" s="533"/>
      <c r="W5255" s="533"/>
      <c r="X5255" s="533"/>
      <c r="Y5255" s="533"/>
    </row>
    <row r="5256" spans="1:25" s="88" customFormat="1" ht="15.75" hidden="1" thickBot="1" x14ac:dyDescent="0.3">
      <c r="A5256" s="509"/>
      <c r="B5256" s="256"/>
      <c r="C5256" s="755"/>
      <c r="D5256" s="748"/>
      <c r="E5256" s="748"/>
      <c r="F5256" s="767" t="s">
        <v>248</v>
      </c>
      <c r="G5256" s="768" t="s">
        <v>249</v>
      </c>
      <c r="H5256" s="751"/>
      <c r="I5256" s="752"/>
      <c r="J5256" s="770">
        <f t="shared" si="161"/>
        <v>0</v>
      </c>
      <c r="K5256" s="533"/>
      <c r="L5256" s="533"/>
      <c r="M5256" s="533"/>
      <c r="N5256" s="533"/>
      <c r="O5256" s="533"/>
      <c r="P5256" s="533"/>
      <c r="Q5256" s="533"/>
      <c r="R5256" s="533"/>
      <c r="S5256" s="533"/>
      <c r="T5256" s="533"/>
      <c r="U5256" s="533"/>
      <c r="V5256" s="533"/>
      <c r="W5256" s="533"/>
      <c r="X5256" s="533"/>
      <c r="Y5256" s="533"/>
    </row>
    <row r="5257" spans="1:25" s="88" customFormat="1" ht="15.75" hidden="1" thickBot="1" x14ac:dyDescent="0.3">
      <c r="A5257" s="509"/>
      <c r="B5257" s="256"/>
      <c r="C5257" s="755"/>
      <c r="D5257" s="748"/>
      <c r="E5257" s="748"/>
      <c r="F5257" s="767" t="s">
        <v>250</v>
      </c>
      <c r="G5257" s="768" t="s">
        <v>57</v>
      </c>
      <c r="H5257" s="751"/>
      <c r="I5257" s="752"/>
      <c r="J5257" s="770">
        <f t="shared" si="161"/>
        <v>0</v>
      </c>
      <c r="K5257" s="533"/>
      <c r="L5257" s="533"/>
      <c r="M5257" s="533"/>
      <c r="N5257" s="533"/>
      <c r="O5257" s="533"/>
      <c r="P5257" s="533"/>
      <c r="Q5257" s="533"/>
      <c r="R5257" s="533"/>
      <c r="S5257" s="533"/>
      <c r="T5257" s="533"/>
      <c r="U5257" s="533"/>
      <c r="V5257" s="533"/>
      <c r="W5257" s="533"/>
      <c r="X5257" s="533"/>
      <c r="Y5257" s="533"/>
    </row>
    <row r="5258" spans="1:25" s="88" customFormat="1" ht="15.75" hidden="1" thickBot="1" x14ac:dyDescent="0.3">
      <c r="A5258" s="509"/>
      <c r="B5258" s="256"/>
      <c r="C5258" s="755"/>
      <c r="D5258" s="748"/>
      <c r="E5258" s="748"/>
      <c r="F5258" s="767" t="s">
        <v>251</v>
      </c>
      <c r="G5258" s="768" t="s">
        <v>252</v>
      </c>
      <c r="H5258" s="751"/>
      <c r="I5258" s="752"/>
      <c r="J5258" s="770">
        <f t="shared" si="161"/>
        <v>0</v>
      </c>
      <c r="K5258" s="533"/>
      <c r="L5258" s="533"/>
      <c r="M5258" s="533"/>
      <c r="N5258" s="533"/>
      <c r="O5258" s="533"/>
      <c r="P5258" s="533"/>
      <c r="Q5258" s="533"/>
      <c r="R5258" s="533"/>
      <c r="S5258" s="533"/>
      <c r="T5258" s="533"/>
      <c r="U5258" s="533"/>
      <c r="V5258" s="533"/>
      <c r="W5258" s="533"/>
      <c r="X5258" s="533"/>
      <c r="Y5258" s="533"/>
    </row>
    <row r="5259" spans="1:25" s="88" customFormat="1" ht="15.75" hidden="1" thickBot="1" x14ac:dyDescent="0.3">
      <c r="A5259" s="509"/>
      <c r="B5259" s="256"/>
      <c r="C5259" s="755"/>
      <c r="D5259" s="748"/>
      <c r="E5259" s="748"/>
      <c r="F5259" s="767" t="s">
        <v>253</v>
      </c>
      <c r="G5259" s="768" t="s">
        <v>254</v>
      </c>
      <c r="H5259" s="751"/>
      <c r="I5259" s="752"/>
      <c r="J5259" s="770">
        <f t="shared" si="161"/>
        <v>0</v>
      </c>
      <c r="K5259" s="533"/>
      <c r="L5259" s="533"/>
      <c r="M5259" s="533"/>
      <c r="N5259" s="533"/>
      <c r="O5259" s="533"/>
      <c r="P5259" s="533"/>
      <c r="Q5259" s="533"/>
      <c r="R5259" s="533"/>
      <c r="S5259" s="533"/>
      <c r="T5259" s="533"/>
      <c r="U5259" s="533"/>
      <c r="V5259" s="533"/>
      <c r="W5259" s="533"/>
      <c r="X5259" s="533"/>
      <c r="Y5259" s="533"/>
    </row>
    <row r="5260" spans="1:25" s="88" customFormat="1" ht="30.75" hidden="1" thickBot="1" x14ac:dyDescent="0.3">
      <c r="A5260" s="509"/>
      <c r="B5260" s="256"/>
      <c r="C5260" s="755"/>
      <c r="D5260" s="748"/>
      <c r="E5260" s="748"/>
      <c r="F5260" s="767" t="s">
        <v>255</v>
      </c>
      <c r="G5260" s="768" t="s">
        <v>256</v>
      </c>
      <c r="H5260" s="751"/>
      <c r="I5260" s="752"/>
      <c r="J5260" s="770">
        <f t="shared" si="161"/>
        <v>0</v>
      </c>
      <c r="K5260" s="533"/>
      <c r="L5260" s="533"/>
      <c r="M5260" s="533"/>
      <c r="N5260" s="533"/>
      <c r="O5260" s="533"/>
      <c r="P5260" s="533"/>
      <c r="Q5260" s="533"/>
      <c r="R5260" s="533"/>
      <c r="S5260" s="533"/>
      <c r="T5260" s="533"/>
      <c r="U5260" s="533"/>
      <c r="V5260" s="533"/>
      <c r="W5260" s="533"/>
      <c r="X5260" s="533"/>
      <c r="Y5260" s="533"/>
    </row>
    <row r="5261" spans="1:25" s="88" customFormat="1" ht="15.75" hidden="1" thickBot="1" x14ac:dyDescent="0.3">
      <c r="A5261" s="509"/>
      <c r="B5261" s="256"/>
      <c r="C5261" s="755"/>
      <c r="D5261" s="748"/>
      <c r="E5261" s="748"/>
      <c r="F5261" s="767" t="s">
        <v>257</v>
      </c>
      <c r="G5261" s="768" t="s">
        <v>258</v>
      </c>
      <c r="H5261" s="751"/>
      <c r="I5261" s="752"/>
      <c r="J5261" s="770">
        <f t="shared" si="161"/>
        <v>0</v>
      </c>
      <c r="K5261" s="533"/>
      <c r="L5261" s="533"/>
      <c r="M5261" s="533"/>
      <c r="N5261" s="533"/>
      <c r="O5261" s="533"/>
      <c r="P5261" s="533"/>
      <c r="Q5261" s="533"/>
      <c r="R5261" s="533"/>
      <c r="S5261" s="533"/>
      <c r="T5261" s="533"/>
      <c r="U5261" s="533"/>
      <c r="V5261" s="533"/>
      <c r="W5261" s="533"/>
      <c r="X5261" s="533"/>
      <c r="Y5261" s="533"/>
    </row>
    <row r="5262" spans="1:25" s="88" customFormat="1" ht="30.75" hidden="1" thickBot="1" x14ac:dyDescent="0.3">
      <c r="A5262" s="509"/>
      <c r="B5262" s="256"/>
      <c r="C5262" s="755"/>
      <c r="D5262" s="748"/>
      <c r="E5262" s="748"/>
      <c r="F5262" s="767" t="s">
        <v>259</v>
      </c>
      <c r="G5262" s="768" t="s">
        <v>260</v>
      </c>
      <c r="H5262" s="751"/>
      <c r="I5262" s="752"/>
      <c r="J5262" s="770">
        <f t="shared" si="161"/>
        <v>0</v>
      </c>
      <c r="K5262" s="533"/>
      <c r="L5262" s="533"/>
      <c r="M5262" s="533"/>
      <c r="N5262" s="533"/>
      <c r="O5262" s="533"/>
      <c r="P5262" s="533"/>
      <c r="Q5262" s="533"/>
      <c r="R5262" s="533"/>
      <c r="S5262" s="533"/>
      <c r="T5262" s="533"/>
      <c r="U5262" s="533"/>
      <c r="V5262" s="533"/>
      <c r="W5262" s="533"/>
      <c r="X5262" s="533"/>
      <c r="Y5262" s="533"/>
    </row>
    <row r="5263" spans="1:25" s="88" customFormat="1" ht="15.75" hidden="1" thickBot="1" x14ac:dyDescent="0.3">
      <c r="A5263" s="509"/>
      <c r="B5263" s="256"/>
      <c r="C5263" s="755"/>
      <c r="D5263" s="748"/>
      <c r="E5263" s="748"/>
      <c r="F5263" s="767" t="s">
        <v>261</v>
      </c>
      <c r="G5263" s="768" t="s">
        <v>262</v>
      </c>
      <c r="H5263" s="751"/>
      <c r="I5263" s="752"/>
      <c r="J5263" s="770">
        <f t="shared" si="161"/>
        <v>0</v>
      </c>
      <c r="K5263" s="533"/>
      <c r="L5263" s="533"/>
      <c r="M5263" s="533"/>
      <c r="N5263" s="533"/>
      <c r="O5263" s="533"/>
      <c r="P5263" s="533"/>
      <c r="Q5263" s="533"/>
      <c r="R5263" s="533"/>
      <c r="S5263" s="533"/>
      <c r="T5263" s="533"/>
      <c r="U5263" s="533"/>
      <c r="V5263" s="533"/>
      <c r="W5263" s="533"/>
      <c r="X5263" s="533"/>
      <c r="Y5263" s="533"/>
    </row>
    <row r="5264" spans="1:25" s="88" customFormat="1" ht="15.75" hidden="1" thickBot="1" x14ac:dyDescent="0.3">
      <c r="A5264" s="509"/>
      <c r="B5264" s="256"/>
      <c r="C5264" s="755"/>
      <c r="D5264" s="748"/>
      <c r="E5264" s="748"/>
      <c r="F5264" s="767" t="s">
        <v>263</v>
      </c>
      <c r="G5264" s="768" t="s">
        <v>264</v>
      </c>
      <c r="H5264" s="769"/>
      <c r="I5264" s="770"/>
      <c r="J5264" s="770">
        <f t="shared" si="161"/>
        <v>0</v>
      </c>
      <c r="K5264" s="533"/>
      <c r="L5264" s="533"/>
      <c r="M5264" s="533"/>
      <c r="N5264" s="533"/>
      <c r="O5264" s="533"/>
      <c r="P5264" s="533"/>
      <c r="Q5264" s="533"/>
      <c r="R5264" s="533"/>
      <c r="S5264" s="533"/>
      <c r="T5264" s="533"/>
      <c r="U5264" s="533"/>
      <c r="V5264" s="533"/>
      <c r="W5264" s="533"/>
      <c r="X5264" s="533"/>
      <c r="Y5264" s="533"/>
    </row>
    <row r="5265" spans="1:25" s="88" customFormat="1" ht="15.75" thickBot="1" x14ac:dyDescent="0.3">
      <c r="A5265" s="509"/>
      <c r="B5265" s="256"/>
      <c r="C5265" s="755"/>
      <c r="D5265" s="748"/>
      <c r="E5265" s="748"/>
      <c r="F5265" s="748"/>
      <c r="G5265" s="771" t="s">
        <v>4489</v>
      </c>
      <c r="H5265" s="772">
        <f>SUM(H5249:H5264)</f>
        <v>4845000</v>
      </c>
      <c r="I5265" s="773">
        <f>SUM(I5250:I5264)</f>
        <v>0</v>
      </c>
      <c r="J5265" s="773">
        <f>SUM(J5249:J5264)</f>
        <v>4845000</v>
      </c>
      <c r="K5265" s="533"/>
      <c r="L5265" s="533"/>
      <c r="M5265" s="533"/>
      <c r="N5265" s="533"/>
      <c r="O5265" s="533"/>
      <c r="P5265" s="533"/>
      <c r="Q5265" s="533"/>
      <c r="R5265" s="533"/>
      <c r="S5265" s="533"/>
      <c r="T5265" s="533"/>
      <c r="U5265" s="533"/>
      <c r="V5265" s="533"/>
      <c r="W5265" s="533"/>
      <c r="X5265" s="533"/>
      <c r="Y5265" s="533"/>
    </row>
    <row r="5266" spans="1:25" s="88" customFormat="1" hidden="1" x14ac:dyDescent="0.25">
      <c r="A5266" s="509"/>
      <c r="B5266" s="256"/>
      <c r="C5266" s="755"/>
      <c r="D5266" s="748"/>
      <c r="E5266" s="748"/>
      <c r="F5266" s="748"/>
      <c r="G5266" s="788"/>
      <c r="H5266" s="789"/>
      <c r="I5266" s="790"/>
      <c r="J5266" s="790"/>
      <c r="K5266" s="533"/>
      <c r="L5266" s="533"/>
      <c r="M5266" s="533"/>
      <c r="N5266" s="533"/>
      <c r="O5266" s="533"/>
      <c r="P5266" s="533"/>
      <c r="Q5266" s="533"/>
      <c r="R5266" s="533"/>
      <c r="S5266" s="533"/>
      <c r="T5266" s="533"/>
      <c r="U5266" s="533"/>
      <c r="V5266" s="533"/>
      <c r="W5266" s="533"/>
      <c r="X5266" s="533"/>
      <c r="Y5266" s="533"/>
    </row>
    <row r="5267" spans="1:25" s="88" customFormat="1" ht="15.75" customHeight="1" x14ac:dyDescent="0.25">
      <c r="A5267" s="509"/>
      <c r="B5267" s="256"/>
      <c r="C5267" s="221"/>
      <c r="D5267" s="218"/>
      <c r="E5267" s="517"/>
      <c r="F5267" s="528"/>
      <c r="G5267" s="250" t="s">
        <v>4497</v>
      </c>
      <c r="H5267" s="606"/>
      <c r="I5267" s="624"/>
      <c r="J5267" s="607"/>
      <c r="K5267" s="533"/>
      <c r="L5267" s="533"/>
      <c r="M5267" s="533"/>
      <c r="N5267" s="533"/>
      <c r="O5267" s="533"/>
      <c r="P5267" s="533"/>
      <c r="Q5267" s="533"/>
      <c r="R5267" s="533"/>
      <c r="S5267" s="533"/>
      <c r="T5267" s="533"/>
      <c r="U5267" s="533"/>
      <c r="V5267" s="533"/>
      <c r="W5267" s="533"/>
      <c r="X5267" s="533"/>
      <c r="Y5267" s="533"/>
    </row>
    <row r="5268" spans="1:25" s="88" customFormat="1" ht="15.75" customHeight="1" thickBot="1" x14ac:dyDescent="0.3">
      <c r="A5268" s="509"/>
      <c r="B5268" s="256"/>
      <c r="C5268" s="221"/>
      <c r="D5268" s="218"/>
      <c r="E5268" s="222"/>
      <c r="F5268" s="642" t="s">
        <v>234</v>
      </c>
      <c r="G5268" s="643" t="s">
        <v>235</v>
      </c>
      <c r="H5268" s="598">
        <f>SUM(H5249,H5150,H5051)</f>
        <v>4845000</v>
      </c>
      <c r="I5268" s="599"/>
      <c r="J5268" s="599">
        <f t="shared" ref="J5268:J5283" si="162">SUM(H5268:I5268)</f>
        <v>4845000</v>
      </c>
      <c r="K5268" s="533"/>
      <c r="L5268" s="533"/>
      <c r="M5268" s="533"/>
      <c r="N5268" s="533"/>
      <c r="O5268" s="533"/>
      <c r="P5268" s="533"/>
      <c r="Q5268" s="533"/>
      <c r="R5268" s="533"/>
      <c r="S5268" s="533"/>
      <c r="T5268" s="533"/>
      <c r="U5268" s="533"/>
      <c r="V5268" s="533"/>
      <c r="W5268" s="533"/>
      <c r="X5268" s="533"/>
      <c r="Y5268" s="533"/>
    </row>
    <row r="5269" spans="1:25" s="88" customFormat="1" ht="15.75" hidden="1" customHeight="1" x14ac:dyDescent="0.25">
      <c r="A5269" s="509"/>
      <c r="B5269" s="256"/>
      <c r="C5269" s="221"/>
      <c r="D5269" s="218"/>
      <c r="E5269" s="218"/>
      <c r="F5269" s="642" t="s">
        <v>236</v>
      </c>
      <c r="G5269" s="643" t="s">
        <v>237</v>
      </c>
      <c r="H5269" s="594"/>
      <c r="I5269" s="595"/>
      <c r="J5269" s="599">
        <f t="shared" si="162"/>
        <v>0</v>
      </c>
      <c r="K5269" s="533"/>
      <c r="L5269" s="533"/>
      <c r="M5269" s="533"/>
      <c r="N5269" s="533"/>
      <c r="O5269" s="533"/>
      <c r="P5269" s="533"/>
      <c r="Q5269" s="533"/>
      <c r="R5269" s="533"/>
      <c r="S5269" s="533"/>
      <c r="T5269" s="533"/>
      <c r="U5269" s="533"/>
      <c r="V5269" s="533"/>
      <c r="W5269" s="533"/>
      <c r="X5269" s="533"/>
      <c r="Y5269" s="533"/>
    </row>
    <row r="5270" spans="1:25" s="88" customFormat="1" ht="15.75" hidden="1" customHeight="1" x14ac:dyDescent="0.25">
      <c r="A5270" s="509"/>
      <c r="B5270" s="256"/>
      <c r="C5270" s="221"/>
      <c r="D5270" s="218"/>
      <c r="E5270" s="218"/>
      <c r="F5270" s="642" t="s">
        <v>238</v>
      </c>
      <c r="G5270" s="643" t="s">
        <v>239</v>
      </c>
      <c r="H5270" s="594"/>
      <c r="I5270" s="595"/>
      <c r="J5270" s="599">
        <f t="shared" si="162"/>
        <v>0</v>
      </c>
      <c r="K5270" s="533"/>
      <c r="L5270" s="533"/>
      <c r="M5270" s="533"/>
      <c r="N5270" s="533"/>
      <c r="O5270" s="533"/>
      <c r="P5270" s="533"/>
      <c r="Q5270" s="533"/>
      <c r="R5270" s="533"/>
      <c r="S5270" s="533"/>
      <c r="T5270" s="533"/>
      <c r="U5270" s="533"/>
      <c r="V5270" s="533"/>
      <c r="W5270" s="533"/>
      <c r="X5270" s="533"/>
      <c r="Y5270" s="533"/>
    </row>
    <row r="5271" spans="1:25" s="88" customFormat="1" ht="15.75" hidden="1" customHeight="1" x14ac:dyDescent="0.25">
      <c r="A5271" s="509"/>
      <c r="B5271" s="256"/>
      <c r="C5271" s="221"/>
      <c r="D5271" s="218"/>
      <c r="E5271" s="218"/>
      <c r="F5271" s="642" t="s">
        <v>240</v>
      </c>
      <c r="G5271" s="643" t="s">
        <v>241</v>
      </c>
      <c r="H5271" s="594"/>
      <c r="I5271" s="595"/>
      <c r="J5271" s="599">
        <f t="shared" si="162"/>
        <v>0</v>
      </c>
      <c r="K5271" s="533"/>
      <c r="L5271" s="533"/>
      <c r="M5271" s="533"/>
      <c r="N5271" s="533"/>
      <c r="O5271" s="533"/>
      <c r="P5271" s="533"/>
      <c r="Q5271" s="533"/>
      <c r="R5271" s="533"/>
      <c r="S5271" s="533"/>
      <c r="T5271" s="533"/>
      <c r="U5271" s="533"/>
      <c r="V5271" s="533"/>
      <c r="W5271" s="533"/>
      <c r="X5271" s="533"/>
      <c r="Y5271" s="533"/>
    </row>
    <row r="5272" spans="1:25" s="88" customFormat="1" ht="15.75" hidden="1" customHeight="1" x14ac:dyDescent="0.25">
      <c r="A5272" s="509"/>
      <c r="B5272" s="256"/>
      <c r="C5272" s="221"/>
      <c r="D5272" s="218"/>
      <c r="E5272" s="218"/>
      <c r="F5272" s="642" t="s">
        <v>242</v>
      </c>
      <c r="G5272" s="643" t="s">
        <v>243</v>
      </c>
      <c r="H5272" s="594"/>
      <c r="I5272" s="595"/>
      <c r="J5272" s="599">
        <f t="shared" si="162"/>
        <v>0</v>
      </c>
      <c r="K5272" s="533"/>
      <c r="L5272" s="533"/>
      <c r="M5272" s="533"/>
      <c r="N5272" s="533"/>
      <c r="O5272" s="533"/>
      <c r="P5272" s="533"/>
      <c r="Q5272" s="533"/>
      <c r="R5272" s="533"/>
      <c r="S5272" s="533"/>
      <c r="T5272" s="533"/>
      <c r="U5272" s="533"/>
      <c r="V5272" s="533"/>
      <c r="W5272" s="533"/>
      <c r="X5272" s="533"/>
      <c r="Y5272" s="533"/>
    </row>
    <row r="5273" spans="1:25" s="88" customFormat="1" ht="15.75" hidden="1" customHeight="1" x14ac:dyDescent="0.25">
      <c r="A5273" s="509"/>
      <c r="B5273" s="256"/>
      <c r="C5273" s="221"/>
      <c r="D5273" s="218"/>
      <c r="E5273" s="218"/>
      <c r="F5273" s="642" t="s">
        <v>244</v>
      </c>
      <c r="G5273" s="643" t="s">
        <v>245</v>
      </c>
      <c r="H5273" s="594"/>
      <c r="I5273" s="595"/>
      <c r="J5273" s="599">
        <f t="shared" si="162"/>
        <v>0</v>
      </c>
      <c r="K5273" s="533"/>
      <c r="L5273" s="533"/>
      <c r="M5273" s="533"/>
      <c r="N5273" s="533"/>
      <c r="O5273" s="533"/>
      <c r="P5273" s="533"/>
      <c r="Q5273" s="533"/>
      <c r="R5273" s="533"/>
      <c r="S5273" s="533"/>
      <c r="T5273" s="533"/>
      <c r="U5273" s="533"/>
      <c r="V5273" s="533"/>
      <c r="W5273" s="533"/>
      <c r="X5273" s="533"/>
      <c r="Y5273" s="533"/>
    </row>
    <row r="5274" spans="1:25" s="88" customFormat="1" ht="15.75" hidden="1" customHeight="1" x14ac:dyDescent="0.25">
      <c r="A5274" s="509"/>
      <c r="B5274" s="256"/>
      <c r="C5274" s="221"/>
      <c r="D5274" s="218"/>
      <c r="E5274" s="218"/>
      <c r="F5274" s="642" t="s">
        <v>246</v>
      </c>
      <c r="G5274" s="643" t="s">
        <v>247</v>
      </c>
      <c r="H5274" s="594"/>
      <c r="I5274" s="595"/>
      <c r="J5274" s="599">
        <f t="shared" si="162"/>
        <v>0</v>
      </c>
      <c r="K5274" s="533"/>
      <c r="L5274" s="533"/>
      <c r="M5274" s="533"/>
      <c r="N5274" s="533"/>
      <c r="O5274" s="533"/>
      <c r="P5274" s="533"/>
      <c r="Q5274" s="533"/>
      <c r="R5274" s="533"/>
      <c r="S5274" s="533"/>
      <c r="T5274" s="533"/>
      <c r="U5274" s="533"/>
      <c r="V5274" s="533"/>
      <c r="W5274" s="533"/>
      <c r="X5274" s="533"/>
      <c r="Y5274" s="533"/>
    </row>
    <row r="5275" spans="1:25" s="88" customFormat="1" ht="15.75" hidden="1" customHeight="1" x14ac:dyDescent="0.25">
      <c r="A5275" s="509"/>
      <c r="B5275" s="256"/>
      <c r="C5275" s="221"/>
      <c r="D5275" s="218"/>
      <c r="E5275" s="218"/>
      <c r="F5275" s="642" t="s">
        <v>248</v>
      </c>
      <c r="G5275" s="643" t="s">
        <v>249</v>
      </c>
      <c r="H5275" s="594"/>
      <c r="I5275" s="595"/>
      <c r="J5275" s="599">
        <f t="shared" si="162"/>
        <v>0</v>
      </c>
      <c r="K5275" s="533"/>
      <c r="L5275" s="533"/>
      <c r="M5275" s="533"/>
      <c r="N5275" s="533"/>
      <c r="O5275" s="533"/>
      <c r="P5275" s="533"/>
      <c r="Q5275" s="533"/>
      <c r="R5275" s="533"/>
      <c r="S5275" s="533"/>
      <c r="T5275" s="533"/>
      <c r="U5275" s="533"/>
      <c r="V5275" s="533"/>
      <c r="W5275" s="533"/>
      <c r="X5275" s="533"/>
      <c r="Y5275" s="533"/>
    </row>
    <row r="5276" spans="1:25" s="88" customFormat="1" ht="15.75" hidden="1" customHeight="1" x14ac:dyDescent="0.25">
      <c r="A5276" s="509"/>
      <c r="B5276" s="256"/>
      <c r="C5276" s="221"/>
      <c r="D5276" s="218"/>
      <c r="E5276" s="218"/>
      <c r="F5276" s="642" t="s">
        <v>250</v>
      </c>
      <c r="G5276" s="643" t="s">
        <v>57</v>
      </c>
      <c r="H5276" s="594"/>
      <c r="I5276" s="595"/>
      <c r="J5276" s="599">
        <f t="shared" si="162"/>
        <v>0</v>
      </c>
      <c r="K5276" s="533"/>
      <c r="L5276" s="533"/>
      <c r="M5276" s="533"/>
      <c r="N5276" s="533"/>
      <c r="O5276" s="533"/>
      <c r="P5276" s="533"/>
      <c r="Q5276" s="533"/>
      <c r="R5276" s="533"/>
      <c r="S5276" s="533"/>
      <c r="T5276" s="533"/>
      <c r="U5276" s="533"/>
      <c r="V5276" s="533"/>
      <c r="W5276" s="533"/>
      <c r="X5276" s="533"/>
      <c r="Y5276" s="533"/>
    </row>
    <row r="5277" spans="1:25" s="88" customFormat="1" ht="15.75" hidden="1" customHeight="1" x14ac:dyDescent="0.25">
      <c r="A5277" s="509"/>
      <c r="B5277" s="256"/>
      <c r="C5277" s="221"/>
      <c r="D5277" s="218"/>
      <c r="E5277" s="218"/>
      <c r="F5277" s="642" t="s">
        <v>251</v>
      </c>
      <c r="G5277" s="643" t="s">
        <v>252</v>
      </c>
      <c r="H5277" s="594"/>
      <c r="I5277" s="595"/>
      <c r="J5277" s="599">
        <f t="shared" si="162"/>
        <v>0</v>
      </c>
      <c r="K5277" s="533"/>
      <c r="L5277" s="533"/>
      <c r="M5277" s="533"/>
      <c r="N5277" s="533"/>
      <c r="O5277" s="533"/>
      <c r="P5277" s="533"/>
      <c r="Q5277" s="533"/>
      <c r="R5277" s="533"/>
      <c r="S5277" s="533"/>
      <c r="T5277" s="533"/>
      <c r="U5277" s="533"/>
      <c r="V5277" s="533"/>
      <c r="W5277" s="533"/>
      <c r="X5277" s="533"/>
      <c r="Y5277" s="533"/>
    </row>
    <row r="5278" spans="1:25" s="88" customFormat="1" ht="15.75" hidden="1" customHeight="1" x14ac:dyDescent="0.25">
      <c r="A5278" s="509"/>
      <c r="B5278" s="256"/>
      <c r="C5278" s="221"/>
      <c r="D5278" s="218"/>
      <c r="E5278" s="218"/>
      <c r="F5278" s="642" t="s">
        <v>253</v>
      </c>
      <c r="G5278" s="643" t="s">
        <v>254</v>
      </c>
      <c r="H5278" s="594"/>
      <c r="I5278" s="595"/>
      <c r="J5278" s="599">
        <f t="shared" si="162"/>
        <v>0</v>
      </c>
      <c r="K5278" s="533"/>
      <c r="L5278" s="533"/>
      <c r="M5278" s="533"/>
      <c r="N5278" s="533"/>
      <c r="O5278" s="533"/>
      <c r="P5278" s="533"/>
      <c r="Q5278" s="533"/>
      <c r="R5278" s="533"/>
      <c r="S5278" s="533"/>
      <c r="T5278" s="533"/>
      <c r="U5278" s="533"/>
      <c r="V5278" s="533"/>
      <c r="W5278" s="533"/>
      <c r="X5278" s="533"/>
      <c r="Y5278" s="533"/>
    </row>
    <row r="5279" spans="1:25" s="88" customFormat="1" ht="15.75" hidden="1" customHeight="1" x14ac:dyDescent="0.25">
      <c r="A5279" s="509"/>
      <c r="B5279" s="256"/>
      <c r="C5279" s="221"/>
      <c r="D5279" s="218"/>
      <c r="E5279" s="218"/>
      <c r="F5279" s="642" t="s">
        <v>255</v>
      </c>
      <c r="G5279" s="643" t="s">
        <v>256</v>
      </c>
      <c r="H5279" s="594"/>
      <c r="I5279" s="595"/>
      <c r="J5279" s="599">
        <f t="shared" si="162"/>
        <v>0</v>
      </c>
      <c r="K5279" s="533"/>
      <c r="L5279" s="533"/>
      <c r="M5279" s="533"/>
      <c r="N5279" s="533"/>
      <c r="O5279" s="533"/>
      <c r="P5279" s="533"/>
      <c r="Q5279" s="533"/>
      <c r="R5279" s="533"/>
      <c r="S5279" s="533"/>
      <c r="T5279" s="533"/>
      <c r="U5279" s="533"/>
      <c r="V5279" s="533"/>
      <c r="W5279" s="533"/>
      <c r="X5279" s="533"/>
      <c r="Y5279" s="533"/>
    </row>
    <row r="5280" spans="1:25" s="88" customFormat="1" ht="15.75" hidden="1" customHeight="1" x14ac:dyDescent="0.25">
      <c r="A5280" s="509"/>
      <c r="B5280" s="256"/>
      <c r="C5280" s="221"/>
      <c r="D5280" s="218"/>
      <c r="E5280" s="218"/>
      <c r="F5280" s="642" t="s">
        <v>257</v>
      </c>
      <c r="G5280" s="643" t="s">
        <v>258</v>
      </c>
      <c r="H5280" s="594"/>
      <c r="I5280" s="595"/>
      <c r="J5280" s="599">
        <f t="shared" si="162"/>
        <v>0</v>
      </c>
      <c r="K5280" s="533"/>
      <c r="L5280" s="533"/>
      <c r="M5280" s="533"/>
      <c r="N5280" s="533"/>
      <c r="O5280" s="533"/>
      <c r="P5280" s="533"/>
      <c r="Q5280" s="533"/>
      <c r="R5280" s="533"/>
      <c r="S5280" s="533"/>
      <c r="T5280" s="533"/>
      <c r="U5280" s="533"/>
      <c r="V5280" s="533"/>
      <c r="W5280" s="533"/>
      <c r="X5280" s="533"/>
      <c r="Y5280" s="533"/>
    </row>
    <row r="5281" spans="1:25" s="88" customFormat="1" ht="15.75" hidden="1" customHeight="1" x14ac:dyDescent="0.25">
      <c r="A5281" s="509"/>
      <c r="B5281" s="256"/>
      <c r="C5281" s="221"/>
      <c r="D5281" s="218"/>
      <c r="E5281" s="218"/>
      <c r="F5281" s="642" t="s">
        <v>259</v>
      </c>
      <c r="G5281" s="643" t="s">
        <v>260</v>
      </c>
      <c r="H5281" s="594"/>
      <c r="I5281" s="595"/>
      <c r="J5281" s="599">
        <f t="shared" si="162"/>
        <v>0</v>
      </c>
      <c r="K5281" s="533"/>
      <c r="L5281" s="533"/>
      <c r="M5281" s="533"/>
      <c r="N5281" s="533"/>
      <c r="O5281" s="533"/>
      <c r="P5281" s="533"/>
      <c r="Q5281" s="533"/>
      <c r="R5281" s="533"/>
      <c r="S5281" s="533"/>
      <c r="T5281" s="533"/>
      <c r="U5281" s="533"/>
      <c r="V5281" s="533"/>
      <c r="W5281" s="533"/>
      <c r="X5281" s="533"/>
      <c r="Y5281" s="533"/>
    </row>
    <row r="5282" spans="1:25" s="88" customFormat="1" ht="15.75" hidden="1" customHeight="1" x14ac:dyDescent="0.25">
      <c r="A5282" s="509"/>
      <c r="B5282" s="256"/>
      <c r="C5282" s="221"/>
      <c r="D5282" s="218"/>
      <c r="E5282" s="218"/>
      <c r="F5282" s="642" t="s">
        <v>261</v>
      </c>
      <c r="G5282" s="643" t="s">
        <v>262</v>
      </c>
      <c r="H5282" s="594"/>
      <c r="I5282" s="595"/>
      <c r="J5282" s="599">
        <f t="shared" si="162"/>
        <v>0</v>
      </c>
      <c r="K5282" s="533"/>
      <c r="L5282" s="533"/>
      <c r="M5282" s="533"/>
      <c r="N5282" s="533"/>
      <c r="O5282" s="533"/>
      <c r="P5282" s="533"/>
      <c r="Q5282" s="533"/>
      <c r="R5282" s="533"/>
      <c r="S5282" s="533"/>
      <c r="T5282" s="533"/>
      <c r="U5282" s="533"/>
      <c r="V5282" s="533"/>
      <c r="W5282" s="533"/>
      <c r="X5282" s="533"/>
      <c r="Y5282" s="533"/>
    </row>
    <row r="5283" spans="1:25" s="88" customFormat="1" ht="15.75" hidden="1" customHeight="1" x14ac:dyDescent="0.25">
      <c r="A5283" s="509"/>
      <c r="B5283" s="256"/>
      <c r="C5283" s="221"/>
      <c r="D5283" s="218"/>
      <c r="E5283" s="218"/>
      <c r="F5283" s="642" t="s">
        <v>263</v>
      </c>
      <c r="G5283" s="643" t="s">
        <v>264</v>
      </c>
      <c r="H5283" s="598"/>
      <c r="I5283" s="599"/>
      <c r="J5283" s="599">
        <f t="shared" si="162"/>
        <v>0</v>
      </c>
      <c r="K5283" s="533"/>
      <c r="L5283" s="533"/>
      <c r="M5283" s="533"/>
      <c r="N5283" s="533"/>
      <c r="O5283" s="533"/>
      <c r="P5283" s="533"/>
      <c r="Q5283" s="533"/>
      <c r="R5283" s="533"/>
      <c r="S5283" s="533"/>
      <c r="T5283" s="533"/>
      <c r="U5283" s="533"/>
      <c r="V5283" s="533"/>
      <c r="W5283" s="533"/>
      <c r="X5283" s="533"/>
      <c r="Y5283" s="533"/>
    </row>
    <row r="5284" spans="1:25" s="88" customFormat="1" ht="15.75" customHeight="1" thickBot="1" x14ac:dyDescent="0.3">
      <c r="A5284" s="509"/>
      <c r="B5284" s="256"/>
      <c r="C5284" s="221"/>
      <c r="D5284" s="218"/>
      <c r="E5284" s="218"/>
      <c r="F5284" s="218"/>
      <c r="G5284" s="229" t="s">
        <v>4498</v>
      </c>
      <c r="H5284" s="600">
        <f>SUM(H5268:H5283)</f>
        <v>4845000</v>
      </c>
      <c r="I5284" s="601">
        <f>SUM(I5269:I5283)</f>
        <v>0</v>
      </c>
      <c r="J5284" s="601">
        <f>SUM(J5268:J5283)</f>
        <v>4845000</v>
      </c>
      <c r="K5284" s="533"/>
      <c r="L5284" s="533"/>
      <c r="M5284" s="533"/>
      <c r="N5284" s="533"/>
      <c r="O5284" s="533"/>
      <c r="P5284" s="533"/>
      <c r="Q5284" s="533"/>
      <c r="R5284" s="533"/>
      <c r="S5284" s="533"/>
      <c r="T5284" s="533"/>
      <c r="U5284" s="533"/>
      <c r="V5284" s="533"/>
      <c r="W5284" s="533"/>
      <c r="X5284" s="533"/>
      <c r="Y5284" s="533"/>
    </row>
    <row r="5285" spans="1:25" s="88" customFormat="1" hidden="1" x14ac:dyDescent="0.25">
      <c r="A5285" s="509"/>
      <c r="B5285" s="256"/>
      <c r="C5285" s="755"/>
      <c r="D5285" s="748"/>
      <c r="E5285" s="748"/>
      <c r="F5285" s="748"/>
      <c r="G5285" s="788"/>
      <c r="H5285" s="789"/>
      <c r="I5285" s="790"/>
      <c r="J5285" s="790"/>
      <c r="K5285" s="533"/>
      <c r="L5285" s="533"/>
      <c r="M5285" s="533"/>
      <c r="N5285" s="533"/>
      <c r="O5285" s="533"/>
      <c r="P5285" s="533"/>
      <c r="Q5285" s="533"/>
      <c r="R5285" s="533"/>
      <c r="S5285" s="533"/>
      <c r="T5285" s="533"/>
      <c r="U5285" s="533"/>
      <c r="V5285" s="533"/>
      <c r="W5285" s="533"/>
      <c r="X5285" s="533"/>
      <c r="Y5285" s="533"/>
    </row>
    <row r="5286" spans="1:25" s="88" customFormat="1" hidden="1" x14ac:dyDescent="0.25">
      <c r="A5286" s="509"/>
      <c r="B5286" s="256"/>
      <c r="C5286" s="755"/>
      <c r="D5286" s="748"/>
      <c r="E5286" s="748"/>
      <c r="F5286" s="748"/>
      <c r="G5286" s="788"/>
      <c r="H5286" s="789"/>
      <c r="I5286" s="790"/>
      <c r="J5286" s="790"/>
      <c r="K5286" s="533"/>
      <c r="L5286" s="533"/>
      <c r="M5286" s="533"/>
      <c r="N5286" s="533"/>
      <c r="O5286" s="533"/>
      <c r="P5286" s="533"/>
      <c r="Q5286" s="533"/>
      <c r="R5286" s="533"/>
      <c r="S5286" s="533"/>
      <c r="T5286" s="533"/>
      <c r="U5286" s="533"/>
      <c r="V5286" s="533"/>
      <c r="W5286" s="533"/>
      <c r="X5286" s="533"/>
      <c r="Y5286" s="533"/>
    </row>
    <row r="5287" spans="1:25" s="88" customFormat="1" hidden="1" x14ac:dyDescent="0.25">
      <c r="A5287" s="509"/>
      <c r="B5287" s="256"/>
      <c r="C5287" s="755"/>
      <c r="D5287" s="748"/>
      <c r="E5287" s="748"/>
      <c r="F5287" s="748"/>
      <c r="G5287" s="788"/>
      <c r="H5287" s="789"/>
      <c r="I5287" s="790"/>
      <c r="J5287" s="790"/>
      <c r="K5287" s="533"/>
      <c r="L5287" s="533"/>
      <c r="M5287" s="533"/>
      <c r="N5287" s="533"/>
      <c r="O5287" s="533"/>
      <c r="P5287" s="533"/>
      <c r="Q5287" s="533"/>
      <c r="R5287" s="533"/>
      <c r="S5287" s="533"/>
      <c r="T5287" s="533"/>
      <c r="U5287" s="533"/>
      <c r="V5287" s="533"/>
      <c r="W5287" s="533"/>
      <c r="X5287" s="533"/>
      <c r="Y5287" s="533"/>
    </row>
    <row r="5288" spans="1:25" s="88" customFormat="1" hidden="1" x14ac:dyDescent="0.25">
      <c r="A5288" s="509"/>
      <c r="B5288" s="256"/>
      <c r="C5288" s="755"/>
      <c r="D5288" s="748"/>
      <c r="E5288" s="748"/>
      <c r="F5288" s="748"/>
      <c r="G5288" s="788"/>
      <c r="H5288" s="789"/>
      <c r="I5288" s="790"/>
      <c r="J5288" s="790"/>
      <c r="K5288" s="533"/>
      <c r="L5288" s="533"/>
      <c r="M5288" s="533"/>
      <c r="N5288" s="533"/>
      <c r="O5288" s="533"/>
      <c r="P5288" s="533"/>
      <c r="Q5288" s="533"/>
      <c r="R5288" s="533"/>
      <c r="S5288" s="533"/>
      <c r="T5288" s="533"/>
      <c r="U5288" s="533"/>
      <c r="V5288" s="533"/>
      <c r="W5288" s="533"/>
      <c r="X5288" s="533"/>
      <c r="Y5288" s="533"/>
    </row>
    <row r="5289" spans="1:25" s="88" customFormat="1" hidden="1" x14ac:dyDescent="0.25">
      <c r="A5289" s="509"/>
      <c r="B5289" s="256"/>
      <c r="C5289" s="755"/>
      <c r="D5289" s="748"/>
      <c r="E5289" s="748"/>
      <c r="F5289" s="748"/>
      <c r="G5289" s="788"/>
      <c r="H5289" s="789"/>
      <c r="I5289" s="790"/>
      <c r="J5289" s="790"/>
      <c r="K5289" s="533"/>
      <c r="L5289" s="533"/>
      <c r="M5289" s="533"/>
      <c r="N5289" s="533"/>
      <c r="O5289" s="533"/>
      <c r="P5289" s="533"/>
      <c r="Q5289" s="533"/>
      <c r="R5289" s="533"/>
      <c r="S5289" s="533"/>
      <c r="T5289" s="533"/>
      <c r="U5289" s="533"/>
      <c r="V5289" s="533"/>
      <c r="W5289" s="533"/>
      <c r="X5289" s="533"/>
      <c r="Y5289" s="533"/>
    </row>
    <row r="5290" spans="1:25" s="88" customFormat="1" hidden="1" x14ac:dyDescent="0.25">
      <c r="A5290" s="509"/>
      <c r="B5290" s="256"/>
      <c r="C5290" s="755"/>
      <c r="D5290" s="748"/>
      <c r="E5290" s="748"/>
      <c r="F5290" s="748"/>
      <c r="G5290" s="788"/>
      <c r="H5290" s="789"/>
      <c r="I5290" s="790"/>
      <c r="J5290" s="790"/>
      <c r="K5290" s="533"/>
      <c r="L5290" s="533"/>
      <c r="M5290" s="533"/>
      <c r="N5290" s="533"/>
      <c r="O5290" s="533"/>
      <c r="P5290" s="533"/>
      <c r="Q5290" s="533"/>
      <c r="R5290" s="533"/>
      <c r="S5290" s="533"/>
      <c r="T5290" s="533"/>
      <c r="U5290" s="533"/>
      <c r="V5290" s="533"/>
      <c r="W5290" s="533"/>
      <c r="X5290" s="533"/>
      <c r="Y5290" s="533"/>
    </row>
    <row r="5291" spans="1:25" s="88" customFormat="1" hidden="1" x14ac:dyDescent="0.25">
      <c r="A5291" s="509"/>
      <c r="B5291" s="256"/>
      <c r="C5291" s="755"/>
      <c r="D5291" s="748"/>
      <c r="E5291" s="748"/>
      <c r="F5291" s="748"/>
      <c r="G5291" s="788"/>
      <c r="H5291" s="789"/>
      <c r="I5291" s="790"/>
      <c r="J5291" s="790"/>
      <c r="K5291" s="533"/>
      <c r="L5291" s="533"/>
      <c r="M5291" s="533"/>
      <c r="N5291" s="533"/>
      <c r="O5291" s="533"/>
      <c r="P5291" s="533"/>
      <c r="Q5291" s="533"/>
      <c r="R5291" s="533"/>
      <c r="S5291" s="533"/>
      <c r="T5291" s="533"/>
      <c r="U5291" s="533"/>
      <c r="V5291" s="533"/>
      <c r="W5291" s="533"/>
      <c r="X5291" s="533"/>
      <c r="Y5291" s="533"/>
    </row>
    <row r="5292" spans="1:25" s="88" customFormat="1" hidden="1" x14ac:dyDescent="0.25">
      <c r="A5292" s="509"/>
      <c r="B5292" s="256"/>
      <c r="C5292" s="755"/>
      <c r="D5292" s="748"/>
      <c r="E5292" s="748"/>
      <c r="F5292" s="748"/>
      <c r="G5292" s="788"/>
      <c r="H5292" s="789"/>
      <c r="I5292" s="790"/>
      <c r="J5292" s="790"/>
      <c r="K5292" s="533"/>
      <c r="L5292" s="533"/>
      <c r="M5292" s="533"/>
      <c r="N5292" s="533"/>
      <c r="O5292" s="533"/>
      <c r="P5292" s="533"/>
      <c r="Q5292" s="533"/>
      <c r="R5292" s="533"/>
      <c r="S5292" s="533"/>
      <c r="T5292" s="533"/>
      <c r="U5292" s="533"/>
      <c r="V5292" s="533"/>
      <c r="W5292" s="533"/>
      <c r="X5292" s="533"/>
      <c r="Y5292" s="533"/>
    </row>
    <row r="5293" spans="1:25" s="88" customFormat="1" hidden="1" x14ac:dyDescent="0.25">
      <c r="A5293" s="509"/>
      <c r="B5293" s="256"/>
      <c r="C5293" s="755"/>
      <c r="D5293" s="748"/>
      <c r="E5293" s="748"/>
      <c r="F5293" s="748"/>
      <c r="G5293" s="788"/>
      <c r="H5293" s="789"/>
      <c r="I5293" s="790"/>
      <c r="J5293" s="790"/>
      <c r="K5293" s="533"/>
      <c r="L5293" s="533"/>
      <c r="M5293" s="533"/>
      <c r="N5293" s="533"/>
      <c r="O5293" s="533"/>
      <c r="P5293" s="533"/>
      <c r="Q5293" s="533"/>
      <c r="R5293" s="533"/>
      <c r="S5293" s="533"/>
      <c r="T5293" s="533"/>
      <c r="U5293" s="533"/>
      <c r="V5293" s="533"/>
      <c r="W5293" s="533"/>
      <c r="X5293" s="533"/>
      <c r="Y5293" s="533"/>
    </row>
    <row r="5294" spans="1:25" s="88" customFormat="1" hidden="1" x14ac:dyDescent="0.25">
      <c r="A5294" s="509"/>
      <c r="B5294" s="256"/>
      <c r="C5294" s="755"/>
      <c r="D5294" s="748"/>
      <c r="E5294" s="748"/>
      <c r="F5294" s="748"/>
      <c r="G5294" s="788"/>
      <c r="H5294" s="789"/>
      <c r="I5294" s="790"/>
      <c r="J5294" s="790"/>
      <c r="K5294" s="533"/>
      <c r="L5294" s="533"/>
      <c r="M5294" s="533"/>
      <c r="N5294" s="533"/>
      <c r="O5294" s="533"/>
      <c r="P5294" s="533"/>
      <c r="Q5294" s="533"/>
      <c r="R5294" s="533"/>
      <c r="S5294" s="533"/>
      <c r="T5294" s="533"/>
      <c r="U5294" s="533"/>
      <c r="V5294" s="533"/>
      <c r="W5294" s="533"/>
      <c r="X5294" s="533"/>
      <c r="Y5294" s="533"/>
    </row>
    <row r="5295" spans="1:25" s="88" customFormat="1" hidden="1" x14ac:dyDescent="0.25">
      <c r="A5295" s="509"/>
      <c r="B5295" s="256"/>
      <c r="C5295" s="755"/>
      <c r="D5295" s="748"/>
      <c r="E5295" s="748"/>
      <c r="F5295" s="748"/>
      <c r="G5295" s="788"/>
      <c r="H5295" s="789"/>
      <c r="I5295" s="790"/>
      <c r="J5295" s="790"/>
      <c r="K5295" s="533"/>
      <c r="L5295" s="533"/>
      <c r="M5295" s="533"/>
      <c r="N5295" s="533"/>
      <c r="O5295" s="533"/>
      <c r="P5295" s="533"/>
      <c r="Q5295" s="533"/>
      <c r="R5295" s="533"/>
      <c r="S5295" s="533"/>
      <c r="T5295" s="533"/>
      <c r="U5295" s="533"/>
      <c r="V5295" s="533"/>
      <c r="W5295" s="533"/>
      <c r="X5295" s="533"/>
      <c r="Y5295" s="533"/>
    </row>
    <row r="5296" spans="1:25" s="88" customFormat="1" hidden="1" x14ac:dyDescent="0.25">
      <c r="A5296" s="509"/>
      <c r="B5296" s="256"/>
      <c r="C5296" s="755"/>
      <c r="D5296" s="748"/>
      <c r="E5296" s="748"/>
      <c r="F5296" s="748"/>
      <c r="G5296" s="788"/>
      <c r="H5296" s="789"/>
      <c r="I5296" s="790"/>
      <c r="J5296" s="790"/>
      <c r="K5296" s="533"/>
      <c r="L5296" s="533"/>
      <c r="M5296" s="533"/>
      <c r="N5296" s="533"/>
      <c r="O5296" s="533"/>
      <c r="P5296" s="533"/>
      <c r="Q5296" s="533"/>
      <c r="R5296" s="533"/>
      <c r="S5296" s="533"/>
      <c r="T5296" s="533"/>
      <c r="U5296" s="533"/>
      <c r="V5296" s="533"/>
      <c r="W5296" s="533"/>
      <c r="X5296" s="533"/>
      <c r="Y5296" s="533"/>
    </row>
    <row r="5297" spans="1:25" s="88" customFormat="1" hidden="1" x14ac:dyDescent="0.25">
      <c r="A5297" s="509"/>
      <c r="B5297" s="256"/>
      <c r="C5297" s="755"/>
      <c r="D5297" s="748"/>
      <c r="E5297" s="748"/>
      <c r="F5297" s="748"/>
      <c r="G5297" s="788"/>
      <c r="H5297" s="789"/>
      <c r="I5297" s="790"/>
      <c r="J5297" s="790"/>
      <c r="K5297" s="533"/>
      <c r="L5297" s="533"/>
      <c r="M5297" s="533"/>
      <c r="N5297" s="533"/>
      <c r="O5297" s="533"/>
      <c r="P5297" s="533"/>
      <c r="Q5297" s="533"/>
      <c r="R5297" s="533"/>
      <c r="S5297" s="533"/>
      <c r="T5297" s="533"/>
      <c r="U5297" s="533"/>
      <c r="V5297" s="533"/>
      <c r="W5297" s="533"/>
      <c r="X5297" s="533"/>
      <c r="Y5297" s="533"/>
    </row>
    <row r="5298" spans="1:25" s="88" customFormat="1" hidden="1" x14ac:dyDescent="0.25">
      <c r="A5298" s="509"/>
      <c r="B5298" s="256"/>
      <c r="C5298" s="755"/>
      <c r="D5298" s="748"/>
      <c r="E5298" s="748"/>
      <c r="F5298" s="748"/>
      <c r="G5298" s="788"/>
      <c r="H5298" s="789"/>
      <c r="I5298" s="790"/>
      <c r="J5298" s="790"/>
      <c r="K5298" s="533"/>
      <c r="L5298" s="533"/>
      <c r="M5298" s="533"/>
      <c r="N5298" s="533"/>
      <c r="O5298" s="533"/>
      <c r="P5298" s="533"/>
      <c r="Q5298" s="533"/>
      <c r="R5298" s="533"/>
      <c r="S5298" s="533"/>
      <c r="T5298" s="533"/>
      <c r="U5298" s="533"/>
      <c r="V5298" s="533"/>
      <c r="W5298" s="533"/>
      <c r="X5298" s="533"/>
      <c r="Y5298" s="533"/>
    </row>
    <row r="5299" spans="1:25" s="88" customFormat="1" hidden="1" x14ac:dyDescent="0.25">
      <c r="A5299" s="509"/>
      <c r="B5299" s="256"/>
      <c r="C5299" s="755"/>
      <c r="D5299" s="748"/>
      <c r="E5299" s="748"/>
      <c r="F5299" s="748"/>
      <c r="G5299" s="788"/>
      <c r="H5299" s="789"/>
      <c r="I5299" s="790"/>
      <c r="J5299" s="790"/>
      <c r="K5299" s="533"/>
      <c r="L5299" s="533"/>
      <c r="M5299" s="533"/>
      <c r="N5299" s="533"/>
      <c r="O5299" s="533"/>
      <c r="P5299" s="533"/>
      <c r="Q5299" s="533"/>
      <c r="R5299" s="533"/>
      <c r="S5299" s="533"/>
      <c r="T5299" s="533"/>
      <c r="U5299" s="533"/>
      <c r="V5299" s="533"/>
      <c r="W5299" s="533"/>
      <c r="X5299" s="533"/>
      <c r="Y5299" s="533"/>
    </row>
    <row r="5300" spans="1:25" s="88" customFormat="1" hidden="1" x14ac:dyDescent="0.25">
      <c r="A5300" s="509"/>
      <c r="B5300" s="256"/>
      <c r="C5300" s="755"/>
      <c r="D5300" s="748"/>
      <c r="E5300" s="748"/>
      <c r="F5300" s="748"/>
      <c r="G5300" s="788"/>
      <c r="H5300" s="789"/>
      <c r="I5300" s="790"/>
      <c r="J5300" s="790"/>
      <c r="K5300" s="533"/>
      <c r="L5300" s="533"/>
      <c r="M5300" s="533"/>
      <c r="N5300" s="533"/>
      <c r="O5300" s="533"/>
      <c r="P5300" s="533"/>
      <c r="Q5300" s="533"/>
      <c r="R5300" s="533"/>
      <c r="S5300" s="533"/>
      <c r="T5300" s="533"/>
      <c r="U5300" s="533"/>
      <c r="V5300" s="533"/>
      <c r="W5300" s="533"/>
      <c r="X5300" s="533"/>
      <c r="Y5300" s="533"/>
    </row>
    <row r="5301" spans="1:25" s="88" customFormat="1" hidden="1" x14ac:dyDescent="0.25">
      <c r="A5301" s="509"/>
      <c r="B5301" s="256"/>
      <c r="C5301" s="755"/>
      <c r="D5301" s="748"/>
      <c r="E5301" s="748"/>
      <c r="F5301" s="748"/>
      <c r="G5301" s="788"/>
      <c r="H5301" s="789"/>
      <c r="I5301" s="790"/>
      <c r="J5301" s="790"/>
      <c r="K5301" s="533"/>
      <c r="L5301" s="533"/>
      <c r="M5301" s="533"/>
      <c r="N5301" s="533"/>
      <c r="O5301" s="533"/>
      <c r="P5301" s="533"/>
      <c r="Q5301" s="533"/>
      <c r="R5301" s="533"/>
      <c r="S5301" s="533"/>
      <c r="T5301" s="533"/>
      <c r="U5301" s="533"/>
      <c r="V5301" s="533"/>
      <c r="W5301" s="533"/>
      <c r="X5301" s="533"/>
      <c r="Y5301" s="533"/>
    </row>
    <row r="5302" spans="1:25" s="88" customFormat="1" hidden="1" x14ac:dyDescent="0.25">
      <c r="A5302" s="509"/>
      <c r="B5302" s="256"/>
      <c r="C5302" s="755"/>
      <c r="D5302" s="748"/>
      <c r="E5302" s="748"/>
      <c r="F5302" s="748"/>
      <c r="G5302" s="788"/>
      <c r="H5302" s="789"/>
      <c r="I5302" s="790"/>
      <c r="J5302" s="790"/>
      <c r="K5302" s="533"/>
      <c r="L5302" s="533"/>
      <c r="M5302" s="533"/>
      <c r="N5302" s="533"/>
      <c r="O5302" s="533"/>
      <c r="P5302" s="533"/>
      <c r="Q5302" s="533"/>
      <c r="R5302" s="533"/>
      <c r="S5302" s="533"/>
      <c r="T5302" s="533"/>
      <c r="U5302" s="533"/>
      <c r="V5302" s="533"/>
      <c r="W5302" s="533"/>
      <c r="X5302" s="533"/>
      <c r="Y5302" s="533"/>
    </row>
    <row r="5303" spans="1:25" s="88" customFormat="1" hidden="1" x14ac:dyDescent="0.25">
      <c r="A5303" s="509"/>
      <c r="B5303" s="256"/>
      <c r="C5303" s="755"/>
      <c r="D5303" s="748"/>
      <c r="E5303" s="748"/>
      <c r="F5303" s="748"/>
      <c r="G5303" s="788"/>
      <c r="H5303" s="789"/>
      <c r="I5303" s="790"/>
      <c r="J5303" s="790"/>
      <c r="K5303" s="533"/>
      <c r="L5303" s="533"/>
      <c r="M5303" s="533"/>
      <c r="N5303" s="533"/>
      <c r="O5303" s="533"/>
      <c r="P5303" s="533"/>
      <c r="Q5303" s="533"/>
      <c r="R5303" s="533"/>
      <c r="S5303" s="533"/>
      <c r="T5303" s="533"/>
      <c r="U5303" s="533"/>
      <c r="V5303" s="533"/>
      <c r="W5303" s="533"/>
      <c r="X5303" s="533"/>
      <c r="Y5303" s="533"/>
    </row>
    <row r="5304" spans="1:25" s="88" customFormat="1" hidden="1" x14ac:dyDescent="0.25">
      <c r="A5304" s="509"/>
      <c r="B5304" s="256"/>
      <c r="C5304" s="755"/>
      <c r="D5304" s="748"/>
      <c r="E5304" s="748"/>
      <c r="F5304" s="748"/>
      <c r="G5304" s="788"/>
      <c r="H5304" s="789"/>
      <c r="I5304" s="790"/>
      <c r="J5304" s="790"/>
      <c r="K5304" s="533"/>
      <c r="L5304" s="533"/>
      <c r="M5304" s="533"/>
      <c r="N5304" s="533"/>
      <c r="O5304" s="533"/>
      <c r="P5304" s="533"/>
      <c r="Q5304" s="533"/>
      <c r="R5304" s="533"/>
      <c r="S5304" s="533"/>
      <c r="T5304" s="533"/>
      <c r="U5304" s="533"/>
      <c r="V5304" s="533"/>
      <c r="W5304" s="533"/>
      <c r="X5304" s="533"/>
      <c r="Y5304" s="533"/>
    </row>
    <row r="5305" spans="1:25" s="88" customFormat="1" hidden="1" x14ac:dyDescent="0.25">
      <c r="A5305" s="509"/>
      <c r="B5305" s="256"/>
      <c r="C5305" s="755"/>
      <c r="D5305" s="748"/>
      <c r="E5305" s="748"/>
      <c r="F5305" s="748"/>
      <c r="G5305" s="788"/>
      <c r="H5305" s="789"/>
      <c r="I5305" s="790"/>
      <c r="J5305" s="790"/>
      <c r="K5305" s="533"/>
      <c r="L5305" s="533"/>
      <c r="M5305" s="533"/>
      <c r="N5305" s="533"/>
      <c r="O5305" s="533"/>
      <c r="P5305" s="533"/>
      <c r="Q5305" s="533"/>
      <c r="R5305" s="533"/>
      <c r="S5305" s="533"/>
      <c r="T5305" s="533"/>
      <c r="U5305" s="533"/>
      <c r="V5305" s="533"/>
      <c r="W5305" s="533"/>
      <c r="X5305" s="533"/>
      <c r="Y5305" s="533"/>
    </row>
    <row r="5306" spans="1:25" s="88" customFormat="1" hidden="1" x14ac:dyDescent="0.25">
      <c r="A5306" s="509"/>
      <c r="B5306" s="256"/>
      <c r="C5306" s="755"/>
      <c r="D5306" s="748"/>
      <c r="E5306" s="748"/>
      <c r="F5306" s="748"/>
      <c r="G5306" s="788"/>
      <c r="H5306" s="789"/>
      <c r="I5306" s="790"/>
      <c r="J5306" s="790"/>
      <c r="K5306" s="533"/>
      <c r="L5306" s="533"/>
      <c r="M5306" s="533"/>
      <c r="N5306" s="533"/>
      <c r="O5306" s="533"/>
      <c r="P5306" s="533"/>
      <c r="Q5306" s="533"/>
      <c r="R5306" s="533"/>
      <c r="S5306" s="533"/>
      <c r="T5306" s="533"/>
      <c r="U5306" s="533"/>
      <c r="V5306" s="533"/>
      <c r="W5306" s="533"/>
      <c r="X5306" s="533"/>
      <c r="Y5306" s="533"/>
    </row>
    <row r="5307" spans="1:25" s="88" customFormat="1" hidden="1" x14ac:dyDescent="0.25">
      <c r="A5307" s="509"/>
      <c r="B5307" s="256"/>
      <c r="C5307" s="755"/>
      <c r="D5307" s="748"/>
      <c r="E5307" s="748"/>
      <c r="F5307" s="748"/>
      <c r="G5307" s="788"/>
      <c r="H5307" s="789"/>
      <c r="I5307" s="790"/>
      <c r="J5307" s="790"/>
      <c r="K5307" s="533"/>
      <c r="L5307" s="533"/>
      <c r="M5307" s="533"/>
      <c r="N5307" s="533"/>
      <c r="O5307" s="533"/>
      <c r="P5307" s="533"/>
      <c r="Q5307" s="533"/>
      <c r="R5307" s="533"/>
      <c r="S5307" s="533"/>
      <c r="T5307" s="533"/>
      <c r="U5307" s="533"/>
      <c r="V5307" s="533"/>
      <c r="W5307" s="533"/>
      <c r="X5307" s="533"/>
      <c r="Y5307" s="533"/>
    </row>
    <row r="5308" spans="1:25" s="88" customFormat="1" ht="15.75" customHeight="1" x14ac:dyDescent="0.25">
      <c r="A5308" s="509"/>
      <c r="B5308" s="256"/>
      <c r="C5308" s="316"/>
      <c r="D5308" s="251"/>
      <c r="E5308" s="251"/>
      <c r="F5308" s="257"/>
      <c r="G5308" s="518"/>
      <c r="H5308" s="627"/>
      <c r="I5308" s="610"/>
      <c r="J5308" s="628"/>
      <c r="K5308" s="533"/>
      <c r="L5308" s="533"/>
      <c r="M5308" s="533"/>
      <c r="N5308" s="533"/>
      <c r="O5308" s="533"/>
      <c r="P5308" s="533"/>
      <c r="Q5308" s="533"/>
      <c r="R5308" s="533"/>
      <c r="S5308" s="533"/>
      <c r="T5308" s="533"/>
      <c r="U5308" s="533"/>
      <c r="V5308" s="533"/>
      <c r="W5308" s="533"/>
      <c r="X5308" s="533"/>
      <c r="Y5308" s="533"/>
    </row>
    <row r="5309" spans="1:25" s="88" customFormat="1" ht="15.75" customHeight="1" x14ac:dyDescent="0.25">
      <c r="A5309" s="509"/>
      <c r="B5309" s="256"/>
      <c r="C5309" s="279">
        <v>912</v>
      </c>
      <c r="D5309" s="281"/>
      <c r="E5309" s="282"/>
      <c r="F5309" s="282"/>
      <c r="G5309" s="283" t="s">
        <v>5181</v>
      </c>
      <c r="H5309" s="629"/>
      <c r="I5309" s="630"/>
      <c r="J5309" s="593"/>
      <c r="K5309" s="533"/>
      <c r="L5309" s="533"/>
      <c r="M5309" s="533"/>
      <c r="N5309" s="533"/>
      <c r="O5309" s="533"/>
      <c r="P5309" s="533"/>
      <c r="Q5309" s="533"/>
      <c r="R5309" s="533"/>
      <c r="S5309" s="533"/>
      <c r="T5309" s="533"/>
      <c r="U5309" s="533"/>
      <c r="V5309" s="533"/>
      <c r="W5309" s="533"/>
      <c r="X5309" s="533"/>
      <c r="Y5309" s="533"/>
    </row>
    <row r="5310" spans="1:25" s="88" customFormat="1" ht="15.75" customHeight="1" x14ac:dyDescent="0.25">
      <c r="A5310" s="509"/>
      <c r="B5310" s="256"/>
      <c r="C5310" s="228" t="s">
        <v>3590</v>
      </c>
      <c r="D5310" s="218"/>
      <c r="E5310" s="218"/>
      <c r="F5310" s="218"/>
      <c r="G5310" s="518" t="s">
        <v>4356</v>
      </c>
      <c r="H5310" s="594"/>
      <c r="I5310" s="595"/>
      <c r="J5310" s="595"/>
      <c r="K5310" s="533"/>
      <c r="L5310" s="533"/>
      <c r="M5310" s="533"/>
      <c r="N5310" s="533"/>
      <c r="O5310" s="533"/>
      <c r="P5310" s="533"/>
      <c r="Q5310" s="533"/>
      <c r="R5310" s="533"/>
      <c r="S5310" s="533"/>
      <c r="T5310" s="533"/>
      <c r="U5310" s="533"/>
      <c r="V5310" s="533"/>
      <c r="W5310" s="533"/>
      <c r="X5310" s="533"/>
      <c r="Y5310" s="533"/>
    </row>
    <row r="5311" spans="1:25" s="88" customFormat="1" ht="15.75" customHeight="1" x14ac:dyDescent="0.25">
      <c r="A5311" s="509"/>
      <c r="B5311" s="256"/>
      <c r="C5311" s="228" t="s">
        <v>4131</v>
      </c>
      <c r="D5311" s="219"/>
      <c r="E5311" s="218"/>
      <c r="F5311" s="218"/>
      <c r="G5311" s="518" t="s">
        <v>4126</v>
      </c>
      <c r="H5311" s="594"/>
      <c r="I5311" s="595"/>
      <c r="J5311" s="595"/>
      <c r="K5311" s="533"/>
      <c r="L5311" s="533"/>
      <c r="M5311" s="533"/>
      <c r="N5311" s="533"/>
      <c r="O5311" s="533"/>
      <c r="P5311" s="533"/>
      <c r="Q5311" s="533"/>
      <c r="R5311" s="533"/>
      <c r="S5311" s="533"/>
      <c r="T5311" s="533"/>
      <c r="U5311" s="533"/>
      <c r="V5311" s="533"/>
      <c r="W5311" s="533"/>
      <c r="X5311" s="533"/>
      <c r="Y5311" s="533"/>
    </row>
    <row r="5312" spans="1:25" s="88" customFormat="1" ht="15.75" customHeight="1" x14ac:dyDescent="0.25">
      <c r="A5312" s="509"/>
      <c r="B5312" s="256"/>
      <c r="C5312" s="228"/>
      <c r="D5312" s="312">
        <v>912</v>
      </c>
      <c r="E5312" s="312"/>
      <c r="F5312" s="312"/>
      <c r="G5312" s="313" t="s">
        <v>215</v>
      </c>
      <c r="H5312" s="594"/>
      <c r="I5312" s="595"/>
      <c r="J5312" s="595"/>
      <c r="K5312" s="533"/>
      <c r="L5312" s="533"/>
      <c r="M5312" s="533"/>
      <c r="N5312" s="533"/>
      <c r="O5312" s="533"/>
      <c r="P5312" s="533"/>
      <c r="Q5312" s="533"/>
      <c r="R5312" s="533"/>
      <c r="S5312" s="533"/>
      <c r="T5312" s="533"/>
      <c r="U5312" s="533"/>
      <c r="V5312" s="533"/>
      <c r="W5312" s="533"/>
      <c r="X5312" s="533"/>
      <c r="Y5312" s="533"/>
    </row>
    <row r="5313" spans="1:25" s="88" customFormat="1" ht="15.75" customHeight="1" x14ac:dyDescent="0.25">
      <c r="A5313" s="509"/>
      <c r="B5313" s="256"/>
      <c r="C5313" s="221"/>
      <c r="D5313" s="218"/>
      <c r="E5313" s="218">
        <v>61</v>
      </c>
      <c r="F5313" s="527">
        <v>4631</v>
      </c>
      <c r="G5313" s="520" t="s">
        <v>3827</v>
      </c>
      <c r="H5313" s="594">
        <v>26400000</v>
      </c>
      <c r="I5313" s="595"/>
      <c r="J5313" s="595">
        <f>SUM(H5313:I5313)</f>
        <v>26400000</v>
      </c>
      <c r="K5313" s="533"/>
      <c r="L5313" s="533"/>
      <c r="M5313" s="533"/>
      <c r="N5313" s="533"/>
      <c r="O5313" s="533"/>
      <c r="P5313" s="533"/>
      <c r="Q5313" s="533"/>
      <c r="R5313" s="533"/>
      <c r="S5313" s="533"/>
      <c r="T5313" s="533"/>
      <c r="U5313" s="533"/>
      <c r="V5313" s="533"/>
      <c r="W5313" s="533"/>
      <c r="X5313" s="533"/>
      <c r="Y5313" s="533"/>
    </row>
    <row r="5314" spans="1:25" s="88" customFormat="1" ht="15.75" customHeight="1" x14ac:dyDescent="0.25">
      <c r="A5314" s="509"/>
      <c r="B5314" s="256"/>
      <c r="C5314" s="221"/>
      <c r="D5314" s="218"/>
      <c r="E5314" s="218">
        <v>62</v>
      </c>
      <c r="F5314" s="527">
        <v>4632</v>
      </c>
      <c r="G5314" s="520" t="s">
        <v>3828</v>
      </c>
      <c r="H5314" s="594">
        <v>600000</v>
      </c>
      <c r="I5314" s="595"/>
      <c r="J5314" s="595">
        <f t="shared" ref="J5314:J5344" si="163">SUM(H5314:I5314)</f>
        <v>600000</v>
      </c>
      <c r="K5314" s="533"/>
      <c r="L5314" s="533"/>
      <c r="M5314" s="533"/>
      <c r="N5314" s="533"/>
      <c r="O5314" s="533"/>
      <c r="P5314" s="533"/>
      <c r="Q5314" s="533"/>
      <c r="R5314" s="533"/>
      <c r="S5314" s="533"/>
      <c r="T5314" s="533"/>
      <c r="U5314" s="533"/>
      <c r="V5314" s="533"/>
      <c r="W5314" s="533"/>
      <c r="X5314" s="533"/>
      <c r="Y5314" s="533"/>
    </row>
    <row r="5315" spans="1:25" s="88" customFormat="1" ht="15.75" hidden="1" customHeight="1" x14ac:dyDescent="0.25">
      <c r="A5315" s="509"/>
      <c r="B5315" s="256"/>
      <c r="C5315" s="221"/>
      <c r="D5315" s="218"/>
      <c r="E5315" s="218"/>
      <c r="F5315" s="527">
        <v>413</v>
      </c>
      <c r="G5315" s="520" t="s">
        <v>4190</v>
      </c>
      <c r="H5315" s="594"/>
      <c r="I5315" s="595"/>
      <c r="J5315" s="595">
        <f t="shared" si="163"/>
        <v>0</v>
      </c>
      <c r="K5315" s="533"/>
      <c r="L5315" s="533"/>
      <c r="M5315" s="533"/>
      <c r="N5315" s="533"/>
      <c r="O5315" s="533"/>
      <c r="P5315" s="533"/>
      <c r="Q5315" s="533"/>
      <c r="R5315" s="533"/>
      <c r="S5315" s="533"/>
      <c r="T5315" s="533"/>
      <c r="U5315" s="533"/>
      <c r="V5315" s="533"/>
      <c r="W5315" s="533"/>
      <c r="X5315" s="533"/>
      <c r="Y5315" s="533"/>
    </row>
    <row r="5316" spans="1:25" s="88" customFormat="1" ht="15.75" customHeight="1" x14ac:dyDescent="0.25">
      <c r="A5316" s="509"/>
      <c r="B5316" s="256"/>
      <c r="C5316" s="221"/>
      <c r="D5316" s="218"/>
      <c r="E5316" s="218"/>
      <c r="F5316" s="527">
        <v>414</v>
      </c>
      <c r="G5316" s="520" t="s">
        <v>5169</v>
      </c>
      <c r="H5316" s="594"/>
      <c r="I5316" s="595"/>
      <c r="J5316" s="595">
        <f t="shared" si="163"/>
        <v>0</v>
      </c>
      <c r="K5316" s="533"/>
      <c r="L5316" s="533"/>
      <c r="M5316" s="533"/>
      <c r="N5316" s="533"/>
      <c r="O5316" s="533"/>
      <c r="P5316" s="533"/>
      <c r="Q5316" s="533"/>
      <c r="R5316" s="533"/>
      <c r="S5316" s="533"/>
      <c r="T5316" s="533"/>
      <c r="U5316" s="533"/>
      <c r="V5316" s="533"/>
      <c r="W5316" s="533"/>
      <c r="X5316" s="533"/>
      <c r="Y5316" s="533"/>
    </row>
    <row r="5317" spans="1:25" s="88" customFormat="1" ht="15.75" customHeight="1" x14ac:dyDescent="0.25">
      <c r="A5317" s="509"/>
      <c r="B5317" s="256"/>
      <c r="C5317" s="221"/>
      <c r="D5317" s="218"/>
      <c r="E5317" s="218"/>
      <c r="F5317" s="527">
        <v>415</v>
      </c>
      <c r="G5317" s="520" t="s">
        <v>5170</v>
      </c>
      <c r="H5317" s="594"/>
      <c r="I5317" s="595"/>
      <c r="J5317" s="595">
        <f t="shared" si="163"/>
        <v>0</v>
      </c>
      <c r="K5317" s="533"/>
      <c r="L5317" s="533"/>
      <c r="M5317" s="533"/>
      <c r="N5317" s="533"/>
      <c r="O5317" s="533"/>
      <c r="P5317" s="533"/>
      <c r="Q5317" s="533"/>
      <c r="R5317" s="533"/>
      <c r="S5317" s="533"/>
      <c r="T5317" s="533"/>
      <c r="U5317" s="533"/>
      <c r="V5317" s="533"/>
      <c r="W5317" s="533"/>
      <c r="X5317" s="533"/>
      <c r="Y5317" s="533"/>
    </row>
    <row r="5318" spans="1:25" s="88" customFormat="1" ht="15.75" customHeight="1" x14ac:dyDescent="0.25">
      <c r="A5318" s="509"/>
      <c r="B5318" s="256"/>
      <c r="C5318" s="221"/>
      <c r="D5318" s="218"/>
      <c r="E5318" s="218"/>
      <c r="F5318" s="527">
        <v>416</v>
      </c>
      <c r="G5318" s="520" t="s">
        <v>5171</v>
      </c>
      <c r="H5318" s="594"/>
      <c r="I5318" s="595"/>
      <c r="J5318" s="595">
        <f t="shared" si="163"/>
        <v>0</v>
      </c>
      <c r="K5318" s="533"/>
      <c r="L5318" s="533"/>
      <c r="M5318" s="533"/>
      <c r="N5318" s="533"/>
      <c r="O5318" s="533"/>
      <c r="P5318" s="533"/>
      <c r="Q5318" s="533"/>
      <c r="R5318" s="533"/>
      <c r="S5318" s="533"/>
      <c r="T5318" s="533"/>
      <c r="U5318" s="533"/>
      <c r="V5318" s="533"/>
      <c r="W5318" s="533"/>
      <c r="X5318" s="533"/>
      <c r="Y5318" s="533"/>
    </row>
    <row r="5319" spans="1:25" s="88" customFormat="1" ht="15.75" hidden="1" customHeight="1" x14ac:dyDescent="0.25">
      <c r="A5319" s="509"/>
      <c r="B5319" s="256"/>
      <c r="C5319" s="221"/>
      <c r="D5319" s="218"/>
      <c r="E5319" s="218"/>
      <c r="F5319" s="527">
        <v>417</v>
      </c>
      <c r="G5319" s="520" t="s">
        <v>4201</v>
      </c>
      <c r="H5319" s="594"/>
      <c r="I5319" s="595"/>
      <c r="J5319" s="595">
        <f t="shared" si="163"/>
        <v>0</v>
      </c>
      <c r="K5319" s="533"/>
      <c r="L5319" s="533"/>
      <c r="M5319" s="533"/>
      <c r="N5319" s="533"/>
      <c r="O5319" s="533"/>
      <c r="P5319" s="533"/>
      <c r="Q5319" s="533"/>
      <c r="R5319" s="533"/>
      <c r="S5319" s="533"/>
      <c r="T5319" s="533"/>
      <c r="U5319" s="533"/>
      <c r="V5319" s="533"/>
      <c r="W5319" s="533"/>
      <c r="X5319" s="533"/>
      <c r="Y5319" s="533"/>
    </row>
    <row r="5320" spans="1:25" s="88" customFormat="1" ht="15.75" hidden="1" customHeight="1" x14ac:dyDescent="0.25">
      <c r="A5320" s="509"/>
      <c r="B5320" s="256"/>
      <c r="C5320" s="221"/>
      <c r="D5320" s="218"/>
      <c r="E5320" s="218"/>
      <c r="F5320" s="527">
        <v>418</v>
      </c>
      <c r="G5320" s="520" t="s">
        <v>3793</v>
      </c>
      <c r="H5320" s="594"/>
      <c r="I5320" s="595"/>
      <c r="J5320" s="595">
        <f t="shared" si="163"/>
        <v>0</v>
      </c>
      <c r="K5320" s="533"/>
      <c r="L5320" s="533"/>
      <c r="M5320" s="533"/>
      <c r="N5320" s="533"/>
      <c r="O5320" s="533"/>
      <c r="P5320" s="533"/>
      <c r="Q5320" s="533"/>
      <c r="R5320" s="533"/>
      <c r="S5320" s="533"/>
      <c r="T5320" s="533"/>
      <c r="U5320" s="533"/>
      <c r="V5320" s="533"/>
      <c r="W5320" s="533"/>
      <c r="X5320" s="533"/>
      <c r="Y5320" s="533"/>
    </row>
    <row r="5321" spans="1:25" s="88" customFormat="1" ht="15.75" customHeight="1" x14ac:dyDescent="0.25">
      <c r="A5321" s="509"/>
      <c r="B5321" s="256"/>
      <c r="C5321" s="221"/>
      <c r="D5321" s="218"/>
      <c r="E5321" s="218"/>
      <c r="F5321" s="527">
        <v>421</v>
      </c>
      <c r="G5321" s="520" t="s">
        <v>5172</v>
      </c>
      <c r="H5321" s="594"/>
      <c r="I5321" s="595"/>
      <c r="J5321" s="595">
        <f t="shared" si="163"/>
        <v>0</v>
      </c>
      <c r="K5321" s="533"/>
      <c r="L5321" s="533"/>
      <c r="M5321" s="533"/>
      <c r="N5321" s="533"/>
      <c r="O5321" s="533"/>
      <c r="P5321" s="533"/>
      <c r="Q5321" s="533"/>
      <c r="R5321" s="533"/>
      <c r="S5321" s="533"/>
      <c r="T5321" s="533"/>
      <c r="U5321" s="533"/>
      <c r="V5321" s="533"/>
      <c r="W5321" s="533"/>
      <c r="X5321" s="533"/>
      <c r="Y5321" s="533"/>
    </row>
    <row r="5322" spans="1:25" s="88" customFormat="1" ht="15.75" customHeight="1" x14ac:dyDescent="0.25">
      <c r="A5322" s="509"/>
      <c r="B5322" s="256"/>
      <c r="C5322" s="221"/>
      <c r="D5322" s="218"/>
      <c r="E5322" s="218"/>
      <c r="F5322" s="527">
        <v>422</v>
      </c>
      <c r="G5322" s="520" t="s">
        <v>5173</v>
      </c>
      <c r="H5322" s="594"/>
      <c r="I5322" s="595"/>
      <c r="J5322" s="595">
        <f t="shared" si="163"/>
        <v>0</v>
      </c>
      <c r="K5322" s="533"/>
      <c r="L5322" s="533"/>
      <c r="M5322" s="533"/>
      <c r="N5322" s="533"/>
      <c r="O5322" s="533"/>
      <c r="P5322" s="533"/>
      <c r="Q5322" s="533"/>
      <c r="R5322" s="533"/>
      <c r="S5322" s="533"/>
      <c r="T5322" s="533"/>
      <c r="U5322" s="533"/>
      <c r="V5322" s="533"/>
      <c r="W5322" s="533"/>
      <c r="X5322" s="533"/>
      <c r="Y5322" s="533"/>
    </row>
    <row r="5323" spans="1:25" s="88" customFormat="1" ht="15.75" customHeight="1" x14ac:dyDescent="0.25">
      <c r="A5323" s="509"/>
      <c r="B5323" s="256"/>
      <c r="C5323" s="221"/>
      <c r="D5323" s="218"/>
      <c r="E5323" s="218"/>
      <c r="F5323" s="527">
        <v>423</v>
      </c>
      <c r="G5323" s="520" t="s">
        <v>5174</v>
      </c>
      <c r="H5323" s="594"/>
      <c r="I5323" s="595"/>
      <c r="J5323" s="595">
        <f t="shared" si="163"/>
        <v>0</v>
      </c>
      <c r="K5323" s="533"/>
      <c r="L5323" s="533"/>
      <c r="M5323" s="533"/>
      <c r="N5323" s="533"/>
      <c r="O5323" s="533"/>
      <c r="P5323" s="533"/>
      <c r="Q5323" s="533"/>
      <c r="R5323" s="533"/>
      <c r="S5323" s="533"/>
      <c r="T5323" s="533"/>
      <c r="U5323" s="533"/>
      <c r="V5323" s="533"/>
      <c r="W5323" s="533"/>
      <c r="X5323" s="533"/>
      <c r="Y5323" s="533"/>
    </row>
    <row r="5324" spans="1:25" s="88" customFormat="1" ht="15.75" customHeight="1" x14ac:dyDescent="0.25">
      <c r="A5324" s="509"/>
      <c r="B5324" s="256"/>
      <c r="C5324" s="221"/>
      <c r="D5324" s="218"/>
      <c r="E5324" s="218"/>
      <c r="F5324" s="527">
        <v>424</v>
      </c>
      <c r="G5324" s="520" t="s">
        <v>5175</v>
      </c>
      <c r="H5324" s="594"/>
      <c r="I5324" s="595"/>
      <c r="J5324" s="595">
        <f t="shared" si="163"/>
        <v>0</v>
      </c>
      <c r="K5324" s="533"/>
      <c r="L5324" s="533"/>
      <c r="M5324" s="533"/>
      <c r="N5324" s="533"/>
      <c r="O5324" s="533"/>
      <c r="P5324" s="533"/>
      <c r="Q5324" s="533"/>
      <c r="R5324" s="533"/>
      <c r="S5324" s="533"/>
      <c r="T5324" s="533"/>
      <c r="U5324" s="533"/>
      <c r="V5324" s="533"/>
      <c r="W5324" s="533"/>
      <c r="X5324" s="533"/>
      <c r="Y5324" s="533"/>
    </row>
    <row r="5325" spans="1:25" s="88" customFormat="1" ht="15.75" customHeight="1" x14ac:dyDescent="0.25">
      <c r="A5325" s="509"/>
      <c r="B5325" s="256"/>
      <c r="C5325" s="221"/>
      <c r="D5325" s="218"/>
      <c r="E5325" s="218"/>
      <c r="F5325" s="527">
        <v>425</v>
      </c>
      <c r="G5325" s="520" t="s">
        <v>5176</v>
      </c>
      <c r="H5325" s="594"/>
      <c r="I5325" s="595"/>
      <c r="J5325" s="595">
        <f t="shared" si="163"/>
        <v>0</v>
      </c>
      <c r="K5325" s="533"/>
      <c r="L5325" s="533"/>
      <c r="M5325" s="533"/>
      <c r="N5325" s="533"/>
      <c r="O5325" s="533"/>
      <c r="P5325" s="533"/>
      <c r="Q5325" s="533"/>
      <c r="R5325" s="533"/>
      <c r="S5325" s="533"/>
      <c r="T5325" s="533"/>
      <c r="U5325" s="533"/>
      <c r="V5325" s="533"/>
      <c r="W5325" s="533"/>
      <c r="X5325" s="533"/>
      <c r="Y5325" s="533"/>
    </row>
    <row r="5326" spans="1:25" s="88" customFormat="1" ht="15.75" customHeight="1" x14ac:dyDescent="0.25">
      <c r="A5326" s="509"/>
      <c r="B5326" s="256"/>
      <c r="C5326" s="221"/>
      <c r="D5326" s="218"/>
      <c r="E5326" s="218"/>
      <c r="F5326" s="527">
        <v>426</v>
      </c>
      <c r="G5326" s="520" t="s">
        <v>5177</v>
      </c>
      <c r="H5326" s="594"/>
      <c r="I5326" s="595"/>
      <c r="J5326" s="595">
        <f t="shared" si="163"/>
        <v>0</v>
      </c>
      <c r="K5326" s="533"/>
      <c r="L5326" s="533"/>
      <c r="M5326" s="533"/>
      <c r="N5326" s="533"/>
      <c r="O5326" s="533"/>
      <c r="P5326" s="533"/>
      <c r="Q5326" s="533"/>
      <c r="R5326" s="533"/>
      <c r="S5326" s="533"/>
      <c r="T5326" s="533"/>
      <c r="U5326" s="533"/>
      <c r="V5326" s="533"/>
      <c r="W5326" s="533"/>
      <c r="X5326" s="533"/>
      <c r="Y5326" s="533"/>
    </row>
    <row r="5327" spans="1:25" s="88" customFormat="1" ht="15.75" hidden="1" customHeight="1" x14ac:dyDescent="0.25">
      <c r="A5327" s="509"/>
      <c r="B5327" s="256"/>
      <c r="C5327" s="221"/>
      <c r="D5327" s="218"/>
      <c r="E5327" s="218"/>
      <c r="F5327" s="527">
        <v>431</v>
      </c>
      <c r="G5327" s="520" t="s">
        <v>4203</v>
      </c>
      <c r="H5327" s="594"/>
      <c r="I5327" s="595"/>
      <c r="J5327" s="595">
        <f t="shared" si="163"/>
        <v>0</v>
      </c>
      <c r="K5327" s="533"/>
      <c r="L5327" s="533"/>
      <c r="M5327" s="533"/>
      <c r="N5327" s="533"/>
      <c r="O5327" s="533"/>
      <c r="P5327" s="533"/>
      <c r="Q5327" s="533"/>
      <c r="R5327" s="533"/>
      <c r="S5327" s="533"/>
      <c r="T5327" s="533"/>
      <c r="U5327" s="533"/>
      <c r="V5327" s="533"/>
      <c r="W5327" s="533"/>
      <c r="X5327" s="533"/>
      <c r="Y5327" s="533"/>
    </row>
    <row r="5328" spans="1:25" s="88" customFormat="1" ht="15.75" hidden="1" customHeight="1" x14ac:dyDescent="0.25">
      <c r="A5328" s="509"/>
      <c r="B5328" s="256"/>
      <c r="C5328" s="221"/>
      <c r="D5328" s="218"/>
      <c r="E5328" s="218"/>
      <c r="F5328" s="527">
        <v>432</v>
      </c>
      <c r="G5328" s="520" t="s">
        <v>4204</v>
      </c>
      <c r="H5328" s="594"/>
      <c r="I5328" s="595"/>
      <c r="J5328" s="595">
        <f t="shared" si="163"/>
        <v>0</v>
      </c>
      <c r="K5328" s="533"/>
      <c r="L5328" s="533"/>
      <c r="M5328" s="533"/>
      <c r="N5328" s="533"/>
      <c r="O5328" s="533"/>
      <c r="P5328" s="533"/>
      <c r="Q5328" s="533"/>
      <c r="R5328" s="533"/>
      <c r="S5328" s="533"/>
      <c r="T5328" s="533"/>
      <c r="U5328" s="533"/>
      <c r="V5328" s="533"/>
      <c r="W5328" s="533"/>
      <c r="X5328" s="533"/>
      <c r="Y5328" s="533"/>
    </row>
    <row r="5329" spans="1:25" s="88" customFormat="1" ht="15.75" hidden="1" customHeight="1" x14ac:dyDescent="0.25">
      <c r="A5329" s="509"/>
      <c r="B5329" s="256"/>
      <c r="C5329" s="221"/>
      <c r="D5329" s="218"/>
      <c r="E5329" s="218"/>
      <c r="F5329" s="527">
        <v>433</v>
      </c>
      <c r="G5329" s="520" t="s">
        <v>4205</v>
      </c>
      <c r="H5329" s="594"/>
      <c r="I5329" s="595"/>
      <c r="J5329" s="595">
        <f t="shared" si="163"/>
        <v>0</v>
      </c>
      <c r="K5329" s="533"/>
      <c r="L5329" s="533"/>
      <c r="M5329" s="533"/>
      <c r="N5329" s="533"/>
      <c r="O5329" s="533"/>
      <c r="P5329" s="533"/>
      <c r="Q5329" s="533"/>
      <c r="R5329" s="533"/>
      <c r="S5329" s="533"/>
      <c r="T5329" s="533"/>
      <c r="U5329" s="533"/>
      <c r="V5329" s="533"/>
      <c r="W5329" s="533"/>
      <c r="X5329" s="533"/>
      <c r="Y5329" s="533"/>
    </row>
    <row r="5330" spans="1:25" s="88" customFormat="1" ht="15.75" hidden="1" customHeight="1" x14ac:dyDescent="0.25">
      <c r="A5330" s="509"/>
      <c r="B5330" s="256"/>
      <c r="C5330" s="221"/>
      <c r="D5330" s="218"/>
      <c r="E5330" s="218"/>
      <c r="F5330" s="527">
        <v>434</v>
      </c>
      <c r="G5330" s="520" t="s">
        <v>4206</v>
      </c>
      <c r="H5330" s="594"/>
      <c r="I5330" s="595"/>
      <c r="J5330" s="595">
        <f t="shared" si="163"/>
        <v>0</v>
      </c>
      <c r="K5330" s="533"/>
      <c r="L5330" s="533"/>
      <c r="M5330" s="533"/>
      <c r="N5330" s="533"/>
      <c r="O5330" s="533"/>
      <c r="P5330" s="533"/>
      <c r="Q5330" s="533"/>
      <c r="R5330" s="533"/>
      <c r="S5330" s="533"/>
      <c r="T5330" s="533"/>
      <c r="U5330" s="533"/>
      <c r="V5330" s="533"/>
      <c r="W5330" s="533"/>
      <c r="X5330" s="533"/>
      <c r="Y5330" s="533"/>
    </row>
    <row r="5331" spans="1:25" s="88" customFormat="1" ht="15.75" hidden="1" customHeight="1" x14ac:dyDescent="0.25">
      <c r="A5331" s="509"/>
      <c r="B5331" s="256"/>
      <c r="C5331" s="221"/>
      <c r="D5331" s="218"/>
      <c r="E5331" s="218"/>
      <c r="F5331" s="527">
        <v>435</v>
      </c>
      <c r="G5331" s="520" t="s">
        <v>3812</v>
      </c>
      <c r="H5331" s="594"/>
      <c r="I5331" s="595"/>
      <c r="J5331" s="595">
        <f t="shared" si="163"/>
        <v>0</v>
      </c>
      <c r="K5331" s="533"/>
      <c r="L5331" s="533"/>
      <c r="M5331" s="533"/>
      <c r="N5331" s="533"/>
      <c r="O5331" s="533"/>
      <c r="P5331" s="533"/>
      <c r="Q5331" s="533"/>
      <c r="R5331" s="533"/>
      <c r="S5331" s="533"/>
      <c r="T5331" s="533"/>
      <c r="U5331" s="533"/>
      <c r="V5331" s="533"/>
      <c r="W5331" s="533"/>
      <c r="X5331" s="533"/>
      <c r="Y5331" s="533"/>
    </row>
    <row r="5332" spans="1:25" s="88" customFormat="1" ht="15.75" hidden="1" customHeight="1" x14ac:dyDescent="0.25">
      <c r="A5332" s="509"/>
      <c r="B5332" s="256"/>
      <c r="C5332" s="221"/>
      <c r="D5332" s="218"/>
      <c r="E5332" s="218"/>
      <c r="F5332" s="527">
        <v>441</v>
      </c>
      <c r="G5332" s="520" t="s">
        <v>4207</v>
      </c>
      <c r="H5332" s="594"/>
      <c r="I5332" s="595"/>
      <c r="J5332" s="595">
        <f t="shared" si="163"/>
        <v>0</v>
      </c>
      <c r="K5332" s="533"/>
      <c r="L5332" s="533"/>
      <c r="M5332" s="533"/>
      <c r="N5332" s="533"/>
      <c r="O5332" s="533"/>
      <c r="P5332" s="533"/>
      <c r="Q5332" s="533"/>
      <c r="R5332" s="533"/>
      <c r="S5332" s="533"/>
      <c r="T5332" s="533"/>
      <c r="U5332" s="533"/>
      <c r="V5332" s="533"/>
      <c r="W5332" s="533"/>
      <c r="X5332" s="533"/>
      <c r="Y5332" s="533"/>
    </row>
    <row r="5333" spans="1:25" s="88" customFormat="1" ht="15.75" hidden="1" customHeight="1" x14ac:dyDescent="0.25">
      <c r="A5333" s="509"/>
      <c r="B5333" s="256"/>
      <c r="C5333" s="221"/>
      <c r="D5333" s="218"/>
      <c r="E5333" s="218"/>
      <c r="F5333" s="527">
        <v>442</v>
      </c>
      <c r="G5333" s="520" t="s">
        <v>4208</v>
      </c>
      <c r="H5333" s="594"/>
      <c r="I5333" s="595"/>
      <c r="J5333" s="595">
        <f t="shared" si="163"/>
        <v>0</v>
      </c>
      <c r="K5333" s="533"/>
      <c r="L5333" s="533"/>
      <c r="M5333" s="533"/>
      <c r="N5333" s="533"/>
      <c r="O5333" s="533"/>
      <c r="P5333" s="533"/>
      <c r="Q5333" s="533"/>
      <c r="R5333" s="533"/>
      <c r="S5333" s="533"/>
      <c r="T5333" s="533"/>
      <c r="U5333" s="533"/>
      <c r="V5333" s="533"/>
      <c r="W5333" s="533"/>
      <c r="X5333" s="533"/>
      <c r="Y5333" s="533"/>
    </row>
    <row r="5334" spans="1:25" s="88" customFormat="1" ht="15.75" hidden="1" customHeight="1" x14ac:dyDescent="0.25">
      <c r="A5334" s="509"/>
      <c r="B5334" s="256"/>
      <c r="C5334" s="221"/>
      <c r="D5334" s="218"/>
      <c r="E5334" s="218"/>
      <c r="F5334" s="527">
        <v>443</v>
      </c>
      <c r="G5334" s="520" t="s">
        <v>3817</v>
      </c>
      <c r="H5334" s="594"/>
      <c r="I5334" s="595"/>
      <c r="J5334" s="595">
        <f t="shared" si="163"/>
        <v>0</v>
      </c>
      <c r="K5334" s="533"/>
      <c r="L5334" s="533"/>
      <c r="M5334" s="533"/>
      <c r="N5334" s="533"/>
      <c r="O5334" s="533"/>
      <c r="P5334" s="533"/>
      <c r="Q5334" s="533"/>
      <c r="R5334" s="533"/>
      <c r="S5334" s="533"/>
      <c r="T5334" s="533"/>
      <c r="U5334" s="533"/>
      <c r="V5334" s="533"/>
      <c r="W5334" s="533"/>
      <c r="X5334" s="533"/>
      <c r="Y5334" s="533"/>
    </row>
    <row r="5335" spans="1:25" s="88" customFormat="1" ht="15.75" hidden="1" customHeight="1" x14ac:dyDescent="0.25">
      <c r="A5335" s="509"/>
      <c r="B5335" s="256"/>
      <c r="C5335" s="221"/>
      <c r="D5335" s="218"/>
      <c r="E5335" s="218"/>
      <c r="F5335" s="527">
        <v>444</v>
      </c>
      <c r="G5335" s="520" t="s">
        <v>3818</v>
      </c>
      <c r="H5335" s="594"/>
      <c r="I5335" s="595"/>
      <c r="J5335" s="595">
        <f t="shared" si="163"/>
        <v>0</v>
      </c>
      <c r="K5335" s="533"/>
      <c r="L5335" s="533"/>
      <c r="M5335" s="533"/>
      <c r="N5335" s="533"/>
      <c r="O5335" s="533"/>
      <c r="P5335" s="533"/>
      <c r="Q5335" s="533"/>
      <c r="R5335" s="533"/>
      <c r="S5335" s="533"/>
      <c r="T5335" s="533"/>
      <c r="U5335" s="533"/>
      <c r="V5335" s="533"/>
      <c r="W5335" s="533"/>
      <c r="X5335" s="533"/>
      <c r="Y5335" s="533"/>
    </row>
    <row r="5336" spans="1:25" s="88" customFormat="1" ht="15.75" hidden="1" customHeight="1" x14ac:dyDescent="0.25">
      <c r="A5336" s="509"/>
      <c r="B5336" s="256"/>
      <c r="C5336" s="221"/>
      <c r="D5336" s="218"/>
      <c r="E5336" s="218"/>
      <c r="F5336" s="527">
        <v>4511</v>
      </c>
      <c r="G5336" s="223" t="s">
        <v>1692</v>
      </c>
      <c r="H5336" s="594"/>
      <c r="I5336" s="595"/>
      <c r="J5336" s="595">
        <f t="shared" si="163"/>
        <v>0</v>
      </c>
      <c r="K5336" s="533"/>
      <c r="L5336" s="533"/>
      <c r="M5336" s="533"/>
      <c r="N5336" s="533"/>
      <c r="O5336" s="533"/>
      <c r="P5336" s="533"/>
      <c r="Q5336" s="533"/>
      <c r="R5336" s="533"/>
      <c r="S5336" s="533"/>
      <c r="T5336" s="533"/>
      <c r="U5336" s="533"/>
      <c r="V5336" s="533"/>
      <c r="W5336" s="533"/>
      <c r="X5336" s="533"/>
      <c r="Y5336" s="533"/>
    </row>
    <row r="5337" spans="1:25" s="88" customFormat="1" ht="15.75" hidden="1" customHeight="1" x14ac:dyDescent="0.25">
      <c r="A5337" s="509"/>
      <c r="B5337" s="256"/>
      <c r="C5337" s="221"/>
      <c r="D5337" s="218"/>
      <c r="E5337" s="218"/>
      <c r="F5337" s="527">
        <v>4512</v>
      </c>
      <c r="G5337" s="223" t="s">
        <v>1701</v>
      </c>
      <c r="H5337" s="594"/>
      <c r="I5337" s="595"/>
      <c r="J5337" s="595">
        <f t="shared" si="163"/>
        <v>0</v>
      </c>
      <c r="K5337" s="533"/>
      <c r="L5337" s="533"/>
      <c r="M5337" s="533"/>
      <c r="N5337" s="533"/>
      <c r="O5337" s="533"/>
      <c r="P5337" s="533"/>
      <c r="Q5337" s="533"/>
      <c r="R5337" s="533"/>
      <c r="S5337" s="533"/>
      <c r="T5337" s="533"/>
      <c r="U5337" s="533"/>
      <c r="V5337" s="533"/>
      <c r="W5337" s="533"/>
      <c r="X5337" s="533"/>
      <c r="Y5337" s="533"/>
    </row>
    <row r="5338" spans="1:25" s="88" customFormat="1" ht="15.75" hidden="1" customHeight="1" x14ac:dyDescent="0.25">
      <c r="A5338" s="509"/>
      <c r="B5338" s="256"/>
      <c r="C5338" s="221"/>
      <c r="D5338" s="218"/>
      <c r="E5338" s="218"/>
      <c r="F5338" s="527">
        <v>452</v>
      </c>
      <c r="G5338" s="520" t="s">
        <v>4209</v>
      </c>
      <c r="H5338" s="594"/>
      <c r="I5338" s="595"/>
      <c r="J5338" s="595">
        <f t="shared" si="163"/>
        <v>0</v>
      </c>
      <c r="K5338" s="533"/>
      <c r="L5338" s="533"/>
      <c r="M5338" s="533"/>
      <c r="N5338" s="533"/>
      <c r="O5338" s="533"/>
      <c r="P5338" s="533"/>
      <c r="Q5338" s="533"/>
      <c r="R5338" s="533"/>
      <c r="S5338" s="533"/>
      <c r="T5338" s="533"/>
      <c r="U5338" s="533"/>
      <c r="V5338" s="533"/>
      <c r="W5338" s="533"/>
      <c r="X5338" s="533"/>
      <c r="Y5338" s="533"/>
    </row>
    <row r="5339" spans="1:25" s="88" customFormat="1" ht="15.75" hidden="1" customHeight="1" x14ac:dyDescent="0.25">
      <c r="A5339" s="509"/>
      <c r="B5339" s="256"/>
      <c r="C5339" s="221"/>
      <c r="D5339" s="218"/>
      <c r="E5339" s="218"/>
      <c r="F5339" s="527">
        <v>453</v>
      </c>
      <c r="G5339" s="520" t="s">
        <v>4210</v>
      </c>
      <c r="H5339" s="594"/>
      <c r="I5339" s="595"/>
      <c r="J5339" s="595">
        <f t="shared" si="163"/>
        <v>0</v>
      </c>
      <c r="K5339" s="533"/>
      <c r="L5339" s="533"/>
      <c r="M5339" s="533"/>
      <c r="N5339" s="533"/>
      <c r="O5339" s="533"/>
      <c r="P5339" s="533"/>
      <c r="Q5339" s="533"/>
      <c r="R5339" s="533"/>
      <c r="S5339" s="533"/>
      <c r="T5339" s="533"/>
      <c r="U5339" s="533"/>
      <c r="V5339" s="533"/>
      <c r="W5339" s="533"/>
      <c r="X5339" s="533"/>
      <c r="Y5339" s="533"/>
    </row>
    <row r="5340" spans="1:25" s="88" customFormat="1" ht="15.75" hidden="1" customHeight="1" x14ac:dyDescent="0.25">
      <c r="A5340" s="509"/>
      <c r="B5340" s="256"/>
      <c r="C5340" s="221"/>
      <c r="D5340" s="218"/>
      <c r="E5340" s="218"/>
      <c r="F5340" s="527">
        <v>454</v>
      </c>
      <c r="G5340" s="520" t="s">
        <v>3823</v>
      </c>
      <c r="H5340" s="594"/>
      <c r="I5340" s="595"/>
      <c r="J5340" s="595">
        <f t="shared" si="163"/>
        <v>0</v>
      </c>
      <c r="K5340" s="533"/>
      <c r="L5340" s="533"/>
      <c r="M5340" s="533"/>
      <c r="N5340" s="533"/>
      <c r="O5340" s="533"/>
      <c r="P5340" s="533"/>
      <c r="Q5340" s="533"/>
      <c r="R5340" s="533"/>
      <c r="S5340" s="533"/>
      <c r="T5340" s="533"/>
      <c r="U5340" s="533"/>
      <c r="V5340" s="533"/>
      <c r="W5340" s="533"/>
      <c r="X5340" s="533"/>
      <c r="Y5340" s="533"/>
    </row>
    <row r="5341" spans="1:25" s="88" customFormat="1" ht="15.75" hidden="1" customHeight="1" x14ac:dyDescent="0.25">
      <c r="A5341" s="509"/>
      <c r="B5341" s="256"/>
      <c r="C5341" s="221"/>
      <c r="D5341" s="218"/>
      <c r="E5341" s="218"/>
      <c r="F5341" s="527">
        <v>461</v>
      </c>
      <c r="G5341" s="520" t="s">
        <v>4191</v>
      </c>
      <c r="H5341" s="594"/>
      <c r="I5341" s="595"/>
      <c r="J5341" s="595">
        <f t="shared" si="163"/>
        <v>0</v>
      </c>
      <c r="K5341" s="533"/>
      <c r="L5341" s="533"/>
      <c r="M5341" s="533"/>
      <c r="N5341" s="533"/>
      <c r="O5341" s="533"/>
      <c r="P5341" s="533"/>
      <c r="Q5341" s="533"/>
      <c r="R5341" s="533"/>
      <c r="S5341" s="533"/>
      <c r="T5341" s="533"/>
      <c r="U5341" s="533"/>
      <c r="V5341" s="533"/>
      <c r="W5341" s="533"/>
      <c r="X5341" s="533"/>
      <c r="Y5341" s="533"/>
    </row>
    <row r="5342" spans="1:25" s="88" customFormat="1" ht="15.75" hidden="1" customHeight="1" x14ac:dyDescent="0.25">
      <c r="A5342" s="509"/>
      <c r="B5342" s="256"/>
      <c r="C5342" s="221"/>
      <c r="D5342" s="218"/>
      <c r="E5342" s="218"/>
      <c r="F5342" s="527">
        <v>462</v>
      </c>
      <c r="G5342" s="520" t="s">
        <v>3826</v>
      </c>
      <c r="H5342" s="594"/>
      <c r="I5342" s="595"/>
      <c r="J5342" s="595">
        <f t="shared" si="163"/>
        <v>0</v>
      </c>
      <c r="K5342" s="533"/>
      <c r="L5342" s="533"/>
      <c r="M5342" s="533"/>
      <c r="N5342" s="533"/>
      <c r="O5342" s="533"/>
      <c r="P5342" s="533"/>
      <c r="Q5342" s="533"/>
      <c r="R5342" s="533"/>
      <c r="S5342" s="533"/>
      <c r="T5342" s="533"/>
      <c r="U5342" s="533"/>
      <c r="V5342" s="533"/>
      <c r="W5342" s="533"/>
      <c r="X5342" s="533"/>
      <c r="Y5342" s="533"/>
    </row>
    <row r="5343" spans="1:25" s="88" customFormat="1" ht="15.75" hidden="1" customHeight="1" x14ac:dyDescent="0.25">
      <c r="A5343" s="509"/>
      <c r="B5343" s="256"/>
      <c r="C5343" s="221"/>
      <c r="D5343" s="218"/>
      <c r="E5343" s="218"/>
      <c r="F5343" s="527">
        <v>4631</v>
      </c>
      <c r="G5343" s="520" t="s">
        <v>3827</v>
      </c>
      <c r="H5343" s="594"/>
      <c r="I5343" s="595"/>
      <c r="J5343" s="595">
        <f t="shared" si="163"/>
        <v>0</v>
      </c>
      <c r="K5343" s="533"/>
      <c r="L5343" s="533"/>
      <c r="M5343" s="533"/>
      <c r="N5343" s="533"/>
      <c r="O5343" s="533"/>
      <c r="P5343" s="533"/>
      <c r="Q5343" s="533"/>
      <c r="R5343" s="533"/>
      <c r="S5343" s="533"/>
      <c r="T5343" s="533"/>
      <c r="U5343" s="533"/>
      <c r="V5343" s="533"/>
      <c r="W5343" s="533"/>
      <c r="X5343" s="533"/>
      <c r="Y5343" s="533"/>
    </row>
    <row r="5344" spans="1:25" s="88" customFormat="1" ht="15.75" hidden="1" customHeight="1" x14ac:dyDescent="0.25">
      <c r="A5344" s="509"/>
      <c r="B5344" s="256"/>
      <c r="C5344" s="221"/>
      <c r="D5344" s="218"/>
      <c r="E5344" s="218"/>
      <c r="F5344" s="527">
        <v>4632</v>
      </c>
      <c r="G5344" s="520" t="s">
        <v>3828</v>
      </c>
      <c r="H5344" s="594"/>
      <c r="I5344" s="595"/>
      <c r="J5344" s="595">
        <f t="shared" si="163"/>
        <v>0</v>
      </c>
      <c r="K5344" s="533"/>
      <c r="L5344" s="533"/>
      <c r="M5344" s="533"/>
      <c r="N5344" s="533"/>
      <c r="O5344" s="533"/>
      <c r="P5344" s="533"/>
      <c r="Q5344" s="533"/>
      <c r="R5344" s="533"/>
      <c r="S5344" s="533"/>
      <c r="T5344" s="533"/>
      <c r="U5344" s="533"/>
      <c r="V5344" s="533"/>
      <c r="W5344" s="533"/>
      <c r="X5344" s="533"/>
      <c r="Y5344" s="533"/>
    </row>
    <row r="5345" spans="1:25" s="88" customFormat="1" ht="15.75" hidden="1" customHeight="1" x14ac:dyDescent="0.25">
      <c r="A5345" s="509"/>
      <c r="B5345" s="256"/>
      <c r="C5345" s="221"/>
      <c r="D5345" s="218"/>
      <c r="E5345" s="218"/>
      <c r="F5345" s="527">
        <v>464</v>
      </c>
      <c r="G5345" s="520" t="s">
        <v>3829</v>
      </c>
      <c r="H5345" s="594"/>
      <c r="I5345" s="595"/>
      <c r="J5345" s="595">
        <f t="shared" ref="J5345:J5372" si="164">SUM(H5345:I5345)</f>
        <v>0</v>
      </c>
      <c r="K5345" s="533"/>
      <c r="L5345" s="533"/>
      <c r="M5345" s="533"/>
      <c r="N5345" s="533"/>
      <c r="O5345" s="533"/>
      <c r="P5345" s="533"/>
      <c r="Q5345" s="533"/>
      <c r="R5345" s="533"/>
      <c r="S5345" s="533"/>
      <c r="T5345" s="533"/>
      <c r="U5345" s="533"/>
      <c r="V5345" s="533"/>
      <c r="W5345" s="533"/>
      <c r="X5345" s="533"/>
      <c r="Y5345" s="533"/>
    </row>
    <row r="5346" spans="1:25" s="88" customFormat="1" ht="15.75" hidden="1" customHeight="1" x14ac:dyDescent="0.25">
      <c r="A5346" s="509"/>
      <c r="B5346" s="256"/>
      <c r="C5346" s="221"/>
      <c r="D5346" s="218"/>
      <c r="E5346" s="218"/>
      <c r="F5346" s="527">
        <v>465</v>
      </c>
      <c r="G5346" s="520" t="s">
        <v>4192</v>
      </c>
      <c r="H5346" s="594"/>
      <c r="I5346" s="595"/>
      <c r="J5346" s="595">
        <f t="shared" si="164"/>
        <v>0</v>
      </c>
      <c r="K5346" s="533"/>
      <c r="L5346" s="533"/>
      <c r="M5346" s="533"/>
      <c r="N5346" s="533"/>
      <c r="O5346" s="533"/>
      <c r="P5346" s="533"/>
      <c r="Q5346" s="533"/>
      <c r="R5346" s="533"/>
      <c r="S5346" s="533"/>
      <c r="T5346" s="533"/>
      <c r="U5346" s="533"/>
      <c r="V5346" s="533"/>
      <c r="W5346" s="533"/>
      <c r="X5346" s="533"/>
      <c r="Y5346" s="533"/>
    </row>
    <row r="5347" spans="1:25" s="88" customFormat="1" ht="15.75" hidden="1" customHeight="1" x14ac:dyDescent="0.25">
      <c r="A5347" s="509"/>
      <c r="B5347" s="256"/>
      <c r="C5347" s="221"/>
      <c r="D5347" s="218"/>
      <c r="E5347" s="218"/>
      <c r="F5347" s="527">
        <v>472</v>
      </c>
      <c r="G5347" s="520" t="s">
        <v>3833</v>
      </c>
      <c r="H5347" s="594"/>
      <c r="I5347" s="595"/>
      <c r="J5347" s="595">
        <f t="shared" si="164"/>
        <v>0</v>
      </c>
      <c r="K5347" s="533"/>
      <c r="L5347" s="533"/>
      <c r="M5347" s="533"/>
      <c r="N5347" s="533"/>
      <c r="O5347" s="533"/>
      <c r="P5347" s="533"/>
      <c r="Q5347" s="533"/>
      <c r="R5347" s="533"/>
      <c r="S5347" s="533"/>
      <c r="T5347" s="533"/>
      <c r="U5347" s="533"/>
      <c r="V5347" s="533"/>
      <c r="W5347" s="533"/>
      <c r="X5347" s="533"/>
      <c r="Y5347" s="533"/>
    </row>
    <row r="5348" spans="1:25" s="88" customFormat="1" ht="15.75" hidden="1" customHeight="1" x14ac:dyDescent="0.25">
      <c r="A5348" s="509"/>
      <c r="B5348" s="256"/>
      <c r="C5348" s="221"/>
      <c r="D5348" s="218"/>
      <c r="E5348" s="218"/>
      <c r="F5348" s="527">
        <v>481</v>
      </c>
      <c r="G5348" s="520" t="s">
        <v>4211</v>
      </c>
      <c r="H5348" s="594"/>
      <c r="I5348" s="595"/>
      <c r="J5348" s="595">
        <f t="shared" si="164"/>
        <v>0</v>
      </c>
      <c r="K5348" s="533"/>
      <c r="L5348" s="533"/>
      <c r="M5348" s="533"/>
      <c r="N5348" s="533"/>
      <c r="O5348" s="533"/>
      <c r="P5348" s="533"/>
      <c r="Q5348" s="533"/>
      <c r="R5348" s="533"/>
      <c r="S5348" s="533"/>
      <c r="T5348" s="533"/>
      <c r="U5348" s="533"/>
      <c r="V5348" s="533"/>
      <c r="W5348" s="533"/>
      <c r="X5348" s="533"/>
      <c r="Y5348" s="533"/>
    </row>
    <row r="5349" spans="1:25" s="88" customFormat="1" ht="15.75" customHeight="1" x14ac:dyDescent="0.25">
      <c r="A5349" s="509"/>
      <c r="B5349" s="256"/>
      <c r="C5349" s="221"/>
      <c r="D5349" s="218"/>
      <c r="E5349" s="218"/>
      <c r="F5349" s="527">
        <v>482</v>
      </c>
      <c r="G5349" s="520" t="s">
        <v>5178</v>
      </c>
      <c r="H5349" s="594"/>
      <c r="I5349" s="595"/>
      <c r="J5349" s="595">
        <f t="shared" si="164"/>
        <v>0</v>
      </c>
      <c r="K5349" s="533"/>
      <c r="L5349" s="533"/>
      <c r="M5349" s="533"/>
      <c r="N5349" s="533"/>
      <c r="O5349" s="533"/>
      <c r="P5349" s="533"/>
      <c r="Q5349" s="533"/>
      <c r="R5349" s="533"/>
      <c r="S5349" s="533"/>
      <c r="T5349" s="533"/>
      <c r="U5349" s="533"/>
      <c r="V5349" s="533"/>
      <c r="W5349" s="533"/>
      <c r="X5349" s="533"/>
      <c r="Y5349" s="533"/>
    </row>
    <row r="5350" spans="1:25" s="88" customFormat="1" ht="15.75" customHeight="1" x14ac:dyDescent="0.25">
      <c r="A5350" s="509"/>
      <c r="B5350" s="256"/>
      <c r="C5350" s="221"/>
      <c r="D5350" s="218"/>
      <c r="E5350" s="218"/>
      <c r="F5350" s="527">
        <v>483</v>
      </c>
      <c r="G5350" s="524" t="s">
        <v>5179</v>
      </c>
      <c r="H5350" s="594"/>
      <c r="I5350" s="595"/>
      <c r="J5350" s="595">
        <f t="shared" si="164"/>
        <v>0</v>
      </c>
      <c r="K5350" s="533"/>
      <c r="L5350" s="533"/>
      <c r="M5350" s="533"/>
      <c r="N5350" s="533"/>
      <c r="O5350" s="533"/>
      <c r="P5350" s="533"/>
      <c r="Q5350" s="533"/>
      <c r="R5350" s="533"/>
      <c r="S5350" s="533"/>
      <c r="T5350" s="533"/>
      <c r="U5350" s="533"/>
      <c r="V5350" s="533"/>
      <c r="W5350" s="533"/>
      <c r="X5350" s="533"/>
      <c r="Y5350" s="533"/>
    </row>
    <row r="5351" spans="1:25" s="88" customFormat="1" ht="15.75" hidden="1" customHeight="1" x14ac:dyDescent="0.25">
      <c r="A5351" s="509"/>
      <c r="B5351" s="256"/>
      <c r="C5351" s="221"/>
      <c r="D5351" s="218"/>
      <c r="E5351" s="218"/>
      <c r="F5351" s="527">
        <v>484</v>
      </c>
      <c r="G5351" s="520" t="s">
        <v>4214</v>
      </c>
      <c r="H5351" s="594"/>
      <c r="I5351" s="595"/>
      <c r="J5351" s="595">
        <f t="shared" si="164"/>
        <v>0</v>
      </c>
      <c r="K5351" s="533"/>
      <c r="L5351" s="533"/>
      <c r="M5351" s="533"/>
      <c r="N5351" s="533"/>
      <c r="O5351" s="533"/>
      <c r="P5351" s="533"/>
      <c r="Q5351" s="533"/>
      <c r="R5351" s="533"/>
      <c r="S5351" s="533"/>
      <c r="T5351" s="533"/>
      <c r="U5351" s="533"/>
      <c r="V5351" s="533"/>
      <c r="W5351" s="533"/>
      <c r="X5351" s="533"/>
      <c r="Y5351" s="533"/>
    </row>
    <row r="5352" spans="1:25" s="88" customFormat="1" ht="15.75" hidden="1" customHeight="1" x14ac:dyDescent="0.25">
      <c r="A5352" s="509"/>
      <c r="B5352" s="256"/>
      <c r="C5352" s="221"/>
      <c r="D5352" s="218"/>
      <c r="E5352" s="218"/>
      <c r="F5352" s="527">
        <v>485</v>
      </c>
      <c r="G5352" s="520" t="s">
        <v>4215</v>
      </c>
      <c r="H5352" s="594"/>
      <c r="I5352" s="595"/>
      <c r="J5352" s="595">
        <f t="shared" si="164"/>
        <v>0</v>
      </c>
      <c r="K5352" s="533"/>
      <c r="L5352" s="533"/>
      <c r="M5352" s="533"/>
      <c r="N5352" s="533"/>
      <c r="O5352" s="533"/>
      <c r="P5352" s="533"/>
      <c r="Q5352" s="533"/>
      <c r="R5352" s="533"/>
      <c r="S5352" s="533"/>
      <c r="T5352" s="533"/>
      <c r="U5352" s="533"/>
      <c r="V5352" s="533"/>
      <c r="W5352" s="533"/>
      <c r="X5352" s="533"/>
      <c r="Y5352" s="533"/>
    </row>
    <row r="5353" spans="1:25" s="88" customFormat="1" ht="15.75" hidden="1" customHeight="1" x14ac:dyDescent="0.25">
      <c r="A5353" s="509"/>
      <c r="B5353" s="256"/>
      <c r="C5353" s="221"/>
      <c r="D5353" s="218"/>
      <c r="E5353" s="218"/>
      <c r="F5353" s="527">
        <v>489</v>
      </c>
      <c r="G5353" s="520" t="s">
        <v>3841</v>
      </c>
      <c r="H5353" s="594"/>
      <c r="I5353" s="595"/>
      <c r="J5353" s="595">
        <f t="shared" si="164"/>
        <v>0</v>
      </c>
      <c r="K5353" s="533"/>
      <c r="L5353" s="533"/>
      <c r="M5353" s="533"/>
      <c r="N5353" s="533"/>
      <c r="O5353" s="533"/>
      <c r="P5353" s="533"/>
      <c r="Q5353" s="533"/>
      <c r="R5353" s="533"/>
      <c r="S5353" s="533"/>
      <c r="T5353" s="533"/>
      <c r="U5353" s="533"/>
      <c r="V5353" s="533"/>
      <c r="W5353" s="533"/>
      <c r="X5353" s="533"/>
      <c r="Y5353" s="533"/>
    </row>
    <row r="5354" spans="1:25" s="88" customFormat="1" ht="15.75" hidden="1" customHeight="1" x14ac:dyDescent="0.25">
      <c r="A5354" s="509"/>
      <c r="B5354" s="256"/>
      <c r="C5354" s="221"/>
      <c r="D5354" s="218"/>
      <c r="E5354" s="218"/>
      <c r="F5354" s="527">
        <v>494</v>
      </c>
      <c r="G5354" s="520" t="s">
        <v>4193</v>
      </c>
      <c r="H5354" s="594"/>
      <c r="I5354" s="595"/>
      <c r="J5354" s="595">
        <f t="shared" si="164"/>
        <v>0</v>
      </c>
      <c r="K5354" s="533"/>
      <c r="L5354" s="533"/>
      <c r="M5354" s="533"/>
      <c r="N5354" s="533"/>
      <c r="O5354" s="533"/>
      <c r="P5354" s="533"/>
      <c r="Q5354" s="533"/>
      <c r="R5354" s="533"/>
      <c r="S5354" s="533"/>
      <c r="T5354" s="533"/>
      <c r="U5354" s="533"/>
      <c r="V5354" s="533"/>
      <c r="W5354" s="533"/>
      <c r="X5354" s="533"/>
      <c r="Y5354" s="533"/>
    </row>
    <row r="5355" spans="1:25" s="88" customFormat="1" ht="15.75" hidden="1" customHeight="1" x14ac:dyDescent="0.25">
      <c r="A5355" s="509"/>
      <c r="B5355" s="256"/>
      <c r="C5355" s="221"/>
      <c r="D5355" s="218"/>
      <c r="E5355" s="218"/>
      <c r="F5355" s="527">
        <v>495</v>
      </c>
      <c r="G5355" s="520" t="s">
        <v>4194</v>
      </c>
      <c r="H5355" s="594"/>
      <c r="I5355" s="595"/>
      <c r="J5355" s="595">
        <f t="shared" si="164"/>
        <v>0</v>
      </c>
      <c r="K5355" s="533"/>
      <c r="L5355" s="533"/>
      <c r="M5355" s="533"/>
      <c r="N5355" s="533"/>
      <c r="O5355" s="533"/>
      <c r="P5355" s="533"/>
      <c r="Q5355" s="533"/>
      <c r="R5355" s="533"/>
      <c r="S5355" s="533"/>
      <c r="T5355" s="533"/>
      <c r="U5355" s="533"/>
      <c r="V5355" s="533"/>
      <c r="W5355" s="533"/>
      <c r="X5355" s="533"/>
      <c r="Y5355" s="533"/>
    </row>
    <row r="5356" spans="1:25" s="88" customFormat="1" ht="15.75" hidden="1" customHeight="1" x14ac:dyDescent="0.25">
      <c r="A5356" s="509"/>
      <c r="B5356" s="256"/>
      <c r="C5356" s="221"/>
      <c r="D5356" s="218"/>
      <c r="E5356" s="218"/>
      <c r="F5356" s="527">
        <v>496</v>
      </c>
      <c r="G5356" s="520" t="s">
        <v>4195</v>
      </c>
      <c r="H5356" s="594"/>
      <c r="I5356" s="595"/>
      <c r="J5356" s="595">
        <f t="shared" si="164"/>
        <v>0</v>
      </c>
      <c r="K5356" s="533"/>
      <c r="L5356" s="533"/>
      <c r="M5356" s="533"/>
      <c r="N5356" s="533"/>
      <c r="O5356" s="533"/>
      <c r="P5356" s="533"/>
      <c r="Q5356" s="533"/>
      <c r="R5356" s="533"/>
      <c r="S5356" s="533"/>
      <c r="T5356" s="533"/>
      <c r="U5356" s="533"/>
      <c r="V5356" s="533"/>
      <c r="W5356" s="533"/>
      <c r="X5356" s="533"/>
      <c r="Y5356" s="533"/>
    </row>
    <row r="5357" spans="1:25" s="88" customFormat="1" ht="15.75" hidden="1" customHeight="1" x14ac:dyDescent="0.25">
      <c r="A5357" s="509"/>
      <c r="B5357" s="256"/>
      <c r="C5357" s="221"/>
      <c r="D5357" s="218"/>
      <c r="E5357" s="218"/>
      <c r="F5357" s="527">
        <v>499</v>
      </c>
      <c r="G5357" s="520" t="s">
        <v>4196</v>
      </c>
      <c r="H5357" s="594"/>
      <c r="I5357" s="595"/>
      <c r="J5357" s="595">
        <f t="shared" si="164"/>
        <v>0</v>
      </c>
      <c r="K5357" s="533"/>
      <c r="L5357" s="533"/>
      <c r="M5357" s="533"/>
      <c r="N5357" s="533"/>
      <c r="O5357" s="533"/>
      <c r="P5357" s="533"/>
      <c r="Q5357" s="533"/>
      <c r="R5357" s="533"/>
      <c r="S5357" s="533"/>
      <c r="T5357" s="533"/>
      <c r="U5357" s="533"/>
      <c r="V5357" s="533"/>
      <c r="W5357" s="533"/>
      <c r="X5357" s="533"/>
      <c r="Y5357" s="533"/>
    </row>
    <row r="5358" spans="1:25" s="88" customFormat="1" ht="15.75" hidden="1" customHeight="1" x14ac:dyDescent="0.25">
      <c r="A5358" s="509"/>
      <c r="B5358" s="256"/>
      <c r="C5358" s="221"/>
      <c r="D5358" s="218"/>
      <c r="E5358" s="218"/>
      <c r="F5358" s="527">
        <v>511</v>
      </c>
      <c r="G5358" s="524" t="s">
        <v>4216</v>
      </c>
      <c r="H5358" s="594"/>
      <c r="I5358" s="595"/>
      <c r="J5358" s="595">
        <f t="shared" si="164"/>
        <v>0</v>
      </c>
      <c r="K5358" s="533"/>
      <c r="L5358" s="533"/>
      <c r="M5358" s="533"/>
      <c r="N5358" s="533"/>
      <c r="O5358" s="533"/>
      <c r="P5358" s="533"/>
      <c r="Q5358" s="533"/>
      <c r="R5358" s="533"/>
      <c r="S5358" s="533"/>
      <c r="T5358" s="533"/>
      <c r="U5358" s="533"/>
      <c r="V5358" s="533"/>
      <c r="W5358" s="533"/>
      <c r="X5358" s="533"/>
      <c r="Y5358" s="533"/>
    </row>
    <row r="5359" spans="1:25" s="88" customFormat="1" ht="15.75" customHeight="1" thickBot="1" x14ac:dyDescent="0.3">
      <c r="A5359" s="509"/>
      <c r="B5359" s="256"/>
      <c r="C5359" s="221"/>
      <c r="D5359" s="218"/>
      <c r="E5359" s="218"/>
      <c r="F5359" s="527">
        <v>512</v>
      </c>
      <c r="G5359" s="524" t="s">
        <v>5180</v>
      </c>
      <c r="H5359" s="594"/>
      <c r="I5359" s="595"/>
      <c r="J5359" s="595">
        <f t="shared" si="164"/>
        <v>0</v>
      </c>
      <c r="K5359" s="533"/>
      <c r="L5359" s="533"/>
      <c r="M5359" s="533"/>
      <c r="N5359" s="533"/>
      <c r="O5359" s="533"/>
      <c r="P5359" s="533"/>
      <c r="Q5359" s="533"/>
      <c r="R5359" s="533"/>
      <c r="S5359" s="533"/>
      <c r="T5359" s="533"/>
      <c r="U5359" s="533"/>
      <c r="V5359" s="533"/>
      <c r="W5359" s="533"/>
      <c r="X5359" s="533"/>
      <c r="Y5359" s="533"/>
    </row>
    <row r="5360" spans="1:25" s="88" customFormat="1" ht="15.75" hidden="1" customHeight="1" x14ac:dyDescent="0.25">
      <c r="A5360" s="509"/>
      <c r="B5360" s="256"/>
      <c r="C5360" s="221"/>
      <c r="D5360" s="218"/>
      <c r="E5360" s="218"/>
      <c r="F5360" s="527">
        <v>513</v>
      </c>
      <c r="G5360" s="524" t="s">
        <v>4218</v>
      </c>
      <c r="H5360" s="594"/>
      <c r="I5360" s="595"/>
      <c r="J5360" s="595">
        <f t="shared" si="164"/>
        <v>0</v>
      </c>
      <c r="K5360" s="533"/>
      <c r="L5360" s="533"/>
      <c r="M5360" s="533"/>
      <c r="N5360" s="533"/>
      <c r="O5360" s="533"/>
      <c r="P5360" s="533"/>
      <c r="Q5360" s="533"/>
      <c r="R5360" s="533"/>
      <c r="S5360" s="533"/>
      <c r="T5360" s="533"/>
      <c r="U5360" s="533"/>
      <c r="V5360" s="533"/>
      <c r="W5360" s="533"/>
      <c r="X5360" s="533"/>
      <c r="Y5360" s="533"/>
    </row>
    <row r="5361" spans="1:25" s="88" customFormat="1" ht="15.75" hidden="1" customHeight="1" x14ac:dyDescent="0.25">
      <c r="A5361" s="509"/>
      <c r="B5361" s="256"/>
      <c r="C5361" s="221"/>
      <c r="D5361" s="218"/>
      <c r="E5361" s="218"/>
      <c r="F5361" s="527">
        <v>514</v>
      </c>
      <c r="G5361" s="520" t="s">
        <v>4219</v>
      </c>
      <c r="H5361" s="594"/>
      <c r="I5361" s="595"/>
      <c r="J5361" s="595">
        <f t="shared" si="164"/>
        <v>0</v>
      </c>
      <c r="K5361" s="533"/>
      <c r="L5361" s="533"/>
      <c r="M5361" s="533"/>
      <c r="N5361" s="533"/>
      <c r="O5361" s="533"/>
      <c r="P5361" s="533"/>
      <c r="Q5361" s="533"/>
      <c r="R5361" s="533"/>
      <c r="S5361" s="533"/>
      <c r="T5361" s="533"/>
      <c r="U5361" s="533"/>
      <c r="V5361" s="533"/>
      <c r="W5361" s="533"/>
      <c r="X5361" s="533"/>
      <c r="Y5361" s="533"/>
    </row>
    <row r="5362" spans="1:25" s="88" customFormat="1" ht="15.75" hidden="1" customHeight="1" x14ac:dyDescent="0.25">
      <c r="A5362" s="509"/>
      <c r="B5362" s="256"/>
      <c r="C5362" s="221"/>
      <c r="D5362" s="218"/>
      <c r="E5362" s="218"/>
      <c r="F5362" s="527">
        <v>515</v>
      </c>
      <c r="G5362" s="520" t="s">
        <v>3852</v>
      </c>
      <c r="H5362" s="594"/>
      <c r="I5362" s="595"/>
      <c r="J5362" s="595">
        <f t="shared" si="164"/>
        <v>0</v>
      </c>
      <c r="K5362" s="533"/>
      <c r="L5362" s="533"/>
      <c r="M5362" s="533"/>
      <c r="N5362" s="533"/>
      <c r="O5362" s="533"/>
      <c r="P5362" s="533"/>
      <c r="Q5362" s="533"/>
      <c r="R5362" s="533"/>
      <c r="S5362" s="533"/>
      <c r="T5362" s="533"/>
      <c r="U5362" s="533"/>
      <c r="V5362" s="533"/>
      <c r="W5362" s="533"/>
      <c r="X5362" s="533"/>
      <c r="Y5362" s="533"/>
    </row>
    <row r="5363" spans="1:25" s="88" customFormat="1" ht="15.75" hidden="1" customHeight="1" x14ac:dyDescent="0.25">
      <c r="A5363" s="509"/>
      <c r="B5363" s="256"/>
      <c r="C5363" s="221"/>
      <c r="D5363" s="218"/>
      <c r="E5363" s="218"/>
      <c r="F5363" s="527">
        <v>521</v>
      </c>
      <c r="G5363" s="520" t="s">
        <v>4220</v>
      </c>
      <c r="H5363" s="594"/>
      <c r="I5363" s="595"/>
      <c r="J5363" s="595">
        <f t="shared" si="164"/>
        <v>0</v>
      </c>
      <c r="K5363" s="533"/>
      <c r="L5363" s="533"/>
      <c r="M5363" s="533"/>
      <c r="N5363" s="533"/>
      <c r="O5363" s="533"/>
      <c r="P5363" s="533"/>
      <c r="Q5363" s="533"/>
      <c r="R5363" s="533"/>
      <c r="S5363" s="533"/>
      <c r="T5363" s="533"/>
      <c r="U5363" s="533"/>
      <c r="V5363" s="533"/>
      <c r="W5363" s="533"/>
      <c r="X5363" s="533"/>
      <c r="Y5363" s="533"/>
    </row>
    <row r="5364" spans="1:25" s="88" customFormat="1" ht="15.75" hidden="1" customHeight="1" x14ac:dyDescent="0.25">
      <c r="A5364" s="509"/>
      <c r="B5364" s="256"/>
      <c r="C5364" s="221"/>
      <c r="D5364" s="218"/>
      <c r="E5364" s="218"/>
      <c r="F5364" s="527">
        <v>522</v>
      </c>
      <c r="G5364" s="520" t="s">
        <v>4221</v>
      </c>
      <c r="H5364" s="594"/>
      <c r="I5364" s="595"/>
      <c r="J5364" s="595">
        <f t="shared" si="164"/>
        <v>0</v>
      </c>
      <c r="K5364" s="533"/>
      <c r="L5364" s="533"/>
      <c r="M5364" s="533"/>
      <c r="N5364" s="533"/>
      <c r="O5364" s="533"/>
      <c r="P5364" s="533"/>
      <c r="Q5364" s="533"/>
      <c r="R5364" s="533"/>
      <c r="S5364" s="533"/>
      <c r="T5364" s="533"/>
      <c r="U5364" s="533"/>
      <c r="V5364" s="533"/>
      <c r="W5364" s="533"/>
      <c r="X5364" s="533"/>
      <c r="Y5364" s="533"/>
    </row>
    <row r="5365" spans="1:25" s="88" customFormat="1" ht="15.75" hidden="1" customHeight="1" x14ac:dyDescent="0.25">
      <c r="A5365" s="509"/>
      <c r="B5365" s="256"/>
      <c r="C5365" s="221"/>
      <c r="D5365" s="218"/>
      <c r="E5365" s="218"/>
      <c r="F5365" s="527">
        <v>523</v>
      </c>
      <c r="G5365" s="520" t="s">
        <v>3857</v>
      </c>
      <c r="H5365" s="594"/>
      <c r="I5365" s="595"/>
      <c r="J5365" s="595">
        <f t="shared" si="164"/>
        <v>0</v>
      </c>
      <c r="K5365" s="533"/>
      <c r="L5365" s="533"/>
      <c r="M5365" s="533"/>
      <c r="N5365" s="533"/>
      <c r="O5365" s="533"/>
      <c r="P5365" s="533"/>
      <c r="Q5365" s="533"/>
      <c r="R5365" s="533"/>
      <c r="S5365" s="533"/>
      <c r="T5365" s="533"/>
      <c r="U5365" s="533"/>
      <c r="V5365" s="533"/>
      <c r="W5365" s="533"/>
      <c r="X5365" s="533"/>
      <c r="Y5365" s="533"/>
    </row>
    <row r="5366" spans="1:25" s="88" customFormat="1" ht="15.75" hidden="1" customHeight="1" x14ac:dyDescent="0.25">
      <c r="A5366" s="509"/>
      <c r="B5366" s="256"/>
      <c r="C5366" s="221"/>
      <c r="D5366" s="218"/>
      <c r="E5366" s="218"/>
      <c r="F5366" s="527">
        <v>531</v>
      </c>
      <c r="G5366" s="516" t="s">
        <v>4197</v>
      </c>
      <c r="H5366" s="594"/>
      <c r="I5366" s="595"/>
      <c r="J5366" s="595">
        <f t="shared" si="164"/>
        <v>0</v>
      </c>
      <c r="K5366" s="533"/>
      <c r="L5366" s="533"/>
      <c r="M5366" s="533"/>
      <c r="N5366" s="533"/>
      <c r="O5366" s="533"/>
      <c r="P5366" s="533"/>
      <c r="Q5366" s="533"/>
      <c r="R5366" s="533"/>
      <c r="S5366" s="533"/>
      <c r="T5366" s="533"/>
      <c r="U5366" s="533"/>
      <c r="V5366" s="533"/>
      <c r="W5366" s="533"/>
      <c r="X5366" s="533"/>
      <c r="Y5366" s="533"/>
    </row>
    <row r="5367" spans="1:25" s="88" customFormat="1" ht="15.75" hidden="1" customHeight="1" x14ac:dyDescent="0.25">
      <c r="A5367" s="509"/>
      <c r="B5367" s="256"/>
      <c r="C5367" s="221"/>
      <c r="D5367" s="218"/>
      <c r="E5367" s="218"/>
      <c r="F5367" s="527">
        <v>541</v>
      </c>
      <c r="G5367" s="520" t="s">
        <v>4222</v>
      </c>
      <c r="H5367" s="594"/>
      <c r="I5367" s="595"/>
      <c r="J5367" s="595">
        <f t="shared" si="164"/>
        <v>0</v>
      </c>
      <c r="K5367" s="533"/>
      <c r="L5367" s="533"/>
      <c r="M5367" s="533"/>
      <c r="N5367" s="533"/>
      <c r="O5367" s="533"/>
      <c r="P5367" s="533"/>
      <c r="Q5367" s="533"/>
      <c r="R5367" s="533"/>
      <c r="S5367" s="533"/>
      <c r="T5367" s="533"/>
      <c r="U5367" s="533"/>
      <c r="V5367" s="533"/>
      <c r="W5367" s="533"/>
      <c r="X5367" s="533"/>
      <c r="Y5367" s="533"/>
    </row>
    <row r="5368" spans="1:25" s="88" customFormat="1" ht="15.75" hidden="1" customHeight="1" x14ac:dyDescent="0.25">
      <c r="A5368" s="509"/>
      <c r="B5368" s="256"/>
      <c r="C5368" s="221"/>
      <c r="D5368" s="218"/>
      <c r="E5368" s="218"/>
      <c r="F5368" s="527">
        <v>542</v>
      </c>
      <c r="G5368" s="520" t="s">
        <v>4223</v>
      </c>
      <c r="H5368" s="594"/>
      <c r="I5368" s="595"/>
      <c r="J5368" s="595">
        <f t="shared" si="164"/>
        <v>0</v>
      </c>
      <c r="K5368" s="533"/>
      <c r="L5368" s="533"/>
      <c r="M5368" s="533"/>
      <c r="N5368" s="533"/>
      <c r="O5368" s="533"/>
      <c r="P5368" s="533"/>
      <c r="Q5368" s="533"/>
      <c r="R5368" s="533"/>
      <c r="S5368" s="533"/>
      <c r="T5368" s="533"/>
      <c r="U5368" s="533"/>
      <c r="V5368" s="533"/>
      <c r="W5368" s="533"/>
      <c r="X5368" s="533"/>
      <c r="Y5368" s="533"/>
    </row>
    <row r="5369" spans="1:25" s="88" customFormat="1" ht="15.75" hidden="1" customHeight="1" x14ac:dyDescent="0.25">
      <c r="A5369" s="509"/>
      <c r="B5369" s="256"/>
      <c r="C5369" s="221"/>
      <c r="D5369" s="218"/>
      <c r="E5369" s="218"/>
      <c r="F5369" s="527">
        <v>543</v>
      </c>
      <c r="G5369" s="520" t="s">
        <v>3862</v>
      </c>
      <c r="H5369" s="594"/>
      <c r="I5369" s="595"/>
      <c r="J5369" s="595">
        <f t="shared" si="164"/>
        <v>0</v>
      </c>
      <c r="K5369" s="533"/>
      <c r="L5369" s="533"/>
      <c r="M5369" s="533"/>
      <c r="N5369" s="533"/>
      <c r="O5369" s="533"/>
      <c r="P5369" s="533"/>
      <c r="Q5369" s="533"/>
      <c r="R5369" s="533"/>
      <c r="S5369" s="533"/>
      <c r="T5369" s="533"/>
      <c r="U5369" s="533"/>
      <c r="V5369" s="533"/>
      <c r="W5369" s="533"/>
      <c r="X5369" s="533"/>
      <c r="Y5369" s="533"/>
    </row>
    <row r="5370" spans="1:25" s="88" customFormat="1" ht="15.75" hidden="1" customHeight="1" x14ac:dyDescent="0.25">
      <c r="A5370" s="509"/>
      <c r="B5370" s="256"/>
      <c r="C5370" s="221"/>
      <c r="D5370" s="218"/>
      <c r="E5370" s="218"/>
      <c r="F5370" s="527">
        <v>551</v>
      </c>
      <c r="G5370" s="520" t="s">
        <v>4198</v>
      </c>
      <c r="H5370" s="594"/>
      <c r="I5370" s="595"/>
      <c r="J5370" s="595">
        <f t="shared" si="164"/>
        <v>0</v>
      </c>
      <c r="K5370" s="533"/>
      <c r="L5370" s="533"/>
      <c r="M5370" s="533"/>
      <c r="N5370" s="533"/>
      <c r="O5370" s="533"/>
      <c r="P5370" s="533"/>
      <c r="Q5370" s="533"/>
      <c r="R5370" s="533"/>
      <c r="S5370" s="533"/>
      <c r="T5370" s="533"/>
      <c r="U5370" s="533"/>
      <c r="V5370" s="533"/>
      <c r="W5370" s="533"/>
      <c r="X5370" s="533"/>
      <c r="Y5370" s="533"/>
    </row>
    <row r="5371" spans="1:25" s="88" customFormat="1" ht="15.75" hidden="1" customHeight="1" x14ac:dyDescent="0.25">
      <c r="A5371" s="509"/>
      <c r="B5371" s="256"/>
      <c r="C5371" s="221"/>
      <c r="D5371" s="218"/>
      <c r="E5371" s="218"/>
      <c r="F5371" s="528">
        <v>611</v>
      </c>
      <c r="G5371" s="526" t="s">
        <v>3868</v>
      </c>
      <c r="H5371" s="594"/>
      <c r="I5371" s="595"/>
      <c r="J5371" s="595">
        <f t="shared" si="164"/>
        <v>0</v>
      </c>
      <c r="K5371" s="533"/>
      <c r="L5371" s="533"/>
      <c r="M5371" s="533"/>
      <c r="N5371" s="533"/>
      <c r="O5371" s="533"/>
      <c r="P5371" s="533"/>
      <c r="Q5371" s="533"/>
      <c r="R5371" s="533"/>
      <c r="S5371" s="533"/>
      <c r="T5371" s="533"/>
      <c r="U5371" s="533"/>
      <c r="V5371" s="533"/>
      <c r="W5371" s="533"/>
      <c r="X5371" s="533"/>
      <c r="Y5371" s="533"/>
    </row>
    <row r="5372" spans="1:25" s="88" customFormat="1" ht="15.75" hidden="1" customHeight="1" thickBot="1" x14ac:dyDescent="0.3">
      <c r="A5372" s="509"/>
      <c r="B5372" s="256"/>
      <c r="C5372" s="221"/>
      <c r="D5372" s="218"/>
      <c r="E5372" s="218"/>
      <c r="F5372" s="528">
        <v>620</v>
      </c>
      <c r="G5372" s="526" t="s">
        <v>88</v>
      </c>
      <c r="H5372" s="594"/>
      <c r="I5372" s="595"/>
      <c r="J5372" s="595">
        <f t="shared" si="164"/>
        <v>0</v>
      </c>
      <c r="K5372" s="533"/>
      <c r="L5372" s="533"/>
      <c r="M5372" s="533"/>
      <c r="N5372" s="533"/>
      <c r="O5372" s="533"/>
      <c r="P5372" s="533"/>
      <c r="Q5372" s="533"/>
      <c r="R5372" s="533"/>
      <c r="S5372" s="533"/>
      <c r="T5372" s="533"/>
      <c r="U5372" s="533"/>
      <c r="V5372" s="533"/>
      <c r="W5372" s="533"/>
      <c r="X5372" s="533"/>
      <c r="Y5372" s="533"/>
    </row>
    <row r="5373" spans="1:25" s="88" customFormat="1" ht="15.75" customHeight="1" x14ac:dyDescent="0.25">
      <c r="A5373" s="509"/>
      <c r="B5373" s="256"/>
      <c r="C5373" s="221"/>
      <c r="D5373" s="218"/>
      <c r="E5373" s="517"/>
      <c r="F5373" s="528"/>
      <c r="G5373" s="327" t="s">
        <v>4470</v>
      </c>
      <c r="H5373" s="596"/>
      <c r="I5373" s="622"/>
      <c r="J5373" s="597"/>
      <c r="K5373" s="533"/>
      <c r="L5373" s="533"/>
      <c r="M5373" s="533"/>
      <c r="N5373" s="533"/>
      <c r="O5373" s="533"/>
      <c r="P5373" s="533"/>
      <c r="Q5373" s="533"/>
      <c r="R5373" s="533"/>
      <c r="S5373" s="533"/>
      <c r="T5373" s="533"/>
      <c r="U5373" s="533"/>
      <c r="V5373" s="533"/>
      <c r="W5373" s="533"/>
      <c r="X5373" s="533"/>
      <c r="Y5373" s="533"/>
    </row>
    <row r="5374" spans="1:25" s="88" customFormat="1" ht="15.75" customHeight="1" thickBot="1" x14ac:dyDescent="0.3">
      <c r="A5374" s="509"/>
      <c r="B5374" s="256"/>
      <c r="C5374" s="221"/>
      <c r="D5374" s="218"/>
      <c r="E5374" s="222"/>
      <c r="F5374" s="249" t="s">
        <v>234</v>
      </c>
      <c r="G5374" s="252" t="s">
        <v>235</v>
      </c>
      <c r="H5374" s="598">
        <f>SUM(H5313:H5372)</f>
        <v>27000000</v>
      </c>
      <c r="I5374" s="599"/>
      <c r="J5374" s="599">
        <f t="shared" ref="J5374:J5389" si="165">SUM(H5374:I5374)</f>
        <v>27000000</v>
      </c>
      <c r="K5374" s="533"/>
      <c r="L5374" s="533"/>
      <c r="M5374" s="533"/>
      <c r="N5374" s="533"/>
      <c r="O5374" s="533"/>
      <c r="P5374" s="533"/>
      <c r="Q5374" s="533"/>
      <c r="R5374" s="533"/>
      <c r="S5374" s="533"/>
      <c r="T5374" s="533"/>
      <c r="U5374" s="533"/>
      <c r="V5374" s="533"/>
      <c r="W5374" s="533"/>
      <c r="X5374" s="533"/>
      <c r="Y5374" s="533"/>
    </row>
    <row r="5375" spans="1:25" s="88" customFormat="1" ht="15.75" hidden="1" customHeight="1" x14ac:dyDescent="0.25">
      <c r="A5375" s="509"/>
      <c r="B5375" s="256"/>
      <c r="C5375" s="221"/>
      <c r="D5375" s="218"/>
      <c r="E5375" s="218"/>
      <c r="F5375" s="249" t="s">
        <v>236</v>
      </c>
      <c r="G5375" s="252" t="s">
        <v>237</v>
      </c>
      <c r="H5375" s="594"/>
      <c r="I5375" s="595"/>
      <c r="J5375" s="599">
        <f t="shared" si="165"/>
        <v>0</v>
      </c>
      <c r="K5375" s="533"/>
      <c r="L5375" s="533"/>
      <c r="M5375" s="533"/>
      <c r="N5375" s="533"/>
      <c r="O5375" s="533"/>
      <c r="P5375" s="533"/>
      <c r="Q5375" s="533"/>
      <c r="R5375" s="533"/>
      <c r="S5375" s="533"/>
      <c r="T5375" s="533"/>
      <c r="U5375" s="533"/>
      <c r="V5375" s="533"/>
      <c r="W5375" s="533"/>
      <c r="X5375" s="533"/>
      <c r="Y5375" s="533"/>
    </row>
    <row r="5376" spans="1:25" s="88" customFormat="1" ht="15.75" hidden="1" customHeight="1" x14ac:dyDescent="0.25">
      <c r="A5376" s="509"/>
      <c r="B5376" s="256"/>
      <c r="C5376" s="221"/>
      <c r="D5376" s="218"/>
      <c r="E5376" s="218"/>
      <c r="F5376" s="249" t="s">
        <v>238</v>
      </c>
      <c r="G5376" s="252" t="s">
        <v>239</v>
      </c>
      <c r="H5376" s="594"/>
      <c r="I5376" s="595"/>
      <c r="J5376" s="599">
        <f t="shared" si="165"/>
        <v>0</v>
      </c>
      <c r="K5376" s="533"/>
      <c r="L5376" s="533"/>
      <c r="M5376" s="533"/>
      <c r="N5376" s="533"/>
      <c r="O5376" s="533"/>
      <c r="P5376" s="533"/>
      <c r="Q5376" s="533"/>
      <c r="R5376" s="533"/>
      <c r="S5376" s="533"/>
      <c r="T5376" s="533"/>
      <c r="U5376" s="533"/>
      <c r="V5376" s="533"/>
      <c r="W5376" s="533"/>
      <c r="X5376" s="533"/>
      <c r="Y5376" s="533"/>
    </row>
    <row r="5377" spans="1:25" s="88" customFormat="1" ht="15.75" hidden="1" customHeight="1" x14ac:dyDescent="0.25">
      <c r="A5377" s="509"/>
      <c r="B5377" s="256"/>
      <c r="C5377" s="221"/>
      <c r="D5377" s="218"/>
      <c r="E5377" s="218"/>
      <c r="F5377" s="249" t="s">
        <v>240</v>
      </c>
      <c r="G5377" s="252" t="s">
        <v>241</v>
      </c>
      <c r="H5377" s="594"/>
      <c r="I5377" s="595"/>
      <c r="J5377" s="599">
        <f t="shared" si="165"/>
        <v>0</v>
      </c>
      <c r="K5377" s="533"/>
      <c r="L5377" s="533"/>
      <c r="M5377" s="533"/>
      <c r="N5377" s="533"/>
      <c r="O5377" s="533"/>
      <c r="P5377" s="533"/>
      <c r="Q5377" s="533"/>
      <c r="R5377" s="533"/>
      <c r="S5377" s="533"/>
      <c r="T5377" s="533"/>
      <c r="U5377" s="533"/>
      <c r="V5377" s="533"/>
      <c r="W5377" s="533"/>
      <c r="X5377" s="533"/>
      <c r="Y5377" s="533"/>
    </row>
    <row r="5378" spans="1:25" s="88" customFormat="1" ht="15.75" hidden="1" customHeight="1" x14ac:dyDescent="0.25">
      <c r="A5378" s="509"/>
      <c r="B5378" s="256"/>
      <c r="C5378" s="221"/>
      <c r="D5378" s="218"/>
      <c r="E5378" s="218"/>
      <c r="F5378" s="249" t="s">
        <v>242</v>
      </c>
      <c r="G5378" s="252" t="s">
        <v>243</v>
      </c>
      <c r="H5378" s="594"/>
      <c r="I5378" s="595"/>
      <c r="J5378" s="599">
        <f t="shared" si="165"/>
        <v>0</v>
      </c>
      <c r="K5378" s="533"/>
      <c r="L5378" s="533"/>
      <c r="M5378" s="533"/>
      <c r="N5378" s="533"/>
      <c r="O5378" s="533"/>
      <c r="P5378" s="533"/>
      <c r="Q5378" s="533"/>
      <c r="R5378" s="533"/>
      <c r="S5378" s="533"/>
      <c r="T5378" s="533"/>
      <c r="U5378" s="533"/>
      <c r="V5378" s="533"/>
      <c r="W5378" s="533"/>
      <c r="X5378" s="533"/>
      <c r="Y5378" s="533"/>
    </row>
    <row r="5379" spans="1:25" s="88" customFormat="1" ht="15.75" hidden="1" customHeight="1" x14ac:dyDescent="0.25">
      <c r="A5379" s="509"/>
      <c r="B5379" s="256"/>
      <c r="C5379" s="221"/>
      <c r="D5379" s="218"/>
      <c r="E5379" s="218"/>
      <c r="F5379" s="249" t="s">
        <v>244</v>
      </c>
      <c r="G5379" s="252" t="s">
        <v>245</v>
      </c>
      <c r="H5379" s="594"/>
      <c r="I5379" s="595"/>
      <c r="J5379" s="599">
        <f t="shared" si="165"/>
        <v>0</v>
      </c>
      <c r="K5379" s="533"/>
      <c r="L5379" s="533"/>
      <c r="M5379" s="533"/>
      <c r="N5379" s="533"/>
      <c r="O5379" s="533"/>
      <c r="P5379" s="533"/>
      <c r="Q5379" s="533"/>
      <c r="R5379" s="533"/>
      <c r="S5379" s="533"/>
      <c r="T5379" s="533"/>
      <c r="U5379" s="533"/>
      <c r="V5379" s="533"/>
      <c r="W5379" s="533"/>
      <c r="X5379" s="533"/>
      <c r="Y5379" s="533"/>
    </row>
    <row r="5380" spans="1:25" s="88" customFormat="1" ht="15.75" hidden="1" customHeight="1" x14ac:dyDescent="0.25">
      <c r="A5380" s="509"/>
      <c r="B5380" s="256"/>
      <c r="C5380" s="221"/>
      <c r="D5380" s="218"/>
      <c r="E5380" s="218"/>
      <c r="F5380" s="249" t="s">
        <v>246</v>
      </c>
      <c r="G5380" s="252" t="s">
        <v>247</v>
      </c>
      <c r="H5380" s="594"/>
      <c r="I5380" s="595"/>
      <c r="J5380" s="599">
        <f t="shared" si="165"/>
        <v>0</v>
      </c>
      <c r="K5380" s="533"/>
      <c r="L5380" s="533"/>
      <c r="M5380" s="533"/>
      <c r="N5380" s="533"/>
      <c r="O5380" s="533"/>
      <c r="P5380" s="533"/>
      <c r="Q5380" s="533"/>
      <c r="R5380" s="533"/>
      <c r="S5380" s="533"/>
      <c r="T5380" s="533"/>
      <c r="U5380" s="533"/>
      <c r="V5380" s="533"/>
      <c r="W5380" s="533"/>
      <c r="X5380" s="533"/>
      <c r="Y5380" s="533"/>
    </row>
    <row r="5381" spans="1:25" s="88" customFormat="1" ht="15.75" hidden="1" customHeight="1" x14ac:dyDescent="0.25">
      <c r="A5381" s="509"/>
      <c r="B5381" s="256"/>
      <c r="C5381" s="221"/>
      <c r="D5381" s="218"/>
      <c r="E5381" s="218"/>
      <c r="F5381" s="249" t="s">
        <v>248</v>
      </c>
      <c r="G5381" s="252" t="s">
        <v>249</v>
      </c>
      <c r="H5381" s="594"/>
      <c r="I5381" s="595"/>
      <c r="J5381" s="599">
        <f t="shared" si="165"/>
        <v>0</v>
      </c>
      <c r="K5381" s="533"/>
      <c r="L5381" s="533"/>
      <c r="M5381" s="533"/>
      <c r="N5381" s="533"/>
      <c r="O5381" s="533"/>
      <c r="P5381" s="533"/>
      <c r="Q5381" s="533"/>
      <c r="R5381" s="533"/>
      <c r="S5381" s="533"/>
      <c r="T5381" s="533"/>
      <c r="U5381" s="533"/>
      <c r="V5381" s="533"/>
      <c r="W5381" s="533"/>
      <c r="X5381" s="533"/>
      <c r="Y5381" s="533"/>
    </row>
    <row r="5382" spans="1:25" s="88" customFormat="1" ht="15.75" hidden="1" customHeight="1" x14ac:dyDescent="0.25">
      <c r="A5382" s="509"/>
      <c r="B5382" s="256"/>
      <c r="C5382" s="221"/>
      <c r="D5382" s="218"/>
      <c r="E5382" s="218"/>
      <c r="F5382" s="249" t="s">
        <v>250</v>
      </c>
      <c r="G5382" s="252" t="s">
        <v>57</v>
      </c>
      <c r="H5382" s="594"/>
      <c r="I5382" s="595"/>
      <c r="J5382" s="599">
        <f t="shared" si="165"/>
        <v>0</v>
      </c>
      <c r="K5382" s="533"/>
      <c r="L5382" s="533"/>
      <c r="M5382" s="533"/>
      <c r="N5382" s="533"/>
      <c r="O5382" s="533"/>
      <c r="P5382" s="533"/>
      <c r="Q5382" s="533"/>
      <c r="R5382" s="533"/>
      <c r="S5382" s="533"/>
      <c r="T5382" s="533"/>
      <c r="U5382" s="533"/>
      <c r="V5382" s="533"/>
      <c r="W5382" s="533"/>
      <c r="X5382" s="533"/>
      <c r="Y5382" s="533"/>
    </row>
    <row r="5383" spans="1:25" s="88" customFormat="1" ht="15.75" hidden="1" customHeight="1" x14ac:dyDescent="0.25">
      <c r="A5383" s="509"/>
      <c r="B5383" s="256"/>
      <c r="C5383" s="221"/>
      <c r="D5383" s="218"/>
      <c r="E5383" s="218"/>
      <c r="F5383" s="249" t="s">
        <v>251</v>
      </c>
      <c r="G5383" s="252" t="s">
        <v>252</v>
      </c>
      <c r="H5383" s="594"/>
      <c r="I5383" s="595"/>
      <c r="J5383" s="599">
        <f t="shared" si="165"/>
        <v>0</v>
      </c>
      <c r="K5383" s="533"/>
      <c r="L5383" s="533"/>
      <c r="M5383" s="533"/>
      <c r="N5383" s="533"/>
      <c r="O5383" s="533"/>
      <c r="P5383" s="533"/>
      <c r="Q5383" s="533"/>
      <c r="R5383" s="533"/>
      <c r="S5383" s="533"/>
      <c r="T5383" s="533"/>
      <c r="U5383" s="533"/>
      <c r="V5383" s="533"/>
      <c r="W5383" s="533"/>
      <c r="X5383" s="533"/>
      <c r="Y5383" s="533"/>
    </row>
    <row r="5384" spans="1:25" s="88" customFormat="1" ht="15.75" hidden="1" customHeight="1" x14ac:dyDescent="0.25">
      <c r="A5384" s="509"/>
      <c r="B5384" s="256"/>
      <c r="C5384" s="221"/>
      <c r="D5384" s="218"/>
      <c r="E5384" s="218"/>
      <c r="F5384" s="249" t="s">
        <v>253</v>
      </c>
      <c r="G5384" s="252" t="s">
        <v>254</v>
      </c>
      <c r="H5384" s="594"/>
      <c r="I5384" s="595"/>
      <c r="J5384" s="599">
        <f t="shared" si="165"/>
        <v>0</v>
      </c>
      <c r="K5384" s="533"/>
      <c r="L5384" s="533"/>
      <c r="M5384" s="533"/>
      <c r="N5384" s="533"/>
      <c r="O5384" s="533"/>
      <c r="P5384" s="533"/>
      <c r="Q5384" s="533"/>
      <c r="R5384" s="533"/>
      <c r="S5384" s="533"/>
      <c r="T5384" s="533"/>
      <c r="U5384" s="533"/>
      <c r="V5384" s="533"/>
      <c r="W5384" s="533"/>
      <c r="X5384" s="533"/>
      <c r="Y5384" s="533"/>
    </row>
    <row r="5385" spans="1:25" s="88" customFormat="1" ht="15.75" hidden="1" customHeight="1" x14ac:dyDescent="0.25">
      <c r="A5385" s="509"/>
      <c r="B5385" s="256"/>
      <c r="C5385" s="221"/>
      <c r="D5385" s="218"/>
      <c r="E5385" s="218"/>
      <c r="F5385" s="249" t="s">
        <v>255</v>
      </c>
      <c r="G5385" s="252" t="s">
        <v>256</v>
      </c>
      <c r="H5385" s="594"/>
      <c r="I5385" s="595"/>
      <c r="J5385" s="599">
        <f t="shared" si="165"/>
        <v>0</v>
      </c>
      <c r="K5385" s="533"/>
      <c r="L5385" s="533"/>
      <c r="M5385" s="533"/>
      <c r="N5385" s="533"/>
      <c r="O5385" s="533"/>
      <c r="P5385" s="533"/>
      <c r="Q5385" s="533"/>
      <c r="R5385" s="533"/>
      <c r="S5385" s="533"/>
      <c r="T5385" s="533"/>
      <c r="U5385" s="533"/>
      <c r="V5385" s="533"/>
      <c r="W5385" s="533"/>
      <c r="X5385" s="533"/>
      <c r="Y5385" s="533"/>
    </row>
    <row r="5386" spans="1:25" s="88" customFormat="1" ht="15.75" hidden="1" customHeight="1" x14ac:dyDescent="0.25">
      <c r="A5386" s="509"/>
      <c r="B5386" s="256"/>
      <c r="C5386" s="221"/>
      <c r="D5386" s="218"/>
      <c r="E5386" s="218"/>
      <c r="F5386" s="249" t="s">
        <v>257</v>
      </c>
      <c r="G5386" s="252" t="s">
        <v>258</v>
      </c>
      <c r="H5386" s="594"/>
      <c r="I5386" s="595"/>
      <c r="J5386" s="599">
        <f t="shared" si="165"/>
        <v>0</v>
      </c>
      <c r="K5386" s="533"/>
      <c r="L5386" s="533"/>
      <c r="M5386" s="533"/>
      <c r="N5386" s="533"/>
      <c r="O5386" s="533"/>
      <c r="P5386" s="533"/>
      <c r="Q5386" s="533"/>
      <c r="R5386" s="533"/>
      <c r="S5386" s="533"/>
      <c r="T5386" s="533"/>
      <c r="U5386" s="533"/>
      <c r="V5386" s="533"/>
      <c r="W5386" s="533"/>
      <c r="X5386" s="533"/>
      <c r="Y5386" s="533"/>
    </row>
    <row r="5387" spans="1:25" s="88" customFormat="1" ht="15.75" hidden="1" customHeight="1" x14ac:dyDescent="0.25">
      <c r="A5387" s="509"/>
      <c r="B5387" s="256"/>
      <c r="C5387" s="221"/>
      <c r="D5387" s="218"/>
      <c r="E5387" s="218"/>
      <c r="F5387" s="249" t="s">
        <v>259</v>
      </c>
      <c r="G5387" s="252" t="s">
        <v>260</v>
      </c>
      <c r="H5387" s="594"/>
      <c r="I5387" s="595"/>
      <c r="J5387" s="599">
        <f t="shared" si="165"/>
        <v>0</v>
      </c>
      <c r="K5387" s="533"/>
      <c r="L5387" s="533"/>
      <c r="M5387" s="533"/>
      <c r="N5387" s="533"/>
      <c r="O5387" s="533"/>
      <c r="P5387" s="533"/>
      <c r="Q5387" s="533"/>
      <c r="R5387" s="533"/>
      <c r="S5387" s="533"/>
      <c r="T5387" s="533"/>
      <c r="U5387" s="533"/>
      <c r="V5387" s="533"/>
      <c r="W5387" s="533"/>
      <c r="X5387" s="533"/>
      <c r="Y5387" s="533"/>
    </row>
    <row r="5388" spans="1:25" s="88" customFormat="1" ht="15.75" hidden="1" customHeight="1" x14ac:dyDescent="0.25">
      <c r="A5388" s="509"/>
      <c r="B5388" s="256"/>
      <c r="C5388" s="221"/>
      <c r="D5388" s="218"/>
      <c r="E5388" s="218"/>
      <c r="F5388" s="249" t="s">
        <v>261</v>
      </c>
      <c r="G5388" s="252" t="s">
        <v>262</v>
      </c>
      <c r="H5388" s="594"/>
      <c r="I5388" s="595"/>
      <c r="J5388" s="599">
        <f t="shared" si="165"/>
        <v>0</v>
      </c>
      <c r="K5388" s="533"/>
      <c r="L5388" s="533"/>
      <c r="M5388" s="533"/>
      <c r="N5388" s="533"/>
      <c r="O5388" s="533"/>
      <c r="P5388" s="533"/>
      <c r="Q5388" s="533"/>
      <c r="R5388" s="533"/>
      <c r="S5388" s="533"/>
      <c r="T5388" s="533"/>
      <c r="U5388" s="533"/>
      <c r="V5388" s="533"/>
      <c r="W5388" s="533"/>
      <c r="X5388" s="533"/>
      <c r="Y5388" s="533"/>
    </row>
    <row r="5389" spans="1:25" s="88" customFormat="1" ht="15.75" hidden="1" customHeight="1" thickBot="1" x14ac:dyDescent="0.3">
      <c r="A5389" s="509"/>
      <c r="B5389" s="256"/>
      <c r="C5389" s="221"/>
      <c r="D5389" s="218"/>
      <c r="E5389" s="218"/>
      <c r="F5389" s="249" t="s">
        <v>263</v>
      </c>
      <c r="G5389" s="252" t="s">
        <v>264</v>
      </c>
      <c r="H5389" s="598"/>
      <c r="I5389" s="599"/>
      <c r="J5389" s="599">
        <f t="shared" si="165"/>
        <v>0</v>
      </c>
      <c r="K5389" s="533"/>
      <c r="L5389" s="533"/>
      <c r="M5389" s="533"/>
      <c r="N5389" s="533"/>
      <c r="O5389" s="533"/>
      <c r="P5389" s="533"/>
      <c r="Q5389" s="533"/>
      <c r="R5389" s="533"/>
      <c r="S5389" s="533"/>
      <c r="T5389" s="533"/>
      <c r="U5389" s="533"/>
      <c r="V5389" s="533"/>
      <c r="W5389" s="533"/>
      <c r="X5389" s="533"/>
      <c r="Y5389" s="533"/>
    </row>
    <row r="5390" spans="1:25" s="88" customFormat="1" ht="15.75" customHeight="1" thickBot="1" x14ac:dyDescent="0.3">
      <c r="A5390" s="509"/>
      <c r="B5390" s="256"/>
      <c r="C5390" s="221"/>
      <c r="D5390" s="218"/>
      <c r="E5390" s="218"/>
      <c r="F5390" s="218"/>
      <c r="G5390" s="229" t="s">
        <v>4471</v>
      </c>
      <c r="H5390" s="600">
        <f>SUM(H5374:H5389)</f>
        <v>27000000</v>
      </c>
      <c r="I5390" s="601">
        <f>SUM(I5375:I5389)</f>
        <v>0</v>
      </c>
      <c r="J5390" s="601">
        <f>SUM(J5374:J5389)</f>
        <v>27000000</v>
      </c>
      <c r="K5390" s="533"/>
      <c r="L5390" s="533"/>
      <c r="M5390" s="533"/>
      <c r="N5390" s="533"/>
      <c r="O5390" s="533"/>
      <c r="P5390" s="533"/>
      <c r="Q5390" s="533"/>
      <c r="R5390" s="533"/>
      <c r="S5390" s="533"/>
      <c r="T5390" s="533"/>
      <c r="U5390" s="533"/>
      <c r="V5390" s="533"/>
      <c r="W5390" s="533"/>
      <c r="X5390" s="533"/>
      <c r="Y5390" s="533"/>
    </row>
    <row r="5391" spans="1:25" s="88" customFormat="1" ht="15.75" customHeight="1" x14ac:dyDescent="0.25">
      <c r="A5391" s="509"/>
      <c r="B5391" s="256"/>
      <c r="C5391" s="221"/>
      <c r="D5391" s="218"/>
      <c r="E5391" s="517"/>
      <c r="F5391" s="528"/>
      <c r="G5391" s="231" t="s">
        <v>4490</v>
      </c>
      <c r="H5391" s="602"/>
      <c r="I5391" s="623"/>
      <c r="J5391" s="603"/>
      <c r="K5391" s="533"/>
      <c r="L5391" s="533"/>
      <c r="M5391" s="533"/>
      <c r="N5391" s="533"/>
      <c r="O5391" s="533"/>
      <c r="P5391" s="533"/>
      <c r="Q5391" s="533"/>
      <c r="R5391" s="533"/>
      <c r="S5391" s="533"/>
      <c r="T5391" s="533"/>
      <c r="U5391" s="533"/>
      <c r="V5391" s="533"/>
      <c r="W5391" s="533"/>
      <c r="X5391" s="533"/>
      <c r="Y5391" s="533"/>
    </row>
    <row r="5392" spans="1:25" s="88" customFormat="1" ht="15.75" customHeight="1" thickBot="1" x14ac:dyDescent="0.3">
      <c r="A5392" s="509"/>
      <c r="B5392" s="256"/>
      <c r="C5392" s="221"/>
      <c r="D5392" s="218"/>
      <c r="E5392" s="222"/>
      <c r="F5392" s="249" t="s">
        <v>234</v>
      </c>
      <c r="G5392" s="252" t="s">
        <v>235</v>
      </c>
      <c r="H5392" s="598">
        <f>SUM(H5313:H5372)</f>
        <v>27000000</v>
      </c>
      <c r="I5392" s="599"/>
      <c r="J5392" s="599">
        <f t="shared" ref="J5392:J5407" si="166">SUM(H5392:I5392)</f>
        <v>27000000</v>
      </c>
      <c r="K5392" s="533"/>
      <c r="L5392" s="533"/>
      <c r="M5392" s="533"/>
      <c r="N5392" s="533"/>
      <c r="O5392" s="533"/>
      <c r="P5392" s="533"/>
      <c r="Q5392" s="533"/>
      <c r="R5392" s="533"/>
      <c r="S5392" s="533"/>
      <c r="T5392" s="533"/>
      <c r="U5392" s="533"/>
      <c r="V5392" s="533"/>
      <c r="W5392" s="533"/>
      <c r="X5392" s="533"/>
      <c r="Y5392" s="533"/>
    </row>
    <row r="5393" spans="1:25" s="88" customFormat="1" ht="15.75" hidden="1" customHeight="1" x14ac:dyDescent="0.25">
      <c r="A5393" s="509"/>
      <c r="B5393" s="256"/>
      <c r="C5393" s="221"/>
      <c r="D5393" s="218"/>
      <c r="E5393" s="218"/>
      <c r="F5393" s="249" t="s">
        <v>236</v>
      </c>
      <c r="G5393" s="252" t="s">
        <v>237</v>
      </c>
      <c r="H5393" s="594"/>
      <c r="I5393" s="595"/>
      <c r="J5393" s="599">
        <f t="shared" si="166"/>
        <v>0</v>
      </c>
      <c r="K5393" s="533"/>
      <c r="L5393" s="533"/>
      <c r="M5393" s="533"/>
      <c r="N5393" s="533"/>
      <c r="O5393" s="533"/>
      <c r="P5393" s="533"/>
      <c r="Q5393" s="533"/>
      <c r="R5393" s="533"/>
      <c r="S5393" s="533"/>
      <c r="T5393" s="533"/>
      <c r="U5393" s="533"/>
      <c r="V5393" s="533"/>
      <c r="W5393" s="533"/>
      <c r="X5393" s="533"/>
      <c r="Y5393" s="533"/>
    </row>
    <row r="5394" spans="1:25" s="88" customFormat="1" ht="15.75" hidden="1" customHeight="1" x14ac:dyDescent="0.25">
      <c r="A5394" s="509"/>
      <c r="B5394" s="256"/>
      <c r="C5394" s="221"/>
      <c r="D5394" s="218"/>
      <c r="E5394" s="218"/>
      <c r="F5394" s="249" t="s">
        <v>238</v>
      </c>
      <c r="G5394" s="252" t="s">
        <v>239</v>
      </c>
      <c r="H5394" s="594"/>
      <c r="I5394" s="595"/>
      <c r="J5394" s="599">
        <f t="shared" si="166"/>
        <v>0</v>
      </c>
      <c r="K5394" s="533"/>
      <c r="L5394" s="533"/>
      <c r="M5394" s="533"/>
      <c r="N5394" s="533"/>
      <c r="O5394" s="533"/>
      <c r="P5394" s="533"/>
      <c r="Q5394" s="533"/>
      <c r="R5394" s="533"/>
      <c r="S5394" s="533"/>
      <c r="T5394" s="533"/>
      <c r="U5394" s="533"/>
      <c r="V5394" s="533"/>
      <c r="W5394" s="533"/>
      <c r="X5394" s="533"/>
      <c r="Y5394" s="533"/>
    </row>
    <row r="5395" spans="1:25" s="88" customFormat="1" ht="15.75" hidden="1" customHeight="1" x14ac:dyDescent="0.25">
      <c r="A5395" s="509"/>
      <c r="B5395" s="256"/>
      <c r="C5395" s="221"/>
      <c r="D5395" s="218"/>
      <c r="E5395" s="218"/>
      <c r="F5395" s="249" t="s">
        <v>240</v>
      </c>
      <c r="G5395" s="252" t="s">
        <v>241</v>
      </c>
      <c r="H5395" s="594"/>
      <c r="I5395" s="595"/>
      <c r="J5395" s="599">
        <f t="shared" si="166"/>
        <v>0</v>
      </c>
      <c r="K5395" s="533"/>
      <c r="L5395" s="533"/>
      <c r="M5395" s="533"/>
      <c r="N5395" s="533"/>
      <c r="O5395" s="533"/>
      <c r="P5395" s="533"/>
      <c r="Q5395" s="533"/>
      <c r="R5395" s="533"/>
      <c r="S5395" s="533"/>
      <c r="T5395" s="533"/>
      <c r="U5395" s="533"/>
      <c r="V5395" s="533"/>
      <c r="W5395" s="533"/>
      <c r="X5395" s="533"/>
      <c r="Y5395" s="533"/>
    </row>
    <row r="5396" spans="1:25" s="88" customFormat="1" ht="15.75" hidden="1" customHeight="1" x14ac:dyDescent="0.25">
      <c r="A5396" s="509"/>
      <c r="B5396" s="256"/>
      <c r="C5396" s="221"/>
      <c r="D5396" s="218"/>
      <c r="E5396" s="218"/>
      <c r="F5396" s="249" t="s">
        <v>242</v>
      </c>
      <c r="G5396" s="252" t="s">
        <v>243</v>
      </c>
      <c r="H5396" s="594"/>
      <c r="I5396" s="595"/>
      <c r="J5396" s="599">
        <f t="shared" si="166"/>
        <v>0</v>
      </c>
      <c r="K5396" s="533"/>
      <c r="L5396" s="533"/>
      <c r="M5396" s="533"/>
      <c r="N5396" s="533"/>
      <c r="O5396" s="533"/>
      <c r="P5396" s="533"/>
      <c r="Q5396" s="533"/>
      <c r="R5396" s="533"/>
      <c r="S5396" s="533"/>
      <c r="T5396" s="533"/>
      <c r="U5396" s="533"/>
      <c r="V5396" s="533"/>
      <c r="W5396" s="533"/>
      <c r="X5396" s="533"/>
      <c r="Y5396" s="533"/>
    </row>
    <row r="5397" spans="1:25" s="88" customFormat="1" ht="15.75" hidden="1" customHeight="1" x14ac:dyDescent="0.25">
      <c r="A5397" s="509"/>
      <c r="B5397" s="256"/>
      <c r="C5397" s="221"/>
      <c r="D5397" s="218"/>
      <c r="E5397" s="218"/>
      <c r="F5397" s="249" t="s">
        <v>244</v>
      </c>
      <c r="G5397" s="252" t="s">
        <v>245</v>
      </c>
      <c r="H5397" s="594"/>
      <c r="I5397" s="595"/>
      <c r="J5397" s="599">
        <f t="shared" si="166"/>
        <v>0</v>
      </c>
      <c r="K5397" s="533"/>
      <c r="L5397" s="533"/>
      <c r="M5397" s="533"/>
      <c r="N5397" s="533"/>
      <c r="O5397" s="533"/>
      <c r="P5397" s="533"/>
      <c r="Q5397" s="533"/>
      <c r="R5397" s="533"/>
      <c r="S5397" s="533"/>
      <c r="T5397" s="533"/>
      <c r="U5397" s="533"/>
      <c r="V5397" s="533"/>
      <c r="W5397" s="533"/>
      <c r="X5397" s="533"/>
      <c r="Y5397" s="533"/>
    </row>
    <row r="5398" spans="1:25" s="88" customFormat="1" ht="15.75" hidden="1" customHeight="1" x14ac:dyDescent="0.25">
      <c r="A5398" s="509"/>
      <c r="B5398" s="256"/>
      <c r="C5398" s="221"/>
      <c r="D5398" s="218"/>
      <c r="E5398" s="218"/>
      <c r="F5398" s="249" t="s">
        <v>246</v>
      </c>
      <c r="G5398" s="252" t="s">
        <v>247</v>
      </c>
      <c r="H5398" s="594"/>
      <c r="I5398" s="595"/>
      <c r="J5398" s="599">
        <f t="shared" si="166"/>
        <v>0</v>
      </c>
      <c r="K5398" s="533"/>
      <c r="L5398" s="533"/>
      <c r="M5398" s="533"/>
      <c r="N5398" s="533"/>
      <c r="O5398" s="533"/>
      <c r="P5398" s="533"/>
      <c r="Q5398" s="533"/>
      <c r="R5398" s="533"/>
      <c r="S5398" s="533"/>
      <c r="T5398" s="533"/>
      <c r="U5398" s="533"/>
      <c r="V5398" s="533"/>
      <c r="W5398" s="533"/>
      <c r="X5398" s="533"/>
      <c r="Y5398" s="533"/>
    </row>
    <row r="5399" spans="1:25" s="88" customFormat="1" ht="15.75" hidden="1" customHeight="1" x14ac:dyDescent="0.25">
      <c r="A5399" s="509"/>
      <c r="B5399" s="256"/>
      <c r="C5399" s="221"/>
      <c r="D5399" s="218"/>
      <c r="E5399" s="218"/>
      <c r="F5399" s="249" t="s">
        <v>248</v>
      </c>
      <c r="G5399" s="252" t="s">
        <v>249</v>
      </c>
      <c r="H5399" s="594"/>
      <c r="I5399" s="595"/>
      <c r="J5399" s="599">
        <f t="shared" si="166"/>
        <v>0</v>
      </c>
      <c r="K5399" s="533"/>
      <c r="L5399" s="533"/>
      <c r="M5399" s="533"/>
      <c r="N5399" s="533"/>
      <c r="O5399" s="533"/>
      <c r="P5399" s="533"/>
      <c r="Q5399" s="533"/>
      <c r="R5399" s="533"/>
      <c r="S5399" s="533"/>
      <c r="T5399" s="533"/>
      <c r="U5399" s="533"/>
      <c r="V5399" s="533"/>
      <c r="W5399" s="533"/>
      <c r="X5399" s="533"/>
      <c r="Y5399" s="533"/>
    </row>
    <row r="5400" spans="1:25" s="88" customFormat="1" ht="15.75" hidden="1" customHeight="1" x14ac:dyDescent="0.25">
      <c r="A5400" s="509"/>
      <c r="B5400" s="256"/>
      <c r="C5400" s="221"/>
      <c r="D5400" s="218"/>
      <c r="E5400" s="218"/>
      <c r="F5400" s="249" t="s">
        <v>250</v>
      </c>
      <c r="G5400" s="252" t="s">
        <v>57</v>
      </c>
      <c r="H5400" s="594"/>
      <c r="I5400" s="595"/>
      <c r="J5400" s="599">
        <f t="shared" si="166"/>
        <v>0</v>
      </c>
      <c r="K5400" s="533"/>
      <c r="L5400" s="533"/>
      <c r="M5400" s="533"/>
      <c r="N5400" s="533"/>
      <c r="O5400" s="533"/>
      <c r="P5400" s="533"/>
      <c r="Q5400" s="533"/>
      <c r="R5400" s="533"/>
      <c r="S5400" s="533"/>
      <c r="T5400" s="533"/>
      <c r="U5400" s="533"/>
      <c r="V5400" s="533"/>
      <c r="W5400" s="533"/>
      <c r="X5400" s="533"/>
      <c r="Y5400" s="533"/>
    </row>
    <row r="5401" spans="1:25" s="88" customFormat="1" ht="15.75" hidden="1" customHeight="1" x14ac:dyDescent="0.25">
      <c r="A5401" s="509"/>
      <c r="B5401" s="256"/>
      <c r="C5401" s="221"/>
      <c r="D5401" s="218"/>
      <c r="E5401" s="218"/>
      <c r="F5401" s="249" t="s">
        <v>251</v>
      </c>
      <c r="G5401" s="252" t="s">
        <v>252</v>
      </c>
      <c r="H5401" s="594"/>
      <c r="I5401" s="595"/>
      <c r="J5401" s="599">
        <f t="shared" si="166"/>
        <v>0</v>
      </c>
      <c r="K5401" s="533"/>
      <c r="L5401" s="533"/>
      <c r="M5401" s="533"/>
      <c r="N5401" s="533"/>
      <c r="O5401" s="533"/>
      <c r="P5401" s="533"/>
      <c r="Q5401" s="533"/>
      <c r="R5401" s="533"/>
      <c r="S5401" s="533"/>
      <c r="T5401" s="533"/>
      <c r="U5401" s="533"/>
      <c r="V5401" s="533"/>
      <c r="W5401" s="533"/>
      <c r="X5401" s="533"/>
      <c r="Y5401" s="533"/>
    </row>
    <row r="5402" spans="1:25" s="88" customFormat="1" ht="15.75" hidden="1" customHeight="1" x14ac:dyDescent="0.25">
      <c r="A5402" s="509"/>
      <c r="B5402" s="256"/>
      <c r="C5402" s="221"/>
      <c r="D5402" s="218"/>
      <c r="E5402" s="218"/>
      <c r="F5402" s="249" t="s">
        <v>253</v>
      </c>
      <c r="G5402" s="252" t="s">
        <v>254</v>
      </c>
      <c r="H5402" s="594"/>
      <c r="I5402" s="595"/>
      <c r="J5402" s="599">
        <f t="shared" si="166"/>
        <v>0</v>
      </c>
      <c r="K5402" s="533"/>
      <c r="L5402" s="533"/>
      <c r="M5402" s="533"/>
      <c r="N5402" s="533"/>
      <c r="O5402" s="533"/>
      <c r="P5402" s="533"/>
      <c r="Q5402" s="533"/>
      <c r="R5402" s="533"/>
      <c r="S5402" s="533"/>
      <c r="T5402" s="533"/>
      <c r="U5402" s="533"/>
      <c r="V5402" s="533"/>
      <c r="W5402" s="533"/>
      <c r="X5402" s="533"/>
      <c r="Y5402" s="533"/>
    </row>
    <row r="5403" spans="1:25" s="88" customFormat="1" ht="15.75" hidden="1" customHeight="1" x14ac:dyDescent="0.25">
      <c r="A5403" s="509"/>
      <c r="B5403" s="256"/>
      <c r="C5403" s="221"/>
      <c r="D5403" s="218"/>
      <c r="E5403" s="218"/>
      <c r="F5403" s="249" t="s">
        <v>255</v>
      </c>
      <c r="G5403" s="252" t="s">
        <v>256</v>
      </c>
      <c r="H5403" s="594"/>
      <c r="I5403" s="595"/>
      <c r="J5403" s="599">
        <f t="shared" si="166"/>
        <v>0</v>
      </c>
      <c r="K5403" s="533"/>
      <c r="L5403" s="533"/>
      <c r="M5403" s="533"/>
      <c r="N5403" s="533"/>
      <c r="O5403" s="533"/>
      <c r="P5403" s="533"/>
      <c r="Q5403" s="533"/>
      <c r="R5403" s="533"/>
      <c r="S5403" s="533"/>
      <c r="T5403" s="533"/>
      <c r="U5403" s="533"/>
      <c r="V5403" s="533"/>
      <c r="W5403" s="533"/>
      <c r="X5403" s="533"/>
      <c r="Y5403" s="533"/>
    </row>
    <row r="5404" spans="1:25" s="88" customFormat="1" ht="15.75" hidden="1" customHeight="1" x14ac:dyDescent="0.25">
      <c r="A5404" s="509"/>
      <c r="B5404" s="256"/>
      <c r="C5404" s="221"/>
      <c r="D5404" s="218"/>
      <c r="E5404" s="218"/>
      <c r="F5404" s="249" t="s">
        <v>257</v>
      </c>
      <c r="G5404" s="252" t="s">
        <v>258</v>
      </c>
      <c r="H5404" s="594"/>
      <c r="I5404" s="595"/>
      <c r="J5404" s="599">
        <f t="shared" si="166"/>
        <v>0</v>
      </c>
      <c r="K5404" s="533"/>
      <c r="L5404" s="533"/>
      <c r="M5404" s="533"/>
      <c r="N5404" s="533"/>
      <c r="O5404" s="533"/>
      <c r="P5404" s="533"/>
      <c r="Q5404" s="533"/>
      <c r="R5404" s="533"/>
      <c r="S5404" s="533"/>
      <c r="T5404" s="533"/>
      <c r="U5404" s="533"/>
      <c r="V5404" s="533"/>
      <c r="W5404" s="533"/>
      <c r="X5404" s="533"/>
      <c r="Y5404" s="533"/>
    </row>
    <row r="5405" spans="1:25" s="88" customFormat="1" ht="15.75" hidden="1" customHeight="1" x14ac:dyDescent="0.25">
      <c r="A5405" s="509"/>
      <c r="B5405" s="256"/>
      <c r="C5405" s="221"/>
      <c r="D5405" s="218"/>
      <c r="E5405" s="218"/>
      <c r="F5405" s="249" t="s">
        <v>259</v>
      </c>
      <c r="G5405" s="252" t="s">
        <v>260</v>
      </c>
      <c r="H5405" s="594"/>
      <c r="I5405" s="595"/>
      <c r="J5405" s="599">
        <f t="shared" si="166"/>
        <v>0</v>
      </c>
      <c r="K5405" s="533"/>
      <c r="L5405" s="533"/>
      <c r="M5405" s="533"/>
      <c r="N5405" s="533"/>
      <c r="O5405" s="533"/>
      <c r="P5405" s="533"/>
      <c r="Q5405" s="533"/>
      <c r="R5405" s="533"/>
      <c r="S5405" s="533"/>
      <c r="T5405" s="533"/>
      <c r="U5405" s="533"/>
      <c r="V5405" s="533"/>
      <c r="W5405" s="533"/>
      <c r="X5405" s="533"/>
      <c r="Y5405" s="533"/>
    </row>
    <row r="5406" spans="1:25" s="88" customFormat="1" ht="15.75" hidden="1" customHeight="1" x14ac:dyDescent="0.25">
      <c r="A5406" s="509"/>
      <c r="B5406" s="256"/>
      <c r="C5406" s="221"/>
      <c r="D5406" s="218"/>
      <c r="E5406" s="218"/>
      <c r="F5406" s="249" t="s">
        <v>261</v>
      </c>
      <c r="G5406" s="252" t="s">
        <v>262</v>
      </c>
      <c r="H5406" s="594"/>
      <c r="I5406" s="595"/>
      <c r="J5406" s="599">
        <f t="shared" si="166"/>
        <v>0</v>
      </c>
      <c r="K5406" s="533"/>
      <c r="L5406" s="533"/>
      <c r="M5406" s="533"/>
      <c r="N5406" s="533"/>
      <c r="O5406" s="533"/>
      <c r="P5406" s="533"/>
      <c r="Q5406" s="533"/>
      <c r="R5406" s="533"/>
      <c r="S5406" s="533"/>
      <c r="T5406" s="533"/>
      <c r="U5406" s="533"/>
      <c r="V5406" s="533"/>
      <c r="W5406" s="533"/>
      <c r="X5406" s="533"/>
      <c r="Y5406" s="533"/>
    </row>
    <row r="5407" spans="1:25" s="88" customFormat="1" ht="15.75" hidden="1" customHeight="1" thickBot="1" x14ac:dyDescent="0.3">
      <c r="A5407" s="509"/>
      <c r="B5407" s="256"/>
      <c r="C5407" s="221"/>
      <c r="D5407" s="218"/>
      <c r="E5407" s="218"/>
      <c r="F5407" s="249" t="s">
        <v>263</v>
      </c>
      <c r="G5407" s="252" t="s">
        <v>264</v>
      </c>
      <c r="H5407" s="598"/>
      <c r="I5407" s="599"/>
      <c r="J5407" s="599">
        <f t="shared" si="166"/>
        <v>0</v>
      </c>
      <c r="K5407" s="533"/>
      <c r="L5407" s="533"/>
      <c r="M5407" s="533"/>
      <c r="N5407" s="533"/>
      <c r="O5407" s="533"/>
      <c r="P5407" s="533"/>
      <c r="Q5407" s="533"/>
      <c r="R5407" s="533"/>
      <c r="S5407" s="533"/>
      <c r="T5407" s="533"/>
      <c r="U5407" s="533"/>
      <c r="V5407" s="533"/>
      <c r="W5407" s="533"/>
      <c r="X5407" s="533"/>
      <c r="Y5407" s="533"/>
    </row>
    <row r="5408" spans="1:25" s="88" customFormat="1" ht="15.75" customHeight="1" thickBot="1" x14ac:dyDescent="0.3">
      <c r="A5408" s="509"/>
      <c r="B5408" s="256"/>
      <c r="C5408" s="221"/>
      <c r="D5408" s="218"/>
      <c r="E5408" s="218"/>
      <c r="F5408" s="218"/>
      <c r="G5408" s="229" t="s">
        <v>4491</v>
      </c>
      <c r="H5408" s="600">
        <f>SUM(H5392:H5407)</f>
        <v>27000000</v>
      </c>
      <c r="I5408" s="601">
        <f>SUM(I5393:I5407)</f>
        <v>0</v>
      </c>
      <c r="J5408" s="601">
        <f>SUM(J5392:J5407)</f>
        <v>27000000</v>
      </c>
      <c r="K5408" s="533"/>
      <c r="L5408" s="533"/>
      <c r="M5408" s="533"/>
      <c r="N5408" s="533"/>
      <c r="O5408" s="533"/>
      <c r="P5408" s="533"/>
      <c r="Q5408" s="533"/>
      <c r="R5408" s="533"/>
      <c r="S5408" s="533"/>
      <c r="T5408" s="533"/>
      <c r="U5408" s="533"/>
      <c r="V5408" s="533"/>
      <c r="W5408" s="533"/>
      <c r="X5408" s="533"/>
      <c r="Y5408" s="533"/>
    </row>
    <row r="5409" spans="1:25" s="88" customFormat="1" ht="15.75" hidden="1" customHeight="1" x14ac:dyDescent="0.25">
      <c r="A5409" s="509"/>
      <c r="B5409" s="256"/>
      <c r="C5409" s="221"/>
      <c r="D5409" s="218"/>
      <c r="E5409" s="218"/>
      <c r="F5409" s="218"/>
      <c r="G5409" s="230"/>
      <c r="H5409" s="594"/>
      <c r="I5409" s="595"/>
      <c r="J5409" s="595"/>
      <c r="K5409" s="533"/>
      <c r="L5409" s="533"/>
      <c r="M5409" s="533"/>
      <c r="N5409" s="533"/>
      <c r="O5409" s="533"/>
      <c r="P5409" s="533"/>
      <c r="Q5409" s="533"/>
      <c r="R5409" s="533"/>
      <c r="S5409" s="533"/>
      <c r="T5409" s="533"/>
      <c r="U5409" s="533"/>
      <c r="V5409" s="533"/>
      <c r="W5409" s="533"/>
      <c r="X5409" s="533"/>
      <c r="Y5409" s="533"/>
    </row>
    <row r="5410" spans="1:25" s="88" customFormat="1" ht="15.75" hidden="1" customHeight="1" x14ac:dyDescent="0.25">
      <c r="A5410" s="509"/>
      <c r="B5410" s="256"/>
      <c r="C5410" s="228" t="s">
        <v>4740</v>
      </c>
      <c r="D5410" s="219"/>
      <c r="E5410" s="218"/>
      <c r="F5410" s="218"/>
      <c r="G5410" s="521" t="s">
        <v>5118</v>
      </c>
      <c r="H5410" s="594"/>
      <c r="I5410" s="595"/>
      <c r="J5410" s="595"/>
      <c r="K5410" s="533"/>
      <c r="L5410" s="533"/>
      <c r="M5410" s="533"/>
      <c r="N5410" s="533"/>
      <c r="O5410" s="533"/>
      <c r="P5410" s="533"/>
      <c r="Q5410" s="533"/>
      <c r="R5410" s="533"/>
      <c r="S5410" s="533"/>
      <c r="T5410" s="533"/>
      <c r="U5410" s="533"/>
      <c r="V5410" s="533"/>
      <c r="W5410" s="533"/>
      <c r="X5410" s="533"/>
      <c r="Y5410" s="533"/>
    </row>
    <row r="5411" spans="1:25" s="88" customFormat="1" ht="15.75" hidden="1" customHeight="1" x14ac:dyDescent="0.25">
      <c r="A5411" s="509"/>
      <c r="B5411" s="256"/>
      <c r="C5411" s="228"/>
      <c r="D5411" s="312">
        <v>912</v>
      </c>
      <c r="E5411" s="312"/>
      <c r="F5411" s="312"/>
      <c r="G5411" s="313" t="s">
        <v>215</v>
      </c>
      <c r="H5411" s="594"/>
      <c r="I5411" s="595"/>
      <c r="J5411" s="595"/>
      <c r="K5411" s="533"/>
      <c r="L5411" s="533"/>
      <c r="M5411" s="533"/>
      <c r="N5411" s="533"/>
      <c r="O5411" s="533"/>
      <c r="P5411" s="533"/>
      <c r="Q5411" s="533"/>
      <c r="R5411" s="533"/>
      <c r="S5411" s="533"/>
      <c r="T5411" s="533"/>
      <c r="U5411" s="533"/>
      <c r="V5411" s="533"/>
      <c r="W5411" s="533"/>
      <c r="X5411" s="533"/>
      <c r="Y5411" s="533"/>
    </row>
    <row r="5412" spans="1:25" s="88" customFormat="1" ht="15.75" hidden="1" customHeight="1" x14ac:dyDescent="0.25">
      <c r="A5412" s="509"/>
      <c r="B5412" s="256"/>
      <c r="C5412" s="221"/>
      <c r="D5412" s="218"/>
      <c r="E5412" s="218"/>
      <c r="F5412" s="527">
        <v>411</v>
      </c>
      <c r="G5412" s="520" t="s">
        <v>4189</v>
      </c>
      <c r="H5412" s="594"/>
      <c r="I5412" s="595"/>
      <c r="J5412" s="595">
        <f t="shared" ref="J5412:J5443" si="167">SUM(H5412:I5412)</f>
        <v>0</v>
      </c>
      <c r="K5412" s="533"/>
      <c r="L5412" s="533"/>
      <c r="M5412" s="533"/>
      <c r="N5412" s="533"/>
      <c r="O5412" s="533"/>
      <c r="P5412" s="533"/>
      <c r="Q5412" s="533"/>
      <c r="R5412" s="533"/>
      <c r="S5412" s="533"/>
      <c r="T5412" s="533"/>
      <c r="U5412" s="533"/>
      <c r="V5412" s="533"/>
      <c r="W5412" s="533"/>
      <c r="X5412" s="533"/>
      <c r="Y5412" s="533"/>
    </row>
    <row r="5413" spans="1:25" s="88" customFormat="1" ht="15.75" hidden="1" customHeight="1" x14ac:dyDescent="0.25">
      <c r="A5413" s="509"/>
      <c r="B5413" s="256"/>
      <c r="C5413" s="221"/>
      <c r="D5413" s="218"/>
      <c r="E5413" s="218"/>
      <c r="F5413" s="527">
        <v>412</v>
      </c>
      <c r="G5413" s="516" t="s">
        <v>3784</v>
      </c>
      <c r="H5413" s="594"/>
      <c r="I5413" s="595"/>
      <c r="J5413" s="595">
        <f t="shared" si="167"/>
        <v>0</v>
      </c>
      <c r="K5413" s="533"/>
      <c r="L5413" s="533"/>
      <c r="M5413" s="533"/>
      <c r="N5413" s="533"/>
      <c r="O5413" s="533"/>
      <c r="P5413" s="533"/>
      <c r="Q5413" s="533"/>
      <c r="R5413" s="533"/>
      <c r="S5413" s="533"/>
      <c r="T5413" s="533"/>
      <c r="U5413" s="533"/>
      <c r="V5413" s="533"/>
      <c r="W5413" s="533"/>
      <c r="X5413" s="533"/>
      <c r="Y5413" s="533"/>
    </row>
    <row r="5414" spans="1:25" s="88" customFormat="1" ht="15.75" hidden="1" customHeight="1" x14ac:dyDescent="0.25">
      <c r="A5414" s="509"/>
      <c r="B5414" s="256"/>
      <c r="C5414" s="221"/>
      <c r="D5414" s="218"/>
      <c r="E5414" s="218"/>
      <c r="F5414" s="527">
        <v>413</v>
      </c>
      <c r="G5414" s="520" t="s">
        <v>4190</v>
      </c>
      <c r="H5414" s="594"/>
      <c r="I5414" s="595"/>
      <c r="J5414" s="595">
        <f t="shared" si="167"/>
        <v>0</v>
      </c>
      <c r="K5414" s="533"/>
      <c r="L5414" s="533"/>
      <c r="M5414" s="533"/>
      <c r="N5414" s="533"/>
      <c r="O5414" s="533"/>
      <c r="P5414" s="533"/>
      <c r="Q5414" s="533"/>
      <c r="R5414" s="533"/>
      <c r="S5414" s="533"/>
      <c r="T5414" s="533"/>
      <c r="U5414" s="533"/>
      <c r="V5414" s="533"/>
      <c r="W5414" s="533"/>
      <c r="X5414" s="533"/>
      <c r="Y5414" s="533"/>
    </row>
    <row r="5415" spans="1:25" s="88" customFormat="1" ht="15.75" hidden="1" customHeight="1" x14ac:dyDescent="0.25">
      <c r="A5415" s="509"/>
      <c r="B5415" s="256"/>
      <c r="C5415" s="221"/>
      <c r="D5415" s="218"/>
      <c r="E5415" s="218"/>
      <c r="F5415" s="527">
        <v>414</v>
      </c>
      <c r="G5415" s="520" t="s">
        <v>3787</v>
      </c>
      <c r="H5415" s="594"/>
      <c r="I5415" s="595"/>
      <c r="J5415" s="595">
        <f t="shared" si="167"/>
        <v>0</v>
      </c>
      <c r="K5415" s="533"/>
      <c r="L5415" s="533"/>
      <c r="M5415" s="533"/>
      <c r="N5415" s="533"/>
      <c r="O5415" s="533"/>
      <c r="P5415" s="533"/>
      <c r="Q5415" s="533"/>
      <c r="R5415" s="533"/>
      <c r="S5415" s="533"/>
      <c r="T5415" s="533"/>
      <c r="U5415" s="533"/>
      <c r="V5415" s="533"/>
      <c r="W5415" s="533"/>
      <c r="X5415" s="533"/>
      <c r="Y5415" s="533"/>
    </row>
    <row r="5416" spans="1:25" s="88" customFormat="1" ht="15.75" hidden="1" customHeight="1" x14ac:dyDescent="0.25">
      <c r="A5416" s="509"/>
      <c r="B5416" s="256"/>
      <c r="C5416" s="221"/>
      <c r="D5416" s="218"/>
      <c r="E5416" s="218"/>
      <c r="F5416" s="527">
        <v>415</v>
      </c>
      <c r="G5416" s="520" t="s">
        <v>4199</v>
      </c>
      <c r="H5416" s="594"/>
      <c r="I5416" s="595"/>
      <c r="J5416" s="595">
        <f t="shared" si="167"/>
        <v>0</v>
      </c>
      <c r="K5416" s="533"/>
      <c r="L5416" s="533"/>
      <c r="M5416" s="533"/>
      <c r="N5416" s="533"/>
      <c r="O5416" s="533"/>
      <c r="P5416" s="533"/>
      <c r="Q5416" s="533"/>
      <c r="R5416" s="533"/>
      <c r="S5416" s="533"/>
      <c r="T5416" s="533"/>
      <c r="U5416" s="533"/>
      <c r="V5416" s="533"/>
      <c r="W5416" s="533"/>
      <c r="X5416" s="533"/>
      <c r="Y5416" s="533"/>
    </row>
    <row r="5417" spans="1:25" s="88" customFormat="1" ht="15.75" hidden="1" customHeight="1" x14ac:dyDescent="0.25">
      <c r="A5417" s="509"/>
      <c r="B5417" s="256"/>
      <c r="C5417" s="221"/>
      <c r="D5417" s="218"/>
      <c r="E5417" s="218"/>
      <c r="F5417" s="527">
        <v>416</v>
      </c>
      <c r="G5417" s="520" t="s">
        <v>4200</v>
      </c>
      <c r="H5417" s="594"/>
      <c r="I5417" s="595"/>
      <c r="J5417" s="595">
        <f t="shared" si="167"/>
        <v>0</v>
      </c>
      <c r="K5417" s="533"/>
      <c r="L5417" s="533"/>
      <c r="M5417" s="533"/>
      <c r="N5417" s="533"/>
      <c r="O5417" s="533"/>
      <c r="P5417" s="533"/>
      <c r="Q5417" s="533"/>
      <c r="R5417" s="533"/>
      <c r="S5417" s="533"/>
      <c r="T5417" s="533"/>
      <c r="U5417" s="533"/>
      <c r="V5417" s="533"/>
      <c r="W5417" s="533"/>
      <c r="X5417" s="533"/>
      <c r="Y5417" s="533"/>
    </row>
    <row r="5418" spans="1:25" s="88" customFormat="1" ht="15.75" hidden="1" customHeight="1" x14ac:dyDescent="0.25">
      <c r="A5418" s="509"/>
      <c r="B5418" s="256"/>
      <c r="C5418" s="221"/>
      <c r="D5418" s="218"/>
      <c r="E5418" s="218"/>
      <c r="F5418" s="527">
        <v>417</v>
      </c>
      <c r="G5418" s="520" t="s">
        <v>4201</v>
      </c>
      <c r="H5418" s="594"/>
      <c r="I5418" s="595"/>
      <c r="J5418" s="595">
        <f t="shared" si="167"/>
        <v>0</v>
      </c>
      <c r="K5418" s="533"/>
      <c r="L5418" s="533"/>
      <c r="M5418" s="533"/>
      <c r="N5418" s="533"/>
      <c r="O5418" s="533"/>
      <c r="P5418" s="533"/>
      <c r="Q5418" s="533"/>
      <c r="R5418" s="533"/>
      <c r="S5418" s="533"/>
      <c r="T5418" s="533"/>
      <c r="U5418" s="533"/>
      <c r="V5418" s="533"/>
      <c r="W5418" s="533"/>
      <c r="X5418" s="533"/>
      <c r="Y5418" s="533"/>
    </row>
    <row r="5419" spans="1:25" s="88" customFormat="1" ht="15.75" hidden="1" customHeight="1" x14ac:dyDescent="0.25">
      <c r="A5419" s="509"/>
      <c r="B5419" s="256"/>
      <c r="C5419" s="221"/>
      <c r="D5419" s="218"/>
      <c r="E5419" s="218"/>
      <c r="F5419" s="527">
        <v>418</v>
      </c>
      <c r="G5419" s="520" t="s">
        <v>3793</v>
      </c>
      <c r="H5419" s="594"/>
      <c r="I5419" s="595"/>
      <c r="J5419" s="595">
        <f t="shared" si="167"/>
        <v>0</v>
      </c>
      <c r="K5419" s="533"/>
      <c r="L5419" s="533"/>
      <c r="M5419" s="533"/>
      <c r="N5419" s="533"/>
      <c r="O5419" s="533"/>
      <c r="P5419" s="533"/>
      <c r="Q5419" s="533"/>
      <c r="R5419" s="533"/>
      <c r="S5419" s="533"/>
      <c r="T5419" s="533"/>
      <c r="U5419" s="533"/>
      <c r="V5419" s="533"/>
      <c r="W5419" s="533"/>
      <c r="X5419" s="533"/>
      <c r="Y5419" s="533"/>
    </row>
    <row r="5420" spans="1:25" s="88" customFormat="1" ht="15.75" hidden="1" customHeight="1" x14ac:dyDescent="0.25">
      <c r="A5420" s="509"/>
      <c r="B5420" s="256"/>
      <c r="C5420" s="221"/>
      <c r="D5420" s="218"/>
      <c r="E5420" s="218"/>
      <c r="F5420" s="527">
        <v>421</v>
      </c>
      <c r="G5420" s="520" t="s">
        <v>3797</v>
      </c>
      <c r="H5420" s="594"/>
      <c r="I5420" s="595"/>
      <c r="J5420" s="595">
        <f t="shared" si="167"/>
        <v>0</v>
      </c>
      <c r="K5420" s="533"/>
      <c r="L5420" s="533"/>
      <c r="M5420" s="533"/>
      <c r="N5420" s="533"/>
      <c r="O5420" s="533"/>
      <c r="P5420" s="533"/>
      <c r="Q5420" s="533"/>
      <c r="R5420" s="533"/>
      <c r="S5420" s="533"/>
      <c r="T5420" s="533"/>
      <c r="U5420" s="533"/>
      <c r="V5420" s="533"/>
      <c r="W5420" s="533"/>
      <c r="X5420" s="533"/>
      <c r="Y5420" s="533"/>
    </row>
    <row r="5421" spans="1:25" s="88" customFormat="1" ht="15.75" hidden="1" customHeight="1" x14ac:dyDescent="0.25">
      <c r="A5421" s="509"/>
      <c r="B5421" s="256"/>
      <c r="C5421" s="221"/>
      <c r="D5421" s="218"/>
      <c r="E5421" s="218"/>
      <c r="F5421" s="527">
        <v>422</v>
      </c>
      <c r="G5421" s="520" t="s">
        <v>3798</v>
      </c>
      <c r="H5421" s="594"/>
      <c r="I5421" s="595"/>
      <c r="J5421" s="595">
        <f t="shared" si="167"/>
        <v>0</v>
      </c>
      <c r="K5421" s="533"/>
      <c r="L5421" s="533"/>
      <c r="M5421" s="533"/>
      <c r="N5421" s="533"/>
      <c r="O5421" s="533"/>
      <c r="P5421" s="533"/>
      <c r="Q5421" s="533"/>
      <c r="R5421" s="533"/>
      <c r="S5421" s="533"/>
      <c r="T5421" s="533"/>
      <c r="U5421" s="533"/>
      <c r="V5421" s="533"/>
      <c r="W5421" s="533"/>
      <c r="X5421" s="533"/>
      <c r="Y5421" s="533"/>
    </row>
    <row r="5422" spans="1:25" s="88" customFormat="1" ht="15.75" hidden="1" customHeight="1" x14ac:dyDescent="0.25">
      <c r="A5422" s="509"/>
      <c r="B5422" s="256"/>
      <c r="C5422" s="221"/>
      <c r="D5422" s="218"/>
      <c r="E5422" s="218"/>
      <c r="F5422" s="527">
        <v>423</v>
      </c>
      <c r="G5422" s="520" t="s">
        <v>3799</v>
      </c>
      <c r="H5422" s="594"/>
      <c r="I5422" s="595"/>
      <c r="J5422" s="595">
        <f t="shared" si="167"/>
        <v>0</v>
      </c>
      <c r="K5422" s="533"/>
      <c r="L5422" s="533"/>
      <c r="M5422" s="533"/>
      <c r="N5422" s="533"/>
      <c r="O5422" s="533"/>
      <c r="P5422" s="533"/>
      <c r="Q5422" s="533"/>
      <c r="R5422" s="533"/>
      <c r="S5422" s="533"/>
      <c r="T5422" s="533"/>
      <c r="U5422" s="533"/>
      <c r="V5422" s="533"/>
      <c r="W5422" s="533"/>
      <c r="X5422" s="533"/>
      <c r="Y5422" s="533"/>
    </row>
    <row r="5423" spans="1:25" s="88" customFormat="1" ht="15.75" hidden="1" customHeight="1" x14ac:dyDescent="0.25">
      <c r="A5423" s="509"/>
      <c r="B5423" s="256"/>
      <c r="C5423" s="221"/>
      <c r="D5423" s="218"/>
      <c r="E5423" s="218"/>
      <c r="F5423" s="527">
        <v>424</v>
      </c>
      <c r="G5423" s="520" t="s">
        <v>3801</v>
      </c>
      <c r="H5423" s="594"/>
      <c r="I5423" s="595"/>
      <c r="J5423" s="595">
        <f t="shared" si="167"/>
        <v>0</v>
      </c>
      <c r="K5423" s="533"/>
      <c r="L5423" s="533"/>
      <c r="M5423" s="533"/>
      <c r="N5423" s="533"/>
      <c r="O5423" s="533"/>
      <c r="P5423" s="533"/>
      <c r="Q5423" s="533"/>
      <c r="R5423" s="533"/>
      <c r="S5423" s="533"/>
      <c r="T5423" s="533"/>
      <c r="U5423" s="533"/>
      <c r="V5423" s="533"/>
      <c r="W5423" s="533"/>
      <c r="X5423" s="533"/>
      <c r="Y5423" s="533"/>
    </row>
    <row r="5424" spans="1:25" s="88" customFormat="1" ht="15.75" hidden="1" customHeight="1" x14ac:dyDescent="0.25">
      <c r="A5424" s="509"/>
      <c r="B5424" s="256"/>
      <c r="C5424" s="221"/>
      <c r="D5424" s="218"/>
      <c r="E5424" s="218"/>
      <c r="F5424" s="527">
        <v>425</v>
      </c>
      <c r="G5424" s="520" t="s">
        <v>4202</v>
      </c>
      <c r="H5424" s="594"/>
      <c r="I5424" s="595"/>
      <c r="J5424" s="595">
        <f t="shared" si="167"/>
        <v>0</v>
      </c>
      <c r="K5424" s="533"/>
      <c r="L5424" s="533"/>
      <c r="M5424" s="533"/>
      <c r="N5424" s="533"/>
      <c r="O5424" s="533"/>
      <c r="P5424" s="533"/>
      <c r="Q5424" s="533"/>
      <c r="R5424" s="533"/>
      <c r="S5424" s="533"/>
      <c r="T5424" s="533"/>
      <c r="U5424" s="533"/>
      <c r="V5424" s="533"/>
      <c r="W5424" s="533"/>
      <c r="X5424" s="533"/>
      <c r="Y5424" s="533"/>
    </row>
    <row r="5425" spans="1:25" s="88" customFormat="1" ht="15.75" hidden="1" customHeight="1" x14ac:dyDescent="0.25">
      <c r="A5425" s="509"/>
      <c r="B5425" s="256"/>
      <c r="C5425" s="221"/>
      <c r="D5425" s="218"/>
      <c r="E5425" s="218"/>
      <c r="F5425" s="527">
        <v>426</v>
      </c>
      <c r="G5425" s="520" t="s">
        <v>3805</v>
      </c>
      <c r="H5425" s="594"/>
      <c r="I5425" s="595"/>
      <c r="J5425" s="595">
        <f t="shared" si="167"/>
        <v>0</v>
      </c>
      <c r="K5425" s="533"/>
      <c r="L5425" s="533"/>
      <c r="M5425" s="533"/>
      <c r="N5425" s="533"/>
      <c r="O5425" s="533"/>
      <c r="P5425" s="533"/>
      <c r="Q5425" s="533"/>
      <c r="R5425" s="533"/>
      <c r="S5425" s="533"/>
      <c r="T5425" s="533"/>
      <c r="U5425" s="533"/>
      <c r="V5425" s="533"/>
      <c r="W5425" s="533"/>
      <c r="X5425" s="533"/>
      <c r="Y5425" s="533"/>
    </row>
    <row r="5426" spans="1:25" s="88" customFormat="1" ht="15.75" hidden="1" customHeight="1" x14ac:dyDescent="0.25">
      <c r="A5426" s="509"/>
      <c r="B5426" s="256"/>
      <c r="C5426" s="221"/>
      <c r="D5426" s="218"/>
      <c r="E5426" s="218"/>
      <c r="F5426" s="527">
        <v>431</v>
      </c>
      <c r="G5426" s="520" t="s">
        <v>4203</v>
      </c>
      <c r="H5426" s="594"/>
      <c r="I5426" s="595"/>
      <c r="J5426" s="595">
        <f t="shared" si="167"/>
        <v>0</v>
      </c>
      <c r="K5426" s="533"/>
      <c r="L5426" s="533"/>
      <c r="M5426" s="533"/>
      <c r="N5426" s="533"/>
      <c r="O5426" s="533"/>
      <c r="P5426" s="533"/>
      <c r="Q5426" s="533"/>
      <c r="R5426" s="533"/>
      <c r="S5426" s="533"/>
      <c r="T5426" s="533"/>
      <c r="U5426" s="533"/>
      <c r="V5426" s="533"/>
      <c r="W5426" s="533"/>
      <c r="X5426" s="533"/>
      <c r="Y5426" s="533"/>
    </row>
    <row r="5427" spans="1:25" s="88" customFormat="1" ht="15.75" hidden="1" customHeight="1" x14ac:dyDescent="0.25">
      <c r="A5427" s="509"/>
      <c r="B5427" s="256"/>
      <c r="C5427" s="221"/>
      <c r="D5427" s="218"/>
      <c r="E5427" s="218"/>
      <c r="F5427" s="527">
        <v>432</v>
      </c>
      <c r="G5427" s="520" t="s">
        <v>4204</v>
      </c>
      <c r="H5427" s="594"/>
      <c r="I5427" s="595"/>
      <c r="J5427" s="595">
        <f t="shared" si="167"/>
        <v>0</v>
      </c>
      <c r="K5427" s="533"/>
      <c r="L5427" s="533"/>
      <c r="M5427" s="533"/>
      <c r="N5427" s="533"/>
      <c r="O5427" s="533"/>
      <c r="P5427" s="533"/>
      <c r="Q5427" s="533"/>
      <c r="R5427" s="533"/>
      <c r="S5427" s="533"/>
      <c r="T5427" s="533"/>
      <c r="U5427" s="533"/>
      <c r="V5427" s="533"/>
      <c r="W5427" s="533"/>
      <c r="X5427" s="533"/>
      <c r="Y5427" s="533"/>
    </row>
    <row r="5428" spans="1:25" s="88" customFormat="1" ht="15.75" hidden="1" customHeight="1" x14ac:dyDescent="0.25">
      <c r="A5428" s="509"/>
      <c r="B5428" s="256"/>
      <c r="C5428" s="221"/>
      <c r="D5428" s="218"/>
      <c r="E5428" s="218"/>
      <c r="F5428" s="527">
        <v>433</v>
      </c>
      <c r="G5428" s="520" t="s">
        <v>4205</v>
      </c>
      <c r="H5428" s="594"/>
      <c r="I5428" s="595"/>
      <c r="J5428" s="595">
        <f t="shared" si="167"/>
        <v>0</v>
      </c>
      <c r="K5428" s="533"/>
      <c r="L5428" s="533"/>
      <c r="M5428" s="533"/>
      <c r="N5428" s="533"/>
      <c r="O5428" s="533"/>
      <c r="P5428" s="533"/>
      <c r="Q5428" s="533"/>
      <c r="R5428" s="533"/>
      <c r="S5428" s="533"/>
      <c r="T5428" s="533"/>
      <c r="U5428" s="533"/>
      <c r="V5428" s="533"/>
      <c r="W5428" s="533"/>
      <c r="X5428" s="533"/>
      <c r="Y5428" s="533"/>
    </row>
    <row r="5429" spans="1:25" s="88" customFormat="1" ht="15.75" hidden="1" customHeight="1" x14ac:dyDescent="0.25">
      <c r="A5429" s="509"/>
      <c r="B5429" s="256"/>
      <c r="C5429" s="221"/>
      <c r="D5429" s="218"/>
      <c r="E5429" s="218"/>
      <c r="F5429" s="527">
        <v>434</v>
      </c>
      <c r="G5429" s="520" t="s">
        <v>4206</v>
      </c>
      <c r="H5429" s="594"/>
      <c r="I5429" s="595"/>
      <c r="J5429" s="595">
        <f t="shared" si="167"/>
        <v>0</v>
      </c>
      <c r="K5429" s="533"/>
      <c r="L5429" s="533"/>
      <c r="M5429" s="533"/>
      <c r="N5429" s="533"/>
      <c r="O5429" s="533"/>
      <c r="P5429" s="533"/>
      <c r="Q5429" s="533"/>
      <c r="R5429" s="533"/>
      <c r="S5429" s="533"/>
      <c r="T5429" s="533"/>
      <c r="U5429" s="533"/>
      <c r="V5429" s="533"/>
      <c r="W5429" s="533"/>
      <c r="X5429" s="533"/>
      <c r="Y5429" s="533"/>
    </row>
    <row r="5430" spans="1:25" s="88" customFormat="1" ht="15.75" hidden="1" customHeight="1" x14ac:dyDescent="0.25">
      <c r="A5430" s="509"/>
      <c r="B5430" s="256"/>
      <c r="C5430" s="221"/>
      <c r="D5430" s="218"/>
      <c r="E5430" s="218"/>
      <c r="F5430" s="527">
        <v>435</v>
      </c>
      <c r="G5430" s="520" t="s">
        <v>3812</v>
      </c>
      <c r="H5430" s="594"/>
      <c r="I5430" s="595"/>
      <c r="J5430" s="595">
        <f t="shared" si="167"/>
        <v>0</v>
      </c>
      <c r="K5430" s="533"/>
      <c r="L5430" s="533"/>
      <c r="M5430" s="533"/>
      <c r="N5430" s="533"/>
      <c r="O5430" s="533"/>
      <c r="P5430" s="533"/>
      <c r="Q5430" s="533"/>
      <c r="R5430" s="533"/>
      <c r="S5430" s="533"/>
      <c r="T5430" s="533"/>
      <c r="U5430" s="533"/>
      <c r="V5430" s="533"/>
      <c r="W5430" s="533"/>
      <c r="X5430" s="533"/>
      <c r="Y5430" s="533"/>
    </row>
    <row r="5431" spans="1:25" s="88" customFormat="1" ht="15.75" hidden="1" customHeight="1" x14ac:dyDescent="0.25">
      <c r="A5431" s="509"/>
      <c r="B5431" s="256"/>
      <c r="C5431" s="221"/>
      <c r="D5431" s="218"/>
      <c r="E5431" s="218"/>
      <c r="F5431" s="527">
        <v>441</v>
      </c>
      <c r="G5431" s="520" t="s">
        <v>4207</v>
      </c>
      <c r="H5431" s="594"/>
      <c r="I5431" s="595"/>
      <c r="J5431" s="595">
        <f t="shared" si="167"/>
        <v>0</v>
      </c>
      <c r="K5431" s="533"/>
      <c r="L5431" s="533"/>
      <c r="M5431" s="533"/>
      <c r="N5431" s="533"/>
      <c r="O5431" s="533"/>
      <c r="P5431" s="533"/>
      <c r="Q5431" s="533"/>
      <c r="R5431" s="533"/>
      <c r="S5431" s="533"/>
      <c r="T5431" s="533"/>
      <c r="U5431" s="533"/>
      <c r="V5431" s="533"/>
      <c r="W5431" s="533"/>
      <c r="X5431" s="533"/>
      <c r="Y5431" s="533"/>
    </row>
    <row r="5432" spans="1:25" s="88" customFormat="1" ht="15.75" hidden="1" customHeight="1" x14ac:dyDescent="0.25">
      <c r="A5432" s="509"/>
      <c r="B5432" s="256"/>
      <c r="C5432" s="221"/>
      <c r="D5432" s="218"/>
      <c r="E5432" s="218"/>
      <c r="F5432" s="527">
        <v>442</v>
      </c>
      <c r="G5432" s="520" t="s">
        <v>4208</v>
      </c>
      <c r="H5432" s="594"/>
      <c r="I5432" s="595"/>
      <c r="J5432" s="595">
        <f t="shared" si="167"/>
        <v>0</v>
      </c>
      <c r="K5432" s="533"/>
      <c r="L5432" s="533"/>
      <c r="M5432" s="533"/>
      <c r="N5432" s="533"/>
      <c r="O5432" s="533"/>
      <c r="P5432" s="533"/>
      <c r="Q5432" s="533"/>
      <c r="R5432" s="533"/>
      <c r="S5432" s="533"/>
      <c r="T5432" s="533"/>
      <c r="U5432" s="533"/>
      <c r="V5432" s="533"/>
      <c r="W5432" s="533"/>
      <c r="X5432" s="533"/>
      <c r="Y5432" s="533"/>
    </row>
    <row r="5433" spans="1:25" s="88" customFormat="1" ht="15.75" hidden="1" customHeight="1" x14ac:dyDescent="0.25">
      <c r="A5433" s="509"/>
      <c r="B5433" s="256"/>
      <c r="C5433" s="221"/>
      <c r="D5433" s="218"/>
      <c r="E5433" s="218"/>
      <c r="F5433" s="527">
        <v>443</v>
      </c>
      <c r="G5433" s="520" t="s">
        <v>3817</v>
      </c>
      <c r="H5433" s="594"/>
      <c r="I5433" s="595"/>
      <c r="J5433" s="595">
        <f t="shared" si="167"/>
        <v>0</v>
      </c>
      <c r="K5433" s="533"/>
      <c r="L5433" s="533"/>
      <c r="M5433" s="533"/>
      <c r="N5433" s="533"/>
      <c r="O5433" s="533"/>
      <c r="P5433" s="533"/>
      <c r="Q5433" s="533"/>
      <c r="R5433" s="533"/>
      <c r="S5433" s="533"/>
      <c r="T5433" s="533"/>
      <c r="U5433" s="533"/>
      <c r="V5433" s="533"/>
      <c r="W5433" s="533"/>
      <c r="X5433" s="533"/>
      <c r="Y5433" s="533"/>
    </row>
    <row r="5434" spans="1:25" s="88" customFormat="1" ht="15.75" hidden="1" customHeight="1" x14ac:dyDescent="0.25">
      <c r="A5434" s="509"/>
      <c r="B5434" s="256"/>
      <c r="C5434" s="221"/>
      <c r="D5434" s="218"/>
      <c r="E5434" s="218"/>
      <c r="F5434" s="527">
        <v>444</v>
      </c>
      <c r="G5434" s="520" t="s">
        <v>3818</v>
      </c>
      <c r="H5434" s="594"/>
      <c r="I5434" s="595"/>
      <c r="J5434" s="595">
        <f t="shared" si="167"/>
        <v>0</v>
      </c>
      <c r="K5434" s="533"/>
      <c r="L5434" s="533"/>
      <c r="M5434" s="533"/>
      <c r="N5434" s="533"/>
      <c r="O5434" s="533"/>
      <c r="P5434" s="533"/>
      <c r="Q5434" s="533"/>
      <c r="R5434" s="533"/>
      <c r="S5434" s="533"/>
      <c r="T5434" s="533"/>
      <c r="U5434" s="533"/>
      <c r="V5434" s="533"/>
      <c r="W5434" s="533"/>
      <c r="X5434" s="533"/>
      <c r="Y5434" s="533"/>
    </row>
    <row r="5435" spans="1:25" s="88" customFormat="1" ht="15.75" hidden="1" customHeight="1" x14ac:dyDescent="0.25">
      <c r="A5435" s="509"/>
      <c r="B5435" s="256"/>
      <c r="C5435" s="221"/>
      <c r="D5435" s="218"/>
      <c r="E5435" s="218"/>
      <c r="F5435" s="527">
        <v>4511</v>
      </c>
      <c r="G5435" s="223" t="s">
        <v>1692</v>
      </c>
      <c r="H5435" s="594"/>
      <c r="I5435" s="595"/>
      <c r="J5435" s="595">
        <f t="shared" si="167"/>
        <v>0</v>
      </c>
      <c r="K5435" s="533"/>
      <c r="L5435" s="533"/>
      <c r="M5435" s="533"/>
      <c r="N5435" s="533"/>
      <c r="O5435" s="533"/>
      <c r="P5435" s="533"/>
      <c r="Q5435" s="533"/>
      <c r="R5435" s="533"/>
      <c r="S5435" s="533"/>
      <c r="T5435" s="533"/>
      <c r="U5435" s="533"/>
      <c r="V5435" s="533"/>
      <c r="W5435" s="533"/>
      <c r="X5435" s="533"/>
      <c r="Y5435" s="533"/>
    </row>
    <row r="5436" spans="1:25" s="88" customFormat="1" ht="15.75" hidden="1" customHeight="1" x14ac:dyDescent="0.25">
      <c r="A5436" s="509"/>
      <c r="B5436" s="256"/>
      <c r="C5436" s="221"/>
      <c r="D5436" s="218"/>
      <c r="E5436" s="218"/>
      <c r="F5436" s="527">
        <v>4512</v>
      </c>
      <c r="G5436" s="223" t="s">
        <v>1701</v>
      </c>
      <c r="H5436" s="594"/>
      <c r="I5436" s="595"/>
      <c r="J5436" s="595">
        <f t="shared" si="167"/>
        <v>0</v>
      </c>
      <c r="K5436" s="533"/>
      <c r="L5436" s="533"/>
      <c r="M5436" s="533"/>
      <c r="N5436" s="533"/>
      <c r="O5436" s="533"/>
      <c r="P5436" s="533"/>
      <c r="Q5436" s="533"/>
      <c r="R5436" s="533"/>
      <c r="S5436" s="533"/>
      <c r="T5436" s="533"/>
      <c r="U5436" s="533"/>
      <c r="V5436" s="533"/>
      <c r="W5436" s="533"/>
      <c r="X5436" s="533"/>
      <c r="Y5436" s="533"/>
    </row>
    <row r="5437" spans="1:25" s="88" customFormat="1" ht="15.75" hidden="1" customHeight="1" x14ac:dyDescent="0.25">
      <c r="A5437" s="509"/>
      <c r="B5437" s="256"/>
      <c r="C5437" s="221"/>
      <c r="D5437" s="218"/>
      <c r="E5437" s="218"/>
      <c r="F5437" s="527">
        <v>452</v>
      </c>
      <c r="G5437" s="520" t="s">
        <v>4209</v>
      </c>
      <c r="H5437" s="594"/>
      <c r="I5437" s="595"/>
      <c r="J5437" s="595">
        <f t="shared" si="167"/>
        <v>0</v>
      </c>
      <c r="K5437" s="533"/>
      <c r="L5437" s="533"/>
      <c r="M5437" s="533"/>
      <c r="N5437" s="533"/>
      <c r="O5437" s="533"/>
      <c r="P5437" s="533"/>
      <c r="Q5437" s="533"/>
      <c r="R5437" s="533"/>
      <c r="S5437" s="533"/>
      <c r="T5437" s="533"/>
      <c r="U5437" s="533"/>
      <c r="V5437" s="533"/>
      <c r="W5437" s="533"/>
      <c r="X5437" s="533"/>
      <c r="Y5437" s="533"/>
    </row>
    <row r="5438" spans="1:25" s="88" customFormat="1" ht="15.75" hidden="1" customHeight="1" x14ac:dyDescent="0.25">
      <c r="A5438" s="509"/>
      <c r="B5438" s="256"/>
      <c r="C5438" s="221"/>
      <c r="D5438" s="218"/>
      <c r="E5438" s="218"/>
      <c r="F5438" s="527">
        <v>453</v>
      </c>
      <c r="G5438" s="520" t="s">
        <v>4210</v>
      </c>
      <c r="H5438" s="594"/>
      <c r="I5438" s="595"/>
      <c r="J5438" s="595">
        <f t="shared" si="167"/>
        <v>0</v>
      </c>
      <c r="K5438" s="533"/>
      <c r="L5438" s="533"/>
      <c r="M5438" s="533"/>
      <c r="N5438" s="533"/>
      <c r="O5438" s="533"/>
      <c r="P5438" s="533"/>
      <c r="Q5438" s="533"/>
      <c r="R5438" s="533"/>
      <c r="S5438" s="533"/>
      <c r="T5438" s="533"/>
      <c r="U5438" s="533"/>
      <c r="V5438" s="533"/>
      <c r="W5438" s="533"/>
      <c r="X5438" s="533"/>
      <c r="Y5438" s="533"/>
    </row>
    <row r="5439" spans="1:25" s="88" customFormat="1" ht="15.75" hidden="1" customHeight="1" x14ac:dyDescent="0.25">
      <c r="A5439" s="509"/>
      <c r="B5439" s="256"/>
      <c r="C5439" s="221"/>
      <c r="D5439" s="218"/>
      <c r="E5439" s="218"/>
      <c r="F5439" s="527">
        <v>454</v>
      </c>
      <c r="G5439" s="520" t="s">
        <v>3823</v>
      </c>
      <c r="H5439" s="594"/>
      <c r="I5439" s="595"/>
      <c r="J5439" s="595">
        <f t="shared" si="167"/>
        <v>0</v>
      </c>
      <c r="K5439" s="533"/>
      <c r="L5439" s="533"/>
      <c r="M5439" s="533"/>
      <c r="N5439" s="533"/>
      <c r="O5439" s="533"/>
      <c r="P5439" s="533"/>
      <c r="Q5439" s="533"/>
      <c r="R5439" s="533"/>
      <c r="S5439" s="533"/>
      <c r="T5439" s="533"/>
      <c r="U5439" s="533"/>
      <c r="V5439" s="533"/>
      <c r="W5439" s="533"/>
      <c r="X5439" s="533"/>
      <c r="Y5439" s="533"/>
    </row>
    <row r="5440" spans="1:25" s="88" customFormat="1" ht="15.75" hidden="1" customHeight="1" x14ac:dyDescent="0.25">
      <c r="A5440" s="509"/>
      <c r="B5440" s="256"/>
      <c r="C5440" s="221"/>
      <c r="D5440" s="218"/>
      <c r="E5440" s="218"/>
      <c r="F5440" s="527">
        <v>461</v>
      </c>
      <c r="G5440" s="520" t="s">
        <v>4191</v>
      </c>
      <c r="H5440" s="594"/>
      <c r="I5440" s="595"/>
      <c r="J5440" s="595">
        <f t="shared" si="167"/>
        <v>0</v>
      </c>
      <c r="K5440" s="533"/>
      <c r="L5440" s="533"/>
      <c r="M5440" s="533"/>
      <c r="N5440" s="533"/>
      <c r="O5440" s="533"/>
      <c r="P5440" s="533"/>
      <c r="Q5440" s="533"/>
      <c r="R5440" s="533"/>
      <c r="S5440" s="533"/>
      <c r="T5440" s="533"/>
      <c r="U5440" s="533"/>
      <c r="V5440" s="533"/>
      <c r="W5440" s="533"/>
      <c r="X5440" s="533"/>
      <c r="Y5440" s="533"/>
    </row>
    <row r="5441" spans="1:25" s="88" customFormat="1" ht="15.75" hidden="1" customHeight="1" x14ac:dyDescent="0.25">
      <c r="A5441" s="509"/>
      <c r="B5441" s="256"/>
      <c r="C5441" s="221"/>
      <c r="D5441" s="218"/>
      <c r="E5441" s="218"/>
      <c r="F5441" s="527">
        <v>462</v>
      </c>
      <c r="G5441" s="520" t="s">
        <v>3826</v>
      </c>
      <c r="H5441" s="594"/>
      <c r="I5441" s="595"/>
      <c r="J5441" s="595">
        <f t="shared" si="167"/>
        <v>0</v>
      </c>
      <c r="K5441" s="533"/>
      <c r="L5441" s="533"/>
      <c r="M5441" s="533"/>
      <c r="N5441" s="533"/>
      <c r="O5441" s="533"/>
      <c r="P5441" s="533"/>
      <c r="Q5441" s="533"/>
      <c r="R5441" s="533"/>
      <c r="S5441" s="533"/>
      <c r="T5441" s="533"/>
      <c r="U5441" s="533"/>
      <c r="V5441" s="533"/>
      <c r="W5441" s="533"/>
      <c r="X5441" s="533"/>
      <c r="Y5441" s="533"/>
    </row>
    <row r="5442" spans="1:25" s="88" customFormat="1" ht="15.75" hidden="1" customHeight="1" x14ac:dyDescent="0.25">
      <c r="A5442" s="509"/>
      <c r="B5442" s="256"/>
      <c r="C5442" s="221"/>
      <c r="D5442" s="218"/>
      <c r="E5442" s="218"/>
      <c r="F5442" s="527">
        <v>4631</v>
      </c>
      <c r="G5442" s="520" t="s">
        <v>3827</v>
      </c>
      <c r="H5442" s="594"/>
      <c r="I5442" s="595"/>
      <c r="J5442" s="595">
        <f t="shared" si="167"/>
        <v>0</v>
      </c>
      <c r="K5442" s="533"/>
      <c r="L5442" s="533"/>
      <c r="M5442" s="533"/>
      <c r="N5442" s="533"/>
      <c r="O5442" s="533"/>
      <c r="P5442" s="533"/>
      <c r="Q5442" s="533"/>
      <c r="R5442" s="533"/>
      <c r="S5442" s="533"/>
      <c r="T5442" s="533"/>
      <c r="U5442" s="533"/>
      <c r="V5442" s="533"/>
      <c r="W5442" s="533"/>
      <c r="X5442" s="533"/>
      <c r="Y5442" s="533"/>
    </row>
    <row r="5443" spans="1:25" s="88" customFormat="1" ht="15.75" hidden="1" customHeight="1" x14ac:dyDescent="0.25">
      <c r="A5443" s="509"/>
      <c r="B5443" s="256"/>
      <c r="C5443" s="221"/>
      <c r="D5443" s="218"/>
      <c r="E5443" s="218"/>
      <c r="F5443" s="527">
        <v>4632</v>
      </c>
      <c r="G5443" s="520" t="s">
        <v>3828</v>
      </c>
      <c r="H5443" s="594"/>
      <c r="I5443" s="595"/>
      <c r="J5443" s="595">
        <f t="shared" si="167"/>
        <v>0</v>
      </c>
      <c r="K5443" s="533"/>
      <c r="L5443" s="533"/>
      <c r="M5443" s="533"/>
      <c r="N5443" s="533"/>
      <c r="O5443" s="533"/>
      <c r="P5443" s="533"/>
      <c r="Q5443" s="533"/>
      <c r="R5443" s="533"/>
      <c r="S5443" s="533"/>
      <c r="T5443" s="533"/>
      <c r="U5443" s="533"/>
      <c r="V5443" s="533"/>
      <c r="W5443" s="533"/>
      <c r="X5443" s="533"/>
      <c r="Y5443" s="533"/>
    </row>
    <row r="5444" spans="1:25" s="88" customFormat="1" ht="15.75" hidden="1" customHeight="1" x14ac:dyDescent="0.25">
      <c r="A5444" s="509"/>
      <c r="B5444" s="256"/>
      <c r="C5444" s="221"/>
      <c r="D5444" s="218"/>
      <c r="E5444" s="218"/>
      <c r="F5444" s="527">
        <v>464</v>
      </c>
      <c r="G5444" s="520" t="s">
        <v>3829</v>
      </c>
      <c r="H5444" s="594"/>
      <c r="I5444" s="595"/>
      <c r="J5444" s="595">
        <f t="shared" ref="J5444:J5471" si="168">SUM(H5444:I5444)</f>
        <v>0</v>
      </c>
      <c r="K5444" s="533"/>
      <c r="L5444" s="533"/>
      <c r="M5444" s="533"/>
      <c r="N5444" s="533"/>
      <c r="O5444" s="533"/>
      <c r="P5444" s="533"/>
      <c r="Q5444" s="533"/>
      <c r="R5444" s="533"/>
      <c r="S5444" s="533"/>
      <c r="T5444" s="533"/>
      <c r="U5444" s="533"/>
      <c r="V5444" s="533"/>
      <c r="W5444" s="533"/>
      <c r="X5444" s="533"/>
      <c r="Y5444" s="533"/>
    </row>
    <row r="5445" spans="1:25" s="88" customFormat="1" ht="15.75" hidden="1" customHeight="1" x14ac:dyDescent="0.25">
      <c r="A5445" s="509"/>
      <c r="B5445" s="256"/>
      <c r="C5445" s="221"/>
      <c r="D5445" s="218"/>
      <c r="E5445" s="218"/>
      <c r="F5445" s="527">
        <v>465</v>
      </c>
      <c r="G5445" s="520" t="s">
        <v>4192</v>
      </c>
      <c r="H5445" s="594"/>
      <c r="I5445" s="595"/>
      <c r="J5445" s="595">
        <f t="shared" si="168"/>
        <v>0</v>
      </c>
      <c r="K5445" s="533"/>
      <c r="L5445" s="533"/>
      <c r="M5445" s="533"/>
      <c r="N5445" s="533"/>
      <c r="O5445" s="533"/>
      <c r="P5445" s="533"/>
      <c r="Q5445" s="533"/>
      <c r="R5445" s="533"/>
      <c r="S5445" s="533"/>
      <c r="T5445" s="533"/>
      <c r="U5445" s="533"/>
      <c r="V5445" s="533"/>
      <c r="W5445" s="533"/>
      <c r="X5445" s="533"/>
      <c r="Y5445" s="533"/>
    </row>
    <row r="5446" spans="1:25" s="88" customFormat="1" ht="15.75" hidden="1" customHeight="1" x14ac:dyDescent="0.25">
      <c r="A5446" s="509"/>
      <c r="B5446" s="256"/>
      <c r="C5446" s="221"/>
      <c r="D5446" s="218"/>
      <c r="E5446" s="218"/>
      <c r="F5446" s="527">
        <v>472</v>
      </c>
      <c r="G5446" s="520" t="s">
        <v>3833</v>
      </c>
      <c r="H5446" s="594"/>
      <c r="I5446" s="595"/>
      <c r="J5446" s="595">
        <f t="shared" si="168"/>
        <v>0</v>
      </c>
      <c r="K5446" s="533"/>
      <c r="L5446" s="533"/>
      <c r="M5446" s="533"/>
      <c r="N5446" s="533"/>
      <c r="O5446" s="533"/>
      <c r="P5446" s="533"/>
      <c r="Q5446" s="533"/>
      <c r="R5446" s="533"/>
      <c r="S5446" s="533"/>
      <c r="T5446" s="533"/>
      <c r="U5446" s="533"/>
      <c r="V5446" s="533"/>
      <c r="W5446" s="533"/>
      <c r="X5446" s="533"/>
      <c r="Y5446" s="533"/>
    </row>
    <row r="5447" spans="1:25" s="88" customFormat="1" ht="15.75" hidden="1" customHeight="1" x14ac:dyDescent="0.25">
      <c r="A5447" s="509"/>
      <c r="B5447" s="256"/>
      <c r="C5447" s="221"/>
      <c r="D5447" s="218"/>
      <c r="E5447" s="218"/>
      <c r="F5447" s="527">
        <v>481</v>
      </c>
      <c r="G5447" s="520" t="s">
        <v>4211</v>
      </c>
      <c r="H5447" s="594"/>
      <c r="I5447" s="595"/>
      <c r="J5447" s="595">
        <f t="shared" si="168"/>
        <v>0</v>
      </c>
      <c r="K5447" s="533"/>
      <c r="L5447" s="533"/>
      <c r="M5447" s="533"/>
      <c r="N5447" s="533"/>
      <c r="O5447" s="533"/>
      <c r="P5447" s="533"/>
      <c r="Q5447" s="533"/>
      <c r="R5447" s="533"/>
      <c r="S5447" s="533"/>
      <c r="T5447" s="533"/>
      <c r="U5447" s="533"/>
      <c r="V5447" s="533"/>
      <c r="W5447" s="533"/>
      <c r="X5447" s="533"/>
      <c r="Y5447" s="533"/>
    </row>
    <row r="5448" spans="1:25" s="88" customFormat="1" ht="15.75" hidden="1" customHeight="1" x14ac:dyDescent="0.25">
      <c r="A5448" s="509"/>
      <c r="B5448" s="256"/>
      <c r="C5448" s="221"/>
      <c r="D5448" s="218"/>
      <c r="E5448" s="218"/>
      <c r="F5448" s="527">
        <v>482</v>
      </c>
      <c r="G5448" s="520" t="s">
        <v>4212</v>
      </c>
      <c r="H5448" s="594"/>
      <c r="I5448" s="595"/>
      <c r="J5448" s="595">
        <f t="shared" si="168"/>
        <v>0</v>
      </c>
      <c r="K5448" s="533"/>
      <c r="L5448" s="533"/>
      <c r="M5448" s="533"/>
      <c r="N5448" s="533"/>
      <c r="O5448" s="533"/>
      <c r="P5448" s="533"/>
      <c r="Q5448" s="533"/>
      <c r="R5448" s="533"/>
      <c r="S5448" s="533"/>
      <c r="T5448" s="533"/>
      <c r="U5448" s="533"/>
      <c r="V5448" s="533"/>
      <c r="W5448" s="533"/>
      <c r="X5448" s="533"/>
      <c r="Y5448" s="533"/>
    </row>
    <row r="5449" spans="1:25" s="88" customFormat="1" ht="15.75" hidden="1" customHeight="1" x14ac:dyDescent="0.25">
      <c r="A5449" s="509"/>
      <c r="B5449" s="256"/>
      <c r="C5449" s="221"/>
      <c r="D5449" s="218"/>
      <c r="E5449" s="218"/>
      <c r="F5449" s="527">
        <v>483</v>
      </c>
      <c r="G5449" s="524" t="s">
        <v>4213</v>
      </c>
      <c r="H5449" s="594"/>
      <c r="I5449" s="595"/>
      <c r="J5449" s="595">
        <f t="shared" si="168"/>
        <v>0</v>
      </c>
      <c r="K5449" s="533"/>
      <c r="L5449" s="533"/>
      <c r="M5449" s="533"/>
      <c r="N5449" s="533"/>
      <c r="O5449" s="533"/>
      <c r="P5449" s="533"/>
      <c r="Q5449" s="533"/>
      <c r="R5449" s="533"/>
      <c r="S5449" s="533"/>
      <c r="T5449" s="533"/>
      <c r="U5449" s="533"/>
      <c r="V5449" s="533"/>
      <c r="W5449" s="533"/>
      <c r="X5449" s="533"/>
      <c r="Y5449" s="533"/>
    </row>
    <row r="5450" spans="1:25" s="88" customFormat="1" ht="15.75" hidden="1" customHeight="1" x14ac:dyDescent="0.25">
      <c r="A5450" s="509"/>
      <c r="B5450" s="256"/>
      <c r="C5450" s="221"/>
      <c r="D5450" s="218"/>
      <c r="E5450" s="218"/>
      <c r="F5450" s="527">
        <v>484</v>
      </c>
      <c r="G5450" s="520" t="s">
        <v>4214</v>
      </c>
      <c r="H5450" s="594"/>
      <c r="I5450" s="595"/>
      <c r="J5450" s="595">
        <f t="shared" si="168"/>
        <v>0</v>
      </c>
      <c r="K5450" s="533"/>
      <c r="L5450" s="533"/>
      <c r="M5450" s="533"/>
      <c r="N5450" s="533"/>
      <c r="O5450" s="533"/>
      <c r="P5450" s="533"/>
      <c r="Q5450" s="533"/>
      <c r="R5450" s="533"/>
      <c r="S5450" s="533"/>
      <c r="T5450" s="533"/>
      <c r="U5450" s="533"/>
      <c r="V5450" s="533"/>
      <c r="W5450" s="533"/>
      <c r="X5450" s="533"/>
      <c r="Y5450" s="533"/>
    </row>
    <row r="5451" spans="1:25" s="88" customFormat="1" ht="15.75" hidden="1" customHeight="1" x14ac:dyDescent="0.25">
      <c r="A5451" s="509"/>
      <c r="B5451" s="256"/>
      <c r="C5451" s="221"/>
      <c r="D5451" s="218"/>
      <c r="E5451" s="218"/>
      <c r="F5451" s="527">
        <v>485</v>
      </c>
      <c r="G5451" s="520" t="s">
        <v>4215</v>
      </c>
      <c r="H5451" s="594"/>
      <c r="I5451" s="595"/>
      <c r="J5451" s="595">
        <f t="shared" si="168"/>
        <v>0</v>
      </c>
      <c r="K5451" s="533"/>
      <c r="L5451" s="533"/>
      <c r="M5451" s="533"/>
      <c r="N5451" s="533"/>
      <c r="O5451" s="533"/>
      <c r="P5451" s="533"/>
      <c r="Q5451" s="533"/>
      <c r="R5451" s="533"/>
      <c r="S5451" s="533"/>
      <c r="T5451" s="533"/>
      <c r="U5451" s="533"/>
      <c r="V5451" s="533"/>
      <c r="W5451" s="533"/>
      <c r="X5451" s="533"/>
      <c r="Y5451" s="533"/>
    </row>
    <row r="5452" spans="1:25" s="88" customFormat="1" ht="15.75" hidden="1" customHeight="1" x14ac:dyDescent="0.25">
      <c r="A5452" s="509"/>
      <c r="B5452" s="256"/>
      <c r="C5452" s="221"/>
      <c r="D5452" s="218"/>
      <c r="E5452" s="218"/>
      <c r="F5452" s="527">
        <v>489</v>
      </c>
      <c r="G5452" s="520" t="s">
        <v>3841</v>
      </c>
      <c r="H5452" s="594"/>
      <c r="I5452" s="595"/>
      <c r="J5452" s="595">
        <f t="shared" si="168"/>
        <v>0</v>
      </c>
      <c r="K5452" s="533"/>
      <c r="L5452" s="533"/>
      <c r="M5452" s="533"/>
      <c r="N5452" s="533"/>
      <c r="O5452" s="533"/>
      <c r="P5452" s="533"/>
      <c r="Q5452" s="533"/>
      <c r="R5452" s="533"/>
      <c r="S5452" s="533"/>
      <c r="T5452" s="533"/>
      <c r="U5452" s="533"/>
      <c r="V5452" s="533"/>
      <c r="W5452" s="533"/>
      <c r="X5452" s="533"/>
      <c r="Y5452" s="533"/>
    </row>
    <row r="5453" spans="1:25" s="88" customFormat="1" ht="15.75" hidden="1" customHeight="1" x14ac:dyDescent="0.25">
      <c r="A5453" s="509"/>
      <c r="B5453" s="256"/>
      <c r="C5453" s="221"/>
      <c r="D5453" s="218"/>
      <c r="E5453" s="218"/>
      <c r="F5453" s="527">
        <v>494</v>
      </c>
      <c r="G5453" s="520" t="s">
        <v>4193</v>
      </c>
      <c r="H5453" s="594"/>
      <c r="I5453" s="595"/>
      <c r="J5453" s="595">
        <f t="shared" si="168"/>
        <v>0</v>
      </c>
      <c r="K5453" s="533"/>
      <c r="L5453" s="533"/>
      <c r="M5453" s="533"/>
      <c r="N5453" s="533"/>
      <c r="O5453" s="533"/>
      <c r="P5453" s="533"/>
      <c r="Q5453" s="533"/>
      <c r="R5453" s="533"/>
      <c r="S5453" s="533"/>
      <c r="T5453" s="533"/>
      <c r="U5453" s="533"/>
      <c r="V5453" s="533"/>
      <c r="W5453" s="533"/>
      <c r="X5453" s="533"/>
      <c r="Y5453" s="533"/>
    </row>
    <row r="5454" spans="1:25" s="88" customFormat="1" ht="15.75" hidden="1" customHeight="1" x14ac:dyDescent="0.25">
      <c r="A5454" s="509"/>
      <c r="B5454" s="256"/>
      <c r="C5454" s="221"/>
      <c r="D5454" s="218"/>
      <c r="E5454" s="218"/>
      <c r="F5454" s="527">
        <v>495</v>
      </c>
      <c r="G5454" s="520" t="s">
        <v>4194</v>
      </c>
      <c r="H5454" s="594"/>
      <c r="I5454" s="595"/>
      <c r="J5454" s="595">
        <f t="shared" si="168"/>
        <v>0</v>
      </c>
      <c r="K5454" s="533"/>
      <c r="L5454" s="533"/>
      <c r="M5454" s="533"/>
      <c r="N5454" s="533"/>
      <c r="O5454" s="533"/>
      <c r="P5454" s="533"/>
      <c r="Q5454" s="533"/>
      <c r="R5454" s="533"/>
      <c r="S5454" s="533"/>
      <c r="T5454" s="533"/>
      <c r="U5454" s="533"/>
      <c r="V5454" s="533"/>
      <c r="W5454" s="533"/>
      <c r="X5454" s="533"/>
      <c r="Y5454" s="533"/>
    </row>
    <row r="5455" spans="1:25" s="88" customFormat="1" ht="15.75" hidden="1" customHeight="1" x14ac:dyDescent="0.25">
      <c r="A5455" s="509"/>
      <c r="B5455" s="256"/>
      <c r="C5455" s="221"/>
      <c r="D5455" s="218"/>
      <c r="E5455" s="218"/>
      <c r="F5455" s="527">
        <v>496</v>
      </c>
      <c r="G5455" s="520" t="s">
        <v>4195</v>
      </c>
      <c r="H5455" s="594"/>
      <c r="I5455" s="595"/>
      <c r="J5455" s="595">
        <f t="shared" si="168"/>
        <v>0</v>
      </c>
      <c r="K5455" s="533"/>
      <c r="L5455" s="533"/>
      <c r="M5455" s="533"/>
      <c r="N5455" s="533"/>
      <c r="O5455" s="533"/>
      <c r="P5455" s="533"/>
      <c r="Q5455" s="533"/>
      <c r="R5455" s="533"/>
      <c r="S5455" s="533"/>
      <c r="T5455" s="533"/>
      <c r="U5455" s="533"/>
      <c r="V5455" s="533"/>
      <c r="W5455" s="533"/>
      <c r="X5455" s="533"/>
      <c r="Y5455" s="533"/>
    </row>
    <row r="5456" spans="1:25" s="88" customFormat="1" ht="15.75" hidden="1" customHeight="1" x14ac:dyDescent="0.25">
      <c r="A5456" s="509"/>
      <c r="B5456" s="256"/>
      <c r="C5456" s="221"/>
      <c r="D5456" s="218"/>
      <c r="E5456" s="218"/>
      <c r="F5456" s="527">
        <v>499</v>
      </c>
      <c r="G5456" s="520" t="s">
        <v>4196</v>
      </c>
      <c r="H5456" s="594"/>
      <c r="I5456" s="595"/>
      <c r="J5456" s="595">
        <f t="shared" si="168"/>
        <v>0</v>
      </c>
      <c r="K5456" s="533"/>
      <c r="L5456" s="533"/>
      <c r="M5456" s="533"/>
      <c r="N5456" s="533"/>
      <c r="O5456" s="533"/>
      <c r="P5456" s="533"/>
      <c r="Q5456" s="533"/>
      <c r="R5456" s="533"/>
      <c r="S5456" s="533"/>
      <c r="T5456" s="533"/>
      <c r="U5456" s="533"/>
      <c r="V5456" s="533"/>
      <c r="W5456" s="533"/>
      <c r="X5456" s="533"/>
      <c r="Y5456" s="533"/>
    </row>
    <row r="5457" spans="1:25" s="88" customFormat="1" ht="15.75" hidden="1" customHeight="1" x14ac:dyDescent="0.25">
      <c r="A5457" s="509"/>
      <c r="B5457" s="256"/>
      <c r="C5457" s="221"/>
      <c r="D5457" s="218"/>
      <c r="E5457" s="218"/>
      <c r="F5457" s="527">
        <v>511</v>
      </c>
      <c r="G5457" s="524" t="s">
        <v>4216</v>
      </c>
      <c r="H5457" s="594"/>
      <c r="I5457" s="595"/>
      <c r="J5457" s="595">
        <f t="shared" si="168"/>
        <v>0</v>
      </c>
      <c r="K5457" s="533"/>
      <c r="L5457" s="533"/>
      <c r="M5457" s="533"/>
      <c r="N5457" s="533"/>
      <c r="O5457" s="533"/>
      <c r="P5457" s="533"/>
      <c r="Q5457" s="533"/>
      <c r="R5457" s="533"/>
      <c r="S5457" s="533"/>
      <c r="T5457" s="533"/>
      <c r="U5457" s="533"/>
      <c r="V5457" s="533"/>
      <c r="W5457" s="533"/>
      <c r="X5457" s="533"/>
      <c r="Y5457" s="533"/>
    </row>
    <row r="5458" spans="1:25" s="88" customFormat="1" ht="15.75" hidden="1" customHeight="1" x14ac:dyDescent="0.25">
      <c r="A5458" s="509"/>
      <c r="B5458" s="256"/>
      <c r="C5458" s="221"/>
      <c r="D5458" s="218"/>
      <c r="E5458" s="218"/>
      <c r="F5458" s="527">
        <v>512</v>
      </c>
      <c r="G5458" s="524" t="s">
        <v>4217</v>
      </c>
      <c r="H5458" s="594"/>
      <c r="I5458" s="595"/>
      <c r="J5458" s="595">
        <f t="shared" si="168"/>
        <v>0</v>
      </c>
      <c r="K5458" s="533"/>
      <c r="L5458" s="533"/>
      <c r="M5458" s="533"/>
      <c r="N5458" s="533"/>
      <c r="O5458" s="533"/>
      <c r="P5458" s="533"/>
      <c r="Q5458" s="533"/>
      <c r="R5458" s="533"/>
      <c r="S5458" s="533"/>
      <c r="T5458" s="533"/>
      <c r="U5458" s="533"/>
      <c r="V5458" s="533"/>
      <c r="W5458" s="533"/>
      <c r="X5458" s="533"/>
      <c r="Y5458" s="533"/>
    </row>
    <row r="5459" spans="1:25" s="88" customFormat="1" ht="15.75" hidden="1" customHeight="1" x14ac:dyDescent="0.25">
      <c r="A5459" s="509"/>
      <c r="B5459" s="256"/>
      <c r="C5459" s="221"/>
      <c r="D5459" s="218"/>
      <c r="E5459" s="218"/>
      <c r="F5459" s="527">
        <v>513</v>
      </c>
      <c r="G5459" s="524" t="s">
        <v>4218</v>
      </c>
      <c r="H5459" s="594"/>
      <c r="I5459" s="595"/>
      <c r="J5459" s="595">
        <f t="shared" si="168"/>
        <v>0</v>
      </c>
      <c r="K5459" s="533"/>
      <c r="L5459" s="533"/>
      <c r="M5459" s="533"/>
      <c r="N5459" s="533"/>
      <c r="O5459" s="533"/>
      <c r="P5459" s="533"/>
      <c r="Q5459" s="533"/>
      <c r="R5459" s="533"/>
      <c r="S5459" s="533"/>
      <c r="T5459" s="533"/>
      <c r="U5459" s="533"/>
      <c r="V5459" s="533"/>
      <c r="W5459" s="533"/>
      <c r="X5459" s="533"/>
      <c r="Y5459" s="533"/>
    </row>
    <row r="5460" spans="1:25" s="88" customFormat="1" ht="15.75" hidden="1" customHeight="1" x14ac:dyDescent="0.25">
      <c r="A5460" s="509"/>
      <c r="B5460" s="256"/>
      <c r="C5460" s="221"/>
      <c r="D5460" s="218"/>
      <c r="E5460" s="218"/>
      <c r="F5460" s="527">
        <v>514</v>
      </c>
      <c r="G5460" s="520" t="s">
        <v>4219</v>
      </c>
      <c r="H5460" s="594"/>
      <c r="I5460" s="595"/>
      <c r="J5460" s="595">
        <f t="shared" si="168"/>
        <v>0</v>
      </c>
      <c r="K5460" s="533"/>
      <c r="L5460" s="533"/>
      <c r="M5460" s="533"/>
      <c r="N5460" s="533"/>
      <c r="O5460" s="533"/>
      <c r="P5460" s="533"/>
      <c r="Q5460" s="533"/>
      <c r="R5460" s="533"/>
      <c r="S5460" s="533"/>
      <c r="T5460" s="533"/>
      <c r="U5460" s="533"/>
      <c r="V5460" s="533"/>
      <c r="W5460" s="533"/>
      <c r="X5460" s="533"/>
      <c r="Y5460" s="533"/>
    </row>
    <row r="5461" spans="1:25" s="88" customFormat="1" ht="15.75" hidden="1" customHeight="1" x14ac:dyDescent="0.25">
      <c r="A5461" s="509"/>
      <c r="B5461" s="256"/>
      <c r="C5461" s="221"/>
      <c r="D5461" s="218"/>
      <c r="E5461" s="218"/>
      <c r="F5461" s="527">
        <v>515</v>
      </c>
      <c r="G5461" s="520" t="s">
        <v>3852</v>
      </c>
      <c r="H5461" s="594"/>
      <c r="I5461" s="595"/>
      <c r="J5461" s="595">
        <f t="shared" si="168"/>
        <v>0</v>
      </c>
      <c r="K5461" s="533"/>
      <c r="L5461" s="533"/>
      <c r="M5461" s="533"/>
      <c r="N5461" s="533"/>
      <c r="O5461" s="533"/>
      <c r="P5461" s="533"/>
      <c r="Q5461" s="533"/>
      <c r="R5461" s="533"/>
      <c r="S5461" s="533"/>
      <c r="T5461" s="533"/>
      <c r="U5461" s="533"/>
      <c r="V5461" s="533"/>
      <c r="W5461" s="533"/>
      <c r="X5461" s="533"/>
      <c r="Y5461" s="533"/>
    </row>
    <row r="5462" spans="1:25" s="88" customFormat="1" ht="15.75" hidden="1" customHeight="1" x14ac:dyDescent="0.25">
      <c r="A5462" s="509"/>
      <c r="B5462" s="256"/>
      <c r="C5462" s="221"/>
      <c r="D5462" s="218"/>
      <c r="E5462" s="218"/>
      <c r="F5462" s="527">
        <v>521</v>
      </c>
      <c r="G5462" s="520" t="s">
        <v>4220</v>
      </c>
      <c r="H5462" s="594"/>
      <c r="I5462" s="595"/>
      <c r="J5462" s="595">
        <f t="shared" si="168"/>
        <v>0</v>
      </c>
      <c r="K5462" s="533"/>
      <c r="L5462" s="533"/>
      <c r="M5462" s="533"/>
      <c r="N5462" s="533"/>
      <c r="O5462" s="533"/>
      <c r="P5462" s="533"/>
      <c r="Q5462" s="533"/>
      <c r="R5462" s="533"/>
      <c r="S5462" s="533"/>
      <c r="T5462" s="533"/>
      <c r="U5462" s="533"/>
      <c r="V5462" s="533"/>
      <c r="W5462" s="533"/>
      <c r="X5462" s="533"/>
      <c r="Y5462" s="533"/>
    </row>
    <row r="5463" spans="1:25" s="88" customFormat="1" ht="15.75" hidden="1" customHeight="1" x14ac:dyDescent="0.25">
      <c r="A5463" s="509"/>
      <c r="B5463" s="256"/>
      <c r="C5463" s="221"/>
      <c r="D5463" s="218"/>
      <c r="E5463" s="218"/>
      <c r="F5463" s="527">
        <v>522</v>
      </c>
      <c r="G5463" s="520" t="s">
        <v>4221</v>
      </c>
      <c r="H5463" s="594"/>
      <c r="I5463" s="595"/>
      <c r="J5463" s="595">
        <f t="shared" si="168"/>
        <v>0</v>
      </c>
      <c r="K5463" s="533"/>
      <c r="L5463" s="533"/>
      <c r="M5463" s="533"/>
      <c r="N5463" s="533"/>
      <c r="O5463" s="533"/>
      <c r="P5463" s="533"/>
      <c r="Q5463" s="533"/>
      <c r="R5463" s="533"/>
      <c r="S5463" s="533"/>
      <c r="T5463" s="533"/>
      <c r="U5463" s="533"/>
      <c r="V5463" s="533"/>
      <c r="W5463" s="533"/>
      <c r="X5463" s="533"/>
      <c r="Y5463" s="533"/>
    </row>
    <row r="5464" spans="1:25" s="88" customFormat="1" ht="15.75" hidden="1" customHeight="1" x14ac:dyDescent="0.25">
      <c r="A5464" s="509"/>
      <c r="B5464" s="256"/>
      <c r="C5464" s="221"/>
      <c r="D5464" s="218"/>
      <c r="E5464" s="218"/>
      <c r="F5464" s="527">
        <v>523</v>
      </c>
      <c r="G5464" s="520" t="s">
        <v>3857</v>
      </c>
      <c r="H5464" s="594"/>
      <c r="I5464" s="595"/>
      <c r="J5464" s="595">
        <f t="shared" si="168"/>
        <v>0</v>
      </c>
      <c r="K5464" s="533"/>
      <c r="L5464" s="533"/>
      <c r="M5464" s="533"/>
      <c r="N5464" s="533"/>
      <c r="O5464" s="533"/>
      <c r="P5464" s="533"/>
      <c r="Q5464" s="533"/>
      <c r="R5464" s="533"/>
      <c r="S5464" s="533"/>
      <c r="T5464" s="533"/>
      <c r="U5464" s="533"/>
      <c r="V5464" s="533"/>
      <c r="W5464" s="533"/>
      <c r="X5464" s="533"/>
      <c r="Y5464" s="533"/>
    </row>
    <row r="5465" spans="1:25" s="88" customFormat="1" ht="15.75" hidden="1" customHeight="1" x14ac:dyDescent="0.25">
      <c r="A5465" s="509"/>
      <c r="B5465" s="256"/>
      <c r="C5465" s="221"/>
      <c r="D5465" s="218"/>
      <c r="E5465" s="218"/>
      <c r="F5465" s="527">
        <v>531</v>
      </c>
      <c r="G5465" s="516" t="s">
        <v>4197</v>
      </c>
      <c r="H5465" s="594"/>
      <c r="I5465" s="595"/>
      <c r="J5465" s="595">
        <f t="shared" si="168"/>
        <v>0</v>
      </c>
      <c r="K5465" s="533"/>
      <c r="L5465" s="533"/>
      <c r="M5465" s="533"/>
      <c r="N5465" s="533"/>
      <c r="O5465" s="533"/>
      <c r="P5465" s="533"/>
      <c r="Q5465" s="533"/>
      <c r="R5465" s="533"/>
      <c r="S5465" s="533"/>
      <c r="T5465" s="533"/>
      <c r="U5465" s="533"/>
      <c r="V5465" s="533"/>
      <c r="W5465" s="533"/>
      <c r="X5465" s="533"/>
      <c r="Y5465" s="533"/>
    </row>
    <row r="5466" spans="1:25" s="88" customFormat="1" ht="15.75" hidden="1" customHeight="1" x14ac:dyDescent="0.25">
      <c r="A5466" s="509"/>
      <c r="B5466" s="256"/>
      <c r="C5466" s="221"/>
      <c r="D5466" s="218"/>
      <c r="E5466" s="218"/>
      <c r="F5466" s="527">
        <v>541</v>
      </c>
      <c r="G5466" s="520" t="s">
        <v>4222</v>
      </c>
      <c r="H5466" s="594"/>
      <c r="I5466" s="595"/>
      <c r="J5466" s="595">
        <f t="shared" si="168"/>
        <v>0</v>
      </c>
      <c r="K5466" s="533"/>
      <c r="L5466" s="533"/>
      <c r="M5466" s="533"/>
      <c r="N5466" s="533"/>
      <c r="O5466" s="533"/>
      <c r="P5466" s="533"/>
      <c r="Q5466" s="533"/>
      <c r="R5466" s="533"/>
      <c r="S5466" s="533"/>
      <c r="T5466" s="533"/>
      <c r="U5466" s="533"/>
      <c r="V5466" s="533"/>
      <c r="W5466" s="533"/>
      <c r="X5466" s="533"/>
      <c r="Y5466" s="533"/>
    </row>
    <row r="5467" spans="1:25" s="88" customFormat="1" ht="15.75" hidden="1" customHeight="1" x14ac:dyDescent="0.25">
      <c r="A5467" s="509"/>
      <c r="B5467" s="256"/>
      <c r="C5467" s="221"/>
      <c r="D5467" s="218"/>
      <c r="E5467" s="218"/>
      <c r="F5467" s="527">
        <v>542</v>
      </c>
      <c r="G5467" s="520" t="s">
        <v>4223</v>
      </c>
      <c r="H5467" s="594"/>
      <c r="I5467" s="595"/>
      <c r="J5467" s="595">
        <f t="shared" si="168"/>
        <v>0</v>
      </c>
      <c r="K5467" s="533"/>
      <c r="L5467" s="533"/>
      <c r="M5467" s="533"/>
      <c r="N5467" s="533"/>
      <c r="O5467" s="533"/>
      <c r="P5467" s="533"/>
      <c r="Q5467" s="533"/>
      <c r="R5467" s="533"/>
      <c r="S5467" s="533"/>
      <c r="T5467" s="533"/>
      <c r="U5467" s="533"/>
      <c r="V5467" s="533"/>
      <c r="W5467" s="533"/>
      <c r="X5467" s="533"/>
      <c r="Y5467" s="533"/>
    </row>
    <row r="5468" spans="1:25" s="88" customFormat="1" ht="15.75" hidden="1" customHeight="1" x14ac:dyDescent="0.25">
      <c r="A5468" s="509"/>
      <c r="B5468" s="256"/>
      <c r="C5468" s="221"/>
      <c r="D5468" s="218"/>
      <c r="E5468" s="218"/>
      <c r="F5468" s="527">
        <v>543</v>
      </c>
      <c r="G5468" s="520" t="s">
        <v>3862</v>
      </c>
      <c r="H5468" s="594"/>
      <c r="I5468" s="595"/>
      <c r="J5468" s="595">
        <f t="shared" si="168"/>
        <v>0</v>
      </c>
      <c r="K5468" s="533"/>
      <c r="L5468" s="533"/>
      <c r="M5468" s="533"/>
      <c r="N5468" s="533"/>
      <c r="O5468" s="533"/>
      <c r="P5468" s="533"/>
      <c r="Q5468" s="533"/>
      <c r="R5468" s="533"/>
      <c r="S5468" s="533"/>
      <c r="T5468" s="533"/>
      <c r="U5468" s="533"/>
      <c r="V5468" s="533"/>
      <c r="W5468" s="533"/>
      <c r="X5468" s="533"/>
      <c r="Y5468" s="533"/>
    </row>
    <row r="5469" spans="1:25" s="88" customFormat="1" ht="15.75" hidden="1" customHeight="1" x14ac:dyDescent="0.25">
      <c r="A5469" s="509"/>
      <c r="B5469" s="256"/>
      <c r="C5469" s="221"/>
      <c r="D5469" s="218"/>
      <c r="E5469" s="218"/>
      <c r="F5469" s="527">
        <v>551</v>
      </c>
      <c r="G5469" s="520" t="s">
        <v>4198</v>
      </c>
      <c r="H5469" s="594"/>
      <c r="I5469" s="595"/>
      <c r="J5469" s="595">
        <f t="shared" si="168"/>
        <v>0</v>
      </c>
      <c r="K5469" s="533"/>
      <c r="L5469" s="533"/>
      <c r="M5469" s="533"/>
      <c r="N5469" s="533"/>
      <c r="O5469" s="533"/>
      <c r="P5469" s="533"/>
      <c r="Q5469" s="533"/>
      <c r="R5469" s="533"/>
      <c r="S5469" s="533"/>
      <c r="T5469" s="533"/>
      <c r="U5469" s="533"/>
      <c r="V5469" s="533"/>
      <c r="W5469" s="533"/>
      <c r="X5469" s="533"/>
      <c r="Y5469" s="533"/>
    </row>
    <row r="5470" spans="1:25" s="88" customFormat="1" ht="15.75" hidden="1" customHeight="1" x14ac:dyDescent="0.25">
      <c r="A5470" s="509"/>
      <c r="B5470" s="256"/>
      <c r="C5470" s="221"/>
      <c r="D5470" s="218"/>
      <c r="E5470" s="218"/>
      <c r="F5470" s="528">
        <v>611</v>
      </c>
      <c r="G5470" s="526" t="s">
        <v>3868</v>
      </c>
      <c r="H5470" s="594"/>
      <c r="I5470" s="595"/>
      <c r="J5470" s="595">
        <f t="shared" si="168"/>
        <v>0</v>
      </c>
      <c r="K5470" s="533"/>
      <c r="L5470" s="533"/>
      <c r="M5470" s="533"/>
      <c r="N5470" s="533"/>
      <c r="O5470" s="533"/>
      <c r="P5470" s="533"/>
      <c r="Q5470" s="533"/>
      <c r="R5470" s="533"/>
      <c r="S5470" s="533"/>
      <c r="T5470" s="533"/>
      <c r="U5470" s="533"/>
      <c r="V5470" s="533"/>
      <c r="W5470" s="533"/>
      <c r="X5470" s="533"/>
      <c r="Y5470" s="533"/>
    </row>
    <row r="5471" spans="1:25" s="88" customFormat="1" ht="15.75" hidden="1" customHeight="1" thickBot="1" x14ac:dyDescent="0.3">
      <c r="A5471" s="509"/>
      <c r="B5471" s="256"/>
      <c r="C5471" s="221"/>
      <c r="D5471" s="218"/>
      <c r="E5471" s="218"/>
      <c r="F5471" s="528">
        <v>620</v>
      </c>
      <c r="G5471" s="526" t="s">
        <v>88</v>
      </c>
      <c r="H5471" s="594"/>
      <c r="I5471" s="595"/>
      <c r="J5471" s="595">
        <f t="shared" si="168"/>
        <v>0</v>
      </c>
      <c r="K5471" s="533"/>
      <c r="L5471" s="533"/>
      <c r="M5471" s="533"/>
      <c r="N5471" s="533"/>
      <c r="O5471" s="533"/>
      <c r="P5471" s="533"/>
      <c r="Q5471" s="533"/>
      <c r="R5471" s="533"/>
      <c r="S5471" s="533"/>
      <c r="T5471" s="533"/>
      <c r="U5471" s="533"/>
      <c r="V5471" s="533"/>
      <c r="W5471" s="533"/>
      <c r="X5471" s="533"/>
      <c r="Y5471" s="533"/>
    </row>
    <row r="5472" spans="1:25" s="88" customFormat="1" ht="15.75" hidden="1" customHeight="1" x14ac:dyDescent="0.25">
      <c r="A5472" s="509"/>
      <c r="B5472" s="256"/>
      <c r="C5472" s="221"/>
      <c r="D5472" s="218"/>
      <c r="E5472" s="517"/>
      <c r="F5472" s="528"/>
      <c r="G5472" s="326" t="s">
        <v>4470</v>
      </c>
      <c r="H5472" s="596"/>
      <c r="I5472" s="622"/>
      <c r="J5472" s="597"/>
      <c r="K5472" s="533"/>
      <c r="L5472" s="533"/>
      <c r="M5472" s="533"/>
      <c r="N5472" s="533"/>
      <c r="O5472" s="533"/>
      <c r="P5472" s="533"/>
      <c r="Q5472" s="533"/>
      <c r="R5472" s="533"/>
      <c r="S5472" s="533"/>
      <c r="T5472" s="533"/>
      <c r="U5472" s="533"/>
      <c r="V5472" s="533"/>
      <c r="W5472" s="533"/>
      <c r="X5472" s="533"/>
      <c r="Y5472" s="533"/>
    </row>
    <row r="5473" spans="1:25" s="88" customFormat="1" ht="15.75" hidden="1" customHeight="1" x14ac:dyDescent="0.25">
      <c r="A5473" s="509"/>
      <c r="B5473" s="256"/>
      <c r="C5473" s="221"/>
      <c r="D5473" s="218"/>
      <c r="E5473" s="222"/>
      <c r="F5473" s="249" t="s">
        <v>234</v>
      </c>
      <c r="G5473" s="252" t="s">
        <v>235</v>
      </c>
      <c r="H5473" s="598">
        <f>SUM(H5412:H5471)</f>
        <v>0</v>
      </c>
      <c r="I5473" s="599"/>
      <c r="J5473" s="599">
        <f t="shared" ref="J5473:J5488" si="169">SUM(H5473:I5473)</f>
        <v>0</v>
      </c>
      <c r="K5473" s="533"/>
      <c r="L5473" s="533"/>
      <c r="M5473" s="533"/>
      <c r="N5473" s="533"/>
      <c r="O5473" s="533"/>
      <c r="P5473" s="533"/>
      <c r="Q5473" s="533"/>
      <c r="R5473" s="533"/>
      <c r="S5473" s="533"/>
      <c r="T5473" s="533"/>
      <c r="U5473" s="533"/>
      <c r="V5473" s="533"/>
      <c r="W5473" s="533"/>
      <c r="X5473" s="533"/>
      <c r="Y5473" s="533"/>
    </row>
    <row r="5474" spans="1:25" s="88" customFormat="1" ht="15.75" hidden="1" customHeight="1" x14ac:dyDescent="0.25">
      <c r="A5474" s="509"/>
      <c r="B5474" s="256"/>
      <c r="C5474" s="221"/>
      <c r="D5474" s="218"/>
      <c r="E5474" s="218"/>
      <c r="F5474" s="249" t="s">
        <v>236</v>
      </c>
      <c r="G5474" s="252" t="s">
        <v>237</v>
      </c>
      <c r="H5474" s="594"/>
      <c r="I5474" s="595"/>
      <c r="J5474" s="599">
        <f t="shared" si="169"/>
        <v>0</v>
      </c>
      <c r="K5474" s="533"/>
      <c r="L5474" s="533"/>
      <c r="M5474" s="533"/>
      <c r="N5474" s="533"/>
      <c r="O5474" s="533"/>
      <c r="P5474" s="533"/>
      <c r="Q5474" s="533"/>
      <c r="R5474" s="533"/>
      <c r="S5474" s="533"/>
      <c r="T5474" s="533"/>
      <c r="U5474" s="533"/>
      <c r="V5474" s="533"/>
      <c r="W5474" s="533"/>
      <c r="X5474" s="533"/>
      <c r="Y5474" s="533"/>
    </row>
    <row r="5475" spans="1:25" s="88" customFormat="1" ht="15.75" hidden="1" customHeight="1" x14ac:dyDescent="0.25">
      <c r="A5475" s="509"/>
      <c r="B5475" s="256"/>
      <c r="C5475" s="221"/>
      <c r="D5475" s="218"/>
      <c r="E5475" s="218"/>
      <c r="F5475" s="249" t="s">
        <v>238</v>
      </c>
      <c r="G5475" s="252" t="s">
        <v>239</v>
      </c>
      <c r="H5475" s="594"/>
      <c r="I5475" s="595"/>
      <c r="J5475" s="599">
        <f t="shared" si="169"/>
        <v>0</v>
      </c>
      <c r="K5475" s="533"/>
      <c r="L5475" s="533"/>
      <c r="M5475" s="533"/>
      <c r="N5475" s="533"/>
      <c r="O5475" s="533"/>
      <c r="P5475" s="533"/>
      <c r="Q5475" s="533"/>
      <c r="R5475" s="533"/>
      <c r="S5475" s="533"/>
      <c r="T5475" s="533"/>
      <c r="U5475" s="533"/>
      <c r="V5475" s="533"/>
      <c r="W5475" s="533"/>
      <c r="X5475" s="533"/>
      <c r="Y5475" s="533"/>
    </row>
    <row r="5476" spans="1:25" s="88" customFormat="1" ht="15.75" hidden="1" customHeight="1" x14ac:dyDescent="0.25">
      <c r="A5476" s="509"/>
      <c r="B5476" s="256"/>
      <c r="C5476" s="221"/>
      <c r="D5476" s="218"/>
      <c r="E5476" s="218"/>
      <c r="F5476" s="249" t="s">
        <v>240</v>
      </c>
      <c r="G5476" s="252" t="s">
        <v>241</v>
      </c>
      <c r="H5476" s="594"/>
      <c r="I5476" s="595"/>
      <c r="J5476" s="599">
        <f t="shared" si="169"/>
        <v>0</v>
      </c>
      <c r="K5476" s="533"/>
      <c r="L5476" s="533"/>
      <c r="M5476" s="533"/>
      <c r="N5476" s="533"/>
      <c r="O5476" s="533"/>
      <c r="P5476" s="533"/>
      <c r="Q5476" s="533"/>
      <c r="R5476" s="533"/>
      <c r="S5476" s="533"/>
      <c r="T5476" s="533"/>
      <c r="U5476" s="533"/>
      <c r="V5476" s="533"/>
      <c r="W5476" s="533"/>
      <c r="X5476" s="533"/>
      <c r="Y5476" s="533"/>
    </row>
    <row r="5477" spans="1:25" s="88" customFormat="1" ht="15.75" hidden="1" customHeight="1" x14ac:dyDescent="0.25">
      <c r="A5477" s="509"/>
      <c r="B5477" s="256"/>
      <c r="C5477" s="221"/>
      <c r="D5477" s="218"/>
      <c r="E5477" s="218"/>
      <c r="F5477" s="249" t="s">
        <v>242</v>
      </c>
      <c r="G5477" s="252" t="s">
        <v>243</v>
      </c>
      <c r="H5477" s="594"/>
      <c r="I5477" s="595"/>
      <c r="J5477" s="599">
        <f t="shared" si="169"/>
        <v>0</v>
      </c>
      <c r="K5477" s="533"/>
      <c r="L5477" s="533"/>
      <c r="M5477" s="533"/>
      <c r="N5477" s="533"/>
      <c r="O5477" s="533"/>
      <c r="P5477" s="533"/>
      <c r="Q5477" s="533"/>
      <c r="R5477" s="533"/>
      <c r="S5477" s="533"/>
      <c r="T5477" s="533"/>
      <c r="U5477" s="533"/>
      <c r="V5477" s="533"/>
      <c r="W5477" s="533"/>
      <c r="X5477" s="533"/>
      <c r="Y5477" s="533"/>
    </row>
    <row r="5478" spans="1:25" s="88" customFormat="1" ht="15.75" hidden="1" customHeight="1" x14ac:dyDescent="0.25">
      <c r="A5478" s="509"/>
      <c r="B5478" s="256"/>
      <c r="C5478" s="221"/>
      <c r="D5478" s="218"/>
      <c r="E5478" s="218"/>
      <c r="F5478" s="249" t="s">
        <v>244</v>
      </c>
      <c r="G5478" s="252" t="s">
        <v>245</v>
      </c>
      <c r="H5478" s="594"/>
      <c r="I5478" s="595"/>
      <c r="J5478" s="599">
        <f t="shared" si="169"/>
        <v>0</v>
      </c>
      <c r="K5478" s="533"/>
      <c r="L5478" s="533"/>
      <c r="M5478" s="533"/>
      <c r="N5478" s="533"/>
      <c r="O5478" s="533"/>
      <c r="P5478" s="533"/>
      <c r="Q5478" s="533"/>
      <c r="R5478" s="533"/>
      <c r="S5478" s="533"/>
      <c r="T5478" s="533"/>
      <c r="U5478" s="533"/>
      <c r="V5478" s="533"/>
      <c r="W5478" s="533"/>
      <c r="X5478" s="533"/>
      <c r="Y5478" s="533"/>
    </row>
    <row r="5479" spans="1:25" s="88" customFormat="1" ht="15.75" hidden="1" customHeight="1" x14ac:dyDescent="0.25">
      <c r="A5479" s="509"/>
      <c r="B5479" s="256"/>
      <c r="C5479" s="221"/>
      <c r="D5479" s="218"/>
      <c r="E5479" s="218"/>
      <c r="F5479" s="249" t="s">
        <v>246</v>
      </c>
      <c r="G5479" s="252" t="s">
        <v>247</v>
      </c>
      <c r="H5479" s="594"/>
      <c r="I5479" s="595"/>
      <c r="J5479" s="599">
        <f t="shared" si="169"/>
        <v>0</v>
      </c>
      <c r="K5479" s="533"/>
      <c r="L5479" s="533"/>
      <c r="M5479" s="533"/>
      <c r="N5479" s="533"/>
      <c r="O5479" s="533"/>
      <c r="P5479" s="533"/>
      <c r="Q5479" s="533"/>
      <c r="R5479" s="533"/>
      <c r="S5479" s="533"/>
      <c r="T5479" s="533"/>
      <c r="U5479" s="533"/>
      <c r="V5479" s="533"/>
      <c r="W5479" s="533"/>
      <c r="X5479" s="533"/>
      <c r="Y5479" s="533"/>
    </row>
    <row r="5480" spans="1:25" s="88" customFormat="1" ht="15.75" hidden="1" customHeight="1" x14ac:dyDescent="0.25">
      <c r="A5480" s="509"/>
      <c r="B5480" s="256"/>
      <c r="C5480" s="221"/>
      <c r="D5480" s="218"/>
      <c r="E5480" s="218"/>
      <c r="F5480" s="249" t="s">
        <v>248</v>
      </c>
      <c r="G5480" s="252" t="s">
        <v>249</v>
      </c>
      <c r="H5480" s="594"/>
      <c r="I5480" s="595"/>
      <c r="J5480" s="599">
        <f t="shared" si="169"/>
        <v>0</v>
      </c>
      <c r="K5480" s="533"/>
      <c r="L5480" s="533"/>
      <c r="M5480" s="533"/>
      <c r="N5480" s="533"/>
      <c r="O5480" s="533"/>
      <c r="P5480" s="533"/>
      <c r="Q5480" s="533"/>
      <c r="R5480" s="533"/>
      <c r="S5480" s="533"/>
      <c r="T5480" s="533"/>
      <c r="U5480" s="533"/>
      <c r="V5480" s="533"/>
      <c r="W5480" s="533"/>
      <c r="X5480" s="533"/>
      <c r="Y5480" s="533"/>
    </row>
    <row r="5481" spans="1:25" s="88" customFormat="1" ht="15.75" hidden="1" customHeight="1" x14ac:dyDescent="0.25">
      <c r="A5481" s="509"/>
      <c r="B5481" s="256"/>
      <c r="C5481" s="221"/>
      <c r="D5481" s="218"/>
      <c r="E5481" s="218"/>
      <c r="F5481" s="249" t="s">
        <v>250</v>
      </c>
      <c r="G5481" s="252" t="s">
        <v>57</v>
      </c>
      <c r="H5481" s="594"/>
      <c r="I5481" s="595"/>
      <c r="J5481" s="599">
        <f t="shared" si="169"/>
        <v>0</v>
      </c>
      <c r="K5481" s="533"/>
      <c r="L5481" s="533"/>
      <c r="M5481" s="533"/>
      <c r="N5481" s="533"/>
      <c r="O5481" s="533"/>
      <c r="P5481" s="533"/>
      <c r="Q5481" s="533"/>
      <c r="R5481" s="533"/>
      <c r="S5481" s="533"/>
      <c r="T5481" s="533"/>
      <c r="U5481" s="533"/>
      <c r="V5481" s="533"/>
      <c r="W5481" s="533"/>
      <c r="X5481" s="533"/>
      <c r="Y5481" s="533"/>
    </row>
    <row r="5482" spans="1:25" s="88" customFormat="1" ht="15.75" hidden="1" customHeight="1" x14ac:dyDescent="0.25">
      <c r="A5482" s="509"/>
      <c r="B5482" s="256"/>
      <c r="C5482" s="221"/>
      <c r="D5482" s="218"/>
      <c r="E5482" s="218"/>
      <c r="F5482" s="249" t="s">
        <v>251</v>
      </c>
      <c r="G5482" s="252" t="s">
        <v>252</v>
      </c>
      <c r="H5482" s="594"/>
      <c r="I5482" s="595"/>
      <c r="J5482" s="599">
        <f t="shared" si="169"/>
        <v>0</v>
      </c>
      <c r="K5482" s="533"/>
      <c r="L5482" s="533"/>
      <c r="M5482" s="533"/>
      <c r="N5482" s="533"/>
      <c r="O5482" s="533"/>
      <c r="P5482" s="533"/>
      <c r="Q5482" s="533"/>
      <c r="R5482" s="533"/>
      <c r="S5482" s="533"/>
      <c r="T5482" s="533"/>
      <c r="U5482" s="533"/>
      <c r="V5482" s="533"/>
      <c r="W5482" s="533"/>
      <c r="X5482" s="533"/>
      <c r="Y5482" s="533"/>
    </row>
    <row r="5483" spans="1:25" s="88" customFormat="1" ht="15.75" hidden="1" customHeight="1" x14ac:dyDescent="0.25">
      <c r="A5483" s="509"/>
      <c r="B5483" s="256"/>
      <c r="C5483" s="221"/>
      <c r="D5483" s="218"/>
      <c r="E5483" s="218"/>
      <c r="F5483" s="249" t="s">
        <v>253</v>
      </c>
      <c r="G5483" s="252" t="s">
        <v>254</v>
      </c>
      <c r="H5483" s="594"/>
      <c r="I5483" s="595"/>
      <c r="J5483" s="599">
        <f t="shared" si="169"/>
        <v>0</v>
      </c>
      <c r="K5483" s="533"/>
      <c r="L5483" s="533"/>
      <c r="M5483" s="533"/>
      <c r="N5483" s="533"/>
      <c r="O5483" s="533"/>
      <c r="P5483" s="533"/>
      <c r="Q5483" s="533"/>
      <c r="R5483" s="533"/>
      <c r="S5483" s="533"/>
      <c r="T5483" s="533"/>
      <c r="U5483" s="533"/>
      <c r="V5483" s="533"/>
      <c r="W5483" s="533"/>
      <c r="X5483" s="533"/>
      <c r="Y5483" s="533"/>
    </row>
    <row r="5484" spans="1:25" s="88" customFormat="1" ht="15.75" hidden="1" customHeight="1" x14ac:dyDescent="0.25">
      <c r="A5484" s="509"/>
      <c r="B5484" s="256"/>
      <c r="C5484" s="221"/>
      <c r="D5484" s="218"/>
      <c r="E5484" s="218"/>
      <c r="F5484" s="249" t="s">
        <v>255</v>
      </c>
      <c r="G5484" s="252" t="s">
        <v>256</v>
      </c>
      <c r="H5484" s="594"/>
      <c r="I5484" s="595"/>
      <c r="J5484" s="599">
        <f t="shared" si="169"/>
        <v>0</v>
      </c>
      <c r="K5484" s="533"/>
      <c r="L5484" s="533"/>
      <c r="M5484" s="533"/>
      <c r="N5484" s="533"/>
      <c r="O5484" s="533"/>
      <c r="P5484" s="533"/>
      <c r="Q5484" s="533"/>
      <c r="R5484" s="533"/>
      <c r="S5484" s="533"/>
      <c r="T5484" s="533"/>
      <c r="U5484" s="533"/>
      <c r="V5484" s="533"/>
      <c r="W5484" s="533"/>
      <c r="X5484" s="533"/>
      <c r="Y5484" s="533"/>
    </row>
    <row r="5485" spans="1:25" s="88" customFormat="1" ht="15.75" hidden="1" customHeight="1" x14ac:dyDescent="0.25">
      <c r="A5485" s="509"/>
      <c r="B5485" s="256"/>
      <c r="C5485" s="221"/>
      <c r="D5485" s="218"/>
      <c r="E5485" s="218"/>
      <c r="F5485" s="249" t="s">
        <v>257</v>
      </c>
      <c r="G5485" s="252" t="s">
        <v>258</v>
      </c>
      <c r="H5485" s="594"/>
      <c r="I5485" s="595"/>
      <c r="J5485" s="599">
        <f t="shared" si="169"/>
        <v>0</v>
      </c>
      <c r="K5485" s="533"/>
      <c r="L5485" s="533"/>
      <c r="M5485" s="533"/>
      <c r="N5485" s="533"/>
      <c r="O5485" s="533"/>
      <c r="P5485" s="533"/>
      <c r="Q5485" s="533"/>
      <c r="R5485" s="533"/>
      <c r="S5485" s="533"/>
      <c r="T5485" s="533"/>
      <c r="U5485" s="533"/>
      <c r="V5485" s="533"/>
      <c r="W5485" s="533"/>
      <c r="X5485" s="533"/>
      <c r="Y5485" s="533"/>
    </row>
    <row r="5486" spans="1:25" s="88" customFormat="1" ht="15.75" hidden="1" customHeight="1" x14ac:dyDescent="0.25">
      <c r="A5486" s="509"/>
      <c r="B5486" s="256"/>
      <c r="C5486" s="221"/>
      <c r="D5486" s="218"/>
      <c r="E5486" s="218"/>
      <c r="F5486" s="249" t="s">
        <v>259</v>
      </c>
      <c r="G5486" s="252" t="s">
        <v>260</v>
      </c>
      <c r="H5486" s="594"/>
      <c r="I5486" s="595"/>
      <c r="J5486" s="599">
        <f t="shared" si="169"/>
        <v>0</v>
      </c>
      <c r="K5486" s="533"/>
      <c r="L5486" s="533"/>
      <c r="M5486" s="533"/>
      <c r="N5486" s="533"/>
      <c r="O5486" s="533"/>
      <c r="P5486" s="533"/>
      <c r="Q5486" s="533"/>
      <c r="R5486" s="533"/>
      <c r="S5486" s="533"/>
      <c r="T5486" s="533"/>
      <c r="U5486" s="533"/>
      <c r="V5486" s="533"/>
      <c r="W5486" s="533"/>
      <c r="X5486" s="533"/>
      <c r="Y5486" s="533"/>
    </row>
    <row r="5487" spans="1:25" s="88" customFormat="1" ht="15.75" hidden="1" customHeight="1" x14ac:dyDescent="0.25">
      <c r="A5487" s="509"/>
      <c r="B5487" s="256"/>
      <c r="C5487" s="221"/>
      <c r="D5487" s="218"/>
      <c r="E5487" s="218"/>
      <c r="F5487" s="249" t="s">
        <v>261</v>
      </c>
      <c r="G5487" s="252" t="s">
        <v>262</v>
      </c>
      <c r="H5487" s="594"/>
      <c r="I5487" s="595"/>
      <c r="J5487" s="599">
        <f t="shared" si="169"/>
        <v>0</v>
      </c>
      <c r="K5487" s="533"/>
      <c r="L5487" s="533"/>
      <c r="M5487" s="533"/>
      <c r="N5487" s="533"/>
      <c r="O5487" s="533"/>
      <c r="P5487" s="533"/>
      <c r="Q5487" s="533"/>
      <c r="R5487" s="533"/>
      <c r="S5487" s="533"/>
      <c r="T5487" s="533"/>
      <c r="U5487" s="533"/>
      <c r="V5487" s="533"/>
      <c r="W5487" s="533"/>
      <c r="X5487" s="533"/>
      <c r="Y5487" s="533"/>
    </row>
    <row r="5488" spans="1:25" s="88" customFormat="1" ht="15.75" hidden="1" customHeight="1" thickBot="1" x14ac:dyDescent="0.3">
      <c r="A5488" s="509"/>
      <c r="B5488" s="256"/>
      <c r="C5488" s="221"/>
      <c r="D5488" s="218"/>
      <c r="E5488" s="218"/>
      <c r="F5488" s="249" t="s">
        <v>263</v>
      </c>
      <c r="G5488" s="252" t="s">
        <v>264</v>
      </c>
      <c r="H5488" s="598"/>
      <c r="I5488" s="599"/>
      <c r="J5488" s="599">
        <f t="shared" si="169"/>
        <v>0</v>
      </c>
      <c r="K5488" s="533"/>
      <c r="L5488" s="533"/>
      <c r="M5488" s="533"/>
      <c r="N5488" s="533"/>
      <c r="O5488" s="533"/>
      <c r="P5488" s="533"/>
      <c r="Q5488" s="533"/>
      <c r="R5488" s="533"/>
      <c r="S5488" s="533"/>
      <c r="T5488" s="533"/>
      <c r="U5488" s="533"/>
      <c r="V5488" s="533"/>
      <c r="W5488" s="533"/>
      <c r="X5488" s="533"/>
      <c r="Y5488" s="533"/>
    </row>
    <row r="5489" spans="1:25" s="88" customFormat="1" ht="15.75" hidden="1" customHeight="1" thickBot="1" x14ac:dyDescent="0.3">
      <c r="A5489" s="509"/>
      <c r="B5489" s="256"/>
      <c r="C5489" s="221"/>
      <c r="D5489" s="218"/>
      <c r="E5489" s="218"/>
      <c r="F5489" s="218"/>
      <c r="G5489" s="229" t="s">
        <v>4471</v>
      </c>
      <c r="H5489" s="600">
        <f>SUM(H5473:H5488)</f>
        <v>0</v>
      </c>
      <c r="I5489" s="601">
        <f>SUM(I5474:I5488)</f>
        <v>0</v>
      </c>
      <c r="J5489" s="601">
        <f>SUM(J5473:J5488)</f>
        <v>0</v>
      </c>
      <c r="K5489" s="533"/>
      <c r="L5489" s="533"/>
      <c r="M5489" s="533"/>
      <c r="N5489" s="533"/>
      <c r="O5489" s="533"/>
      <c r="P5489" s="533"/>
      <c r="Q5489" s="533"/>
      <c r="R5489" s="533"/>
      <c r="S5489" s="533"/>
      <c r="T5489" s="533"/>
      <c r="U5489" s="533"/>
      <c r="V5489" s="533"/>
      <c r="W5489" s="533"/>
      <c r="X5489" s="533"/>
      <c r="Y5489" s="533"/>
    </row>
    <row r="5490" spans="1:25" s="88" customFormat="1" ht="15.75" hidden="1" customHeight="1" x14ac:dyDescent="0.25">
      <c r="A5490" s="509"/>
      <c r="B5490" s="256"/>
      <c r="C5490" s="221"/>
      <c r="D5490" s="218"/>
      <c r="E5490" s="517"/>
      <c r="F5490" s="528"/>
      <c r="G5490" s="231" t="s">
        <v>5064</v>
      </c>
      <c r="H5490" s="602"/>
      <c r="I5490" s="623"/>
      <c r="J5490" s="603"/>
      <c r="K5490" s="533"/>
      <c r="L5490" s="533"/>
      <c r="M5490" s="533"/>
      <c r="N5490" s="533"/>
      <c r="O5490" s="533"/>
      <c r="P5490" s="533"/>
      <c r="Q5490" s="533"/>
      <c r="R5490" s="533"/>
      <c r="S5490" s="533"/>
      <c r="T5490" s="533"/>
      <c r="U5490" s="533"/>
      <c r="V5490" s="533"/>
      <c r="W5490" s="533"/>
      <c r="X5490" s="533"/>
      <c r="Y5490" s="533"/>
    </row>
    <row r="5491" spans="1:25" s="88" customFormat="1" ht="15.75" hidden="1" customHeight="1" x14ac:dyDescent="0.25">
      <c r="A5491" s="509"/>
      <c r="B5491" s="256"/>
      <c r="C5491" s="221"/>
      <c r="D5491" s="218"/>
      <c r="E5491" s="222"/>
      <c r="F5491" s="249" t="s">
        <v>234</v>
      </c>
      <c r="G5491" s="252" t="s">
        <v>235</v>
      </c>
      <c r="H5491" s="598">
        <f>SUM(H5412:H5471)</f>
        <v>0</v>
      </c>
      <c r="I5491" s="599"/>
      <c r="J5491" s="599">
        <f t="shared" ref="J5491:J5506" si="170">SUM(H5491:I5491)</f>
        <v>0</v>
      </c>
      <c r="K5491" s="533"/>
      <c r="L5491" s="533"/>
      <c r="M5491" s="533"/>
      <c r="N5491" s="533"/>
      <c r="O5491" s="533"/>
      <c r="P5491" s="533"/>
      <c r="Q5491" s="533"/>
      <c r="R5491" s="533"/>
      <c r="S5491" s="533"/>
      <c r="T5491" s="533"/>
      <c r="U5491" s="533"/>
      <c r="V5491" s="533"/>
      <c r="W5491" s="533"/>
      <c r="X5491" s="533"/>
      <c r="Y5491" s="533"/>
    </row>
    <row r="5492" spans="1:25" s="88" customFormat="1" ht="15.75" hidden="1" customHeight="1" x14ac:dyDescent="0.25">
      <c r="A5492" s="509"/>
      <c r="B5492" s="256"/>
      <c r="C5492" s="221"/>
      <c r="D5492" s="218"/>
      <c r="E5492" s="218"/>
      <c r="F5492" s="249" t="s">
        <v>236</v>
      </c>
      <c r="G5492" s="252" t="s">
        <v>237</v>
      </c>
      <c r="H5492" s="594"/>
      <c r="I5492" s="595"/>
      <c r="J5492" s="599">
        <f t="shared" si="170"/>
        <v>0</v>
      </c>
      <c r="K5492" s="533"/>
      <c r="L5492" s="533"/>
      <c r="M5492" s="533"/>
      <c r="N5492" s="533"/>
      <c r="O5492" s="533"/>
      <c r="P5492" s="533"/>
      <c r="Q5492" s="533"/>
      <c r="R5492" s="533"/>
      <c r="S5492" s="533"/>
      <c r="T5492" s="533"/>
      <c r="U5492" s="533"/>
      <c r="V5492" s="533"/>
      <c r="W5492" s="533"/>
      <c r="X5492" s="533"/>
      <c r="Y5492" s="533"/>
    </row>
    <row r="5493" spans="1:25" s="88" customFormat="1" ht="15.75" hidden="1" customHeight="1" x14ac:dyDescent="0.25">
      <c r="A5493" s="509"/>
      <c r="B5493" s="256"/>
      <c r="C5493" s="221"/>
      <c r="D5493" s="218"/>
      <c r="E5493" s="218"/>
      <c r="F5493" s="249" t="s">
        <v>238</v>
      </c>
      <c r="G5493" s="252" t="s">
        <v>239</v>
      </c>
      <c r="H5493" s="594"/>
      <c r="I5493" s="595"/>
      <c r="J5493" s="599">
        <f t="shared" si="170"/>
        <v>0</v>
      </c>
      <c r="K5493" s="533"/>
      <c r="L5493" s="533"/>
      <c r="M5493" s="533"/>
      <c r="N5493" s="533"/>
      <c r="O5493" s="533"/>
      <c r="P5493" s="533"/>
      <c r="Q5493" s="533"/>
      <c r="R5493" s="533"/>
      <c r="S5493" s="533"/>
      <c r="T5493" s="533"/>
      <c r="U5493" s="533"/>
      <c r="V5493" s="533"/>
      <c r="W5493" s="533"/>
      <c r="X5493" s="533"/>
      <c r="Y5493" s="533"/>
    </row>
    <row r="5494" spans="1:25" s="88" customFormat="1" ht="15.75" hidden="1" customHeight="1" x14ac:dyDescent="0.25">
      <c r="A5494" s="509"/>
      <c r="B5494" s="256"/>
      <c r="C5494" s="221"/>
      <c r="D5494" s="218"/>
      <c r="E5494" s="218"/>
      <c r="F5494" s="249" t="s">
        <v>240</v>
      </c>
      <c r="G5494" s="252" t="s">
        <v>241</v>
      </c>
      <c r="H5494" s="594"/>
      <c r="I5494" s="595"/>
      <c r="J5494" s="599">
        <f t="shared" si="170"/>
        <v>0</v>
      </c>
      <c r="K5494" s="533"/>
      <c r="L5494" s="533"/>
      <c r="M5494" s="533"/>
      <c r="N5494" s="533"/>
      <c r="O5494" s="533"/>
      <c r="P5494" s="533"/>
      <c r="Q5494" s="533"/>
      <c r="R5494" s="533"/>
      <c r="S5494" s="533"/>
      <c r="T5494" s="533"/>
      <c r="U5494" s="533"/>
      <c r="V5494" s="533"/>
      <c r="W5494" s="533"/>
      <c r="X5494" s="533"/>
      <c r="Y5494" s="533"/>
    </row>
    <row r="5495" spans="1:25" s="88" customFormat="1" ht="15.75" hidden="1" customHeight="1" x14ac:dyDescent="0.25">
      <c r="A5495" s="509"/>
      <c r="B5495" s="256"/>
      <c r="C5495" s="221"/>
      <c r="D5495" s="218"/>
      <c r="E5495" s="218"/>
      <c r="F5495" s="249" t="s">
        <v>242</v>
      </c>
      <c r="G5495" s="252" t="s">
        <v>243</v>
      </c>
      <c r="H5495" s="594"/>
      <c r="I5495" s="595"/>
      <c r="J5495" s="599">
        <f t="shared" si="170"/>
        <v>0</v>
      </c>
      <c r="K5495" s="533"/>
      <c r="L5495" s="533"/>
      <c r="M5495" s="533"/>
      <c r="N5495" s="533"/>
      <c r="O5495" s="533"/>
      <c r="P5495" s="533"/>
      <c r="Q5495" s="533"/>
      <c r="R5495" s="533"/>
      <c r="S5495" s="533"/>
      <c r="T5495" s="533"/>
      <c r="U5495" s="533"/>
      <c r="V5495" s="533"/>
      <c r="W5495" s="533"/>
      <c r="X5495" s="533"/>
      <c r="Y5495" s="533"/>
    </row>
    <row r="5496" spans="1:25" s="88" customFormat="1" ht="15.75" hidden="1" customHeight="1" x14ac:dyDescent="0.25">
      <c r="A5496" s="509"/>
      <c r="B5496" s="256"/>
      <c r="C5496" s="221"/>
      <c r="D5496" s="218"/>
      <c r="E5496" s="218"/>
      <c r="F5496" s="249" t="s">
        <v>244</v>
      </c>
      <c r="G5496" s="252" t="s">
        <v>245</v>
      </c>
      <c r="H5496" s="594"/>
      <c r="I5496" s="595"/>
      <c r="J5496" s="599">
        <f t="shared" si="170"/>
        <v>0</v>
      </c>
      <c r="K5496" s="533"/>
      <c r="L5496" s="533"/>
      <c r="M5496" s="533"/>
      <c r="N5496" s="533"/>
      <c r="O5496" s="533"/>
      <c r="P5496" s="533"/>
      <c r="Q5496" s="533"/>
      <c r="R5496" s="533"/>
      <c r="S5496" s="533"/>
      <c r="T5496" s="533"/>
      <c r="U5496" s="533"/>
      <c r="V5496" s="533"/>
      <c r="W5496" s="533"/>
      <c r="X5496" s="533"/>
      <c r="Y5496" s="533"/>
    </row>
    <row r="5497" spans="1:25" s="88" customFormat="1" ht="15.75" hidden="1" customHeight="1" x14ac:dyDescent="0.25">
      <c r="A5497" s="509"/>
      <c r="B5497" s="256"/>
      <c r="C5497" s="221"/>
      <c r="D5497" s="218"/>
      <c r="E5497" s="218"/>
      <c r="F5497" s="249" t="s">
        <v>246</v>
      </c>
      <c r="G5497" s="252" t="s">
        <v>247</v>
      </c>
      <c r="H5497" s="594"/>
      <c r="I5497" s="595"/>
      <c r="J5497" s="599">
        <f t="shared" si="170"/>
        <v>0</v>
      </c>
      <c r="K5497" s="533"/>
      <c r="L5497" s="533"/>
      <c r="M5497" s="533"/>
      <c r="N5497" s="533"/>
      <c r="O5497" s="533"/>
      <c r="P5497" s="533"/>
      <c r="Q5497" s="533"/>
      <c r="R5497" s="533"/>
      <c r="S5497" s="533"/>
      <c r="T5497" s="533"/>
      <c r="U5497" s="533"/>
      <c r="V5497" s="533"/>
      <c r="W5497" s="533"/>
      <c r="X5497" s="533"/>
      <c r="Y5497" s="533"/>
    </row>
    <row r="5498" spans="1:25" s="88" customFormat="1" ht="15.75" hidden="1" customHeight="1" x14ac:dyDescent="0.25">
      <c r="A5498" s="509"/>
      <c r="B5498" s="256"/>
      <c r="C5498" s="221"/>
      <c r="D5498" s="218"/>
      <c r="E5498" s="218"/>
      <c r="F5498" s="249" t="s">
        <v>248</v>
      </c>
      <c r="G5498" s="252" t="s">
        <v>249</v>
      </c>
      <c r="H5498" s="594"/>
      <c r="I5498" s="595"/>
      <c r="J5498" s="599">
        <f t="shared" si="170"/>
        <v>0</v>
      </c>
      <c r="K5498" s="533"/>
      <c r="L5498" s="533"/>
      <c r="M5498" s="533"/>
      <c r="N5498" s="533"/>
      <c r="O5498" s="533"/>
      <c r="P5498" s="533"/>
      <c r="Q5498" s="533"/>
      <c r="R5498" s="533"/>
      <c r="S5498" s="533"/>
      <c r="T5498" s="533"/>
      <c r="U5498" s="533"/>
      <c r="V5498" s="533"/>
      <c r="W5498" s="533"/>
      <c r="X5498" s="533"/>
      <c r="Y5498" s="533"/>
    </row>
    <row r="5499" spans="1:25" s="88" customFormat="1" ht="15.75" hidden="1" customHeight="1" x14ac:dyDescent="0.25">
      <c r="A5499" s="509"/>
      <c r="B5499" s="256"/>
      <c r="C5499" s="221"/>
      <c r="D5499" s="218"/>
      <c r="E5499" s="218"/>
      <c r="F5499" s="249" t="s">
        <v>250</v>
      </c>
      <c r="G5499" s="252" t="s">
        <v>57</v>
      </c>
      <c r="H5499" s="594"/>
      <c r="I5499" s="595"/>
      <c r="J5499" s="599">
        <f t="shared" si="170"/>
        <v>0</v>
      </c>
      <c r="K5499" s="533"/>
      <c r="L5499" s="533"/>
      <c r="M5499" s="533"/>
      <c r="N5499" s="533"/>
      <c r="O5499" s="533"/>
      <c r="P5499" s="533"/>
      <c r="Q5499" s="533"/>
      <c r="R5499" s="533"/>
      <c r="S5499" s="533"/>
      <c r="T5499" s="533"/>
      <c r="U5499" s="533"/>
      <c r="V5499" s="533"/>
      <c r="W5499" s="533"/>
      <c r="X5499" s="533"/>
      <c r="Y5499" s="533"/>
    </row>
    <row r="5500" spans="1:25" s="88" customFormat="1" ht="15.75" hidden="1" customHeight="1" x14ac:dyDescent="0.25">
      <c r="A5500" s="509"/>
      <c r="B5500" s="256"/>
      <c r="C5500" s="221"/>
      <c r="D5500" s="218"/>
      <c r="E5500" s="218"/>
      <c r="F5500" s="249" t="s">
        <v>251</v>
      </c>
      <c r="G5500" s="252" t="s">
        <v>252</v>
      </c>
      <c r="H5500" s="594"/>
      <c r="I5500" s="595"/>
      <c r="J5500" s="599">
        <f t="shared" si="170"/>
        <v>0</v>
      </c>
      <c r="K5500" s="533"/>
      <c r="L5500" s="533"/>
      <c r="M5500" s="533"/>
      <c r="N5500" s="533"/>
      <c r="O5500" s="533"/>
      <c r="P5500" s="533"/>
      <c r="Q5500" s="533"/>
      <c r="R5500" s="533"/>
      <c r="S5500" s="533"/>
      <c r="T5500" s="533"/>
      <c r="U5500" s="533"/>
      <c r="V5500" s="533"/>
      <c r="W5500" s="533"/>
      <c r="X5500" s="533"/>
      <c r="Y5500" s="533"/>
    </row>
    <row r="5501" spans="1:25" s="88" customFormat="1" ht="15.75" hidden="1" customHeight="1" x14ac:dyDescent="0.25">
      <c r="A5501" s="509"/>
      <c r="B5501" s="256"/>
      <c r="C5501" s="221"/>
      <c r="D5501" s="218"/>
      <c r="E5501" s="218"/>
      <c r="F5501" s="249" t="s">
        <v>253</v>
      </c>
      <c r="G5501" s="252" t="s">
        <v>254</v>
      </c>
      <c r="H5501" s="594"/>
      <c r="I5501" s="595"/>
      <c r="J5501" s="599">
        <f t="shared" si="170"/>
        <v>0</v>
      </c>
      <c r="K5501" s="533"/>
      <c r="L5501" s="533"/>
      <c r="M5501" s="533"/>
      <c r="N5501" s="533"/>
      <c r="O5501" s="533"/>
      <c r="P5501" s="533"/>
      <c r="Q5501" s="533"/>
      <c r="R5501" s="533"/>
      <c r="S5501" s="533"/>
      <c r="T5501" s="533"/>
      <c r="U5501" s="533"/>
      <c r="V5501" s="533"/>
      <c r="W5501" s="533"/>
      <c r="X5501" s="533"/>
      <c r="Y5501" s="533"/>
    </row>
    <row r="5502" spans="1:25" s="88" customFormat="1" ht="15.75" hidden="1" customHeight="1" x14ac:dyDescent="0.25">
      <c r="A5502" s="509"/>
      <c r="B5502" s="256"/>
      <c r="C5502" s="221"/>
      <c r="D5502" s="218"/>
      <c r="E5502" s="218"/>
      <c r="F5502" s="249" t="s">
        <v>255</v>
      </c>
      <c r="G5502" s="252" t="s">
        <v>256</v>
      </c>
      <c r="H5502" s="594"/>
      <c r="I5502" s="595"/>
      <c r="J5502" s="599">
        <f t="shared" si="170"/>
        <v>0</v>
      </c>
      <c r="K5502" s="533"/>
      <c r="L5502" s="533"/>
      <c r="M5502" s="533"/>
      <c r="N5502" s="533"/>
      <c r="O5502" s="533"/>
      <c r="P5502" s="533"/>
      <c r="Q5502" s="533"/>
      <c r="R5502" s="533"/>
      <c r="S5502" s="533"/>
      <c r="T5502" s="533"/>
      <c r="U5502" s="533"/>
      <c r="V5502" s="533"/>
      <c r="W5502" s="533"/>
      <c r="X5502" s="533"/>
      <c r="Y5502" s="533"/>
    </row>
    <row r="5503" spans="1:25" s="88" customFormat="1" ht="15.75" hidden="1" customHeight="1" x14ac:dyDescent="0.25">
      <c r="A5503" s="509"/>
      <c r="B5503" s="256"/>
      <c r="C5503" s="221"/>
      <c r="D5503" s="218"/>
      <c r="E5503" s="218"/>
      <c r="F5503" s="249" t="s">
        <v>257</v>
      </c>
      <c r="G5503" s="252" t="s">
        <v>258</v>
      </c>
      <c r="H5503" s="594"/>
      <c r="I5503" s="595"/>
      <c r="J5503" s="599">
        <f t="shared" si="170"/>
        <v>0</v>
      </c>
      <c r="K5503" s="533"/>
      <c r="L5503" s="533"/>
      <c r="M5503" s="533"/>
      <c r="N5503" s="533"/>
      <c r="O5503" s="533"/>
      <c r="P5503" s="533"/>
      <c r="Q5503" s="533"/>
      <c r="R5503" s="533"/>
      <c r="S5503" s="533"/>
      <c r="T5503" s="533"/>
      <c r="U5503" s="533"/>
      <c r="V5503" s="533"/>
      <c r="W5503" s="533"/>
      <c r="X5503" s="533"/>
      <c r="Y5503" s="533"/>
    </row>
    <row r="5504" spans="1:25" s="88" customFormat="1" ht="15.75" hidden="1" customHeight="1" x14ac:dyDescent="0.25">
      <c r="A5504" s="509"/>
      <c r="B5504" s="256"/>
      <c r="C5504" s="221"/>
      <c r="D5504" s="218"/>
      <c r="E5504" s="218"/>
      <c r="F5504" s="249" t="s">
        <v>259</v>
      </c>
      <c r="G5504" s="252" t="s">
        <v>260</v>
      </c>
      <c r="H5504" s="594"/>
      <c r="I5504" s="595"/>
      <c r="J5504" s="599">
        <f t="shared" si="170"/>
        <v>0</v>
      </c>
      <c r="K5504" s="533"/>
      <c r="L5504" s="533"/>
      <c r="M5504" s="533"/>
      <c r="N5504" s="533"/>
      <c r="O5504" s="533"/>
      <c r="P5504" s="533"/>
      <c r="Q5504" s="533"/>
      <c r="R5504" s="533"/>
      <c r="S5504" s="533"/>
      <c r="T5504" s="533"/>
      <c r="U5504" s="533"/>
      <c r="V5504" s="533"/>
      <c r="W5504" s="533"/>
      <c r="X5504" s="533"/>
      <c r="Y5504" s="533"/>
    </row>
    <row r="5505" spans="1:25" s="88" customFormat="1" ht="15.75" hidden="1" customHeight="1" x14ac:dyDescent="0.25">
      <c r="A5505" s="509"/>
      <c r="B5505" s="256"/>
      <c r="C5505" s="221"/>
      <c r="D5505" s="218"/>
      <c r="E5505" s="218"/>
      <c r="F5505" s="249" t="s">
        <v>261</v>
      </c>
      <c r="G5505" s="252" t="s">
        <v>262</v>
      </c>
      <c r="H5505" s="594"/>
      <c r="I5505" s="595"/>
      <c r="J5505" s="599">
        <f t="shared" si="170"/>
        <v>0</v>
      </c>
      <c r="K5505" s="533"/>
      <c r="L5505" s="533"/>
      <c r="M5505" s="533"/>
      <c r="N5505" s="533"/>
      <c r="O5505" s="533"/>
      <c r="P5505" s="533"/>
      <c r="Q5505" s="533"/>
      <c r="R5505" s="533"/>
      <c r="S5505" s="533"/>
      <c r="T5505" s="533"/>
      <c r="U5505" s="533"/>
      <c r="V5505" s="533"/>
      <c r="W5505" s="533"/>
      <c r="X5505" s="533"/>
      <c r="Y5505" s="533"/>
    </row>
    <row r="5506" spans="1:25" s="88" customFormat="1" ht="15.75" hidden="1" customHeight="1" thickBot="1" x14ac:dyDescent="0.3">
      <c r="A5506" s="509"/>
      <c r="B5506" s="256"/>
      <c r="C5506" s="221"/>
      <c r="D5506" s="218"/>
      <c r="E5506" s="218"/>
      <c r="F5506" s="249" t="s">
        <v>263</v>
      </c>
      <c r="G5506" s="252" t="s">
        <v>264</v>
      </c>
      <c r="H5506" s="598"/>
      <c r="I5506" s="599"/>
      <c r="J5506" s="599">
        <f t="shared" si="170"/>
        <v>0</v>
      </c>
      <c r="K5506" s="533"/>
      <c r="L5506" s="533"/>
      <c r="M5506" s="533"/>
      <c r="N5506" s="533"/>
      <c r="O5506" s="533"/>
      <c r="P5506" s="533"/>
      <c r="Q5506" s="533"/>
      <c r="R5506" s="533"/>
      <c r="S5506" s="533"/>
      <c r="T5506" s="533"/>
      <c r="U5506" s="533"/>
      <c r="V5506" s="533"/>
      <c r="W5506" s="533"/>
      <c r="X5506" s="533"/>
      <c r="Y5506" s="533"/>
    </row>
    <row r="5507" spans="1:25" s="88" customFormat="1" ht="15.75" hidden="1" customHeight="1" thickBot="1" x14ac:dyDescent="0.3">
      <c r="A5507" s="509"/>
      <c r="B5507" s="256"/>
      <c r="C5507" s="221"/>
      <c r="D5507" s="218"/>
      <c r="E5507" s="218"/>
      <c r="F5507" s="218"/>
      <c r="G5507" s="229" t="s">
        <v>5051</v>
      </c>
      <c r="H5507" s="600">
        <f>SUM(H5491:H5506)</f>
        <v>0</v>
      </c>
      <c r="I5507" s="601">
        <f>SUM(I5492:I5506)</f>
        <v>0</v>
      </c>
      <c r="J5507" s="601">
        <f>SUM(J5491:J5506)</f>
        <v>0</v>
      </c>
      <c r="K5507" s="533"/>
      <c r="L5507" s="533"/>
      <c r="M5507" s="533"/>
      <c r="N5507" s="533"/>
      <c r="O5507" s="533"/>
      <c r="P5507" s="533"/>
      <c r="Q5507" s="533"/>
      <c r="R5507" s="533"/>
      <c r="S5507" s="533"/>
      <c r="T5507" s="533"/>
      <c r="U5507" s="533"/>
      <c r="V5507" s="533"/>
      <c r="W5507" s="533"/>
      <c r="X5507" s="533"/>
      <c r="Y5507" s="533"/>
    </row>
    <row r="5508" spans="1:25" s="88" customFormat="1" ht="15.75" hidden="1" customHeight="1" x14ac:dyDescent="0.25">
      <c r="A5508" s="509"/>
      <c r="B5508" s="256"/>
      <c r="C5508" s="221"/>
      <c r="D5508" s="218"/>
      <c r="E5508" s="218"/>
      <c r="F5508" s="218"/>
      <c r="G5508" s="230"/>
      <c r="H5508" s="594"/>
      <c r="I5508" s="595"/>
      <c r="J5508" s="595"/>
      <c r="K5508" s="533"/>
      <c r="L5508" s="533"/>
      <c r="M5508" s="533"/>
      <c r="N5508" s="533"/>
      <c r="O5508" s="533"/>
      <c r="P5508" s="533"/>
      <c r="Q5508" s="533"/>
      <c r="R5508" s="533"/>
      <c r="S5508" s="533"/>
      <c r="T5508" s="533"/>
      <c r="U5508" s="533"/>
      <c r="V5508" s="533"/>
      <c r="W5508" s="533"/>
      <c r="X5508" s="533"/>
      <c r="Y5508" s="533"/>
    </row>
    <row r="5509" spans="1:25" s="88" customFormat="1" ht="15.75" hidden="1" customHeight="1" x14ac:dyDescent="0.25">
      <c r="A5509" s="509"/>
      <c r="B5509" s="256"/>
      <c r="C5509" s="228" t="s">
        <v>4741</v>
      </c>
      <c r="D5509" s="219"/>
      <c r="E5509" s="218"/>
      <c r="F5509" s="218"/>
      <c r="G5509" s="521" t="s">
        <v>5119</v>
      </c>
      <c r="H5509" s="594"/>
      <c r="I5509" s="595"/>
      <c r="J5509" s="595"/>
      <c r="K5509" s="533"/>
      <c r="L5509" s="533"/>
      <c r="M5509" s="533"/>
      <c r="N5509" s="533"/>
      <c r="O5509" s="533"/>
      <c r="P5509" s="533"/>
      <c r="Q5509" s="533"/>
      <c r="R5509" s="533"/>
      <c r="S5509" s="533"/>
      <c r="T5509" s="533"/>
      <c r="U5509" s="533"/>
      <c r="V5509" s="533"/>
      <c r="W5509" s="533"/>
      <c r="X5509" s="533"/>
      <c r="Y5509" s="533"/>
    </row>
    <row r="5510" spans="1:25" s="88" customFormat="1" ht="15.75" hidden="1" customHeight="1" x14ac:dyDescent="0.25">
      <c r="A5510" s="509"/>
      <c r="B5510" s="256"/>
      <c r="C5510" s="228"/>
      <c r="D5510" s="312">
        <v>912</v>
      </c>
      <c r="E5510" s="312"/>
      <c r="F5510" s="312"/>
      <c r="G5510" s="313" t="s">
        <v>215</v>
      </c>
      <c r="H5510" s="594"/>
      <c r="I5510" s="595"/>
      <c r="J5510" s="595"/>
      <c r="K5510" s="533"/>
      <c r="L5510" s="533"/>
      <c r="M5510" s="533"/>
      <c r="N5510" s="533"/>
      <c r="O5510" s="533"/>
      <c r="P5510" s="533"/>
      <c r="Q5510" s="533"/>
      <c r="R5510" s="533"/>
      <c r="S5510" s="533"/>
      <c r="T5510" s="533"/>
      <c r="U5510" s="533"/>
      <c r="V5510" s="533"/>
      <c r="W5510" s="533"/>
      <c r="X5510" s="533"/>
      <c r="Y5510" s="533"/>
    </row>
    <row r="5511" spans="1:25" s="88" customFormat="1" ht="15.75" hidden="1" customHeight="1" x14ac:dyDescent="0.25">
      <c r="A5511" s="509"/>
      <c r="B5511" s="256"/>
      <c r="C5511" s="221"/>
      <c r="D5511" s="218"/>
      <c r="E5511" s="218"/>
      <c r="F5511" s="527">
        <v>411</v>
      </c>
      <c r="G5511" s="520" t="s">
        <v>4189</v>
      </c>
      <c r="H5511" s="594"/>
      <c r="I5511" s="595"/>
      <c r="J5511" s="595">
        <f t="shared" ref="J5511:J5542" si="171">SUM(H5511:I5511)</f>
        <v>0</v>
      </c>
      <c r="K5511" s="533"/>
      <c r="L5511" s="533"/>
      <c r="M5511" s="533"/>
      <c r="N5511" s="533"/>
      <c r="O5511" s="533"/>
      <c r="P5511" s="533"/>
      <c r="Q5511" s="533"/>
      <c r="R5511" s="533"/>
      <c r="S5511" s="533"/>
      <c r="T5511" s="533"/>
      <c r="U5511" s="533"/>
      <c r="V5511" s="533"/>
      <c r="W5511" s="533"/>
      <c r="X5511" s="533"/>
      <c r="Y5511" s="533"/>
    </row>
    <row r="5512" spans="1:25" s="88" customFormat="1" ht="15.75" hidden="1" customHeight="1" x14ac:dyDescent="0.25">
      <c r="A5512" s="509"/>
      <c r="B5512" s="256"/>
      <c r="C5512" s="221"/>
      <c r="D5512" s="218"/>
      <c r="E5512" s="218"/>
      <c r="F5512" s="527">
        <v>412</v>
      </c>
      <c r="G5512" s="516" t="s">
        <v>3784</v>
      </c>
      <c r="H5512" s="594"/>
      <c r="I5512" s="595"/>
      <c r="J5512" s="595">
        <f t="shared" si="171"/>
        <v>0</v>
      </c>
      <c r="K5512" s="533"/>
      <c r="L5512" s="533"/>
      <c r="M5512" s="533"/>
      <c r="N5512" s="533"/>
      <c r="O5512" s="533"/>
      <c r="P5512" s="533"/>
      <c r="Q5512" s="533"/>
      <c r="R5512" s="533"/>
      <c r="S5512" s="533"/>
      <c r="T5512" s="533"/>
      <c r="U5512" s="533"/>
      <c r="V5512" s="533"/>
      <c r="W5512" s="533"/>
      <c r="X5512" s="533"/>
      <c r="Y5512" s="533"/>
    </row>
    <row r="5513" spans="1:25" s="88" customFormat="1" ht="15.75" hidden="1" customHeight="1" x14ac:dyDescent="0.25">
      <c r="A5513" s="509"/>
      <c r="B5513" s="256"/>
      <c r="C5513" s="221"/>
      <c r="D5513" s="218"/>
      <c r="E5513" s="218"/>
      <c r="F5513" s="527">
        <v>413</v>
      </c>
      <c r="G5513" s="520" t="s">
        <v>4190</v>
      </c>
      <c r="H5513" s="594"/>
      <c r="I5513" s="595"/>
      <c r="J5513" s="595">
        <f t="shared" si="171"/>
        <v>0</v>
      </c>
      <c r="K5513" s="533"/>
      <c r="L5513" s="533"/>
      <c r="M5513" s="533"/>
      <c r="N5513" s="533"/>
      <c r="O5513" s="533"/>
      <c r="P5513" s="533"/>
      <c r="Q5513" s="533"/>
      <c r="R5513" s="533"/>
      <c r="S5513" s="533"/>
      <c r="T5513" s="533"/>
      <c r="U5513" s="533"/>
      <c r="V5513" s="533"/>
      <c r="W5513" s="533"/>
      <c r="X5513" s="533"/>
      <c r="Y5513" s="533"/>
    </row>
    <row r="5514" spans="1:25" s="88" customFormat="1" ht="15.75" hidden="1" customHeight="1" x14ac:dyDescent="0.25">
      <c r="A5514" s="509"/>
      <c r="B5514" s="256"/>
      <c r="C5514" s="221"/>
      <c r="D5514" s="218"/>
      <c r="E5514" s="218"/>
      <c r="F5514" s="527">
        <v>414</v>
      </c>
      <c r="G5514" s="520" t="s">
        <v>3787</v>
      </c>
      <c r="H5514" s="594"/>
      <c r="I5514" s="595"/>
      <c r="J5514" s="595">
        <f t="shared" si="171"/>
        <v>0</v>
      </c>
      <c r="K5514" s="533"/>
      <c r="L5514" s="533"/>
      <c r="M5514" s="533"/>
      <c r="N5514" s="533"/>
      <c r="O5514" s="533"/>
      <c r="P5514" s="533"/>
      <c r="Q5514" s="533"/>
      <c r="R5514" s="533"/>
      <c r="S5514" s="533"/>
      <c r="T5514" s="533"/>
      <c r="U5514" s="533"/>
      <c r="V5514" s="533"/>
      <c r="W5514" s="533"/>
      <c r="X5514" s="533"/>
      <c r="Y5514" s="533"/>
    </row>
    <row r="5515" spans="1:25" s="88" customFormat="1" ht="15.75" hidden="1" customHeight="1" x14ac:dyDescent="0.25">
      <c r="A5515" s="509"/>
      <c r="B5515" s="256"/>
      <c r="C5515" s="221"/>
      <c r="D5515" s="218"/>
      <c r="E5515" s="218"/>
      <c r="F5515" s="527">
        <v>415</v>
      </c>
      <c r="G5515" s="520" t="s">
        <v>4199</v>
      </c>
      <c r="H5515" s="594"/>
      <c r="I5515" s="595"/>
      <c r="J5515" s="595">
        <f t="shared" si="171"/>
        <v>0</v>
      </c>
      <c r="K5515" s="533"/>
      <c r="L5515" s="533"/>
      <c r="M5515" s="533"/>
      <c r="N5515" s="533"/>
      <c r="O5515" s="533"/>
      <c r="P5515" s="533"/>
      <c r="Q5515" s="533"/>
      <c r="R5515" s="533"/>
      <c r="S5515" s="533"/>
      <c r="T5515" s="533"/>
      <c r="U5515" s="533"/>
      <c r="V5515" s="533"/>
      <c r="W5515" s="533"/>
      <c r="X5515" s="533"/>
      <c r="Y5515" s="533"/>
    </row>
    <row r="5516" spans="1:25" s="88" customFormat="1" ht="15.75" hidden="1" customHeight="1" x14ac:dyDescent="0.25">
      <c r="A5516" s="509"/>
      <c r="B5516" s="256"/>
      <c r="C5516" s="221"/>
      <c r="D5516" s="218"/>
      <c r="E5516" s="218"/>
      <c r="F5516" s="527">
        <v>416</v>
      </c>
      <c r="G5516" s="520" t="s">
        <v>4200</v>
      </c>
      <c r="H5516" s="594"/>
      <c r="I5516" s="595"/>
      <c r="J5516" s="595">
        <f t="shared" si="171"/>
        <v>0</v>
      </c>
      <c r="K5516" s="533"/>
      <c r="L5516" s="533"/>
      <c r="M5516" s="533"/>
      <c r="N5516" s="533"/>
      <c r="O5516" s="533"/>
      <c r="P5516" s="533"/>
      <c r="Q5516" s="533"/>
      <c r="R5516" s="533"/>
      <c r="S5516" s="533"/>
      <c r="T5516" s="533"/>
      <c r="U5516" s="533"/>
      <c r="V5516" s="533"/>
      <c r="W5516" s="533"/>
      <c r="X5516" s="533"/>
      <c r="Y5516" s="533"/>
    </row>
    <row r="5517" spans="1:25" s="88" customFormat="1" ht="15.75" hidden="1" customHeight="1" x14ac:dyDescent="0.25">
      <c r="A5517" s="509"/>
      <c r="B5517" s="256"/>
      <c r="C5517" s="221"/>
      <c r="D5517" s="218"/>
      <c r="E5517" s="218"/>
      <c r="F5517" s="527">
        <v>417</v>
      </c>
      <c r="G5517" s="520" t="s">
        <v>4201</v>
      </c>
      <c r="H5517" s="594"/>
      <c r="I5517" s="595"/>
      <c r="J5517" s="595">
        <f t="shared" si="171"/>
        <v>0</v>
      </c>
      <c r="K5517" s="533"/>
      <c r="L5517" s="533"/>
      <c r="M5517" s="533"/>
      <c r="N5517" s="533"/>
      <c r="O5517" s="533"/>
      <c r="P5517" s="533"/>
      <c r="Q5517" s="533"/>
      <c r="R5517" s="533"/>
      <c r="S5517" s="533"/>
      <c r="T5517" s="533"/>
      <c r="U5517" s="533"/>
      <c r="V5517" s="533"/>
      <c r="W5517" s="533"/>
      <c r="X5517" s="533"/>
      <c r="Y5517" s="533"/>
    </row>
    <row r="5518" spans="1:25" s="88" customFormat="1" ht="15.75" hidden="1" customHeight="1" x14ac:dyDescent="0.25">
      <c r="A5518" s="509"/>
      <c r="B5518" s="256"/>
      <c r="C5518" s="221"/>
      <c r="D5518" s="218"/>
      <c r="E5518" s="218"/>
      <c r="F5518" s="527">
        <v>418</v>
      </c>
      <c r="G5518" s="520" t="s">
        <v>3793</v>
      </c>
      <c r="H5518" s="594"/>
      <c r="I5518" s="595"/>
      <c r="J5518" s="595">
        <f t="shared" si="171"/>
        <v>0</v>
      </c>
      <c r="K5518" s="533"/>
      <c r="L5518" s="533"/>
      <c r="M5518" s="533"/>
      <c r="N5518" s="533"/>
      <c r="O5518" s="533"/>
      <c r="P5518" s="533"/>
      <c r="Q5518" s="533"/>
      <c r="R5518" s="533"/>
      <c r="S5518" s="533"/>
      <c r="T5518" s="533"/>
      <c r="U5518" s="533"/>
      <c r="V5518" s="533"/>
      <c r="W5518" s="533"/>
      <c r="X5518" s="533"/>
      <c r="Y5518" s="533"/>
    </row>
    <row r="5519" spans="1:25" s="88" customFormat="1" ht="15.75" hidden="1" customHeight="1" x14ac:dyDescent="0.25">
      <c r="A5519" s="509"/>
      <c r="B5519" s="256"/>
      <c r="C5519" s="221"/>
      <c r="D5519" s="218"/>
      <c r="E5519" s="218"/>
      <c r="F5519" s="527">
        <v>421</v>
      </c>
      <c r="G5519" s="520" t="s">
        <v>3797</v>
      </c>
      <c r="H5519" s="594"/>
      <c r="I5519" s="595"/>
      <c r="J5519" s="595">
        <f t="shared" si="171"/>
        <v>0</v>
      </c>
      <c r="K5519" s="533"/>
      <c r="L5519" s="533"/>
      <c r="M5519" s="533"/>
      <c r="N5519" s="533"/>
      <c r="O5519" s="533"/>
      <c r="P5519" s="533"/>
      <c r="Q5519" s="533"/>
      <c r="R5519" s="533"/>
      <c r="S5519" s="533"/>
      <c r="T5519" s="533"/>
      <c r="U5519" s="533"/>
      <c r="V5519" s="533"/>
      <c r="W5519" s="533"/>
      <c r="X5519" s="533"/>
      <c r="Y5519" s="533"/>
    </row>
    <row r="5520" spans="1:25" s="88" customFormat="1" ht="15.75" hidden="1" customHeight="1" x14ac:dyDescent="0.25">
      <c r="A5520" s="509"/>
      <c r="B5520" s="256"/>
      <c r="C5520" s="221"/>
      <c r="D5520" s="218"/>
      <c r="E5520" s="218"/>
      <c r="F5520" s="527">
        <v>422</v>
      </c>
      <c r="G5520" s="520" t="s">
        <v>3798</v>
      </c>
      <c r="H5520" s="594"/>
      <c r="I5520" s="595"/>
      <c r="J5520" s="595">
        <f t="shared" si="171"/>
        <v>0</v>
      </c>
      <c r="K5520" s="533"/>
      <c r="L5520" s="533"/>
      <c r="M5520" s="533"/>
      <c r="N5520" s="533"/>
      <c r="O5520" s="533"/>
      <c r="P5520" s="533"/>
      <c r="Q5520" s="533"/>
      <c r="R5520" s="533"/>
      <c r="S5520" s="533"/>
      <c r="T5520" s="533"/>
      <c r="U5520" s="533"/>
      <c r="V5520" s="533"/>
      <c r="W5520" s="533"/>
      <c r="X5520" s="533"/>
      <c r="Y5520" s="533"/>
    </row>
    <row r="5521" spans="1:25" s="88" customFormat="1" ht="15.75" hidden="1" customHeight="1" x14ac:dyDescent="0.25">
      <c r="A5521" s="509"/>
      <c r="B5521" s="256"/>
      <c r="C5521" s="221"/>
      <c r="D5521" s="218"/>
      <c r="E5521" s="218"/>
      <c r="F5521" s="527">
        <v>423</v>
      </c>
      <c r="G5521" s="520" t="s">
        <v>3799</v>
      </c>
      <c r="H5521" s="594"/>
      <c r="I5521" s="595"/>
      <c r="J5521" s="595">
        <f t="shared" si="171"/>
        <v>0</v>
      </c>
      <c r="K5521" s="533"/>
      <c r="L5521" s="533"/>
      <c r="M5521" s="533"/>
      <c r="N5521" s="533"/>
      <c r="O5521" s="533"/>
      <c r="P5521" s="533"/>
      <c r="Q5521" s="533"/>
      <c r="R5521" s="533"/>
      <c r="S5521" s="533"/>
      <c r="T5521" s="533"/>
      <c r="U5521" s="533"/>
      <c r="V5521" s="533"/>
      <c r="W5521" s="533"/>
      <c r="X5521" s="533"/>
      <c r="Y5521" s="533"/>
    </row>
    <row r="5522" spans="1:25" s="88" customFormat="1" ht="15.75" hidden="1" customHeight="1" x14ac:dyDescent="0.25">
      <c r="A5522" s="509"/>
      <c r="B5522" s="256"/>
      <c r="C5522" s="221"/>
      <c r="D5522" s="218"/>
      <c r="E5522" s="218"/>
      <c r="F5522" s="527">
        <v>424</v>
      </c>
      <c r="G5522" s="520" t="s">
        <v>3801</v>
      </c>
      <c r="H5522" s="594"/>
      <c r="I5522" s="595"/>
      <c r="J5522" s="595">
        <f t="shared" si="171"/>
        <v>0</v>
      </c>
      <c r="K5522" s="533"/>
      <c r="L5522" s="533"/>
      <c r="M5522" s="533"/>
      <c r="N5522" s="533"/>
      <c r="O5522" s="533"/>
      <c r="P5522" s="533"/>
      <c r="Q5522" s="533"/>
      <c r="R5522" s="533"/>
      <c r="S5522" s="533"/>
      <c r="T5522" s="533"/>
      <c r="U5522" s="533"/>
      <c r="V5522" s="533"/>
      <c r="W5522" s="533"/>
      <c r="X5522" s="533"/>
      <c r="Y5522" s="533"/>
    </row>
    <row r="5523" spans="1:25" s="88" customFormat="1" ht="15.75" hidden="1" customHeight="1" x14ac:dyDescent="0.25">
      <c r="A5523" s="509"/>
      <c r="B5523" s="256"/>
      <c r="C5523" s="221"/>
      <c r="D5523" s="218"/>
      <c r="E5523" s="218"/>
      <c r="F5523" s="527">
        <v>425</v>
      </c>
      <c r="G5523" s="520" t="s">
        <v>4202</v>
      </c>
      <c r="H5523" s="594"/>
      <c r="I5523" s="595"/>
      <c r="J5523" s="595">
        <f t="shared" si="171"/>
        <v>0</v>
      </c>
      <c r="K5523" s="533"/>
      <c r="L5523" s="533"/>
      <c r="M5523" s="533"/>
      <c r="N5523" s="533"/>
      <c r="O5523" s="533"/>
      <c r="P5523" s="533"/>
      <c r="Q5523" s="533"/>
      <c r="R5523" s="533"/>
      <c r="S5523" s="533"/>
      <c r="T5523" s="533"/>
      <c r="U5523" s="533"/>
      <c r="V5523" s="533"/>
      <c r="W5523" s="533"/>
      <c r="X5523" s="533"/>
      <c r="Y5523" s="533"/>
    </row>
    <row r="5524" spans="1:25" s="88" customFormat="1" ht="15.75" hidden="1" customHeight="1" x14ac:dyDescent="0.25">
      <c r="A5524" s="509"/>
      <c r="B5524" s="256"/>
      <c r="C5524" s="221"/>
      <c r="D5524" s="218"/>
      <c r="E5524" s="218"/>
      <c r="F5524" s="527">
        <v>426</v>
      </c>
      <c r="G5524" s="520" t="s">
        <v>3805</v>
      </c>
      <c r="H5524" s="594"/>
      <c r="I5524" s="595"/>
      <c r="J5524" s="595">
        <f t="shared" si="171"/>
        <v>0</v>
      </c>
      <c r="K5524" s="533"/>
      <c r="L5524" s="533"/>
      <c r="M5524" s="533"/>
      <c r="N5524" s="533"/>
      <c r="O5524" s="533"/>
      <c r="P5524" s="533"/>
      <c r="Q5524" s="533"/>
      <c r="R5524" s="533"/>
      <c r="S5524" s="533"/>
      <c r="T5524" s="533"/>
      <c r="U5524" s="533"/>
      <c r="V5524" s="533"/>
      <c r="W5524" s="533"/>
      <c r="X5524" s="533"/>
      <c r="Y5524" s="533"/>
    </row>
    <row r="5525" spans="1:25" s="88" customFormat="1" ht="15.75" hidden="1" customHeight="1" x14ac:dyDescent="0.25">
      <c r="A5525" s="509"/>
      <c r="B5525" s="256"/>
      <c r="C5525" s="221"/>
      <c r="D5525" s="218"/>
      <c r="E5525" s="218"/>
      <c r="F5525" s="527">
        <v>431</v>
      </c>
      <c r="G5525" s="520" t="s">
        <v>4203</v>
      </c>
      <c r="H5525" s="594"/>
      <c r="I5525" s="595"/>
      <c r="J5525" s="595">
        <f t="shared" si="171"/>
        <v>0</v>
      </c>
      <c r="K5525" s="533"/>
      <c r="L5525" s="533"/>
      <c r="M5525" s="533"/>
      <c r="N5525" s="533"/>
      <c r="O5525" s="533"/>
      <c r="P5525" s="533"/>
      <c r="Q5525" s="533"/>
      <c r="R5525" s="533"/>
      <c r="S5525" s="533"/>
      <c r="T5525" s="533"/>
      <c r="U5525" s="533"/>
      <c r="V5525" s="533"/>
      <c r="W5525" s="533"/>
      <c r="X5525" s="533"/>
      <c r="Y5525" s="533"/>
    </row>
    <row r="5526" spans="1:25" s="88" customFormat="1" ht="15.75" hidden="1" customHeight="1" x14ac:dyDescent="0.25">
      <c r="A5526" s="509"/>
      <c r="B5526" s="256"/>
      <c r="C5526" s="221"/>
      <c r="D5526" s="218"/>
      <c r="E5526" s="218"/>
      <c r="F5526" s="527">
        <v>432</v>
      </c>
      <c r="G5526" s="520" t="s">
        <v>4204</v>
      </c>
      <c r="H5526" s="594"/>
      <c r="I5526" s="595"/>
      <c r="J5526" s="595">
        <f t="shared" si="171"/>
        <v>0</v>
      </c>
      <c r="K5526" s="533"/>
      <c r="L5526" s="533"/>
      <c r="M5526" s="533"/>
      <c r="N5526" s="533"/>
      <c r="O5526" s="533"/>
      <c r="P5526" s="533"/>
      <c r="Q5526" s="533"/>
      <c r="R5526" s="533"/>
      <c r="S5526" s="533"/>
      <c r="T5526" s="533"/>
      <c r="U5526" s="533"/>
      <c r="V5526" s="533"/>
      <c r="W5526" s="533"/>
      <c r="X5526" s="533"/>
      <c r="Y5526" s="533"/>
    </row>
    <row r="5527" spans="1:25" s="88" customFormat="1" ht="15.75" hidden="1" customHeight="1" x14ac:dyDescent="0.25">
      <c r="A5527" s="509"/>
      <c r="B5527" s="256"/>
      <c r="C5527" s="221"/>
      <c r="D5527" s="218"/>
      <c r="E5527" s="218"/>
      <c r="F5527" s="527">
        <v>433</v>
      </c>
      <c r="G5527" s="520" t="s">
        <v>4205</v>
      </c>
      <c r="H5527" s="594"/>
      <c r="I5527" s="595"/>
      <c r="J5527" s="595">
        <f t="shared" si="171"/>
        <v>0</v>
      </c>
      <c r="K5527" s="533"/>
      <c r="L5527" s="533"/>
      <c r="M5527" s="533"/>
      <c r="N5527" s="533"/>
      <c r="O5527" s="533"/>
      <c r="P5527" s="533"/>
      <c r="Q5527" s="533"/>
      <c r="R5527" s="533"/>
      <c r="S5527" s="533"/>
      <c r="T5527" s="533"/>
      <c r="U5527" s="533"/>
      <c r="V5527" s="533"/>
      <c r="W5527" s="533"/>
      <c r="X5527" s="533"/>
      <c r="Y5527" s="533"/>
    </row>
    <row r="5528" spans="1:25" s="88" customFormat="1" ht="15.75" hidden="1" customHeight="1" x14ac:dyDescent="0.25">
      <c r="A5528" s="509"/>
      <c r="B5528" s="256"/>
      <c r="C5528" s="221"/>
      <c r="D5528" s="218"/>
      <c r="E5528" s="218"/>
      <c r="F5528" s="527">
        <v>434</v>
      </c>
      <c r="G5528" s="520" t="s">
        <v>4206</v>
      </c>
      <c r="H5528" s="594"/>
      <c r="I5528" s="595"/>
      <c r="J5528" s="595">
        <f t="shared" si="171"/>
        <v>0</v>
      </c>
      <c r="K5528" s="533"/>
      <c r="L5528" s="533"/>
      <c r="M5528" s="533"/>
      <c r="N5528" s="533"/>
      <c r="O5528" s="533"/>
      <c r="P5528" s="533"/>
      <c r="Q5528" s="533"/>
      <c r="R5528" s="533"/>
      <c r="S5528" s="533"/>
      <c r="T5528" s="533"/>
      <c r="U5528" s="533"/>
      <c r="V5528" s="533"/>
      <c r="W5528" s="533"/>
      <c r="X5528" s="533"/>
      <c r="Y5528" s="533"/>
    </row>
    <row r="5529" spans="1:25" s="88" customFormat="1" ht="15.75" hidden="1" customHeight="1" x14ac:dyDescent="0.25">
      <c r="A5529" s="509"/>
      <c r="B5529" s="256"/>
      <c r="C5529" s="221"/>
      <c r="D5529" s="218"/>
      <c r="E5529" s="218"/>
      <c r="F5529" s="527">
        <v>435</v>
      </c>
      <c r="G5529" s="520" t="s">
        <v>3812</v>
      </c>
      <c r="H5529" s="594"/>
      <c r="I5529" s="595"/>
      <c r="J5529" s="595">
        <f t="shared" si="171"/>
        <v>0</v>
      </c>
      <c r="K5529" s="533"/>
      <c r="L5529" s="533"/>
      <c r="M5529" s="533"/>
      <c r="N5529" s="533"/>
      <c r="O5529" s="533"/>
      <c r="P5529" s="533"/>
      <c r="Q5529" s="533"/>
      <c r="R5529" s="533"/>
      <c r="S5529" s="533"/>
      <c r="T5529" s="533"/>
      <c r="U5529" s="533"/>
      <c r="V5529" s="533"/>
      <c r="W5529" s="533"/>
      <c r="X5529" s="533"/>
      <c r="Y5529" s="533"/>
    </row>
    <row r="5530" spans="1:25" s="88" customFormat="1" ht="15.75" hidden="1" customHeight="1" x14ac:dyDescent="0.25">
      <c r="A5530" s="509"/>
      <c r="B5530" s="256"/>
      <c r="C5530" s="221"/>
      <c r="D5530" s="218"/>
      <c r="E5530" s="218"/>
      <c r="F5530" s="527">
        <v>441</v>
      </c>
      <c r="G5530" s="520" t="s">
        <v>4207</v>
      </c>
      <c r="H5530" s="594"/>
      <c r="I5530" s="595"/>
      <c r="J5530" s="595">
        <f t="shared" si="171"/>
        <v>0</v>
      </c>
      <c r="K5530" s="533"/>
      <c r="L5530" s="533"/>
      <c r="M5530" s="533"/>
      <c r="N5530" s="533"/>
      <c r="O5530" s="533"/>
      <c r="P5530" s="533"/>
      <c r="Q5530" s="533"/>
      <c r="R5530" s="533"/>
      <c r="S5530" s="533"/>
      <c r="T5530" s="533"/>
      <c r="U5530" s="533"/>
      <c r="V5530" s="533"/>
      <c r="W5530" s="533"/>
      <c r="X5530" s="533"/>
      <c r="Y5530" s="533"/>
    </row>
    <row r="5531" spans="1:25" s="88" customFormat="1" ht="15.75" hidden="1" customHeight="1" x14ac:dyDescent="0.25">
      <c r="A5531" s="509"/>
      <c r="B5531" s="256"/>
      <c r="C5531" s="221"/>
      <c r="D5531" s="218"/>
      <c r="E5531" s="218"/>
      <c r="F5531" s="527">
        <v>442</v>
      </c>
      <c r="G5531" s="520" t="s">
        <v>4208</v>
      </c>
      <c r="H5531" s="594"/>
      <c r="I5531" s="595"/>
      <c r="J5531" s="595">
        <f t="shared" si="171"/>
        <v>0</v>
      </c>
      <c r="K5531" s="533"/>
      <c r="L5531" s="533"/>
      <c r="M5531" s="533"/>
      <c r="N5531" s="533"/>
      <c r="O5531" s="533"/>
      <c r="P5531" s="533"/>
      <c r="Q5531" s="533"/>
      <c r="R5531" s="533"/>
      <c r="S5531" s="533"/>
      <c r="T5531" s="533"/>
      <c r="U5531" s="533"/>
      <c r="V5531" s="533"/>
      <c r="W5531" s="533"/>
      <c r="X5531" s="533"/>
      <c r="Y5531" s="533"/>
    </row>
    <row r="5532" spans="1:25" s="88" customFormat="1" ht="15.75" hidden="1" customHeight="1" x14ac:dyDescent="0.25">
      <c r="A5532" s="509"/>
      <c r="B5532" s="256"/>
      <c r="C5532" s="221"/>
      <c r="D5532" s="218"/>
      <c r="E5532" s="218"/>
      <c r="F5532" s="527">
        <v>443</v>
      </c>
      <c r="G5532" s="520" t="s">
        <v>3817</v>
      </c>
      <c r="H5532" s="594"/>
      <c r="I5532" s="595"/>
      <c r="J5532" s="595">
        <f t="shared" si="171"/>
        <v>0</v>
      </c>
      <c r="K5532" s="533"/>
      <c r="L5532" s="533"/>
      <c r="M5532" s="533"/>
      <c r="N5532" s="533"/>
      <c r="O5532" s="533"/>
      <c r="P5532" s="533"/>
      <c r="Q5532" s="533"/>
      <c r="R5532" s="533"/>
      <c r="S5532" s="533"/>
      <c r="T5532" s="533"/>
      <c r="U5532" s="533"/>
      <c r="V5532" s="533"/>
      <c r="W5532" s="533"/>
      <c r="X5532" s="533"/>
      <c r="Y5532" s="533"/>
    </row>
    <row r="5533" spans="1:25" s="88" customFormat="1" ht="15.75" hidden="1" customHeight="1" x14ac:dyDescent="0.25">
      <c r="A5533" s="509"/>
      <c r="B5533" s="256"/>
      <c r="C5533" s="221"/>
      <c r="D5533" s="218"/>
      <c r="E5533" s="218"/>
      <c r="F5533" s="527">
        <v>444</v>
      </c>
      <c r="G5533" s="520" t="s">
        <v>3818</v>
      </c>
      <c r="H5533" s="594"/>
      <c r="I5533" s="595"/>
      <c r="J5533" s="595">
        <f t="shared" si="171"/>
        <v>0</v>
      </c>
      <c r="K5533" s="533"/>
      <c r="L5533" s="533"/>
      <c r="M5533" s="533"/>
      <c r="N5533" s="533"/>
      <c r="O5533" s="533"/>
      <c r="P5533" s="533"/>
      <c r="Q5533" s="533"/>
      <c r="R5533" s="533"/>
      <c r="S5533" s="533"/>
      <c r="T5533" s="533"/>
      <c r="U5533" s="533"/>
      <c r="V5533" s="533"/>
      <c r="W5533" s="533"/>
      <c r="X5533" s="533"/>
      <c r="Y5533" s="533"/>
    </row>
    <row r="5534" spans="1:25" s="88" customFormat="1" ht="15.75" hidden="1" customHeight="1" x14ac:dyDescent="0.25">
      <c r="A5534" s="509"/>
      <c r="B5534" s="256"/>
      <c r="C5534" s="221"/>
      <c r="D5534" s="218"/>
      <c r="E5534" s="218"/>
      <c r="F5534" s="527">
        <v>4511</v>
      </c>
      <c r="G5534" s="223" t="s">
        <v>1692</v>
      </c>
      <c r="H5534" s="594"/>
      <c r="I5534" s="595"/>
      <c r="J5534" s="595">
        <f t="shared" si="171"/>
        <v>0</v>
      </c>
      <c r="K5534" s="533"/>
      <c r="L5534" s="533"/>
      <c r="M5534" s="533"/>
      <c r="N5534" s="533"/>
      <c r="O5534" s="533"/>
      <c r="P5534" s="533"/>
      <c r="Q5534" s="533"/>
      <c r="R5534" s="533"/>
      <c r="S5534" s="533"/>
      <c r="T5534" s="533"/>
      <c r="U5534" s="533"/>
      <c r="V5534" s="533"/>
      <c r="W5534" s="533"/>
      <c r="X5534" s="533"/>
      <c r="Y5534" s="533"/>
    </row>
    <row r="5535" spans="1:25" s="88" customFormat="1" ht="15.75" hidden="1" customHeight="1" x14ac:dyDescent="0.25">
      <c r="A5535" s="509"/>
      <c r="B5535" s="256"/>
      <c r="C5535" s="221"/>
      <c r="D5535" s="218"/>
      <c r="E5535" s="218"/>
      <c r="F5535" s="527">
        <v>4512</v>
      </c>
      <c r="G5535" s="223" t="s">
        <v>1701</v>
      </c>
      <c r="H5535" s="594"/>
      <c r="I5535" s="595"/>
      <c r="J5535" s="595">
        <f t="shared" si="171"/>
        <v>0</v>
      </c>
      <c r="K5535" s="533"/>
      <c r="L5535" s="533"/>
      <c r="M5535" s="533"/>
      <c r="N5535" s="533"/>
      <c r="O5535" s="533"/>
      <c r="P5535" s="533"/>
      <c r="Q5535" s="533"/>
      <c r="R5535" s="533"/>
      <c r="S5535" s="533"/>
      <c r="T5535" s="533"/>
      <c r="U5535" s="533"/>
      <c r="V5535" s="533"/>
      <c r="W5535" s="533"/>
      <c r="X5535" s="533"/>
      <c r="Y5535" s="533"/>
    </row>
    <row r="5536" spans="1:25" s="88" customFormat="1" ht="15.75" hidden="1" customHeight="1" x14ac:dyDescent="0.25">
      <c r="A5536" s="509"/>
      <c r="B5536" s="256"/>
      <c r="C5536" s="221"/>
      <c r="D5536" s="218"/>
      <c r="E5536" s="218"/>
      <c r="F5536" s="527">
        <v>452</v>
      </c>
      <c r="G5536" s="520" t="s">
        <v>4209</v>
      </c>
      <c r="H5536" s="594"/>
      <c r="I5536" s="595"/>
      <c r="J5536" s="595">
        <f t="shared" si="171"/>
        <v>0</v>
      </c>
      <c r="K5536" s="533"/>
      <c r="L5536" s="533"/>
      <c r="M5536" s="533"/>
      <c r="N5536" s="533"/>
      <c r="O5536" s="533"/>
      <c r="P5536" s="533"/>
      <c r="Q5536" s="533"/>
      <c r="R5536" s="533"/>
      <c r="S5536" s="533"/>
      <c r="T5536" s="533"/>
      <c r="U5536" s="533"/>
      <c r="V5536" s="533"/>
      <c r="W5536" s="533"/>
      <c r="X5536" s="533"/>
      <c r="Y5536" s="533"/>
    </row>
    <row r="5537" spans="1:25" s="88" customFormat="1" ht="15.75" hidden="1" customHeight="1" x14ac:dyDescent="0.25">
      <c r="A5537" s="509"/>
      <c r="B5537" s="256"/>
      <c r="C5537" s="221"/>
      <c r="D5537" s="218"/>
      <c r="E5537" s="218"/>
      <c r="F5537" s="527">
        <v>453</v>
      </c>
      <c r="G5537" s="520" t="s">
        <v>4210</v>
      </c>
      <c r="H5537" s="594"/>
      <c r="I5537" s="595"/>
      <c r="J5537" s="595">
        <f t="shared" si="171"/>
        <v>0</v>
      </c>
      <c r="K5537" s="533"/>
      <c r="L5537" s="533"/>
      <c r="M5537" s="533"/>
      <c r="N5537" s="533"/>
      <c r="O5537" s="533"/>
      <c r="P5537" s="533"/>
      <c r="Q5537" s="533"/>
      <c r="R5537" s="533"/>
      <c r="S5537" s="533"/>
      <c r="T5537" s="533"/>
      <c r="U5537" s="533"/>
      <c r="V5537" s="533"/>
      <c r="W5537" s="533"/>
      <c r="X5537" s="533"/>
      <c r="Y5537" s="533"/>
    </row>
    <row r="5538" spans="1:25" s="88" customFormat="1" ht="15.75" hidden="1" customHeight="1" x14ac:dyDescent="0.25">
      <c r="A5538" s="509"/>
      <c r="B5538" s="256"/>
      <c r="C5538" s="221"/>
      <c r="D5538" s="218"/>
      <c r="E5538" s="218"/>
      <c r="F5538" s="527">
        <v>454</v>
      </c>
      <c r="G5538" s="520" t="s">
        <v>3823</v>
      </c>
      <c r="H5538" s="594"/>
      <c r="I5538" s="595"/>
      <c r="J5538" s="595">
        <f t="shared" si="171"/>
        <v>0</v>
      </c>
      <c r="K5538" s="533"/>
      <c r="L5538" s="533"/>
      <c r="M5538" s="533"/>
      <c r="N5538" s="533"/>
      <c r="O5538" s="533"/>
      <c r="P5538" s="533"/>
      <c r="Q5538" s="533"/>
      <c r="R5538" s="533"/>
      <c r="S5538" s="533"/>
      <c r="T5538" s="533"/>
      <c r="U5538" s="533"/>
      <c r="V5538" s="533"/>
      <c r="W5538" s="533"/>
      <c r="X5538" s="533"/>
      <c r="Y5538" s="533"/>
    </row>
    <row r="5539" spans="1:25" s="88" customFormat="1" ht="15.75" hidden="1" customHeight="1" x14ac:dyDescent="0.25">
      <c r="A5539" s="509"/>
      <c r="B5539" s="256"/>
      <c r="C5539" s="221"/>
      <c r="D5539" s="218"/>
      <c r="E5539" s="218"/>
      <c r="F5539" s="527">
        <v>461</v>
      </c>
      <c r="G5539" s="520" t="s">
        <v>4191</v>
      </c>
      <c r="H5539" s="594"/>
      <c r="I5539" s="595"/>
      <c r="J5539" s="595">
        <f t="shared" si="171"/>
        <v>0</v>
      </c>
      <c r="K5539" s="533"/>
      <c r="L5539" s="533"/>
      <c r="M5539" s="533"/>
      <c r="N5539" s="533"/>
      <c r="O5539" s="533"/>
      <c r="P5539" s="533"/>
      <c r="Q5539" s="533"/>
      <c r="R5539" s="533"/>
      <c r="S5539" s="533"/>
      <c r="T5539" s="533"/>
      <c r="U5539" s="533"/>
      <c r="V5539" s="533"/>
      <c r="W5539" s="533"/>
      <c r="X5539" s="533"/>
      <c r="Y5539" s="533"/>
    </row>
    <row r="5540" spans="1:25" s="88" customFormat="1" ht="15.75" hidden="1" customHeight="1" x14ac:dyDescent="0.25">
      <c r="A5540" s="509"/>
      <c r="B5540" s="256"/>
      <c r="C5540" s="221"/>
      <c r="D5540" s="218"/>
      <c r="E5540" s="218"/>
      <c r="F5540" s="527">
        <v>462</v>
      </c>
      <c r="G5540" s="520" t="s">
        <v>3826</v>
      </c>
      <c r="H5540" s="594"/>
      <c r="I5540" s="595"/>
      <c r="J5540" s="595">
        <f t="shared" si="171"/>
        <v>0</v>
      </c>
      <c r="K5540" s="533"/>
      <c r="L5540" s="533"/>
      <c r="M5540" s="533"/>
      <c r="N5540" s="533"/>
      <c r="O5540" s="533"/>
      <c r="P5540" s="533"/>
      <c r="Q5540" s="533"/>
      <c r="R5540" s="533"/>
      <c r="S5540" s="533"/>
      <c r="T5540" s="533"/>
      <c r="U5540" s="533"/>
      <c r="V5540" s="533"/>
      <c r="W5540" s="533"/>
      <c r="X5540" s="533"/>
      <c r="Y5540" s="533"/>
    </row>
    <row r="5541" spans="1:25" s="88" customFormat="1" ht="15.75" hidden="1" customHeight="1" x14ac:dyDescent="0.25">
      <c r="A5541" s="509"/>
      <c r="B5541" s="256"/>
      <c r="C5541" s="221"/>
      <c r="D5541" s="218"/>
      <c r="E5541" s="218"/>
      <c r="F5541" s="527">
        <v>4631</v>
      </c>
      <c r="G5541" s="520" t="s">
        <v>3827</v>
      </c>
      <c r="H5541" s="594"/>
      <c r="I5541" s="595"/>
      <c r="J5541" s="595">
        <f t="shared" si="171"/>
        <v>0</v>
      </c>
      <c r="K5541" s="533"/>
      <c r="L5541" s="533"/>
      <c r="M5541" s="533"/>
      <c r="N5541" s="533"/>
      <c r="O5541" s="533"/>
      <c r="P5541" s="533"/>
      <c r="Q5541" s="533"/>
      <c r="R5541" s="533"/>
      <c r="S5541" s="533"/>
      <c r="T5541" s="533"/>
      <c r="U5541" s="533"/>
      <c r="V5541" s="533"/>
      <c r="W5541" s="533"/>
      <c r="X5541" s="533"/>
      <c r="Y5541" s="533"/>
    </row>
    <row r="5542" spans="1:25" s="88" customFormat="1" ht="15.75" hidden="1" customHeight="1" x14ac:dyDescent="0.25">
      <c r="A5542" s="509"/>
      <c r="B5542" s="256"/>
      <c r="C5542" s="221"/>
      <c r="D5542" s="218"/>
      <c r="E5542" s="218"/>
      <c r="F5542" s="527">
        <v>4632</v>
      </c>
      <c r="G5542" s="520" t="s">
        <v>3828</v>
      </c>
      <c r="H5542" s="594"/>
      <c r="I5542" s="595"/>
      <c r="J5542" s="595">
        <f t="shared" si="171"/>
        <v>0</v>
      </c>
      <c r="K5542" s="533"/>
      <c r="L5542" s="533"/>
      <c r="M5542" s="533"/>
      <c r="N5542" s="533"/>
      <c r="O5542" s="533"/>
      <c r="P5542" s="533"/>
      <c r="Q5542" s="533"/>
      <c r="R5542" s="533"/>
      <c r="S5542" s="533"/>
      <c r="T5542" s="533"/>
      <c r="U5542" s="533"/>
      <c r="V5542" s="533"/>
      <c r="W5542" s="533"/>
      <c r="X5542" s="533"/>
      <c r="Y5542" s="533"/>
    </row>
    <row r="5543" spans="1:25" s="88" customFormat="1" ht="15.75" hidden="1" customHeight="1" x14ac:dyDescent="0.25">
      <c r="A5543" s="509"/>
      <c r="B5543" s="256"/>
      <c r="C5543" s="221"/>
      <c r="D5543" s="218"/>
      <c r="E5543" s="218"/>
      <c r="F5543" s="527">
        <v>464</v>
      </c>
      <c r="G5543" s="520" t="s">
        <v>3829</v>
      </c>
      <c r="H5543" s="594"/>
      <c r="I5543" s="595"/>
      <c r="J5543" s="595">
        <f t="shared" ref="J5543:J5570" si="172">SUM(H5543:I5543)</f>
        <v>0</v>
      </c>
      <c r="K5543" s="533"/>
      <c r="L5543" s="533"/>
      <c r="M5543" s="533"/>
      <c r="N5543" s="533"/>
      <c r="O5543" s="533"/>
      <c r="P5543" s="533"/>
      <c r="Q5543" s="533"/>
      <c r="R5543" s="533"/>
      <c r="S5543" s="533"/>
      <c r="T5543" s="533"/>
      <c r="U5543" s="533"/>
      <c r="V5543" s="533"/>
      <c r="W5543" s="533"/>
      <c r="X5543" s="533"/>
      <c r="Y5543" s="533"/>
    </row>
    <row r="5544" spans="1:25" s="88" customFormat="1" ht="15.75" hidden="1" customHeight="1" x14ac:dyDescent="0.25">
      <c r="A5544" s="509"/>
      <c r="B5544" s="256"/>
      <c r="C5544" s="221"/>
      <c r="D5544" s="218"/>
      <c r="E5544" s="218"/>
      <c r="F5544" s="527">
        <v>465</v>
      </c>
      <c r="G5544" s="520" t="s">
        <v>4192</v>
      </c>
      <c r="H5544" s="594"/>
      <c r="I5544" s="595"/>
      <c r="J5544" s="595">
        <f t="shared" si="172"/>
        <v>0</v>
      </c>
      <c r="K5544" s="533"/>
      <c r="L5544" s="533"/>
      <c r="M5544" s="533"/>
      <c r="N5544" s="533"/>
      <c r="O5544" s="533"/>
      <c r="P5544" s="533"/>
      <c r="Q5544" s="533"/>
      <c r="R5544" s="533"/>
      <c r="S5544" s="533"/>
      <c r="T5544" s="533"/>
      <c r="U5544" s="533"/>
      <c r="V5544" s="533"/>
      <c r="W5544" s="533"/>
      <c r="X5544" s="533"/>
      <c r="Y5544" s="533"/>
    </row>
    <row r="5545" spans="1:25" s="88" customFormat="1" ht="15.75" hidden="1" customHeight="1" x14ac:dyDescent="0.25">
      <c r="A5545" s="509"/>
      <c r="B5545" s="256"/>
      <c r="C5545" s="221"/>
      <c r="D5545" s="218"/>
      <c r="E5545" s="218"/>
      <c r="F5545" s="527">
        <v>472</v>
      </c>
      <c r="G5545" s="520" t="s">
        <v>3833</v>
      </c>
      <c r="H5545" s="594"/>
      <c r="I5545" s="595"/>
      <c r="J5545" s="595">
        <f t="shared" si="172"/>
        <v>0</v>
      </c>
      <c r="K5545" s="533"/>
      <c r="L5545" s="533"/>
      <c r="M5545" s="533"/>
      <c r="N5545" s="533"/>
      <c r="O5545" s="533"/>
      <c r="P5545" s="533"/>
      <c r="Q5545" s="533"/>
      <c r="R5545" s="533"/>
      <c r="S5545" s="533"/>
      <c r="T5545" s="533"/>
      <c r="U5545" s="533"/>
      <c r="V5545" s="533"/>
      <c r="W5545" s="533"/>
      <c r="X5545" s="533"/>
      <c r="Y5545" s="533"/>
    </row>
    <row r="5546" spans="1:25" s="88" customFormat="1" ht="15.75" hidden="1" customHeight="1" x14ac:dyDescent="0.25">
      <c r="A5546" s="509"/>
      <c r="B5546" s="256"/>
      <c r="C5546" s="221"/>
      <c r="D5546" s="218"/>
      <c r="E5546" s="218"/>
      <c r="F5546" s="527">
        <v>481</v>
      </c>
      <c r="G5546" s="520" t="s">
        <v>4211</v>
      </c>
      <c r="H5546" s="594"/>
      <c r="I5546" s="595"/>
      <c r="J5546" s="595">
        <f t="shared" si="172"/>
        <v>0</v>
      </c>
      <c r="K5546" s="533"/>
      <c r="L5546" s="533"/>
      <c r="M5546" s="533"/>
      <c r="N5546" s="533"/>
      <c r="O5546" s="533"/>
      <c r="P5546" s="533"/>
      <c r="Q5546" s="533"/>
      <c r="R5546" s="533"/>
      <c r="S5546" s="533"/>
      <c r="T5546" s="533"/>
      <c r="U5546" s="533"/>
      <c r="V5546" s="533"/>
      <c r="W5546" s="533"/>
      <c r="X5546" s="533"/>
      <c r="Y5546" s="533"/>
    </row>
    <row r="5547" spans="1:25" s="88" customFormat="1" ht="15.75" hidden="1" customHeight="1" x14ac:dyDescent="0.25">
      <c r="A5547" s="509"/>
      <c r="B5547" s="256"/>
      <c r="C5547" s="221"/>
      <c r="D5547" s="218"/>
      <c r="E5547" s="218"/>
      <c r="F5547" s="527">
        <v>482</v>
      </c>
      <c r="G5547" s="520" t="s">
        <v>4212</v>
      </c>
      <c r="H5547" s="594"/>
      <c r="I5547" s="595"/>
      <c r="J5547" s="595">
        <f t="shared" si="172"/>
        <v>0</v>
      </c>
      <c r="K5547" s="533"/>
      <c r="L5547" s="533"/>
      <c r="M5547" s="533"/>
      <c r="N5547" s="533"/>
      <c r="O5547" s="533"/>
      <c r="P5547" s="533"/>
      <c r="Q5547" s="533"/>
      <c r="R5547" s="533"/>
      <c r="S5547" s="533"/>
      <c r="T5547" s="533"/>
      <c r="U5547" s="533"/>
      <c r="V5547" s="533"/>
      <c r="W5547" s="533"/>
      <c r="X5547" s="533"/>
      <c r="Y5547" s="533"/>
    </row>
    <row r="5548" spans="1:25" s="88" customFormat="1" ht="15.75" hidden="1" customHeight="1" x14ac:dyDescent="0.25">
      <c r="A5548" s="509"/>
      <c r="B5548" s="256"/>
      <c r="C5548" s="221"/>
      <c r="D5548" s="218"/>
      <c r="E5548" s="218"/>
      <c r="F5548" s="527">
        <v>483</v>
      </c>
      <c r="G5548" s="524" t="s">
        <v>4213</v>
      </c>
      <c r="H5548" s="594"/>
      <c r="I5548" s="595"/>
      <c r="J5548" s="595">
        <f t="shared" si="172"/>
        <v>0</v>
      </c>
      <c r="K5548" s="533"/>
      <c r="L5548" s="533"/>
      <c r="M5548" s="533"/>
      <c r="N5548" s="533"/>
      <c r="O5548" s="533"/>
      <c r="P5548" s="533"/>
      <c r="Q5548" s="533"/>
      <c r="R5548" s="533"/>
      <c r="S5548" s="533"/>
      <c r="T5548" s="533"/>
      <c r="U5548" s="533"/>
      <c r="V5548" s="533"/>
      <c r="W5548" s="533"/>
      <c r="X5548" s="533"/>
      <c r="Y5548" s="533"/>
    </row>
    <row r="5549" spans="1:25" s="88" customFormat="1" ht="15.75" hidden="1" customHeight="1" x14ac:dyDescent="0.25">
      <c r="A5549" s="509"/>
      <c r="B5549" s="256"/>
      <c r="C5549" s="221"/>
      <c r="D5549" s="218"/>
      <c r="E5549" s="218"/>
      <c r="F5549" s="527">
        <v>484</v>
      </c>
      <c r="G5549" s="520" t="s">
        <v>4214</v>
      </c>
      <c r="H5549" s="594"/>
      <c r="I5549" s="595"/>
      <c r="J5549" s="595">
        <f t="shared" si="172"/>
        <v>0</v>
      </c>
      <c r="K5549" s="533"/>
      <c r="L5549" s="533"/>
      <c r="M5549" s="533"/>
      <c r="N5549" s="533"/>
      <c r="O5549" s="533"/>
      <c r="P5549" s="533"/>
      <c r="Q5549" s="533"/>
      <c r="R5549" s="533"/>
      <c r="S5549" s="533"/>
      <c r="T5549" s="533"/>
      <c r="U5549" s="533"/>
      <c r="V5549" s="533"/>
      <c r="W5549" s="533"/>
      <c r="X5549" s="533"/>
      <c r="Y5549" s="533"/>
    </row>
    <row r="5550" spans="1:25" s="88" customFormat="1" ht="15.75" hidden="1" customHeight="1" x14ac:dyDescent="0.25">
      <c r="A5550" s="509"/>
      <c r="B5550" s="256"/>
      <c r="C5550" s="221"/>
      <c r="D5550" s="218"/>
      <c r="E5550" s="218"/>
      <c r="F5550" s="527">
        <v>485</v>
      </c>
      <c r="G5550" s="520" t="s">
        <v>4215</v>
      </c>
      <c r="H5550" s="594"/>
      <c r="I5550" s="595"/>
      <c r="J5550" s="595">
        <f t="shared" si="172"/>
        <v>0</v>
      </c>
      <c r="K5550" s="533"/>
      <c r="L5550" s="533"/>
      <c r="M5550" s="533"/>
      <c r="N5550" s="533"/>
      <c r="O5550" s="533"/>
      <c r="P5550" s="533"/>
      <c r="Q5550" s="533"/>
      <c r="R5550" s="533"/>
      <c r="S5550" s="533"/>
      <c r="T5550" s="533"/>
      <c r="U5550" s="533"/>
      <c r="V5550" s="533"/>
      <c r="W5550" s="533"/>
      <c r="X5550" s="533"/>
      <c r="Y5550" s="533"/>
    </row>
    <row r="5551" spans="1:25" s="88" customFormat="1" ht="15.75" hidden="1" customHeight="1" x14ac:dyDescent="0.25">
      <c r="A5551" s="509"/>
      <c r="B5551" s="256"/>
      <c r="C5551" s="221"/>
      <c r="D5551" s="218"/>
      <c r="E5551" s="218"/>
      <c r="F5551" s="527">
        <v>489</v>
      </c>
      <c r="G5551" s="520" t="s">
        <v>3841</v>
      </c>
      <c r="H5551" s="594"/>
      <c r="I5551" s="595"/>
      <c r="J5551" s="595">
        <f t="shared" si="172"/>
        <v>0</v>
      </c>
      <c r="K5551" s="533"/>
      <c r="L5551" s="533"/>
      <c r="M5551" s="533"/>
      <c r="N5551" s="533"/>
      <c r="O5551" s="533"/>
      <c r="P5551" s="533"/>
      <c r="Q5551" s="533"/>
      <c r="R5551" s="533"/>
      <c r="S5551" s="533"/>
      <c r="T5551" s="533"/>
      <c r="U5551" s="533"/>
      <c r="V5551" s="533"/>
      <c r="W5551" s="533"/>
      <c r="X5551" s="533"/>
      <c r="Y5551" s="533"/>
    </row>
    <row r="5552" spans="1:25" s="88" customFormat="1" ht="15.75" hidden="1" customHeight="1" x14ac:dyDescent="0.25">
      <c r="A5552" s="509"/>
      <c r="B5552" s="256"/>
      <c r="C5552" s="221"/>
      <c r="D5552" s="218"/>
      <c r="E5552" s="218"/>
      <c r="F5552" s="527">
        <v>494</v>
      </c>
      <c r="G5552" s="520" t="s">
        <v>4193</v>
      </c>
      <c r="H5552" s="594"/>
      <c r="I5552" s="595"/>
      <c r="J5552" s="595">
        <f t="shared" si="172"/>
        <v>0</v>
      </c>
      <c r="K5552" s="533"/>
      <c r="L5552" s="533"/>
      <c r="M5552" s="533"/>
      <c r="N5552" s="533"/>
      <c r="O5552" s="533"/>
      <c r="P5552" s="533"/>
      <c r="Q5552" s="533"/>
      <c r="R5552" s="533"/>
      <c r="S5552" s="533"/>
      <c r="T5552" s="533"/>
      <c r="U5552" s="533"/>
      <c r="V5552" s="533"/>
      <c r="W5552" s="533"/>
      <c r="X5552" s="533"/>
      <c r="Y5552" s="533"/>
    </row>
    <row r="5553" spans="1:25" s="88" customFormat="1" ht="15.75" hidden="1" customHeight="1" x14ac:dyDescent="0.25">
      <c r="A5553" s="509"/>
      <c r="B5553" s="256"/>
      <c r="C5553" s="221"/>
      <c r="D5553" s="218"/>
      <c r="E5553" s="218"/>
      <c r="F5553" s="527">
        <v>495</v>
      </c>
      <c r="G5553" s="520" t="s">
        <v>4194</v>
      </c>
      <c r="H5553" s="594"/>
      <c r="I5553" s="595"/>
      <c r="J5553" s="595">
        <f t="shared" si="172"/>
        <v>0</v>
      </c>
      <c r="K5553" s="533"/>
      <c r="L5553" s="533"/>
      <c r="M5553" s="533"/>
      <c r="N5553" s="533"/>
      <c r="O5553" s="533"/>
      <c r="P5553" s="533"/>
      <c r="Q5553" s="533"/>
      <c r="R5553" s="533"/>
      <c r="S5553" s="533"/>
      <c r="T5553" s="533"/>
      <c r="U5553" s="533"/>
      <c r="V5553" s="533"/>
      <c r="W5553" s="533"/>
      <c r="X5553" s="533"/>
      <c r="Y5553" s="533"/>
    </row>
    <row r="5554" spans="1:25" s="88" customFormat="1" ht="15.75" hidden="1" customHeight="1" x14ac:dyDescent="0.25">
      <c r="A5554" s="509"/>
      <c r="B5554" s="256"/>
      <c r="C5554" s="221"/>
      <c r="D5554" s="218"/>
      <c r="E5554" s="218"/>
      <c r="F5554" s="527">
        <v>496</v>
      </c>
      <c r="G5554" s="520" t="s">
        <v>4195</v>
      </c>
      <c r="H5554" s="594"/>
      <c r="I5554" s="595"/>
      <c r="J5554" s="595">
        <f t="shared" si="172"/>
        <v>0</v>
      </c>
      <c r="K5554" s="533"/>
      <c r="L5554" s="533"/>
      <c r="M5554" s="533"/>
      <c r="N5554" s="533"/>
      <c r="O5554" s="533"/>
      <c r="P5554" s="533"/>
      <c r="Q5554" s="533"/>
      <c r="R5554" s="533"/>
      <c r="S5554" s="533"/>
      <c r="T5554" s="533"/>
      <c r="U5554" s="533"/>
      <c r="V5554" s="533"/>
      <c r="W5554" s="533"/>
      <c r="X5554" s="533"/>
      <c r="Y5554" s="533"/>
    </row>
    <row r="5555" spans="1:25" s="88" customFormat="1" ht="15.75" hidden="1" customHeight="1" x14ac:dyDescent="0.25">
      <c r="A5555" s="509"/>
      <c r="B5555" s="256"/>
      <c r="C5555" s="221"/>
      <c r="D5555" s="218"/>
      <c r="E5555" s="218"/>
      <c r="F5555" s="527">
        <v>499</v>
      </c>
      <c r="G5555" s="520" t="s">
        <v>4196</v>
      </c>
      <c r="H5555" s="594"/>
      <c r="I5555" s="595"/>
      <c r="J5555" s="595">
        <f t="shared" si="172"/>
        <v>0</v>
      </c>
      <c r="K5555" s="533"/>
      <c r="L5555" s="533"/>
      <c r="M5555" s="533"/>
      <c r="N5555" s="533"/>
      <c r="O5555" s="533"/>
      <c r="P5555" s="533"/>
      <c r="Q5555" s="533"/>
      <c r="R5555" s="533"/>
      <c r="S5555" s="533"/>
      <c r="T5555" s="533"/>
      <c r="U5555" s="533"/>
      <c r="V5555" s="533"/>
      <c r="W5555" s="533"/>
      <c r="X5555" s="533"/>
      <c r="Y5555" s="533"/>
    </row>
    <row r="5556" spans="1:25" s="88" customFormat="1" ht="15.75" hidden="1" customHeight="1" x14ac:dyDescent="0.25">
      <c r="A5556" s="509"/>
      <c r="B5556" s="256"/>
      <c r="C5556" s="221"/>
      <c r="D5556" s="218"/>
      <c r="E5556" s="218"/>
      <c r="F5556" s="527">
        <v>511</v>
      </c>
      <c r="G5556" s="524" t="s">
        <v>4216</v>
      </c>
      <c r="H5556" s="594"/>
      <c r="I5556" s="595"/>
      <c r="J5556" s="595">
        <f t="shared" si="172"/>
        <v>0</v>
      </c>
      <c r="K5556" s="533"/>
      <c r="L5556" s="533"/>
      <c r="M5556" s="533"/>
      <c r="N5556" s="533"/>
      <c r="O5556" s="533"/>
      <c r="P5556" s="533"/>
      <c r="Q5556" s="533"/>
      <c r="R5556" s="533"/>
      <c r="S5556" s="533"/>
      <c r="T5556" s="533"/>
      <c r="U5556" s="533"/>
      <c r="V5556" s="533"/>
      <c r="W5556" s="533"/>
      <c r="X5556" s="533"/>
      <c r="Y5556" s="533"/>
    </row>
    <row r="5557" spans="1:25" s="88" customFormat="1" ht="15.75" hidden="1" customHeight="1" x14ac:dyDescent="0.25">
      <c r="A5557" s="509"/>
      <c r="B5557" s="256"/>
      <c r="C5557" s="221"/>
      <c r="D5557" s="218"/>
      <c r="E5557" s="218"/>
      <c r="F5557" s="527">
        <v>512</v>
      </c>
      <c r="G5557" s="524" t="s">
        <v>4217</v>
      </c>
      <c r="H5557" s="594"/>
      <c r="I5557" s="595"/>
      <c r="J5557" s="595">
        <f t="shared" si="172"/>
        <v>0</v>
      </c>
      <c r="K5557" s="533"/>
      <c r="L5557" s="533"/>
      <c r="M5557" s="533"/>
      <c r="N5557" s="533"/>
      <c r="O5557" s="533"/>
      <c r="P5557" s="533"/>
      <c r="Q5557" s="533"/>
      <c r="R5557" s="533"/>
      <c r="S5557" s="533"/>
      <c r="T5557" s="533"/>
      <c r="U5557" s="533"/>
      <c r="V5557" s="533"/>
      <c r="W5557" s="533"/>
      <c r="X5557" s="533"/>
      <c r="Y5557" s="533"/>
    </row>
    <row r="5558" spans="1:25" s="88" customFormat="1" ht="15.75" hidden="1" customHeight="1" x14ac:dyDescent="0.25">
      <c r="A5558" s="509"/>
      <c r="B5558" s="256"/>
      <c r="C5558" s="221"/>
      <c r="D5558" s="218"/>
      <c r="E5558" s="218"/>
      <c r="F5558" s="527">
        <v>513</v>
      </c>
      <c r="G5558" s="524" t="s">
        <v>4218</v>
      </c>
      <c r="H5558" s="594"/>
      <c r="I5558" s="595"/>
      <c r="J5558" s="595">
        <f t="shared" si="172"/>
        <v>0</v>
      </c>
      <c r="K5558" s="533"/>
      <c r="L5558" s="533"/>
      <c r="M5558" s="533"/>
      <c r="N5558" s="533"/>
      <c r="O5558" s="533"/>
      <c r="P5558" s="533"/>
      <c r="Q5558" s="533"/>
      <c r="R5558" s="533"/>
      <c r="S5558" s="533"/>
      <c r="T5558" s="533"/>
      <c r="U5558" s="533"/>
      <c r="V5558" s="533"/>
      <c r="W5558" s="533"/>
      <c r="X5558" s="533"/>
      <c r="Y5558" s="533"/>
    </row>
    <row r="5559" spans="1:25" s="88" customFormat="1" ht="15.75" hidden="1" customHeight="1" x14ac:dyDescent="0.25">
      <c r="A5559" s="509"/>
      <c r="B5559" s="256"/>
      <c r="C5559" s="221"/>
      <c r="D5559" s="218"/>
      <c r="E5559" s="218"/>
      <c r="F5559" s="527">
        <v>514</v>
      </c>
      <c r="G5559" s="520" t="s">
        <v>4219</v>
      </c>
      <c r="H5559" s="594"/>
      <c r="I5559" s="595"/>
      <c r="J5559" s="595">
        <f t="shared" si="172"/>
        <v>0</v>
      </c>
      <c r="K5559" s="533"/>
      <c r="L5559" s="533"/>
      <c r="M5559" s="533"/>
      <c r="N5559" s="533"/>
      <c r="O5559" s="533"/>
      <c r="P5559" s="533"/>
      <c r="Q5559" s="533"/>
      <c r="R5559" s="533"/>
      <c r="S5559" s="533"/>
      <c r="T5559" s="533"/>
      <c r="U5559" s="533"/>
      <c r="V5559" s="533"/>
      <c r="W5559" s="533"/>
      <c r="X5559" s="533"/>
      <c r="Y5559" s="533"/>
    </row>
    <row r="5560" spans="1:25" s="88" customFormat="1" ht="15.75" hidden="1" customHeight="1" x14ac:dyDescent="0.25">
      <c r="A5560" s="509"/>
      <c r="B5560" s="256"/>
      <c r="C5560" s="221"/>
      <c r="D5560" s="218"/>
      <c r="E5560" s="218"/>
      <c r="F5560" s="527">
        <v>515</v>
      </c>
      <c r="G5560" s="520" t="s">
        <v>3852</v>
      </c>
      <c r="H5560" s="594"/>
      <c r="I5560" s="595"/>
      <c r="J5560" s="595">
        <f t="shared" si="172"/>
        <v>0</v>
      </c>
      <c r="K5560" s="533"/>
      <c r="L5560" s="533"/>
      <c r="M5560" s="533"/>
      <c r="N5560" s="533"/>
      <c r="O5560" s="533"/>
      <c r="P5560" s="533"/>
      <c r="Q5560" s="533"/>
      <c r="R5560" s="533"/>
      <c r="S5560" s="533"/>
      <c r="T5560" s="533"/>
      <c r="U5560" s="533"/>
      <c r="V5560" s="533"/>
      <c r="W5560" s="533"/>
      <c r="X5560" s="533"/>
      <c r="Y5560" s="533"/>
    </row>
    <row r="5561" spans="1:25" s="88" customFormat="1" ht="15.75" hidden="1" customHeight="1" x14ac:dyDescent="0.25">
      <c r="A5561" s="509"/>
      <c r="B5561" s="256"/>
      <c r="C5561" s="221"/>
      <c r="D5561" s="218"/>
      <c r="E5561" s="218"/>
      <c r="F5561" s="527">
        <v>521</v>
      </c>
      <c r="G5561" s="520" t="s">
        <v>4220</v>
      </c>
      <c r="H5561" s="594"/>
      <c r="I5561" s="595"/>
      <c r="J5561" s="595">
        <f t="shared" si="172"/>
        <v>0</v>
      </c>
      <c r="K5561" s="533"/>
      <c r="L5561" s="533"/>
      <c r="M5561" s="533"/>
      <c r="N5561" s="533"/>
      <c r="O5561" s="533"/>
      <c r="P5561" s="533"/>
      <c r="Q5561" s="533"/>
      <c r="R5561" s="533"/>
      <c r="S5561" s="533"/>
      <c r="T5561" s="533"/>
      <c r="U5561" s="533"/>
      <c r="V5561" s="533"/>
      <c r="W5561" s="533"/>
      <c r="X5561" s="533"/>
      <c r="Y5561" s="533"/>
    </row>
    <row r="5562" spans="1:25" s="88" customFormat="1" ht="15.75" hidden="1" customHeight="1" x14ac:dyDescent="0.25">
      <c r="A5562" s="509"/>
      <c r="B5562" s="256"/>
      <c r="C5562" s="221"/>
      <c r="D5562" s="218"/>
      <c r="E5562" s="218"/>
      <c r="F5562" s="527">
        <v>522</v>
      </c>
      <c r="G5562" s="520" t="s">
        <v>4221</v>
      </c>
      <c r="H5562" s="594"/>
      <c r="I5562" s="595"/>
      <c r="J5562" s="595">
        <f t="shared" si="172"/>
        <v>0</v>
      </c>
      <c r="K5562" s="533"/>
      <c r="L5562" s="533"/>
      <c r="M5562" s="533"/>
      <c r="N5562" s="533"/>
      <c r="O5562" s="533"/>
      <c r="P5562" s="533"/>
      <c r="Q5562" s="533"/>
      <c r="R5562" s="533"/>
      <c r="S5562" s="533"/>
      <c r="T5562" s="533"/>
      <c r="U5562" s="533"/>
      <c r="V5562" s="533"/>
      <c r="W5562" s="533"/>
      <c r="X5562" s="533"/>
      <c r="Y5562" s="533"/>
    </row>
    <row r="5563" spans="1:25" s="88" customFormat="1" ht="15.75" hidden="1" customHeight="1" x14ac:dyDescent="0.25">
      <c r="A5563" s="509"/>
      <c r="B5563" s="256"/>
      <c r="C5563" s="221"/>
      <c r="D5563" s="218"/>
      <c r="E5563" s="218"/>
      <c r="F5563" s="527">
        <v>523</v>
      </c>
      <c r="G5563" s="520" t="s">
        <v>3857</v>
      </c>
      <c r="H5563" s="594"/>
      <c r="I5563" s="595"/>
      <c r="J5563" s="595">
        <f t="shared" si="172"/>
        <v>0</v>
      </c>
      <c r="K5563" s="533"/>
      <c r="L5563" s="533"/>
      <c r="M5563" s="533"/>
      <c r="N5563" s="533"/>
      <c r="O5563" s="533"/>
      <c r="P5563" s="533"/>
      <c r="Q5563" s="533"/>
      <c r="R5563" s="533"/>
      <c r="S5563" s="533"/>
      <c r="T5563" s="533"/>
      <c r="U5563" s="533"/>
      <c r="V5563" s="533"/>
      <c r="W5563" s="533"/>
      <c r="X5563" s="533"/>
      <c r="Y5563" s="533"/>
    </row>
    <row r="5564" spans="1:25" s="88" customFormat="1" ht="15.75" hidden="1" customHeight="1" x14ac:dyDescent="0.25">
      <c r="A5564" s="509"/>
      <c r="B5564" s="256"/>
      <c r="C5564" s="221"/>
      <c r="D5564" s="218"/>
      <c r="E5564" s="218"/>
      <c r="F5564" s="527">
        <v>531</v>
      </c>
      <c r="G5564" s="516" t="s">
        <v>4197</v>
      </c>
      <c r="H5564" s="594"/>
      <c r="I5564" s="595"/>
      <c r="J5564" s="595">
        <f t="shared" si="172"/>
        <v>0</v>
      </c>
      <c r="K5564" s="533"/>
      <c r="L5564" s="533"/>
      <c r="M5564" s="533"/>
      <c r="N5564" s="533"/>
      <c r="O5564" s="533"/>
      <c r="P5564" s="533"/>
      <c r="Q5564" s="533"/>
      <c r="R5564" s="533"/>
      <c r="S5564" s="533"/>
      <c r="T5564" s="533"/>
      <c r="U5564" s="533"/>
      <c r="V5564" s="533"/>
      <c r="W5564" s="533"/>
      <c r="X5564" s="533"/>
      <c r="Y5564" s="533"/>
    </row>
    <row r="5565" spans="1:25" s="88" customFormat="1" ht="15.75" hidden="1" customHeight="1" x14ac:dyDescent="0.25">
      <c r="A5565" s="509"/>
      <c r="B5565" s="256"/>
      <c r="C5565" s="221"/>
      <c r="D5565" s="218"/>
      <c r="E5565" s="218"/>
      <c r="F5565" s="527">
        <v>541</v>
      </c>
      <c r="G5565" s="520" t="s">
        <v>4222</v>
      </c>
      <c r="H5565" s="594"/>
      <c r="I5565" s="595"/>
      <c r="J5565" s="595">
        <f t="shared" si="172"/>
        <v>0</v>
      </c>
      <c r="K5565" s="533"/>
      <c r="L5565" s="533"/>
      <c r="M5565" s="533"/>
      <c r="N5565" s="533"/>
      <c r="O5565" s="533"/>
      <c r="P5565" s="533"/>
      <c r="Q5565" s="533"/>
      <c r="R5565" s="533"/>
      <c r="S5565" s="533"/>
      <c r="T5565" s="533"/>
      <c r="U5565" s="533"/>
      <c r="V5565" s="533"/>
      <c r="W5565" s="533"/>
      <c r="X5565" s="533"/>
      <c r="Y5565" s="533"/>
    </row>
    <row r="5566" spans="1:25" s="88" customFormat="1" ht="15.75" hidden="1" customHeight="1" x14ac:dyDescent="0.25">
      <c r="A5566" s="509"/>
      <c r="B5566" s="256"/>
      <c r="C5566" s="221"/>
      <c r="D5566" s="218"/>
      <c r="E5566" s="218"/>
      <c r="F5566" s="527">
        <v>542</v>
      </c>
      <c r="G5566" s="520" t="s">
        <v>4223</v>
      </c>
      <c r="H5566" s="594"/>
      <c r="I5566" s="595"/>
      <c r="J5566" s="595">
        <f t="shared" si="172"/>
        <v>0</v>
      </c>
      <c r="K5566" s="533"/>
      <c r="L5566" s="533"/>
      <c r="M5566" s="533"/>
      <c r="N5566" s="533"/>
      <c r="O5566" s="533"/>
      <c r="P5566" s="533"/>
      <c r="Q5566" s="533"/>
      <c r="R5566" s="533"/>
      <c r="S5566" s="533"/>
      <c r="T5566" s="533"/>
      <c r="U5566" s="533"/>
      <c r="V5566" s="533"/>
      <c r="W5566" s="533"/>
      <c r="X5566" s="533"/>
      <c r="Y5566" s="533"/>
    </row>
    <row r="5567" spans="1:25" s="88" customFormat="1" ht="15.75" hidden="1" customHeight="1" x14ac:dyDescent="0.25">
      <c r="A5567" s="509"/>
      <c r="B5567" s="256"/>
      <c r="C5567" s="221"/>
      <c r="D5567" s="218"/>
      <c r="E5567" s="218"/>
      <c r="F5567" s="527">
        <v>543</v>
      </c>
      <c r="G5567" s="520" t="s">
        <v>3862</v>
      </c>
      <c r="H5567" s="594"/>
      <c r="I5567" s="595"/>
      <c r="J5567" s="595">
        <f t="shared" si="172"/>
        <v>0</v>
      </c>
      <c r="K5567" s="533"/>
      <c r="L5567" s="533"/>
      <c r="M5567" s="533"/>
      <c r="N5567" s="533"/>
      <c r="O5567" s="533"/>
      <c r="P5567" s="533"/>
      <c r="Q5567" s="533"/>
      <c r="R5567" s="533"/>
      <c r="S5567" s="533"/>
      <c r="T5567" s="533"/>
      <c r="U5567" s="533"/>
      <c r="V5567" s="533"/>
      <c r="W5567" s="533"/>
      <c r="X5567" s="533"/>
      <c r="Y5567" s="533"/>
    </row>
    <row r="5568" spans="1:25" s="88" customFormat="1" ht="15.75" hidden="1" customHeight="1" x14ac:dyDescent="0.25">
      <c r="A5568" s="509"/>
      <c r="B5568" s="256"/>
      <c r="C5568" s="221"/>
      <c r="D5568" s="218"/>
      <c r="E5568" s="218"/>
      <c r="F5568" s="527">
        <v>551</v>
      </c>
      <c r="G5568" s="520" t="s">
        <v>4198</v>
      </c>
      <c r="H5568" s="594"/>
      <c r="I5568" s="595"/>
      <c r="J5568" s="595">
        <f t="shared" si="172"/>
        <v>0</v>
      </c>
      <c r="K5568" s="533"/>
      <c r="L5568" s="533"/>
      <c r="M5568" s="533"/>
      <c r="N5568" s="533"/>
      <c r="O5568" s="533"/>
      <c r="P5568" s="533"/>
      <c r="Q5568" s="533"/>
      <c r="R5568" s="533"/>
      <c r="S5568" s="533"/>
      <c r="T5568" s="533"/>
      <c r="U5568" s="533"/>
      <c r="V5568" s="533"/>
      <c r="W5568" s="533"/>
      <c r="X5568" s="533"/>
      <c r="Y5568" s="533"/>
    </row>
    <row r="5569" spans="1:25" s="88" customFormat="1" ht="15.75" hidden="1" customHeight="1" x14ac:dyDescent="0.25">
      <c r="A5569" s="509"/>
      <c r="B5569" s="256"/>
      <c r="C5569" s="221"/>
      <c r="D5569" s="218"/>
      <c r="E5569" s="218"/>
      <c r="F5569" s="528">
        <v>611</v>
      </c>
      <c r="G5569" s="526" t="s">
        <v>3868</v>
      </c>
      <c r="H5569" s="594"/>
      <c r="I5569" s="595"/>
      <c r="J5569" s="595">
        <f t="shared" si="172"/>
        <v>0</v>
      </c>
      <c r="K5569" s="533"/>
      <c r="L5569" s="533"/>
      <c r="M5569" s="533"/>
      <c r="N5569" s="533"/>
      <c r="O5569" s="533"/>
      <c r="P5569" s="533"/>
      <c r="Q5569" s="533"/>
      <c r="R5569" s="533"/>
      <c r="S5569" s="533"/>
      <c r="T5569" s="533"/>
      <c r="U5569" s="533"/>
      <c r="V5569" s="533"/>
      <c r="W5569" s="533"/>
      <c r="X5569" s="533"/>
      <c r="Y5569" s="533"/>
    </row>
    <row r="5570" spans="1:25" s="88" customFormat="1" ht="15.75" hidden="1" customHeight="1" thickBot="1" x14ac:dyDescent="0.3">
      <c r="A5570" s="509"/>
      <c r="B5570" s="256"/>
      <c r="C5570" s="221"/>
      <c r="D5570" s="218"/>
      <c r="E5570" s="218"/>
      <c r="F5570" s="528">
        <v>620</v>
      </c>
      <c r="G5570" s="526" t="s">
        <v>88</v>
      </c>
      <c r="H5570" s="594"/>
      <c r="I5570" s="595"/>
      <c r="J5570" s="595">
        <f t="shared" si="172"/>
        <v>0</v>
      </c>
      <c r="K5570" s="533"/>
      <c r="L5570" s="533"/>
      <c r="M5570" s="533"/>
      <c r="N5570" s="533"/>
      <c r="O5570" s="533"/>
      <c r="P5570" s="533"/>
      <c r="Q5570" s="533"/>
      <c r="R5570" s="533"/>
      <c r="S5570" s="533"/>
      <c r="T5570" s="533"/>
      <c r="U5570" s="533"/>
      <c r="V5570" s="533"/>
      <c r="W5570" s="533"/>
      <c r="X5570" s="533"/>
      <c r="Y5570" s="533"/>
    </row>
    <row r="5571" spans="1:25" s="88" customFormat="1" ht="15.75" hidden="1" customHeight="1" x14ac:dyDescent="0.25">
      <c r="A5571" s="509"/>
      <c r="B5571" s="256"/>
      <c r="C5571" s="221"/>
      <c r="D5571" s="218"/>
      <c r="E5571" s="517"/>
      <c r="F5571" s="528"/>
      <c r="G5571" s="326" t="s">
        <v>4470</v>
      </c>
      <c r="H5571" s="596"/>
      <c r="I5571" s="622"/>
      <c r="J5571" s="597"/>
      <c r="K5571" s="533"/>
      <c r="L5571" s="533"/>
      <c r="M5571" s="533"/>
      <c r="N5571" s="533"/>
      <c r="O5571" s="533"/>
      <c r="P5571" s="533"/>
      <c r="Q5571" s="533"/>
      <c r="R5571" s="533"/>
      <c r="S5571" s="533"/>
      <c r="T5571" s="533"/>
      <c r="U5571" s="533"/>
      <c r="V5571" s="533"/>
      <c r="W5571" s="533"/>
      <c r="X5571" s="533"/>
      <c r="Y5571" s="533"/>
    </row>
    <row r="5572" spans="1:25" s="88" customFormat="1" ht="15.75" hidden="1" customHeight="1" x14ac:dyDescent="0.25">
      <c r="A5572" s="509"/>
      <c r="B5572" s="256"/>
      <c r="C5572" s="221"/>
      <c r="D5572" s="218"/>
      <c r="E5572" s="222"/>
      <c r="F5572" s="249" t="s">
        <v>234</v>
      </c>
      <c r="G5572" s="252" t="s">
        <v>235</v>
      </c>
      <c r="H5572" s="598">
        <f>SUM(H5511:H5570)</f>
        <v>0</v>
      </c>
      <c r="I5572" s="599"/>
      <c r="J5572" s="599">
        <f t="shared" ref="J5572:J5587" si="173">SUM(H5572:I5572)</f>
        <v>0</v>
      </c>
      <c r="K5572" s="533"/>
      <c r="L5572" s="533"/>
      <c r="M5572" s="533"/>
      <c r="N5572" s="533"/>
      <c r="O5572" s="533"/>
      <c r="P5572" s="533"/>
      <c r="Q5572" s="533"/>
      <c r="R5572" s="533"/>
      <c r="S5572" s="533"/>
      <c r="T5572" s="533"/>
      <c r="U5572" s="533"/>
      <c r="V5572" s="533"/>
      <c r="W5572" s="533"/>
      <c r="X5572" s="533"/>
      <c r="Y5572" s="533"/>
    </row>
    <row r="5573" spans="1:25" s="88" customFormat="1" ht="15.75" hidden="1" customHeight="1" x14ac:dyDescent="0.25">
      <c r="A5573" s="509"/>
      <c r="B5573" s="256"/>
      <c r="C5573" s="221"/>
      <c r="D5573" s="218"/>
      <c r="E5573" s="218"/>
      <c r="F5573" s="249" t="s">
        <v>236</v>
      </c>
      <c r="G5573" s="252" t="s">
        <v>237</v>
      </c>
      <c r="H5573" s="594"/>
      <c r="I5573" s="595"/>
      <c r="J5573" s="599">
        <f t="shared" si="173"/>
        <v>0</v>
      </c>
      <c r="K5573" s="533"/>
      <c r="L5573" s="533"/>
      <c r="M5573" s="533"/>
      <c r="N5573" s="533"/>
      <c r="O5573" s="533"/>
      <c r="P5573" s="533"/>
      <c r="Q5573" s="533"/>
      <c r="R5573" s="533"/>
      <c r="S5573" s="533"/>
      <c r="T5573" s="533"/>
      <c r="U5573" s="533"/>
      <c r="V5573" s="533"/>
      <c r="W5573" s="533"/>
      <c r="X5573" s="533"/>
      <c r="Y5573" s="533"/>
    </row>
    <row r="5574" spans="1:25" s="88" customFormat="1" ht="15.75" hidden="1" customHeight="1" x14ac:dyDescent="0.25">
      <c r="A5574" s="509"/>
      <c r="B5574" s="256"/>
      <c r="C5574" s="221"/>
      <c r="D5574" s="218"/>
      <c r="E5574" s="218"/>
      <c r="F5574" s="249" t="s">
        <v>238</v>
      </c>
      <c r="G5574" s="252" t="s">
        <v>239</v>
      </c>
      <c r="H5574" s="594"/>
      <c r="I5574" s="595"/>
      <c r="J5574" s="599">
        <f t="shared" si="173"/>
        <v>0</v>
      </c>
      <c r="K5574" s="533"/>
      <c r="L5574" s="533"/>
      <c r="M5574" s="533"/>
      <c r="N5574" s="533"/>
      <c r="O5574" s="533"/>
      <c r="P5574" s="533"/>
      <c r="Q5574" s="533"/>
      <c r="R5574" s="533"/>
      <c r="S5574" s="533"/>
      <c r="T5574" s="533"/>
      <c r="U5574" s="533"/>
      <c r="V5574" s="533"/>
      <c r="W5574" s="533"/>
      <c r="X5574" s="533"/>
      <c r="Y5574" s="533"/>
    </row>
    <row r="5575" spans="1:25" s="88" customFormat="1" ht="15.75" hidden="1" customHeight="1" x14ac:dyDescent="0.25">
      <c r="A5575" s="509"/>
      <c r="B5575" s="256"/>
      <c r="C5575" s="221"/>
      <c r="D5575" s="218"/>
      <c r="E5575" s="218"/>
      <c r="F5575" s="249" t="s">
        <v>240</v>
      </c>
      <c r="G5575" s="252" t="s">
        <v>241</v>
      </c>
      <c r="H5575" s="594"/>
      <c r="I5575" s="595"/>
      <c r="J5575" s="599">
        <f t="shared" si="173"/>
        <v>0</v>
      </c>
      <c r="K5575" s="533"/>
      <c r="L5575" s="533"/>
      <c r="M5575" s="533"/>
      <c r="N5575" s="533"/>
      <c r="O5575" s="533"/>
      <c r="P5575" s="533"/>
      <c r="Q5575" s="533"/>
      <c r="R5575" s="533"/>
      <c r="S5575" s="533"/>
      <c r="T5575" s="533"/>
      <c r="U5575" s="533"/>
      <c r="V5575" s="533"/>
      <c r="W5575" s="533"/>
      <c r="X5575" s="533"/>
      <c r="Y5575" s="533"/>
    </row>
    <row r="5576" spans="1:25" s="88" customFormat="1" ht="15.75" hidden="1" customHeight="1" x14ac:dyDescent="0.25">
      <c r="A5576" s="509"/>
      <c r="B5576" s="256"/>
      <c r="C5576" s="221"/>
      <c r="D5576" s="218"/>
      <c r="E5576" s="218"/>
      <c r="F5576" s="249" t="s">
        <v>242</v>
      </c>
      <c r="G5576" s="252" t="s">
        <v>243</v>
      </c>
      <c r="H5576" s="594"/>
      <c r="I5576" s="595"/>
      <c r="J5576" s="599">
        <f t="shared" si="173"/>
        <v>0</v>
      </c>
      <c r="K5576" s="533"/>
      <c r="L5576" s="533"/>
      <c r="M5576" s="533"/>
      <c r="N5576" s="533"/>
      <c r="O5576" s="533"/>
      <c r="P5576" s="533"/>
      <c r="Q5576" s="533"/>
      <c r="R5576" s="533"/>
      <c r="S5576" s="533"/>
      <c r="T5576" s="533"/>
      <c r="U5576" s="533"/>
      <c r="V5576" s="533"/>
      <c r="W5576" s="533"/>
      <c r="X5576" s="533"/>
      <c r="Y5576" s="533"/>
    </row>
    <row r="5577" spans="1:25" s="88" customFormat="1" ht="15.75" hidden="1" customHeight="1" x14ac:dyDescent="0.25">
      <c r="A5577" s="509"/>
      <c r="B5577" s="256"/>
      <c r="C5577" s="221"/>
      <c r="D5577" s="218"/>
      <c r="E5577" s="218"/>
      <c r="F5577" s="249" t="s">
        <v>244</v>
      </c>
      <c r="G5577" s="252" t="s">
        <v>245</v>
      </c>
      <c r="H5577" s="594"/>
      <c r="I5577" s="595"/>
      <c r="J5577" s="599">
        <f t="shared" si="173"/>
        <v>0</v>
      </c>
      <c r="K5577" s="533"/>
      <c r="L5577" s="533"/>
      <c r="M5577" s="533"/>
      <c r="N5577" s="533"/>
      <c r="O5577" s="533"/>
      <c r="P5577" s="533"/>
      <c r="Q5577" s="533"/>
      <c r="R5577" s="533"/>
      <c r="S5577" s="533"/>
      <c r="T5577" s="533"/>
      <c r="U5577" s="533"/>
      <c r="V5577" s="533"/>
      <c r="W5577" s="533"/>
      <c r="X5577" s="533"/>
      <c r="Y5577" s="533"/>
    </row>
    <row r="5578" spans="1:25" s="88" customFormat="1" ht="15.75" hidden="1" customHeight="1" x14ac:dyDescent="0.25">
      <c r="A5578" s="509"/>
      <c r="B5578" s="256"/>
      <c r="C5578" s="221"/>
      <c r="D5578" s="218"/>
      <c r="E5578" s="218"/>
      <c r="F5578" s="249" t="s">
        <v>246</v>
      </c>
      <c r="G5578" s="252" t="s">
        <v>247</v>
      </c>
      <c r="H5578" s="594"/>
      <c r="I5578" s="595"/>
      <c r="J5578" s="599">
        <f t="shared" si="173"/>
        <v>0</v>
      </c>
      <c r="K5578" s="533"/>
      <c r="L5578" s="533"/>
      <c r="M5578" s="533"/>
      <c r="N5578" s="533"/>
      <c r="O5578" s="533"/>
      <c r="P5578" s="533"/>
      <c r="Q5578" s="533"/>
      <c r="R5578" s="533"/>
      <c r="S5578" s="533"/>
      <c r="T5578" s="533"/>
      <c r="U5578" s="533"/>
      <c r="V5578" s="533"/>
      <c r="W5578" s="533"/>
      <c r="X5578" s="533"/>
      <c r="Y5578" s="533"/>
    </row>
    <row r="5579" spans="1:25" s="88" customFormat="1" ht="15.75" hidden="1" customHeight="1" x14ac:dyDescent="0.25">
      <c r="A5579" s="509"/>
      <c r="B5579" s="256"/>
      <c r="C5579" s="221"/>
      <c r="D5579" s="218"/>
      <c r="E5579" s="218"/>
      <c r="F5579" s="249" t="s">
        <v>248</v>
      </c>
      <c r="G5579" s="252" t="s">
        <v>249</v>
      </c>
      <c r="H5579" s="594"/>
      <c r="I5579" s="595"/>
      <c r="J5579" s="599">
        <f t="shared" si="173"/>
        <v>0</v>
      </c>
      <c r="K5579" s="533"/>
      <c r="L5579" s="533"/>
      <c r="M5579" s="533"/>
      <c r="N5579" s="533"/>
      <c r="O5579" s="533"/>
      <c r="P5579" s="533"/>
      <c r="Q5579" s="533"/>
      <c r="R5579" s="533"/>
      <c r="S5579" s="533"/>
      <c r="T5579" s="533"/>
      <c r="U5579" s="533"/>
      <c r="V5579" s="533"/>
      <c r="W5579" s="533"/>
      <c r="X5579" s="533"/>
      <c r="Y5579" s="533"/>
    </row>
    <row r="5580" spans="1:25" s="88" customFormat="1" ht="15.75" hidden="1" customHeight="1" x14ac:dyDescent="0.25">
      <c r="A5580" s="509"/>
      <c r="B5580" s="256"/>
      <c r="C5580" s="221"/>
      <c r="D5580" s="218"/>
      <c r="E5580" s="218"/>
      <c r="F5580" s="249" t="s">
        <v>250</v>
      </c>
      <c r="G5580" s="252" t="s">
        <v>57</v>
      </c>
      <c r="H5580" s="594"/>
      <c r="I5580" s="595"/>
      <c r="J5580" s="599">
        <f t="shared" si="173"/>
        <v>0</v>
      </c>
      <c r="K5580" s="533"/>
      <c r="L5580" s="533"/>
      <c r="M5580" s="533"/>
      <c r="N5580" s="533"/>
      <c r="O5580" s="533"/>
      <c r="P5580" s="533"/>
      <c r="Q5580" s="533"/>
      <c r="R5580" s="533"/>
      <c r="S5580" s="533"/>
      <c r="T5580" s="533"/>
      <c r="U5580" s="533"/>
      <c r="V5580" s="533"/>
      <c r="W5580" s="533"/>
      <c r="X5580" s="533"/>
      <c r="Y5580" s="533"/>
    </row>
    <row r="5581" spans="1:25" s="88" customFormat="1" ht="15.75" hidden="1" customHeight="1" x14ac:dyDescent="0.25">
      <c r="A5581" s="509"/>
      <c r="B5581" s="256"/>
      <c r="C5581" s="221"/>
      <c r="D5581" s="218"/>
      <c r="E5581" s="218"/>
      <c r="F5581" s="249" t="s">
        <v>251</v>
      </c>
      <c r="G5581" s="252" t="s">
        <v>252</v>
      </c>
      <c r="H5581" s="594"/>
      <c r="I5581" s="595"/>
      <c r="J5581" s="599">
        <f t="shared" si="173"/>
        <v>0</v>
      </c>
      <c r="K5581" s="533"/>
      <c r="L5581" s="533"/>
      <c r="M5581" s="533"/>
      <c r="N5581" s="533"/>
      <c r="O5581" s="533"/>
      <c r="P5581" s="533"/>
      <c r="Q5581" s="533"/>
      <c r="R5581" s="533"/>
      <c r="S5581" s="533"/>
      <c r="T5581" s="533"/>
      <c r="U5581" s="533"/>
      <c r="V5581" s="533"/>
      <c r="W5581" s="533"/>
      <c r="X5581" s="533"/>
      <c r="Y5581" s="533"/>
    </row>
    <row r="5582" spans="1:25" s="88" customFormat="1" ht="15.75" hidden="1" customHeight="1" x14ac:dyDescent="0.25">
      <c r="A5582" s="509"/>
      <c r="B5582" s="256"/>
      <c r="C5582" s="221"/>
      <c r="D5582" s="218"/>
      <c r="E5582" s="218"/>
      <c r="F5582" s="249" t="s">
        <v>253</v>
      </c>
      <c r="G5582" s="252" t="s">
        <v>254</v>
      </c>
      <c r="H5582" s="594"/>
      <c r="I5582" s="595"/>
      <c r="J5582" s="599">
        <f t="shared" si="173"/>
        <v>0</v>
      </c>
      <c r="K5582" s="533"/>
      <c r="L5582" s="533"/>
      <c r="M5582" s="533"/>
      <c r="N5582" s="533"/>
      <c r="O5582" s="533"/>
      <c r="P5582" s="533"/>
      <c r="Q5582" s="533"/>
      <c r="R5582" s="533"/>
      <c r="S5582" s="533"/>
      <c r="T5582" s="533"/>
      <c r="U5582" s="533"/>
      <c r="V5582" s="533"/>
      <c r="W5582" s="533"/>
      <c r="X5582" s="533"/>
      <c r="Y5582" s="533"/>
    </row>
    <row r="5583" spans="1:25" s="88" customFormat="1" ht="15.75" hidden="1" customHeight="1" x14ac:dyDescent="0.25">
      <c r="A5583" s="509"/>
      <c r="B5583" s="256"/>
      <c r="C5583" s="221"/>
      <c r="D5583" s="218"/>
      <c r="E5583" s="218"/>
      <c r="F5583" s="249" t="s">
        <v>255</v>
      </c>
      <c r="G5583" s="252" t="s">
        <v>256</v>
      </c>
      <c r="H5583" s="594"/>
      <c r="I5583" s="595"/>
      <c r="J5583" s="599">
        <f t="shared" si="173"/>
        <v>0</v>
      </c>
      <c r="K5583" s="533"/>
      <c r="L5583" s="533"/>
      <c r="M5583" s="533"/>
      <c r="N5583" s="533"/>
      <c r="O5583" s="533"/>
      <c r="P5583" s="533"/>
      <c r="Q5583" s="533"/>
      <c r="R5583" s="533"/>
      <c r="S5583" s="533"/>
      <c r="T5583" s="533"/>
      <c r="U5583" s="533"/>
      <c r="V5583" s="533"/>
      <c r="W5583" s="533"/>
      <c r="X5583" s="533"/>
      <c r="Y5583" s="533"/>
    </row>
    <row r="5584" spans="1:25" s="88" customFormat="1" ht="15.75" hidden="1" customHeight="1" x14ac:dyDescent="0.25">
      <c r="A5584" s="509"/>
      <c r="B5584" s="256"/>
      <c r="C5584" s="221"/>
      <c r="D5584" s="218"/>
      <c r="E5584" s="218"/>
      <c r="F5584" s="249" t="s">
        <v>257</v>
      </c>
      <c r="G5584" s="252" t="s">
        <v>258</v>
      </c>
      <c r="H5584" s="594"/>
      <c r="I5584" s="595"/>
      <c r="J5584" s="599">
        <f t="shared" si="173"/>
        <v>0</v>
      </c>
      <c r="K5584" s="533"/>
      <c r="L5584" s="533"/>
      <c r="M5584" s="533"/>
      <c r="N5584" s="533"/>
      <c r="O5584" s="533"/>
      <c r="P5584" s="533"/>
      <c r="Q5584" s="533"/>
      <c r="R5584" s="533"/>
      <c r="S5584" s="533"/>
      <c r="T5584" s="533"/>
      <c r="U5584" s="533"/>
      <c r="V5584" s="533"/>
      <c r="W5584" s="533"/>
      <c r="X5584" s="533"/>
      <c r="Y5584" s="533"/>
    </row>
    <row r="5585" spans="1:25" s="88" customFormat="1" ht="15.75" hidden="1" customHeight="1" x14ac:dyDescent="0.25">
      <c r="A5585" s="509"/>
      <c r="B5585" s="256"/>
      <c r="C5585" s="221"/>
      <c r="D5585" s="218"/>
      <c r="E5585" s="218"/>
      <c r="F5585" s="249" t="s">
        <v>259</v>
      </c>
      <c r="G5585" s="252" t="s">
        <v>260</v>
      </c>
      <c r="H5585" s="594"/>
      <c r="I5585" s="595"/>
      <c r="J5585" s="599">
        <f t="shared" si="173"/>
        <v>0</v>
      </c>
      <c r="K5585" s="533"/>
      <c r="L5585" s="533"/>
      <c r="M5585" s="533"/>
      <c r="N5585" s="533"/>
      <c r="O5585" s="533"/>
      <c r="P5585" s="533"/>
      <c r="Q5585" s="533"/>
      <c r="R5585" s="533"/>
      <c r="S5585" s="533"/>
      <c r="T5585" s="533"/>
      <c r="U5585" s="533"/>
      <c r="V5585" s="533"/>
      <c r="W5585" s="533"/>
      <c r="X5585" s="533"/>
      <c r="Y5585" s="533"/>
    </row>
    <row r="5586" spans="1:25" s="88" customFormat="1" ht="15.75" hidden="1" customHeight="1" x14ac:dyDescent="0.25">
      <c r="A5586" s="509"/>
      <c r="B5586" s="256"/>
      <c r="C5586" s="221"/>
      <c r="D5586" s="218"/>
      <c r="E5586" s="218"/>
      <c r="F5586" s="249" t="s">
        <v>261</v>
      </c>
      <c r="G5586" s="252" t="s">
        <v>262</v>
      </c>
      <c r="H5586" s="594"/>
      <c r="I5586" s="595"/>
      <c r="J5586" s="599">
        <f t="shared" si="173"/>
        <v>0</v>
      </c>
      <c r="K5586" s="533"/>
      <c r="L5586" s="533"/>
      <c r="M5586" s="533"/>
      <c r="N5586" s="533"/>
      <c r="O5586" s="533"/>
      <c r="P5586" s="533"/>
      <c r="Q5586" s="533"/>
      <c r="R5586" s="533"/>
      <c r="S5586" s="533"/>
      <c r="T5586" s="533"/>
      <c r="U5586" s="533"/>
      <c r="V5586" s="533"/>
      <c r="W5586" s="533"/>
      <c r="X5586" s="533"/>
      <c r="Y5586" s="533"/>
    </row>
    <row r="5587" spans="1:25" s="88" customFormat="1" ht="15.75" hidden="1" customHeight="1" thickBot="1" x14ac:dyDescent="0.3">
      <c r="A5587" s="509"/>
      <c r="B5587" s="256"/>
      <c r="C5587" s="221"/>
      <c r="D5587" s="218"/>
      <c r="E5587" s="218"/>
      <c r="F5587" s="249" t="s">
        <v>263</v>
      </c>
      <c r="G5587" s="252" t="s">
        <v>264</v>
      </c>
      <c r="H5587" s="598"/>
      <c r="I5587" s="599"/>
      <c r="J5587" s="599">
        <f t="shared" si="173"/>
        <v>0</v>
      </c>
      <c r="K5587" s="533"/>
      <c r="L5587" s="533"/>
      <c r="M5587" s="533"/>
      <c r="N5587" s="533"/>
      <c r="O5587" s="533"/>
      <c r="P5587" s="533"/>
      <c r="Q5587" s="533"/>
      <c r="R5587" s="533"/>
      <c r="S5587" s="533"/>
      <c r="T5587" s="533"/>
      <c r="U5587" s="533"/>
      <c r="V5587" s="533"/>
      <c r="W5587" s="533"/>
      <c r="X5587" s="533"/>
      <c r="Y5587" s="533"/>
    </row>
    <row r="5588" spans="1:25" s="88" customFormat="1" ht="15.75" hidden="1" customHeight="1" thickBot="1" x14ac:dyDescent="0.3">
      <c r="A5588" s="509"/>
      <c r="B5588" s="256"/>
      <c r="C5588" s="221"/>
      <c r="D5588" s="218"/>
      <c r="E5588" s="218"/>
      <c r="F5588" s="218"/>
      <c r="G5588" s="229" t="s">
        <v>4471</v>
      </c>
      <c r="H5588" s="600">
        <f>SUM(H5572:H5587)</f>
        <v>0</v>
      </c>
      <c r="I5588" s="601">
        <f>SUM(I5573:I5587)</f>
        <v>0</v>
      </c>
      <c r="J5588" s="601">
        <f>SUM(J5572:J5587)</f>
        <v>0</v>
      </c>
      <c r="K5588" s="533"/>
      <c r="L5588" s="533"/>
      <c r="M5588" s="533"/>
      <c r="N5588" s="533"/>
      <c r="O5588" s="533"/>
      <c r="P5588" s="533"/>
      <c r="Q5588" s="533"/>
      <c r="R5588" s="533"/>
      <c r="S5588" s="533"/>
      <c r="T5588" s="533"/>
      <c r="U5588" s="533"/>
      <c r="V5588" s="533"/>
      <c r="W5588" s="533"/>
      <c r="X5588" s="533"/>
      <c r="Y5588" s="533"/>
    </row>
    <row r="5589" spans="1:25" s="88" customFormat="1" ht="15.75" hidden="1" customHeight="1" x14ac:dyDescent="0.25">
      <c r="A5589" s="509"/>
      <c r="B5589" s="256"/>
      <c r="C5589" s="221"/>
      <c r="D5589" s="218"/>
      <c r="E5589" s="517"/>
      <c r="F5589" s="528"/>
      <c r="G5589" s="231" t="s">
        <v>5065</v>
      </c>
      <c r="H5589" s="602"/>
      <c r="I5589" s="623"/>
      <c r="J5589" s="603"/>
      <c r="K5589" s="533"/>
      <c r="L5589" s="533"/>
      <c r="M5589" s="533"/>
      <c r="N5589" s="533"/>
      <c r="O5589" s="533"/>
      <c r="P5589" s="533"/>
      <c r="Q5589" s="533"/>
      <c r="R5589" s="533"/>
      <c r="S5589" s="533"/>
      <c r="T5589" s="533"/>
      <c r="U5589" s="533"/>
      <c r="V5589" s="533"/>
      <c r="W5589" s="533"/>
      <c r="X5589" s="533"/>
      <c r="Y5589" s="533"/>
    </row>
    <row r="5590" spans="1:25" s="88" customFormat="1" ht="15.75" hidden="1" customHeight="1" x14ac:dyDescent="0.25">
      <c r="A5590" s="509"/>
      <c r="B5590" s="256"/>
      <c r="C5590" s="221"/>
      <c r="D5590" s="218"/>
      <c r="E5590" s="222"/>
      <c r="F5590" s="249" t="s">
        <v>234</v>
      </c>
      <c r="G5590" s="252" t="s">
        <v>235</v>
      </c>
      <c r="H5590" s="598">
        <f>SUM(H5511:H5570)</f>
        <v>0</v>
      </c>
      <c r="I5590" s="599"/>
      <c r="J5590" s="599">
        <f t="shared" ref="J5590:J5605" si="174">SUM(H5590:I5590)</f>
        <v>0</v>
      </c>
      <c r="K5590" s="533"/>
      <c r="L5590" s="533"/>
      <c r="M5590" s="533"/>
      <c r="N5590" s="533"/>
      <c r="O5590" s="533"/>
      <c r="P5590" s="533"/>
      <c r="Q5590" s="533"/>
      <c r="R5590" s="533"/>
      <c r="S5590" s="533"/>
      <c r="T5590" s="533"/>
      <c r="U5590" s="533"/>
      <c r="V5590" s="533"/>
      <c r="W5590" s="533"/>
      <c r="X5590" s="533"/>
      <c r="Y5590" s="533"/>
    </row>
    <row r="5591" spans="1:25" s="88" customFormat="1" ht="15.75" hidden="1" customHeight="1" x14ac:dyDescent="0.25">
      <c r="A5591" s="509"/>
      <c r="B5591" s="256"/>
      <c r="C5591" s="221"/>
      <c r="D5591" s="218"/>
      <c r="E5591" s="218"/>
      <c r="F5591" s="249" t="s">
        <v>236</v>
      </c>
      <c r="G5591" s="252" t="s">
        <v>237</v>
      </c>
      <c r="H5591" s="594"/>
      <c r="I5591" s="595"/>
      <c r="J5591" s="599">
        <f t="shared" si="174"/>
        <v>0</v>
      </c>
      <c r="K5591" s="533"/>
      <c r="L5591" s="533"/>
      <c r="M5591" s="533"/>
      <c r="N5591" s="533"/>
      <c r="O5591" s="533"/>
      <c r="P5591" s="533"/>
      <c r="Q5591" s="533"/>
      <c r="R5591" s="533"/>
      <c r="S5591" s="533"/>
      <c r="T5591" s="533"/>
      <c r="U5591" s="533"/>
      <c r="V5591" s="533"/>
      <c r="W5591" s="533"/>
      <c r="X5591" s="533"/>
      <c r="Y5591" s="533"/>
    </row>
    <row r="5592" spans="1:25" s="88" customFormat="1" ht="15.75" hidden="1" customHeight="1" x14ac:dyDescent="0.25">
      <c r="A5592" s="509"/>
      <c r="B5592" s="256"/>
      <c r="C5592" s="221"/>
      <c r="D5592" s="218"/>
      <c r="E5592" s="218"/>
      <c r="F5592" s="249" t="s">
        <v>238</v>
      </c>
      <c r="G5592" s="252" t="s">
        <v>239</v>
      </c>
      <c r="H5592" s="594"/>
      <c r="I5592" s="595"/>
      <c r="J5592" s="599">
        <f t="shared" si="174"/>
        <v>0</v>
      </c>
      <c r="K5592" s="533"/>
      <c r="L5592" s="533"/>
      <c r="M5592" s="533"/>
      <c r="N5592" s="533"/>
      <c r="O5592" s="533"/>
      <c r="P5592" s="533"/>
      <c r="Q5592" s="533"/>
      <c r="R5592" s="533"/>
      <c r="S5592" s="533"/>
      <c r="T5592" s="533"/>
      <c r="U5592" s="533"/>
      <c r="V5592" s="533"/>
      <c r="W5592" s="533"/>
      <c r="X5592" s="533"/>
      <c r="Y5592" s="533"/>
    </row>
    <row r="5593" spans="1:25" s="88" customFormat="1" ht="15.75" hidden="1" customHeight="1" x14ac:dyDescent="0.25">
      <c r="A5593" s="509"/>
      <c r="B5593" s="256"/>
      <c r="C5593" s="221"/>
      <c r="D5593" s="218"/>
      <c r="E5593" s="218"/>
      <c r="F5593" s="249" t="s">
        <v>240</v>
      </c>
      <c r="G5593" s="252" t="s">
        <v>241</v>
      </c>
      <c r="H5593" s="594"/>
      <c r="I5593" s="595"/>
      <c r="J5593" s="599">
        <f t="shared" si="174"/>
        <v>0</v>
      </c>
      <c r="K5593" s="533"/>
      <c r="L5593" s="533"/>
      <c r="M5593" s="533"/>
      <c r="N5593" s="533"/>
      <c r="O5593" s="533"/>
      <c r="P5593" s="533"/>
      <c r="Q5593" s="533"/>
      <c r="R5593" s="533"/>
      <c r="S5593" s="533"/>
      <c r="T5593" s="533"/>
      <c r="U5593" s="533"/>
      <c r="V5593" s="533"/>
      <c r="W5593" s="533"/>
      <c r="X5593" s="533"/>
      <c r="Y5593" s="533"/>
    </row>
    <row r="5594" spans="1:25" s="88" customFormat="1" ht="15.75" hidden="1" customHeight="1" x14ac:dyDescent="0.25">
      <c r="A5594" s="509"/>
      <c r="B5594" s="256"/>
      <c r="C5594" s="221"/>
      <c r="D5594" s="218"/>
      <c r="E5594" s="218"/>
      <c r="F5594" s="249" t="s">
        <v>242</v>
      </c>
      <c r="G5594" s="252" t="s">
        <v>243</v>
      </c>
      <c r="H5594" s="594"/>
      <c r="I5594" s="595"/>
      <c r="J5594" s="599">
        <f t="shared" si="174"/>
        <v>0</v>
      </c>
      <c r="K5594" s="533"/>
      <c r="L5594" s="533"/>
      <c r="M5594" s="533"/>
      <c r="N5594" s="533"/>
      <c r="O5594" s="533"/>
      <c r="P5594" s="533"/>
      <c r="Q5594" s="533"/>
      <c r="R5594" s="533"/>
      <c r="S5594" s="533"/>
      <c r="T5594" s="533"/>
      <c r="U5594" s="533"/>
      <c r="V5594" s="533"/>
      <c r="W5594" s="533"/>
      <c r="X5594" s="533"/>
      <c r="Y5594" s="533"/>
    </row>
    <row r="5595" spans="1:25" s="88" customFormat="1" ht="15.75" hidden="1" customHeight="1" x14ac:dyDescent="0.25">
      <c r="A5595" s="509"/>
      <c r="B5595" s="256"/>
      <c r="C5595" s="221"/>
      <c r="D5595" s="218"/>
      <c r="E5595" s="218"/>
      <c r="F5595" s="249" t="s">
        <v>244</v>
      </c>
      <c r="G5595" s="252" t="s">
        <v>245</v>
      </c>
      <c r="H5595" s="594"/>
      <c r="I5595" s="595"/>
      <c r="J5595" s="599">
        <f t="shared" si="174"/>
        <v>0</v>
      </c>
      <c r="K5595" s="533"/>
      <c r="L5595" s="533"/>
      <c r="M5595" s="533"/>
      <c r="N5595" s="533"/>
      <c r="O5595" s="533"/>
      <c r="P5595" s="533"/>
      <c r="Q5595" s="533"/>
      <c r="R5595" s="533"/>
      <c r="S5595" s="533"/>
      <c r="T5595" s="533"/>
      <c r="U5595" s="533"/>
      <c r="V5595" s="533"/>
      <c r="W5595" s="533"/>
      <c r="X5595" s="533"/>
      <c r="Y5595" s="533"/>
    </row>
    <row r="5596" spans="1:25" s="88" customFormat="1" ht="15.75" hidden="1" customHeight="1" x14ac:dyDescent="0.25">
      <c r="A5596" s="509"/>
      <c r="B5596" s="256"/>
      <c r="C5596" s="221"/>
      <c r="D5596" s="218"/>
      <c r="E5596" s="218"/>
      <c r="F5596" s="249" t="s">
        <v>246</v>
      </c>
      <c r="G5596" s="252" t="s">
        <v>247</v>
      </c>
      <c r="H5596" s="594"/>
      <c r="I5596" s="595"/>
      <c r="J5596" s="599">
        <f t="shared" si="174"/>
        <v>0</v>
      </c>
      <c r="K5596" s="533"/>
      <c r="L5596" s="533"/>
      <c r="M5596" s="533"/>
      <c r="N5596" s="533"/>
      <c r="O5596" s="533"/>
      <c r="P5596" s="533"/>
      <c r="Q5596" s="533"/>
      <c r="R5596" s="533"/>
      <c r="S5596" s="533"/>
      <c r="T5596" s="533"/>
      <c r="U5596" s="533"/>
      <c r="V5596" s="533"/>
      <c r="W5596" s="533"/>
      <c r="X5596" s="533"/>
      <c r="Y5596" s="533"/>
    </row>
    <row r="5597" spans="1:25" s="88" customFormat="1" ht="15.75" hidden="1" customHeight="1" x14ac:dyDescent="0.25">
      <c r="A5597" s="509"/>
      <c r="B5597" s="256"/>
      <c r="C5597" s="221"/>
      <c r="D5597" s="218"/>
      <c r="E5597" s="218"/>
      <c r="F5597" s="249" t="s">
        <v>248</v>
      </c>
      <c r="G5597" s="252" t="s">
        <v>249</v>
      </c>
      <c r="H5597" s="594"/>
      <c r="I5597" s="595"/>
      <c r="J5597" s="599">
        <f t="shared" si="174"/>
        <v>0</v>
      </c>
      <c r="K5597" s="533"/>
      <c r="L5597" s="533"/>
      <c r="M5597" s="533"/>
      <c r="N5597" s="533"/>
      <c r="O5597" s="533"/>
      <c r="P5597" s="533"/>
      <c r="Q5597" s="533"/>
      <c r="R5597" s="533"/>
      <c r="S5597" s="533"/>
      <c r="T5597" s="533"/>
      <c r="U5597" s="533"/>
      <c r="V5597" s="533"/>
      <c r="W5597" s="533"/>
      <c r="X5597" s="533"/>
      <c r="Y5597" s="533"/>
    </row>
    <row r="5598" spans="1:25" s="88" customFormat="1" ht="15.75" hidden="1" customHeight="1" x14ac:dyDescent="0.25">
      <c r="A5598" s="509"/>
      <c r="B5598" s="256"/>
      <c r="C5598" s="221"/>
      <c r="D5598" s="218"/>
      <c r="E5598" s="218"/>
      <c r="F5598" s="249" t="s">
        <v>250</v>
      </c>
      <c r="G5598" s="252" t="s">
        <v>57</v>
      </c>
      <c r="H5598" s="594"/>
      <c r="I5598" s="595"/>
      <c r="J5598" s="599">
        <f t="shared" si="174"/>
        <v>0</v>
      </c>
      <c r="K5598" s="533"/>
      <c r="L5598" s="533"/>
      <c r="M5598" s="533"/>
      <c r="N5598" s="533"/>
      <c r="O5598" s="533"/>
      <c r="P5598" s="533"/>
      <c r="Q5598" s="533"/>
      <c r="R5598" s="533"/>
      <c r="S5598" s="533"/>
      <c r="T5598" s="533"/>
      <c r="U5598" s="533"/>
      <c r="V5598" s="533"/>
      <c r="W5598" s="533"/>
      <c r="X5598" s="533"/>
      <c r="Y5598" s="533"/>
    </row>
    <row r="5599" spans="1:25" s="88" customFormat="1" ht="15.75" hidden="1" customHeight="1" x14ac:dyDescent="0.25">
      <c r="A5599" s="509"/>
      <c r="B5599" s="256"/>
      <c r="C5599" s="221"/>
      <c r="D5599" s="218"/>
      <c r="E5599" s="218"/>
      <c r="F5599" s="249" t="s">
        <v>251</v>
      </c>
      <c r="G5599" s="252" t="s">
        <v>252</v>
      </c>
      <c r="H5599" s="594"/>
      <c r="I5599" s="595"/>
      <c r="J5599" s="599">
        <f t="shared" si="174"/>
        <v>0</v>
      </c>
      <c r="K5599" s="533"/>
      <c r="L5599" s="533"/>
      <c r="M5599" s="533"/>
      <c r="N5599" s="533"/>
      <c r="O5599" s="533"/>
      <c r="P5599" s="533"/>
      <c r="Q5599" s="533"/>
      <c r="R5599" s="533"/>
      <c r="S5599" s="533"/>
      <c r="T5599" s="533"/>
      <c r="U5599" s="533"/>
      <c r="V5599" s="533"/>
      <c r="W5599" s="533"/>
      <c r="X5599" s="533"/>
      <c r="Y5599" s="533"/>
    </row>
    <row r="5600" spans="1:25" s="88" customFormat="1" ht="15.75" hidden="1" customHeight="1" x14ac:dyDescent="0.25">
      <c r="A5600" s="509"/>
      <c r="B5600" s="256"/>
      <c r="C5600" s="221"/>
      <c r="D5600" s="218"/>
      <c r="E5600" s="218"/>
      <c r="F5600" s="249" t="s">
        <v>253</v>
      </c>
      <c r="G5600" s="252" t="s">
        <v>254</v>
      </c>
      <c r="H5600" s="594"/>
      <c r="I5600" s="595"/>
      <c r="J5600" s="599">
        <f t="shared" si="174"/>
        <v>0</v>
      </c>
      <c r="K5600" s="533"/>
      <c r="L5600" s="533"/>
      <c r="M5600" s="533"/>
      <c r="N5600" s="533"/>
      <c r="O5600" s="533"/>
      <c r="P5600" s="533"/>
      <c r="Q5600" s="533"/>
      <c r="R5600" s="533"/>
      <c r="S5600" s="533"/>
      <c r="T5600" s="533"/>
      <c r="U5600" s="533"/>
      <c r="V5600" s="533"/>
      <c r="W5600" s="533"/>
      <c r="X5600" s="533"/>
      <c r="Y5600" s="533"/>
    </row>
    <row r="5601" spans="1:25" s="88" customFormat="1" ht="15.75" hidden="1" customHeight="1" x14ac:dyDescent="0.25">
      <c r="A5601" s="509"/>
      <c r="B5601" s="256"/>
      <c r="C5601" s="221"/>
      <c r="D5601" s="218"/>
      <c r="E5601" s="218"/>
      <c r="F5601" s="249" t="s">
        <v>255</v>
      </c>
      <c r="G5601" s="252" t="s">
        <v>256</v>
      </c>
      <c r="H5601" s="594"/>
      <c r="I5601" s="595"/>
      <c r="J5601" s="599">
        <f t="shared" si="174"/>
        <v>0</v>
      </c>
      <c r="K5601" s="533"/>
      <c r="L5601" s="533"/>
      <c r="M5601" s="533"/>
      <c r="N5601" s="533"/>
      <c r="O5601" s="533"/>
      <c r="P5601" s="533"/>
      <c r="Q5601" s="533"/>
      <c r="R5601" s="533"/>
      <c r="S5601" s="533"/>
      <c r="T5601" s="533"/>
      <c r="U5601" s="533"/>
      <c r="V5601" s="533"/>
      <c r="W5601" s="533"/>
      <c r="X5601" s="533"/>
      <c r="Y5601" s="533"/>
    </row>
    <row r="5602" spans="1:25" s="88" customFormat="1" ht="15.75" hidden="1" customHeight="1" x14ac:dyDescent="0.25">
      <c r="A5602" s="509"/>
      <c r="B5602" s="256"/>
      <c r="C5602" s="221"/>
      <c r="D5602" s="218"/>
      <c r="E5602" s="218"/>
      <c r="F5602" s="249" t="s">
        <v>257</v>
      </c>
      <c r="G5602" s="252" t="s">
        <v>258</v>
      </c>
      <c r="H5602" s="594"/>
      <c r="I5602" s="595"/>
      <c r="J5602" s="599">
        <f t="shared" si="174"/>
        <v>0</v>
      </c>
      <c r="K5602" s="533"/>
      <c r="L5602" s="533"/>
      <c r="M5602" s="533"/>
      <c r="N5602" s="533"/>
      <c r="O5602" s="533"/>
      <c r="P5602" s="533"/>
      <c r="Q5602" s="533"/>
      <c r="R5602" s="533"/>
      <c r="S5602" s="533"/>
      <c r="T5602" s="533"/>
      <c r="U5602" s="533"/>
      <c r="V5602" s="533"/>
      <c r="W5602" s="533"/>
      <c r="X5602" s="533"/>
      <c r="Y5602" s="533"/>
    </row>
    <row r="5603" spans="1:25" s="88" customFormat="1" ht="15.75" hidden="1" customHeight="1" x14ac:dyDescent="0.25">
      <c r="A5603" s="509"/>
      <c r="B5603" s="256"/>
      <c r="C5603" s="221"/>
      <c r="D5603" s="218"/>
      <c r="E5603" s="218"/>
      <c r="F5603" s="249" t="s">
        <v>259</v>
      </c>
      <c r="G5603" s="252" t="s">
        <v>260</v>
      </c>
      <c r="H5603" s="594"/>
      <c r="I5603" s="595"/>
      <c r="J5603" s="599">
        <f t="shared" si="174"/>
        <v>0</v>
      </c>
      <c r="K5603" s="533"/>
      <c r="L5603" s="533"/>
      <c r="M5603" s="533"/>
      <c r="N5603" s="533"/>
      <c r="O5603" s="533"/>
      <c r="P5603" s="533"/>
      <c r="Q5603" s="533"/>
      <c r="R5603" s="533"/>
      <c r="S5603" s="533"/>
      <c r="T5603" s="533"/>
      <c r="U5603" s="533"/>
      <c r="V5603" s="533"/>
      <c r="W5603" s="533"/>
      <c r="X5603" s="533"/>
      <c r="Y5603" s="533"/>
    </row>
    <row r="5604" spans="1:25" s="88" customFormat="1" ht="15.75" hidden="1" customHeight="1" x14ac:dyDescent="0.25">
      <c r="A5604" s="509"/>
      <c r="B5604" s="256"/>
      <c r="C5604" s="221"/>
      <c r="D5604" s="218"/>
      <c r="E5604" s="218"/>
      <c r="F5604" s="249" t="s">
        <v>261</v>
      </c>
      <c r="G5604" s="252" t="s">
        <v>262</v>
      </c>
      <c r="H5604" s="594"/>
      <c r="I5604" s="595"/>
      <c r="J5604" s="599">
        <f t="shared" si="174"/>
        <v>0</v>
      </c>
      <c r="K5604" s="533"/>
      <c r="L5604" s="533"/>
      <c r="M5604" s="533"/>
      <c r="N5604" s="533"/>
      <c r="O5604" s="533"/>
      <c r="P5604" s="533"/>
      <c r="Q5604" s="533"/>
      <c r="R5604" s="533"/>
      <c r="S5604" s="533"/>
      <c r="T5604" s="533"/>
      <c r="U5604" s="533"/>
      <c r="V5604" s="533"/>
      <c r="W5604" s="533"/>
      <c r="X5604" s="533"/>
      <c r="Y5604" s="533"/>
    </row>
    <row r="5605" spans="1:25" s="88" customFormat="1" ht="15.75" hidden="1" customHeight="1" thickBot="1" x14ac:dyDescent="0.3">
      <c r="A5605" s="509"/>
      <c r="B5605" s="256"/>
      <c r="C5605" s="221"/>
      <c r="D5605" s="218"/>
      <c r="E5605" s="218"/>
      <c r="F5605" s="249" t="s">
        <v>263</v>
      </c>
      <c r="G5605" s="252" t="s">
        <v>264</v>
      </c>
      <c r="H5605" s="598"/>
      <c r="I5605" s="599"/>
      <c r="J5605" s="599">
        <f t="shared" si="174"/>
        <v>0</v>
      </c>
      <c r="K5605" s="533"/>
      <c r="L5605" s="533"/>
      <c r="M5605" s="533"/>
      <c r="N5605" s="533"/>
      <c r="O5605" s="533"/>
      <c r="P5605" s="533"/>
      <c r="Q5605" s="533"/>
      <c r="R5605" s="533"/>
      <c r="S5605" s="533"/>
      <c r="T5605" s="533"/>
      <c r="U5605" s="533"/>
      <c r="V5605" s="533"/>
      <c r="W5605" s="533"/>
      <c r="X5605" s="533"/>
      <c r="Y5605" s="533"/>
    </row>
    <row r="5606" spans="1:25" s="88" customFormat="1" ht="15.75" hidden="1" customHeight="1" thickBot="1" x14ac:dyDescent="0.3">
      <c r="A5606" s="509"/>
      <c r="B5606" s="256"/>
      <c r="C5606" s="221"/>
      <c r="D5606" s="218"/>
      <c r="E5606" s="218"/>
      <c r="F5606" s="218"/>
      <c r="G5606" s="229" t="s">
        <v>5052</v>
      </c>
      <c r="H5606" s="600">
        <f>SUM(H5573:H5588)</f>
        <v>0</v>
      </c>
      <c r="I5606" s="601">
        <f>SUM(I5574:I5588)</f>
        <v>0</v>
      </c>
      <c r="J5606" s="601">
        <f>SUM(J5573:J5588)</f>
        <v>0</v>
      </c>
      <c r="K5606" s="533"/>
      <c r="L5606" s="533"/>
      <c r="M5606" s="533"/>
      <c r="N5606" s="533"/>
      <c r="O5606" s="533"/>
      <c r="P5606" s="533"/>
      <c r="Q5606" s="533"/>
      <c r="R5606" s="533"/>
      <c r="S5606" s="533"/>
      <c r="T5606" s="533"/>
      <c r="U5606" s="533"/>
      <c r="V5606" s="533"/>
      <c r="W5606" s="533"/>
      <c r="X5606" s="533"/>
      <c r="Y5606" s="533"/>
    </row>
    <row r="5607" spans="1:25" s="88" customFormat="1" ht="15.75" hidden="1" customHeight="1" x14ac:dyDescent="0.25">
      <c r="A5607" s="509"/>
      <c r="B5607" s="256"/>
      <c r="C5607" s="221"/>
      <c r="D5607" s="218"/>
      <c r="E5607" s="218"/>
      <c r="F5607" s="218"/>
      <c r="G5607" s="230"/>
      <c r="H5607" s="594"/>
      <c r="I5607" s="595"/>
      <c r="J5607" s="595"/>
      <c r="K5607" s="533"/>
      <c r="L5607" s="533"/>
      <c r="M5607" s="533"/>
      <c r="N5607" s="533"/>
      <c r="O5607" s="533"/>
      <c r="P5607" s="533"/>
      <c r="Q5607" s="533"/>
      <c r="R5607" s="533"/>
      <c r="S5607" s="533"/>
      <c r="T5607" s="533"/>
      <c r="U5607" s="533"/>
      <c r="V5607" s="533"/>
      <c r="W5607" s="533"/>
      <c r="X5607" s="533"/>
      <c r="Y5607" s="533"/>
    </row>
    <row r="5608" spans="1:25" s="88" customFormat="1" ht="15.75" customHeight="1" x14ac:dyDescent="0.25">
      <c r="A5608" s="509"/>
      <c r="B5608" s="256"/>
      <c r="C5608" s="221"/>
      <c r="D5608" s="218"/>
      <c r="E5608" s="517"/>
      <c r="F5608" s="528"/>
      <c r="G5608" s="250" t="s">
        <v>4474</v>
      </c>
      <c r="H5608" s="606"/>
      <c r="I5608" s="624"/>
      <c r="J5608" s="607"/>
      <c r="K5608" s="533"/>
      <c r="L5608" s="533"/>
      <c r="M5608" s="533"/>
      <c r="N5608" s="533"/>
      <c r="O5608" s="533"/>
      <c r="P5608" s="533"/>
      <c r="Q5608" s="533"/>
      <c r="R5608" s="533"/>
      <c r="S5608" s="533"/>
      <c r="T5608" s="533"/>
      <c r="U5608" s="533"/>
      <c r="V5608" s="533"/>
      <c r="W5608" s="533"/>
      <c r="X5608" s="533"/>
      <c r="Y5608" s="533"/>
    </row>
    <row r="5609" spans="1:25" s="88" customFormat="1" ht="15.75" customHeight="1" thickBot="1" x14ac:dyDescent="0.3">
      <c r="A5609" s="509"/>
      <c r="B5609" s="256"/>
      <c r="C5609" s="221"/>
      <c r="D5609" s="218"/>
      <c r="E5609" s="222"/>
      <c r="F5609" s="249" t="s">
        <v>234</v>
      </c>
      <c r="G5609" s="252" t="s">
        <v>235</v>
      </c>
      <c r="H5609" s="598">
        <f>SUM(H5590,H5491,H5392)</f>
        <v>27000000</v>
      </c>
      <c r="I5609" s="599"/>
      <c r="J5609" s="599">
        <f t="shared" ref="J5609:J5624" si="175">SUM(H5609:I5609)</f>
        <v>27000000</v>
      </c>
      <c r="K5609" s="533"/>
      <c r="L5609" s="533"/>
      <c r="M5609" s="533"/>
      <c r="N5609" s="533"/>
      <c r="O5609" s="533"/>
      <c r="P5609" s="533"/>
      <c r="Q5609" s="533"/>
      <c r="R5609" s="533"/>
      <c r="S5609" s="533"/>
      <c r="T5609" s="533"/>
      <c r="U5609" s="533"/>
      <c r="V5609" s="533"/>
      <c r="W5609" s="533"/>
      <c r="X5609" s="533"/>
      <c r="Y5609" s="533"/>
    </row>
    <row r="5610" spans="1:25" s="88" customFormat="1" ht="15.75" hidden="1" customHeight="1" x14ac:dyDescent="0.25">
      <c r="A5610" s="509"/>
      <c r="B5610" s="256"/>
      <c r="C5610" s="221"/>
      <c r="D5610" s="218"/>
      <c r="E5610" s="218"/>
      <c r="F5610" s="249" t="s">
        <v>236</v>
      </c>
      <c r="G5610" s="252" t="s">
        <v>237</v>
      </c>
      <c r="H5610" s="594"/>
      <c r="I5610" s="595"/>
      <c r="J5610" s="599">
        <f t="shared" si="175"/>
        <v>0</v>
      </c>
      <c r="K5610" s="533"/>
      <c r="L5610" s="533"/>
      <c r="M5610" s="533"/>
      <c r="N5610" s="533"/>
      <c r="O5610" s="533"/>
      <c r="P5610" s="533"/>
      <c r="Q5610" s="533"/>
      <c r="R5610" s="533"/>
      <c r="S5610" s="533"/>
      <c r="T5610" s="533"/>
      <c r="U5610" s="533"/>
      <c r="V5610" s="533"/>
      <c r="W5610" s="533"/>
      <c r="X5610" s="533"/>
      <c r="Y5610" s="533"/>
    </row>
    <row r="5611" spans="1:25" s="88" customFormat="1" ht="15.75" hidden="1" customHeight="1" x14ac:dyDescent="0.25">
      <c r="A5611" s="509"/>
      <c r="B5611" s="256"/>
      <c r="C5611" s="221"/>
      <c r="D5611" s="218"/>
      <c r="E5611" s="218"/>
      <c r="F5611" s="249" t="s">
        <v>238</v>
      </c>
      <c r="G5611" s="252" t="s">
        <v>239</v>
      </c>
      <c r="H5611" s="594"/>
      <c r="I5611" s="595"/>
      <c r="J5611" s="599">
        <f t="shared" si="175"/>
        <v>0</v>
      </c>
      <c r="K5611" s="533"/>
      <c r="L5611" s="533"/>
      <c r="M5611" s="533"/>
      <c r="N5611" s="533"/>
      <c r="O5611" s="533"/>
      <c r="P5611" s="533"/>
      <c r="Q5611" s="533"/>
      <c r="R5611" s="533"/>
      <c r="S5611" s="533"/>
      <c r="T5611" s="533"/>
      <c r="U5611" s="533"/>
      <c r="V5611" s="533"/>
      <c r="W5611" s="533"/>
      <c r="X5611" s="533"/>
      <c r="Y5611" s="533"/>
    </row>
    <row r="5612" spans="1:25" s="88" customFormat="1" ht="15.75" hidden="1" customHeight="1" x14ac:dyDescent="0.25">
      <c r="A5612" s="509"/>
      <c r="B5612" s="256"/>
      <c r="C5612" s="221"/>
      <c r="D5612" s="218"/>
      <c r="E5612" s="218"/>
      <c r="F5612" s="249" t="s">
        <v>240</v>
      </c>
      <c r="G5612" s="252" t="s">
        <v>241</v>
      </c>
      <c r="H5612" s="594"/>
      <c r="I5612" s="595"/>
      <c r="J5612" s="599">
        <f t="shared" si="175"/>
        <v>0</v>
      </c>
      <c r="K5612" s="533"/>
      <c r="L5612" s="533"/>
      <c r="M5612" s="533"/>
      <c r="N5612" s="533"/>
      <c r="O5612" s="533"/>
      <c r="P5612" s="533"/>
      <c r="Q5612" s="533"/>
      <c r="R5612" s="533"/>
      <c r="S5612" s="533"/>
      <c r="T5612" s="533"/>
      <c r="U5612" s="533"/>
      <c r="V5612" s="533"/>
      <c r="W5612" s="533"/>
      <c r="X5612" s="533"/>
      <c r="Y5612" s="533"/>
    </row>
    <row r="5613" spans="1:25" s="88" customFormat="1" ht="15.75" hidden="1" customHeight="1" x14ac:dyDescent="0.25">
      <c r="A5613" s="509"/>
      <c r="B5613" s="256"/>
      <c r="C5613" s="221"/>
      <c r="D5613" s="218"/>
      <c r="E5613" s="218"/>
      <c r="F5613" s="249" t="s">
        <v>242</v>
      </c>
      <c r="G5613" s="252" t="s">
        <v>243</v>
      </c>
      <c r="H5613" s="594"/>
      <c r="I5613" s="595"/>
      <c r="J5613" s="599">
        <f t="shared" si="175"/>
        <v>0</v>
      </c>
      <c r="K5613" s="533"/>
      <c r="L5613" s="533"/>
      <c r="M5613" s="533"/>
      <c r="N5613" s="533"/>
      <c r="O5613" s="533"/>
      <c r="P5613" s="533"/>
      <c r="Q5613" s="533"/>
      <c r="R5613" s="533"/>
      <c r="S5613" s="533"/>
      <c r="T5613" s="533"/>
      <c r="U5613" s="533"/>
      <c r="V5613" s="533"/>
      <c r="W5613" s="533"/>
      <c r="X5613" s="533"/>
      <c r="Y5613" s="533"/>
    </row>
    <row r="5614" spans="1:25" s="88" customFormat="1" ht="15.75" hidden="1" customHeight="1" x14ac:dyDescent="0.25">
      <c r="A5614" s="509"/>
      <c r="B5614" s="256"/>
      <c r="C5614" s="221"/>
      <c r="D5614" s="218"/>
      <c r="E5614" s="218"/>
      <c r="F5614" s="249" t="s">
        <v>244</v>
      </c>
      <c r="G5614" s="252" t="s">
        <v>245</v>
      </c>
      <c r="H5614" s="594"/>
      <c r="I5614" s="595"/>
      <c r="J5614" s="599">
        <f t="shared" si="175"/>
        <v>0</v>
      </c>
      <c r="K5614" s="533"/>
      <c r="L5614" s="533"/>
      <c r="M5614" s="533"/>
      <c r="N5614" s="533"/>
      <c r="O5614" s="533"/>
      <c r="P5614" s="533"/>
      <c r="Q5614" s="533"/>
      <c r="R5614" s="533"/>
      <c r="S5614" s="533"/>
      <c r="T5614" s="533"/>
      <c r="U5614" s="533"/>
      <c r="V5614" s="533"/>
      <c r="W5614" s="533"/>
      <c r="X5614" s="533"/>
      <c r="Y5614" s="533"/>
    </row>
    <row r="5615" spans="1:25" s="88" customFormat="1" ht="15.75" hidden="1" customHeight="1" x14ac:dyDescent="0.25">
      <c r="A5615" s="509"/>
      <c r="B5615" s="256"/>
      <c r="C5615" s="221"/>
      <c r="D5615" s="218"/>
      <c r="E5615" s="218"/>
      <c r="F5615" s="249" t="s">
        <v>246</v>
      </c>
      <c r="G5615" s="252" t="s">
        <v>247</v>
      </c>
      <c r="H5615" s="594"/>
      <c r="I5615" s="595"/>
      <c r="J5615" s="599">
        <f t="shared" si="175"/>
        <v>0</v>
      </c>
      <c r="K5615" s="533"/>
      <c r="L5615" s="533"/>
      <c r="M5615" s="533"/>
      <c r="N5615" s="533"/>
      <c r="O5615" s="533"/>
      <c r="P5615" s="533"/>
      <c r="Q5615" s="533"/>
      <c r="R5615" s="533"/>
      <c r="S5615" s="533"/>
      <c r="T5615" s="533"/>
      <c r="U5615" s="533"/>
      <c r="V5615" s="533"/>
      <c r="W5615" s="533"/>
      <c r="X5615" s="533"/>
      <c r="Y5615" s="533"/>
    </row>
    <row r="5616" spans="1:25" s="88" customFormat="1" ht="15.75" hidden="1" customHeight="1" x14ac:dyDescent="0.25">
      <c r="A5616" s="509"/>
      <c r="B5616" s="256"/>
      <c r="C5616" s="221"/>
      <c r="D5616" s="218"/>
      <c r="E5616" s="218"/>
      <c r="F5616" s="249" t="s">
        <v>248</v>
      </c>
      <c r="G5616" s="252" t="s">
        <v>249</v>
      </c>
      <c r="H5616" s="594"/>
      <c r="I5616" s="595"/>
      <c r="J5616" s="599">
        <f t="shared" si="175"/>
        <v>0</v>
      </c>
      <c r="K5616" s="533"/>
      <c r="L5616" s="533"/>
      <c r="M5616" s="533"/>
      <c r="N5616" s="533"/>
      <c r="O5616" s="533"/>
      <c r="P5616" s="533"/>
      <c r="Q5616" s="533"/>
      <c r="R5616" s="533"/>
      <c r="S5616" s="533"/>
      <c r="T5616" s="533"/>
      <c r="U5616" s="533"/>
      <c r="V5616" s="533"/>
      <c r="W5616" s="533"/>
      <c r="X5616" s="533"/>
      <c r="Y5616" s="533"/>
    </row>
    <row r="5617" spans="1:25" s="88" customFormat="1" ht="15.75" hidden="1" customHeight="1" x14ac:dyDescent="0.25">
      <c r="A5617" s="509"/>
      <c r="B5617" s="256"/>
      <c r="C5617" s="221"/>
      <c r="D5617" s="218"/>
      <c r="E5617" s="218"/>
      <c r="F5617" s="249" t="s">
        <v>250</v>
      </c>
      <c r="G5617" s="252" t="s">
        <v>57</v>
      </c>
      <c r="H5617" s="594"/>
      <c r="I5617" s="595"/>
      <c r="J5617" s="599">
        <f t="shared" si="175"/>
        <v>0</v>
      </c>
      <c r="K5617" s="533"/>
      <c r="L5617" s="533"/>
      <c r="M5617" s="533"/>
      <c r="N5617" s="533"/>
      <c r="O5617" s="533"/>
      <c r="P5617" s="533"/>
      <c r="Q5617" s="533"/>
      <c r="R5617" s="533"/>
      <c r="S5617" s="533"/>
      <c r="T5617" s="533"/>
      <c r="U5617" s="533"/>
      <c r="V5617" s="533"/>
      <c r="W5617" s="533"/>
      <c r="X5617" s="533"/>
      <c r="Y5617" s="533"/>
    </row>
    <row r="5618" spans="1:25" s="88" customFormat="1" ht="15.75" hidden="1" customHeight="1" x14ac:dyDescent="0.25">
      <c r="A5618" s="509"/>
      <c r="B5618" s="256"/>
      <c r="C5618" s="221"/>
      <c r="D5618" s="218"/>
      <c r="E5618" s="218"/>
      <c r="F5618" s="249" t="s">
        <v>251</v>
      </c>
      <c r="G5618" s="252" t="s">
        <v>252</v>
      </c>
      <c r="H5618" s="594"/>
      <c r="I5618" s="595"/>
      <c r="J5618" s="599">
        <f t="shared" si="175"/>
        <v>0</v>
      </c>
      <c r="K5618" s="533"/>
      <c r="L5618" s="533"/>
      <c r="M5618" s="533"/>
      <c r="N5618" s="533"/>
      <c r="O5618" s="533"/>
      <c r="P5618" s="533"/>
      <c r="Q5618" s="533"/>
      <c r="R5618" s="533"/>
      <c r="S5618" s="533"/>
      <c r="T5618" s="533"/>
      <c r="U5618" s="533"/>
      <c r="V5618" s="533"/>
      <c r="W5618" s="533"/>
      <c r="X5618" s="533"/>
      <c r="Y5618" s="533"/>
    </row>
    <row r="5619" spans="1:25" s="88" customFormat="1" ht="15.75" hidden="1" customHeight="1" x14ac:dyDescent="0.25">
      <c r="A5619" s="509"/>
      <c r="B5619" s="256"/>
      <c r="C5619" s="221"/>
      <c r="D5619" s="218"/>
      <c r="E5619" s="218"/>
      <c r="F5619" s="249" t="s">
        <v>253</v>
      </c>
      <c r="G5619" s="252" t="s">
        <v>254</v>
      </c>
      <c r="H5619" s="594"/>
      <c r="I5619" s="595"/>
      <c r="J5619" s="599">
        <f t="shared" si="175"/>
        <v>0</v>
      </c>
      <c r="K5619" s="533"/>
      <c r="L5619" s="533"/>
      <c r="M5619" s="533"/>
      <c r="N5619" s="533"/>
      <c r="O5619" s="533"/>
      <c r="P5619" s="533"/>
      <c r="Q5619" s="533"/>
      <c r="R5619" s="533"/>
      <c r="S5619" s="533"/>
      <c r="T5619" s="533"/>
      <c r="U5619" s="533"/>
      <c r="V5619" s="533"/>
      <c r="W5619" s="533"/>
      <c r="X5619" s="533"/>
      <c r="Y5619" s="533"/>
    </row>
    <row r="5620" spans="1:25" s="88" customFormat="1" ht="15.75" hidden="1" customHeight="1" x14ac:dyDescent="0.25">
      <c r="A5620" s="509"/>
      <c r="B5620" s="256"/>
      <c r="C5620" s="221"/>
      <c r="D5620" s="218"/>
      <c r="E5620" s="218"/>
      <c r="F5620" s="249" t="s">
        <v>255</v>
      </c>
      <c r="G5620" s="252" t="s">
        <v>256</v>
      </c>
      <c r="H5620" s="594"/>
      <c r="I5620" s="595"/>
      <c r="J5620" s="599">
        <f t="shared" si="175"/>
        <v>0</v>
      </c>
      <c r="K5620" s="533"/>
      <c r="L5620" s="533"/>
      <c r="M5620" s="533"/>
      <c r="N5620" s="533"/>
      <c r="O5620" s="533"/>
      <c r="P5620" s="533"/>
      <c r="Q5620" s="533"/>
      <c r="R5620" s="533"/>
      <c r="S5620" s="533"/>
      <c r="T5620" s="533"/>
      <c r="U5620" s="533"/>
      <c r="V5620" s="533"/>
      <c r="W5620" s="533"/>
      <c r="X5620" s="533"/>
      <c r="Y5620" s="533"/>
    </row>
    <row r="5621" spans="1:25" s="88" customFormat="1" ht="15.75" hidden="1" customHeight="1" x14ac:dyDescent="0.25">
      <c r="A5621" s="509"/>
      <c r="B5621" s="256"/>
      <c r="C5621" s="221"/>
      <c r="D5621" s="218"/>
      <c r="E5621" s="218"/>
      <c r="F5621" s="249" t="s">
        <v>257</v>
      </c>
      <c r="G5621" s="252" t="s">
        <v>258</v>
      </c>
      <c r="H5621" s="594"/>
      <c r="I5621" s="595"/>
      <c r="J5621" s="599">
        <f t="shared" si="175"/>
        <v>0</v>
      </c>
      <c r="K5621" s="533"/>
      <c r="L5621" s="533"/>
      <c r="M5621" s="533"/>
      <c r="N5621" s="533"/>
      <c r="O5621" s="533"/>
      <c r="P5621" s="533"/>
      <c r="Q5621" s="533"/>
      <c r="R5621" s="533"/>
      <c r="S5621" s="533"/>
      <c r="T5621" s="533"/>
      <c r="U5621" s="533"/>
      <c r="V5621" s="533"/>
      <c r="W5621" s="533"/>
      <c r="X5621" s="533"/>
      <c r="Y5621" s="533"/>
    </row>
    <row r="5622" spans="1:25" s="88" customFormat="1" ht="15.75" hidden="1" customHeight="1" x14ac:dyDescent="0.25">
      <c r="A5622" s="509"/>
      <c r="B5622" s="256"/>
      <c r="C5622" s="221"/>
      <c r="D5622" s="218"/>
      <c r="E5622" s="218"/>
      <c r="F5622" s="249" t="s">
        <v>259</v>
      </c>
      <c r="G5622" s="252" t="s">
        <v>260</v>
      </c>
      <c r="H5622" s="594"/>
      <c r="I5622" s="595"/>
      <c r="J5622" s="599">
        <f t="shared" si="175"/>
        <v>0</v>
      </c>
      <c r="K5622" s="533"/>
      <c r="L5622" s="533"/>
      <c r="M5622" s="533"/>
      <c r="N5622" s="533"/>
      <c r="O5622" s="533"/>
      <c r="P5622" s="533"/>
      <c r="Q5622" s="533"/>
      <c r="R5622" s="533"/>
      <c r="S5622" s="533"/>
      <c r="T5622" s="533"/>
      <c r="U5622" s="533"/>
      <c r="V5622" s="533"/>
      <c r="W5622" s="533"/>
      <c r="X5622" s="533"/>
      <c r="Y5622" s="533"/>
    </row>
    <row r="5623" spans="1:25" s="88" customFormat="1" ht="15.75" hidden="1" customHeight="1" x14ac:dyDescent="0.25">
      <c r="A5623" s="509"/>
      <c r="B5623" s="256"/>
      <c r="C5623" s="221"/>
      <c r="D5623" s="218"/>
      <c r="E5623" s="218"/>
      <c r="F5623" s="249" t="s">
        <v>261</v>
      </c>
      <c r="G5623" s="252" t="s">
        <v>262</v>
      </c>
      <c r="H5623" s="594"/>
      <c r="I5623" s="595"/>
      <c r="J5623" s="599">
        <f t="shared" si="175"/>
        <v>0</v>
      </c>
      <c r="K5623" s="533"/>
      <c r="L5623" s="533"/>
      <c r="M5623" s="533"/>
      <c r="N5623" s="533"/>
      <c r="O5623" s="533"/>
      <c r="P5623" s="533"/>
      <c r="Q5623" s="533"/>
      <c r="R5623" s="533"/>
      <c r="S5623" s="533"/>
      <c r="T5623" s="533"/>
      <c r="U5623" s="533"/>
      <c r="V5623" s="533"/>
      <c r="W5623" s="533"/>
      <c r="X5623" s="533"/>
      <c r="Y5623" s="533"/>
    </row>
    <row r="5624" spans="1:25" s="88" customFormat="1" ht="15.75" hidden="1" customHeight="1" thickBot="1" x14ac:dyDescent="0.3">
      <c r="A5624" s="509"/>
      <c r="B5624" s="256"/>
      <c r="C5624" s="221"/>
      <c r="D5624" s="218"/>
      <c r="E5624" s="218"/>
      <c r="F5624" s="249" t="s">
        <v>263</v>
      </c>
      <c r="G5624" s="252" t="s">
        <v>264</v>
      </c>
      <c r="H5624" s="598"/>
      <c r="I5624" s="599"/>
      <c r="J5624" s="599">
        <f t="shared" si="175"/>
        <v>0</v>
      </c>
      <c r="K5624" s="533"/>
      <c r="L5624" s="533"/>
      <c r="M5624" s="533"/>
      <c r="N5624" s="533"/>
      <c r="O5624" s="533"/>
      <c r="P5624" s="533"/>
      <c r="Q5624" s="533"/>
      <c r="R5624" s="533"/>
      <c r="S5624" s="533"/>
      <c r="T5624" s="533"/>
      <c r="U5624" s="533"/>
      <c r="V5624" s="533"/>
      <c r="W5624" s="533"/>
      <c r="X5624" s="533"/>
      <c r="Y5624" s="533"/>
    </row>
    <row r="5625" spans="1:25" s="88" customFormat="1" ht="15.75" customHeight="1" thickBot="1" x14ac:dyDescent="0.3">
      <c r="A5625" s="509"/>
      <c r="B5625" s="256"/>
      <c r="C5625" s="221"/>
      <c r="D5625" s="218"/>
      <c r="E5625" s="218"/>
      <c r="F5625" s="218"/>
      <c r="G5625" s="229" t="s">
        <v>4475</v>
      </c>
      <c r="H5625" s="600">
        <f>SUM(H5609:H5624)</f>
        <v>27000000</v>
      </c>
      <c r="I5625" s="601">
        <f>SUM(I5610:I5624)</f>
        <v>0</v>
      </c>
      <c r="J5625" s="601">
        <f>SUM(J5609:J5624)</f>
        <v>27000000</v>
      </c>
      <c r="K5625" s="533"/>
      <c r="L5625" s="533"/>
      <c r="M5625" s="533"/>
      <c r="N5625" s="533"/>
      <c r="O5625" s="533"/>
      <c r="P5625" s="533"/>
      <c r="Q5625" s="533"/>
      <c r="R5625" s="533"/>
      <c r="S5625" s="533"/>
      <c r="T5625" s="533"/>
      <c r="U5625" s="533"/>
      <c r="V5625" s="533"/>
      <c r="W5625" s="533"/>
      <c r="X5625" s="533"/>
      <c r="Y5625" s="533"/>
    </row>
    <row r="5626" spans="1:25" s="88" customFormat="1" ht="15.75" customHeight="1" x14ac:dyDescent="0.25">
      <c r="A5626" s="509"/>
      <c r="B5626" s="256"/>
      <c r="C5626" s="221"/>
      <c r="D5626" s="218"/>
      <c r="E5626" s="218"/>
      <c r="F5626" s="218"/>
      <c r="G5626" s="230"/>
      <c r="H5626" s="594"/>
      <c r="I5626" s="595"/>
      <c r="J5626" s="595"/>
      <c r="K5626" s="533"/>
      <c r="L5626" s="533"/>
      <c r="M5626" s="533"/>
      <c r="N5626" s="533"/>
      <c r="O5626" s="533"/>
      <c r="P5626" s="533"/>
      <c r="Q5626" s="533"/>
      <c r="R5626" s="533"/>
      <c r="S5626" s="533"/>
      <c r="T5626" s="533"/>
      <c r="U5626" s="533"/>
      <c r="V5626" s="533"/>
      <c r="W5626" s="533"/>
      <c r="X5626" s="533"/>
      <c r="Y5626" s="533"/>
    </row>
    <row r="5627" spans="1:25" s="88" customFormat="1" ht="15.75" customHeight="1" x14ac:dyDescent="0.25">
      <c r="A5627" s="509"/>
      <c r="B5627" s="256"/>
      <c r="C5627" s="221"/>
      <c r="D5627" s="218"/>
      <c r="E5627" s="517"/>
      <c r="F5627" s="528"/>
      <c r="G5627" s="250" t="s">
        <v>5199</v>
      </c>
      <c r="H5627" s="606"/>
      <c r="I5627" s="624"/>
      <c r="J5627" s="607"/>
      <c r="K5627" s="533"/>
      <c r="L5627" s="533"/>
      <c r="M5627" s="533"/>
      <c r="N5627" s="533"/>
      <c r="O5627" s="533"/>
      <c r="P5627" s="533"/>
      <c r="Q5627" s="533"/>
      <c r="R5627" s="533"/>
      <c r="S5627" s="533"/>
      <c r="T5627" s="533"/>
      <c r="U5627" s="533"/>
      <c r="V5627" s="533"/>
      <c r="W5627" s="533"/>
      <c r="X5627" s="533"/>
      <c r="Y5627" s="533"/>
    </row>
    <row r="5628" spans="1:25" s="88" customFormat="1" ht="15.75" customHeight="1" thickBot="1" x14ac:dyDescent="0.3">
      <c r="A5628" s="509"/>
      <c r="B5628" s="256"/>
      <c r="C5628" s="221"/>
      <c r="D5628" s="218"/>
      <c r="E5628" s="222"/>
      <c r="F5628" s="249" t="s">
        <v>234</v>
      </c>
      <c r="G5628" s="252" t="s">
        <v>235</v>
      </c>
      <c r="H5628" s="598">
        <f>SUM(H5625,H5284,H5099,H4782,H4464,H4245,H3438,H2345)</f>
        <v>264119000</v>
      </c>
      <c r="I5628" s="599"/>
      <c r="J5628" s="599">
        <f t="shared" ref="J5628:J5643" si="176">SUM(H5628:I5628)</f>
        <v>264119000</v>
      </c>
      <c r="K5628" s="533"/>
      <c r="L5628" s="533"/>
      <c r="M5628" s="533"/>
      <c r="N5628" s="533"/>
      <c r="O5628" s="533"/>
      <c r="P5628" s="533"/>
      <c r="Q5628" s="533"/>
      <c r="R5628" s="533"/>
      <c r="S5628" s="533"/>
      <c r="T5628" s="533"/>
      <c r="U5628" s="533"/>
      <c r="V5628" s="533"/>
      <c r="W5628" s="533"/>
      <c r="X5628" s="533"/>
      <c r="Y5628" s="533"/>
    </row>
    <row r="5629" spans="1:25" s="88" customFormat="1" ht="15.75" hidden="1" customHeight="1" x14ac:dyDescent="0.25">
      <c r="A5629" s="509"/>
      <c r="B5629" s="256"/>
      <c r="C5629" s="221"/>
      <c r="D5629" s="218"/>
      <c r="E5629" s="218"/>
      <c r="F5629" s="249" t="s">
        <v>236</v>
      </c>
      <c r="G5629" s="252" t="s">
        <v>237</v>
      </c>
      <c r="H5629" s="594"/>
      <c r="I5629" s="595"/>
      <c r="J5629" s="599">
        <f t="shared" si="176"/>
        <v>0</v>
      </c>
      <c r="K5629" s="533"/>
      <c r="L5629" s="533"/>
      <c r="M5629" s="533"/>
      <c r="N5629" s="533"/>
      <c r="O5629" s="533"/>
      <c r="P5629" s="533"/>
      <c r="Q5629" s="533"/>
      <c r="R5629" s="533"/>
      <c r="S5629" s="533"/>
      <c r="T5629" s="533"/>
      <c r="U5629" s="533"/>
      <c r="V5629" s="533"/>
      <c r="W5629" s="533"/>
      <c r="X5629" s="533"/>
      <c r="Y5629" s="533"/>
    </row>
    <row r="5630" spans="1:25" s="88" customFormat="1" ht="15.75" hidden="1" customHeight="1" x14ac:dyDescent="0.25">
      <c r="A5630" s="509"/>
      <c r="B5630" s="256"/>
      <c r="C5630" s="221"/>
      <c r="D5630" s="218"/>
      <c r="E5630" s="218"/>
      <c r="F5630" s="249" t="s">
        <v>238</v>
      </c>
      <c r="G5630" s="252" t="s">
        <v>239</v>
      </c>
      <c r="H5630" s="594"/>
      <c r="I5630" s="595"/>
      <c r="J5630" s="599">
        <f t="shared" si="176"/>
        <v>0</v>
      </c>
      <c r="K5630" s="533"/>
      <c r="L5630" s="533"/>
      <c r="M5630" s="533"/>
      <c r="N5630" s="533"/>
      <c r="O5630" s="533"/>
      <c r="P5630" s="533"/>
      <c r="Q5630" s="533"/>
      <c r="R5630" s="533"/>
      <c r="S5630" s="533"/>
      <c r="T5630" s="533"/>
      <c r="U5630" s="533"/>
      <c r="V5630" s="533"/>
      <c r="W5630" s="533"/>
      <c r="X5630" s="533"/>
      <c r="Y5630" s="533"/>
    </row>
    <row r="5631" spans="1:25" s="88" customFormat="1" ht="15.75" hidden="1" customHeight="1" x14ac:dyDescent="0.25">
      <c r="A5631" s="509"/>
      <c r="B5631" s="256"/>
      <c r="C5631" s="221"/>
      <c r="D5631" s="218"/>
      <c r="E5631" s="218"/>
      <c r="F5631" s="249" t="s">
        <v>240</v>
      </c>
      <c r="G5631" s="252" t="s">
        <v>241</v>
      </c>
      <c r="H5631" s="594"/>
      <c r="I5631" s="595"/>
      <c r="J5631" s="599">
        <f t="shared" si="176"/>
        <v>0</v>
      </c>
      <c r="K5631" s="533"/>
      <c r="L5631" s="533"/>
      <c r="M5631" s="533"/>
      <c r="N5631" s="533"/>
      <c r="O5631" s="533"/>
      <c r="P5631" s="533"/>
      <c r="Q5631" s="533"/>
      <c r="R5631" s="533"/>
      <c r="S5631" s="533"/>
      <c r="T5631" s="533"/>
      <c r="U5631" s="533"/>
      <c r="V5631" s="533"/>
      <c r="W5631" s="533"/>
      <c r="X5631" s="533"/>
      <c r="Y5631" s="533"/>
    </row>
    <row r="5632" spans="1:25" s="88" customFormat="1" ht="15.75" hidden="1" customHeight="1" x14ac:dyDescent="0.25">
      <c r="A5632" s="509"/>
      <c r="B5632" s="256"/>
      <c r="C5632" s="221"/>
      <c r="D5632" s="218"/>
      <c r="E5632" s="218"/>
      <c r="F5632" s="249" t="s">
        <v>242</v>
      </c>
      <c r="G5632" s="252" t="s">
        <v>243</v>
      </c>
      <c r="H5632" s="594"/>
      <c r="I5632" s="595"/>
      <c r="J5632" s="599">
        <f t="shared" si="176"/>
        <v>0</v>
      </c>
      <c r="K5632" s="533"/>
      <c r="L5632" s="533"/>
      <c r="M5632" s="533"/>
      <c r="N5632" s="533"/>
      <c r="O5632" s="533"/>
      <c r="P5632" s="533"/>
      <c r="Q5632" s="533"/>
      <c r="R5632" s="533"/>
      <c r="S5632" s="533"/>
      <c r="T5632" s="533"/>
      <c r="U5632" s="533"/>
      <c r="V5632" s="533"/>
      <c r="W5632" s="533"/>
      <c r="X5632" s="533"/>
      <c r="Y5632" s="533"/>
    </row>
    <row r="5633" spans="1:25" s="88" customFormat="1" ht="15.75" hidden="1" customHeight="1" x14ac:dyDescent="0.25">
      <c r="A5633" s="509"/>
      <c r="B5633" s="256"/>
      <c r="C5633" s="221"/>
      <c r="D5633" s="218"/>
      <c r="E5633" s="218"/>
      <c r="F5633" s="249" t="s">
        <v>244</v>
      </c>
      <c r="G5633" s="252" t="s">
        <v>245</v>
      </c>
      <c r="H5633" s="594"/>
      <c r="I5633" s="595"/>
      <c r="J5633" s="599">
        <f t="shared" si="176"/>
        <v>0</v>
      </c>
      <c r="K5633" s="533"/>
      <c r="L5633" s="533"/>
      <c r="M5633" s="533"/>
      <c r="N5633" s="533"/>
      <c r="O5633" s="533"/>
      <c r="P5633" s="533"/>
      <c r="Q5633" s="533"/>
      <c r="R5633" s="533"/>
      <c r="S5633" s="533"/>
      <c r="T5633" s="533"/>
      <c r="U5633" s="533"/>
      <c r="V5633" s="533"/>
      <c r="W5633" s="533"/>
      <c r="X5633" s="533"/>
      <c r="Y5633" s="533"/>
    </row>
    <row r="5634" spans="1:25" s="88" customFormat="1" ht="15.75" hidden="1" customHeight="1" x14ac:dyDescent="0.25">
      <c r="A5634" s="509"/>
      <c r="B5634" s="256"/>
      <c r="C5634" s="221"/>
      <c r="D5634" s="218"/>
      <c r="E5634" s="218"/>
      <c r="F5634" s="249" t="s">
        <v>246</v>
      </c>
      <c r="G5634" s="252" t="s">
        <v>247</v>
      </c>
      <c r="H5634" s="594"/>
      <c r="I5634" s="595"/>
      <c r="J5634" s="599">
        <f t="shared" si="176"/>
        <v>0</v>
      </c>
      <c r="K5634" s="533"/>
      <c r="L5634" s="533"/>
      <c r="M5634" s="533"/>
      <c r="N5634" s="533"/>
      <c r="O5634" s="533"/>
      <c r="P5634" s="533"/>
      <c r="Q5634" s="533"/>
      <c r="R5634" s="533"/>
      <c r="S5634" s="533"/>
      <c r="T5634" s="533"/>
      <c r="U5634" s="533"/>
      <c r="V5634" s="533"/>
      <c r="W5634" s="533"/>
      <c r="X5634" s="533"/>
      <c r="Y5634" s="533"/>
    </row>
    <row r="5635" spans="1:25" s="88" customFormat="1" ht="15.75" hidden="1" customHeight="1" x14ac:dyDescent="0.25">
      <c r="A5635" s="509"/>
      <c r="B5635" s="256"/>
      <c r="C5635" s="221"/>
      <c r="D5635" s="218"/>
      <c r="E5635" s="218"/>
      <c r="F5635" s="249" t="s">
        <v>248</v>
      </c>
      <c r="G5635" s="252" t="s">
        <v>249</v>
      </c>
      <c r="H5635" s="594"/>
      <c r="I5635" s="595"/>
      <c r="J5635" s="599">
        <f t="shared" si="176"/>
        <v>0</v>
      </c>
      <c r="K5635" s="533"/>
      <c r="L5635" s="533"/>
      <c r="M5635" s="533"/>
      <c r="N5635" s="533"/>
      <c r="O5635" s="533"/>
      <c r="P5635" s="533"/>
      <c r="Q5635" s="533"/>
      <c r="R5635" s="533"/>
      <c r="S5635" s="533"/>
      <c r="T5635" s="533"/>
      <c r="U5635" s="533"/>
      <c r="V5635" s="533"/>
      <c r="W5635" s="533"/>
      <c r="X5635" s="533"/>
      <c r="Y5635" s="533"/>
    </row>
    <row r="5636" spans="1:25" s="88" customFormat="1" ht="15.75" hidden="1" customHeight="1" x14ac:dyDescent="0.25">
      <c r="A5636" s="509"/>
      <c r="B5636" s="256"/>
      <c r="C5636" s="221"/>
      <c r="D5636" s="218"/>
      <c r="E5636" s="218"/>
      <c r="F5636" s="249" t="s">
        <v>250</v>
      </c>
      <c r="G5636" s="252" t="s">
        <v>57</v>
      </c>
      <c r="H5636" s="594"/>
      <c r="I5636" s="595"/>
      <c r="J5636" s="599">
        <f t="shared" si="176"/>
        <v>0</v>
      </c>
      <c r="K5636" s="533"/>
      <c r="L5636" s="533"/>
      <c r="M5636" s="533"/>
      <c r="N5636" s="533"/>
      <c r="O5636" s="533"/>
      <c r="P5636" s="533"/>
      <c r="Q5636" s="533"/>
      <c r="R5636" s="533"/>
      <c r="S5636" s="533"/>
      <c r="T5636" s="533"/>
      <c r="U5636" s="533"/>
      <c r="V5636" s="533"/>
      <c r="W5636" s="533"/>
      <c r="X5636" s="533"/>
      <c r="Y5636" s="533"/>
    </row>
    <row r="5637" spans="1:25" s="88" customFormat="1" ht="15.75" hidden="1" customHeight="1" x14ac:dyDescent="0.25">
      <c r="A5637" s="509"/>
      <c r="B5637" s="256"/>
      <c r="C5637" s="221"/>
      <c r="D5637" s="218"/>
      <c r="E5637" s="218"/>
      <c r="F5637" s="249" t="s">
        <v>251</v>
      </c>
      <c r="G5637" s="252" t="s">
        <v>252</v>
      </c>
      <c r="H5637" s="594"/>
      <c r="I5637" s="595"/>
      <c r="J5637" s="599">
        <f t="shared" si="176"/>
        <v>0</v>
      </c>
      <c r="K5637" s="533"/>
      <c r="L5637" s="533"/>
      <c r="M5637" s="533"/>
      <c r="N5637" s="533"/>
      <c r="O5637" s="533"/>
      <c r="P5637" s="533"/>
      <c r="Q5637" s="533"/>
      <c r="R5637" s="533"/>
      <c r="S5637" s="533"/>
      <c r="T5637" s="533"/>
      <c r="U5637" s="533"/>
      <c r="V5637" s="533"/>
      <c r="W5637" s="533"/>
      <c r="X5637" s="533"/>
      <c r="Y5637" s="533"/>
    </row>
    <row r="5638" spans="1:25" s="88" customFormat="1" ht="15.75" hidden="1" customHeight="1" x14ac:dyDescent="0.25">
      <c r="A5638" s="509"/>
      <c r="B5638" s="256"/>
      <c r="C5638" s="221"/>
      <c r="D5638" s="218"/>
      <c r="E5638" s="218"/>
      <c r="F5638" s="249" t="s">
        <v>253</v>
      </c>
      <c r="G5638" s="252" t="s">
        <v>254</v>
      </c>
      <c r="H5638" s="594"/>
      <c r="I5638" s="595"/>
      <c r="J5638" s="599">
        <f t="shared" si="176"/>
        <v>0</v>
      </c>
      <c r="K5638" s="533"/>
      <c r="L5638" s="533"/>
      <c r="M5638" s="533"/>
      <c r="N5638" s="533"/>
      <c r="O5638" s="533"/>
      <c r="P5638" s="533"/>
      <c r="Q5638" s="533"/>
      <c r="R5638" s="533"/>
      <c r="S5638" s="533"/>
      <c r="T5638" s="533"/>
      <c r="U5638" s="533"/>
      <c r="V5638" s="533"/>
      <c r="W5638" s="533"/>
      <c r="X5638" s="533"/>
      <c r="Y5638" s="533"/>
    </row>
    <row r="5639" spans="1:25" s="88" customFormat="1" ht="15.75" hidden="1" customHeight="1" x14ac:dyDescent="0.25">
      <c r="A5639" s="509"/>
      <c r="B5639" s="256"/>
      <c r="C5639" s="221"/>
      <c r="D5639" s="218"/>
      <c r="E5639" s="218"/>
      <c r="F5639" s="249" t="s">
        <v>255</v>
      </c>
      <c r="G5639" s="252" t="s">
        <v>256</v>
      </c>
      <c r="H5639" s="594"/>
      <c r="I5639" s="595"/>
      <c r="J5639" s="599">
        <f t="shared" si="176"/>
        <v>0</v>
      </c>
      <c r="K5639" s="533"/>
      <c r="L5639" s="533"/>
      <c r="M5639" s="533"/>
      <c r="N5639" s="533"/>
      <c r="O5639" s="533"/>
      <c r="P5639" s="533"/>
      <c r="Q5639" s="533"/>
      <c r="R5639" s="533"/>
      <c r="S5639" s="533"/>
      <c r="T5639" s="533"/>
      <c r="U5639" s="533"/>
      <c r="V5639" s="533"/>
      <c r="W5639" s="533"/>
      <c r="X5639" s="533"/>
      <c r="Y5639" s="533"/>
    </row>
    <row r="5640" spans="1:25" s="88" customFormat="1" ht="15.75" hidden="1" customHeight="1" x14ac:dyDescent="0.25">
      <c r="A5640" s="509"/>
      <c r="B5640" s="256"/>
      <c r="C5640" s="221"/>
      <c r="D5640" s="218"/>
      <c r="E5640" s="218"/>
      <c r="F5640" s="249" t="s">
        <v>257</v>
      </c>
      <c r="G5640" s="252" t="s">
        <v>258</v>
      </c>
      <c r="H5640" s="594"/>
      <c r="I5640" s="595"/>
      <c r="J5640" s="599">
        <f t="shared" si="176"/>
        <v>0</v>
      </c>
      <c r="K5640" s="533"/>
      <c r="L5640" s="533"/>
      <c r="M5640" s="533"/>
      <c r="N5640" s="533"/>
      <c r="O5640" s="533"/>
      <c r="P5640" s="533"/>
      <c r="Q5640" s="533"/>
      <c r="R5640" s="533"/>
      <c r="S5640" s="533"/>
      <c r="T5640" s="533"/>
      <c r="U5640" s="533"/>
      <c r="V5640" s="533"/>
      <c r="W5640" s="533"/>
      <c r="X5640" s="533"/>
      <c r="Y5640" s="533"/>
    </row>
    <row r="5641" spans="1:25" s="88" customFormat="1" ht="15.75" hidden="1" customHeight="1" x14ac:dyDescent="0.25">
      <c r="A5641" s="509"/>
      <c r="B5641" s="256"/>
      <c r="C5641" s="221"/>
      <c r="D5641" s="218"/>
      <c r="E5641" s="218"/>
      <c r="F5641" s="249" t="s">
        <v>259</v>
      </c>
      <c r="G5641" s="252" t="s">
        <v>260</v>
      </c>
      <c r="H5641" s="594"/>
      <c r="I5641" s="595"/>
      <c r="J5641" s="599">
        <f t="shared" si="176"/>
        <v>0</v>
      </c>
      <c r="K5641" s="533"/>
      <c r="L5641" s="533"/>
      <c r="M5641" s="533"/>
      <c r="N5641" s="533"/>
      <c r="O5641" s="533"/>
      <c r="P5641" s="533"/>
      <c r="Q5641" s="533"/>
      <c r="R5641" s="533"/>
      <c r="S5641" s="533"/>
      <c r="T5641" s="533"/>
      <c r="U5641" s="533"/>
      <c r="V5641" s="533"/>
      <c r="W5641" s="533"/>
      <c r="X5641" s="533"/>
      <c r="Y5641" s="533"/>
    </row>
    <row r="5642" spans="1:25" s="88" customFormat="1" ht="15.75" hidden="1" customHeight="1" x14ac:dyDescent="0.25">
      <c r="A5642" s="509"/>
      <c r="B5642" s="256"/>
      <c r="C5642" s="221"/>
      <c r="D5642" s="218"/>
      <c r="E5642" s="218"/>
      <c r="F5642" s="249" t="s">
        <v>261</v>
      </c>
      <c r="G5642" s="252" t="s">
        <v>262</v>
      </c>
      <c r="H5642" s="594"/>
      <c r="I5642" s="595"/>
      <c r="J5642" s="599">
        <f t="shared" si="176"/>
        <v>0</v>
      </c>
      <c r="K5642" s="533"/>
      <c r="L5642" s="533"/>
      <c r="M5642" s="533"/>
      <c r="N5642" s="533"/>
      <c r="O5642" s="533"/>
      <c r="P5642" s="533"/>
      <c r="Q5642" s="533"/>
      <c r="R5642" s="533"/>
      <c r="S5642" s="533"/>
      <c r="T5642" s="533"/>
      <c r="U5642" s="533"/>
      <c r="V5642" s="533"/>
      <c r="W5642" s="533"/>
      <c r="X5642" s="533"/>
      <c r="Y5642" s="533"/>
    </row>
    <row r="5643" spans="1:25" s="88" customFormat="1" ht="15.75" hidden="1" customHeight="1" thickBot="1" x14ac:dyDescent="0.3">
      <c r="A5643" s="509"/>
      <c r="B5643" s="256"/>
      <c r="C5643" s="221"/>
      <c r="D5643" s="218"/>
      <c r="E5643" s="218"/>
      <c r="F5643" s="249" t="s">
        <v>263</v>
      </c>
      <c r="G5643" s="252" t="s">
        <v>264</v>
      </c>
      <c r="H5643" s="598"/>
      <c r="I5643" s="599"/>
      <c r="J5643" s="599">
        <f t="shared" si="176"/>
        <v>0</v>
      </c>
      <c r="K5643" s="533"/>
      <c r="L5643" s="533"/>
      <c r="M5643" s="533"/>
      <c r="N5643" s="533"/>
      <c r="O5643" s="533"/>
      <c r="P5643" s="533"/>
      <c r="Q5643" s="533"/>
      <c r="R5643" s="533"/>
      <c r="S5643" s="533"/>
      <c r="T5643" s="533"/>
      <c r="U5643" s="533"/>
      <c r="V5643" s="533"/>
      <c r="W5643" s="533"/>
      <c r="X5643" s="533"/>
      <c r="Y5643" s="533"/>
    </row>
    <row r="5644" spans="1:25" s="88" customFormat="1" ht="15.75" customHeight="1" thickBot="1" x14ac:dyDescent="0.3">
      <c r="A5644" s="509"/>
      <c r="B5644" s="256"/>
      <c r="C5644" s="221"/>
      <c r="D5644" s="218"/>
      <c r="E5644" s="218"/>
      <c r="F5644" s="218"/>
      <c r="G5644" s="229" t="s">
        <v>5200</v>
      </c>
      <c r="H5644" s="600">
        <f>SUM(H5625,H5284,H5099,H4782,H4464,H4245,H3438,H2345)</f>
        <v>264119000</v>
      </c>
      <c r="I5644" s="601">
        <f>SUM(I5629:I5643)</f>
        <v>0</v>
      </c>
      <c r="J5644" s="601">
        <f>SUM(J5628:J5643)</f>
        <v>264119000</v>
      </c>
      <c r="K5644" s="533"/>
      <c r="L5644" s="533"/>
      <c r="M5644" s="533"/>
      <c r="N5644" s="533"/>
      <c r="O5644" s="533"/>
      <c r="P5644" s="533"/>
      <c r="Q5644" s="533"/>
      <c r="R5644" s="533"/>
      <c r="S5644" s="533"/>
      <c r="T5644" s="533"/>
      <c r="U5644" s="533"/>
      <c r="V5644" s="533"/>
      <c r="W5644" s="533"/>
      <c r="X5644" s="533"/>
      <c r="Y5644" s="533"/>
    </row>
    <row r="5645" spans="1:25" s="88" customFormat="1" ht="15.75" hidden="1" customHeight="1" x14ac:dyDescent="0.25">
      <c r="A5645" s="509"/>
      <c r="B5645" s="256"/>
      <c r="C5645" s="316"/>
      <c r="D5645" s="251"/>
      <c r="E5645" s="251"/>
      <c r="F5645" s="257"/>
      <c r="G5645" s="518"/>
      <c r="H5645" s="627"/>
      <c r="I5645" s="610"/>
      <c r="J5645" s="628"/>
      <c r="K5645" s="533"/>
      <c r="L5645" s="533"/>
      <c r="M5645" s="533"/>
      <c r="N5645" s="533"/>
      <c r="O5645" s="533"/>
      <c r="P5645" s="533"/>
      <c r="Q5645" s="533"/>
      <c r="R5645" s="533"/>
      <c r="S5645" s="533"/>
      <c r="T5645" s="533"/>
      <c r="U5645" s="533"/>
      <c r="V5645" s="533"/>
      <c r="W5645" s="533"/>
      <c r="X5645" s="533"/>
      <c r="Y5645" s="533"/>
    </row>
    <row r="5646" spans="1:25" s="88" customFormat="1" ht="15.75" hidden="1" customHeight="1" x14ac:dyDescent="0.25">
      <c r="A5646" s="509"/>
      <c r="B5646" s="256"/>
      <c r="C5646" s="316"/>
      <c r="D5646" s="251"/>
      <c r="E5646" s="251"/>
      <c r="F5646" s="257"/>
      <c r="G5646" s="518"/>
      <c r="H5646" s="627"/>
      <c r="I5646" s="610"/>
      <c r="J5646" s="628"/>
      <c r="K5646" s="533"/>
      <c r="L5646" s="533"/>
      <c r="M5646" s="533"/>
      <c r="N5646" s="533"/>
      <c r="O5646" s="533"/>
      <c r="P5646" s="533"/>
      <c r="Q5646" s="533"/>
      <c r="R5646" s="533"/>
      <c r="S5646" s="533"/>
      <c r="T5646" s="533"/>
      <c r="U5646" s="533"/>
      <c r="V5646" s="533"/>
      <c r="W5646" s="533"/>
      <c r="X5646" s="533"/>
      <c r="Y5646" s="533"/>
    </row>
    <row r="5647" spans="1:25" s="88" customFormat="1" ht="15.75" hidden="1" customHeight="1" x14ac:dyDescent="0.25">
      <c r="A5647" s="509"/>
      <c r="B5647" s="256"/>
      <c r="C5647" s="316"/>
      <c r="D5647" s="251"/>
      <c r="E5647" s="251"/>
      <c r="F5647" s="257"/>
      <c r="G5647" s="518"/>
      <c r="H5647" s="627"/>
      <c r="I5647" s="610"/>
      <c r="J5647" s="628"/>
      <c r="K5647" s="533"/>
      <c r="L5647" s="533"/>
      <c r="M5647" s="533"/>
      <c r="N5647" s="533"/>
      <c r="O5647" s="533"/>
      <c r="P5647" s="533"/>
      <c r="Q5647" s="533"/>
      <c r="R5647" s="533"/>
      <c r="S5647" s="533"/>
      <c r="T5647" s="533"/>
      <c r="U5647" s="533"/>
      <c r="V5647" s="533"/>
      <c r="W5647" s="533"/>
      <c r="X5647" s="533"/>
      <c r="Y5647" s="533"/>
    </row>
    <row r="5648" spans="1:25" s="88" customFormat="1" ht="15.75" hidden="1" customHeight="1" x14ac:dyDescent="0.25">
      <c r="A5648" s="509"/>
      <c r="B5648" s="256"/>
      <c r="C5648" s="316"/>
      <c r="D5648" s="251"/>
      <c r="E5648" s="251"/>
      <c r="F5648" s="257"/>
      <c r="G5648" s="518"/>
      <c r="H5648" s="627"/>
      <c r="I5648" s="610"/>
      <c r="J5648" s="628"/>
      <c r="K5648" s="533"/>
      <c r="L5648" s="533"/>
      <c r="M5648" s="533"/>
      <c r="N5648" s="533"/>
      <c r="O5648" s="533"/>
      <c r="P5648" s="533"/>
      <c r="Q5648" s="533"/>
      <c r="R5648" s="533"/>
      <c r="S5648" s="533"/>
      <c r="T5648" s="533"/>
      <c r="U5648" s="533"/>
      <c r="V5648" s="533"/>
      <c r="W5648" s="533"/>
      <c r="X5648" s="533"/>
      <c r="Y5648" s="533"/>
    </row>
    <row r="5649" spans="1:25" s="88" customFormat="1" ht="15.75" hidden="1" customHeight="1" x14ac:dyDescent="0.25">
      <c r="A5649" s="509"/>
      <c r="B5649" s="256"/>
      <c r="C5649" s="316"/>
      <c r="D5649" s="251"/>
      <c r="E5649" s="251"/>
      <c r="F5649" s="257"/>
      <c r="G5649" s="518"/>
      <c r="H5649" s="627"/>
      <c r="I5649" s="610"/>
      <c r="J5649" s="628"/>
      <c r="K5649" s="533"/>
      <c r="L5649" s="533"/>
      <c r="M5649" s="533"/>
      <c r="N5649" s="533"/>
      <c r="O5649" s="533"/>
      <c r="P5649" s="533"/>
      <c r="Q5649" s="533"/>
      <c r="R5649" s="533"/>
      <c r="S5649" s="533"/>
      <c r="T5649" s="533"/>
      <c r="U5649" s="533"/>
      <c r="V5649" s="533"/>
      <c r="W5649" s="533"/>
      <c r="X5649" s="533"/>
      <c r="Y5649" s="533"/>
    </row>
    <row r="5650" spans="1:25" s="88" customFormat="1" ht="15.75" hidden="1" customHeight="1" x14ac:dyDescent="0.25">
      <c r="A5650" s="509"/>
      <c r="B5650" s="256"/>
      <c r="C5650" s="316"/>
      <c r="D5650" s="251"/>
      <c r="E5650" s="251"/>
      <c r="F5650" s="257"/>
      <c r="G5650" s="518"/>
      <c r="H5650" s="627"/>
      <c r="I5650" s="610"/>
      <c r="J5650" s="628"/>
      <c r="K5650" s="533"/>
      <c r="L5650" s="533"/>
      <c r="M5650" s="533"/>
      <c r="N5650" s="533"/>
      <c r="O5650" s="533"/>
      <c r="P5650" s="533"/>
      <c r="Q5650" s="533"/>
      <c r="R5650" s="533"/>
      <c r="S5650" s="533"/>
      <c r="T5650" s="533"/>
      <c r="U5650" s="533"/>
      <c r="V5650" s="533"/>
      <c r="W5650" s="533"/>
      <c r="X5650" s="533"/>
      <c r="Y5650" s="533"/>
    </row>
    <row r="5651" spans="1:25" s="88" customFormat="1" ht="15.75" hidden="1" customHeight="1" x14ac:dyDescent="0.25">
      <c r="A5651" s="509"/>
      <c r="B5651" s="256"/>
      <c r="C5651" s="316"/>
      <c r="D5651" s="251"/>
      <c r="E5651" s="251"/>
      <c r="F5651" s="257"/>
      <c r="G5651" s="518"/>
      <c r="H5651" s="627"/>
      <c r="I5651" s="610"/>
      <c r="J5651" s="628"/>
      <c r="K5651" s="533"/>
      <c r="L5651" s="533"/>
      <c r="M5651" s="533"/>
      <c r="N5651" s="533"/>
      <c r="O5651" s="533"/>
      <c r="P5651" s="533"/>
      <c r="Q5651" s="533"/>
      <c r="R5651" s="533"/>
      <c r="S5651" s="533"/>
      <c r="T5651" s="533"/>
      <c r="U5651" s="533"/>
      <c r="V5651" s="533"/>
      <c r="W5651" s="533"/>
      <c r="X5651" s="533"/>
      <c r="Y5651" s="533"/>
    </row>
    <row r="5652" spans="1:25" s="88" customFormat="1" ht="15.75" hidden="1" customHeight="1" x14ac:dyDescent="0.25">
      <c r="A5652" s="509"/>
      <c r="B5652" s="256"/>
      <c r="C5652" s="316"/>
      <c r="D5652" s="251"/>
      <c r="E5652" s="251"/>
      <c r="F5652" s="257"/>
      <c r="G5652" s="518"/>
      <c r="H5652" s="627"/>
      <c r="I5652" s="610"/>
      <c r="J5652" s="628"/>
      <c r="K5652" s="533"/>
      <c r="L5652" s="533"/>
      <c r="M5652" s="533"/>
      <c r="N5652" s="533"/>
      <c r="O5652" s="533"/>
      <c r="P5652" s="533"/>
      <c r="Q5652" s="533"/>
      <c r="R5652" s="533"/>
      <c r="S5652" s="533"/>
      <c r="T5652" s="533"/>
      <c r="U5652" s="533"/>
      <c r="V5652" s="533"/>
      <c r="W5652" s="533"/>
      <c r="X5652" s="533"/>
      <c r="Y5652" s="533"/>
    </row>
    <row r="5653" spans="1:25" s="88" customFormat="1" ht="15.75" hidden="1" customHeight="1" x14ac:dyDescent="0.25">
      <c r="A5653" s="509"/>
      <c r="B5653" s="256"/>
      <c r="C5653" s="316"/>
      <c r="D5653" s="251"/>
      <c r="E5653" s="251"/>
      <c r="F5653" s="257"/>
      <c r="G5653" s="518"/>
      <c r="H5653" s="627"/>
      <c r="I5653" s="610"/>
      <c r="J5653" s="628"/>
      <c r="K5653" s="533"/>
      <c r="L5653" s="533"/>
      <c r="M5653" s="533"/>
      <c r="N5653" s="533"/>
      <c r="O5653" s="533"/>
      <c r="P5653" s="533"/>
      <c r="Q5653" s="533"/>
      <c r="R5653" s="533"/>
      <c r="S5653" s="533"/>
      <c r="T5653" s="533"/>
      <c r="U5653" s="533"/>
      <c r="V5653" s="533"/>
      <c r="W5653" s="533"/>
      <c r="X5653" s="533"/>
      <c r="Y5653" s="533"/>
    </row>
    <row r="5654" spans="1:25" s="88" customFormat="1" ht="15.75" hidden="1" customHeight="1" x14ac:dyDescent="0.25">
      <c r="A5654" s="509"/>
      <c r="B5654" s="256"/>
      <c r="C5654" s="316"/>
      <c r="D5654" s="251"/>
      <c r="E5654" s="251"/>
      <c r="F5654" s="257"/>
      <c r="G5654" s="518"/>
      <c r="H5654" s="627"/>
      <c r="I5654" s="610"/>
      <c r="J5654" s="628"/>
      <c r="K5654" s="533"/>
      <c r="L5654" s="533"/>
      <c r="M5654" s="533"/>
      <c r="N5654" s="533"/>
      <c r="O5654" s="533"/>
      <c r="P5654" s="533"/>
      <c r="Q5654" s="533"/>
      <c r="R5654" s="533"/>
      <c r="S5654" s="533"/>
      <c r="T5654" s="533"/>
      <c r="U5654" s="533"/>
      <c r="V5654" s="533"/>
      <c r="W5654" s="533"/>
      <c r="X5654" s="533"/>
      <c r="Y5654" s="533"/>
    </row>
    <row r="5655" spans="1:25" s="88" customFormat="1" ht="15.75" hidden="1" customHeight="1" x14ac:dyDescent="0.25">
      <c r="A5655" s="509"/>
      <c r="B5655" s="256"/>
      <c r="C5655" s="316"/>
      <c r="D5655" s="251"/>
      <c r="E5655" s="251"/>
      <c r="F5655" s="257"/>
      <c r="G5655" s="518"/>
      <c r="H5655" s="627"/>
      <c r="I5655" s="610"/>
      <c r="J5655" s="628"/>
      <c r="K5655" s="533"/>
      <c r="L5655" s="533"/>
      <c r="M5655" s="533"/>
      <c r="N5655" s="533"/>
      <c r="O5655" s="533"/>
      <c r="P5655" s="533"/>
      <c r="Q5655" s="533"/>
      <c r="R5655" s="533"/>
      <c r="S5655" s="533"/>
      <c r="T5655" s="533"/>
      <c r="U5655" s="533"/>
      <c r="V5655" s="533"/>
      <c r="W5655" s="533"/>
      <c r="X5655" s="533"/>
      <c r="Y5655" s="533"/>
    </row>
    <row r="5656" spans="1:25" s="88" customFormat="1" ht="15.75" hidden="1" customHeight="1" x14ac:dyDescent="0.25">
      <c r="A5656" s="509"/>
      <c r="B5656" s="256"/>
      <c r="C5656" s="316"/>
      <c r="D5656" s="251"/>
      <c r="E5656" s="251"/>
      <c r="F5656" s="257"/>
      <c r="G5656" s="518"/>
      <c r="H5656" s="627"/>
      <c r="I5656" s="610"/>
      <c r="J5656" s="628"/>
      <c r="K5656" s="533"/>
      <c r="L5656" s="533"/>
      <c r="M5656" s="533"/>
      <c r="N5656" s="533"/>
      <c r="O5656" s="533"/>
      <c r="P5656" s="533"/>
      <c r="Q5656" s="533"/>
      <c r="R5656" s="533"/>
      <c r="S5656" s="533"/>
      <c r="T5656" s="533"/>
      <c r="U5656" s="533"/>
      <c r="V5656" s="533"/>
      <c r="W5656" s="533"/>
      <c r="X5656" s="533"/>
      <c r="Y5656" s="533"/>
    </row>
    <row r="5657" spans="1:25" s="88" customFormat="1" ht="15.75" hidden="1" customHeight="1" x14ac:dyDescent="0.25">
      <c r="A5657" s="509"/>
      <c r="B5657" s="256"/>
      <c r="C5657" s="316"/>
      <c r="D5657" s="251"/>
      <c r="E5657" s="251"/>
      <c r="F5657" s="257"/>
      <c r="G5657" s="518"/>
      <c r="H5657" s="627"/>
      <c r="I5657" s="610"/>
      <c r="J5657" s="628"/>
      <c r="K5657" s="533"/>
      <c r="L5657" s="533"/>
      <c r="M5657" s="533"/>
      <c r="N5657" s="533"/>
      <c r="O5657" s="533"/>
      <c r="P5657" s="533"/>
      <c r="Q5657" s="533"/>
      <c r="R5657" s="533"/>
      <c r="S5657" s="533"/>
      <c r="T5657" s="533"/>
      <c r="U5657" s="533"/>
      <c r="V5657" s="533"/>
      <c r="W5657" s="533"/>
      <c r="X5657" s="533"/>
      <c r="Y5657" s="533"/>
    </row>
    <row r="5658" spans="1:25" s="88" customFormat="1" ht="15.75" hidden="1" customHeight="1" x14ac:dyDescent="0.25">
      <c r="A5658" s="509"/>
      <c r="B5658" s="256"/>
      <c r="C5658" s="316"/>
      <c r="D5658" s="251"/>
      <c r="E5658" s="251"/>
      <c r="F5658" s="257"/>
      <c r="G5658" s="518"/>
      <c r="H5658" s="627"/>
      <c r="I5658" s="610"/>
      <c r="J5658" s="628"/>
      <c r="K5658" s="533"/>
      <c r="L5658" s="533"/>
      <c r="M5658" s="533"/>
      <c r="N5658" s="533"/>
      <c r="O5658" s="533"/>
      <c r="P5658" s="533"/>
      <c r="Q5658" s="533"/>
      <c r="R5658" s="533"/>
      <c r="S5658" s="533"/>
      <c r="T5658" s="533"/>
      <c r="U5658" s="533"/>
      <c r="V5658" s="533"/>
      <c r="W5658" s="533"/>
      <c r="X5658" s="533"/>
      <c r="Y5658" s="533"/>
    </row>
    <row r="5659" spans="1:25" s="88" customFormat="1" ht="15.75" hidden="1" customHeight="1" x14ac:dyDescent="0.25">
      <c r="A5659" s="509"/>
      <c r="B5659" s="256"/>
      <c r="C5659" s="316"/>
      <c r="D5659" s="251"/>
      <c r="E5659" s="251"/>
      <c r="F5659" s="257"/>
      <c r="G5659" s="518"/>
      <c r="H5659" s="627"/>
      <c r="I5659" s="610"/>
      <c r="J5659" s="628"/>
      <c r="K5659" s="533"/>
      <c r="L5659" s="533"/>
      <c r="M5659" s="533"/>
      <c r="N5659" s="533"/>
      <c r="O5659" s="533"/>
      <c r="P5659" s="533"/>
      <c r="Q5659" s="533"/>
      <c r="R5659" s="533"/>
      <c r="S5659" s="533"/>
      <c r="T5659" s="533"/>
      <c r="U5659" s="533"/>
      <c r="V5659" s="533"/>
      <c r="W5659" s="533"/>
      <c r="X5659" s="533"/>
      <c r="Y5659" s="533"/>
    </row>
    <row r="5660" spans="1:25" s="88" customFormat="1" ht="15.75" hidden="1" customHeight="1" x14ac:dyDescent="0.25">
      <c r="A5660" s="509"/>
      <c r="B5660" s="256"/>
      <c r="C5660" s="316"/>
      <c r="D5660" s="251"/>
      <c r="E5660" s="251"/>
      <c r="F5660" s="257"/>
      <c r="G5660" s="518"/>
      <c r="H5660" s="627"/>
      <c r="I5660" s="610"/>
      <c r="J5660" s="628"/>
      <c r="K5660" s="533"/>
      <c r="L5660" s="533"/>
      <c r="M5660" s="533"/>
      <c r="N5660" s="533"/>
      <c r="O5660" s="533"/>
      <c r="P5660" s="533"/>
      <c r="Q5660" s="533"/>
      <c r="R5660" s="533"/>
      <c r="S5660" s="533"/>
      <c r="T5660" s="533"/>
      <c r="U5660" s="533"/>
      <c r="V5660" s="533"/>
      <c r="W5660" s="533"/>
      <c r="X5660" s="533"/>
      <c r="Y5660" s="533"/>
    </row>
    <row r="5661" spans="1:25" s="88" customFormat="1" ht="15.75" hidden="1" customHeight="1" x14ac:dyDescent="0.25">
      <c r="A5661" s="509"/>
      <c r="B5661" s="256"/>
      <c r="C5661" s="316"/>
      <c r="D5661" s="251"/>
      <c r="E5661" s="251"/>
      <c r="F5661" s="257"/>
      <c r="G5661" s="518"/>
      <c r="H5661" s="627"/>
      <c r="I5661" s="610"/>
      <c r="J5661" s="628"/>
      <c r="K5661" s="533"/>
      <c r="L5661" s="533"/>
      <c r="M5661" s="533"/>
      <c r="N5661" s="533"/>
      <c r="O5661" s="533"/>
      <c r="P5661" s="533"/>
      <c r="Q5661" s="533"/>
      <c r="R5661" s="533"/>
      <c r="S5661" s="533"/>
      <c r="T5661" s="533"/>
      <c r="U5661" s="533"/>
      <c r="V5661" s="533"/>
      <c r="W5661" s="533"/>
      <c r="X5661" s="533"/>
      <c r="Y5661" s="533"/>
    </row>
    <row r="5662" spans="1:25" s="88" customFormat="1" ht="15.75" hidden="1" customHeight="1" x14ac:dyDescent="0.25">
      <c r="A5662" s="509"/>
      <c r="B5662" s="256"/>
      <c r="C5662" s="316"/>
      <c r="D5662" s="251"/>
      <c r="E5662" s="251"/>
      <c r="F5662" s="257"/>
      <c r="G5662" s="518"/>
      <c r="H5662" s="627"/>
      <c r="I5662" s="610"/>
      <c r="J5662" s="628"/>
      <c r="K5662" s="533"/>
      <c r="L5662" s="533"/>
      <c r="M5662" s="533"/>
      <c r="N5662" s="533"/>
      <c r="O5662" s="533"/>
      <c r="P5662" s="533"/>
      <c r="Q5662" s="533"/>
      <c r="R5662" s="533"/>
      <c r="S5662" s="533"/>
      <c r="T5662" s="533"/>
      <c r="U5662" s="533"/>
      <c r="V5662" s="533"/>
      <c r="W5662" s="533"/>
      <c r="X5662" s="533"/>
      <c r="Y5662" s="533"/>
    </row>
    <row r="5663" spans="1:25" s="88" customFormat="1" ht="15.75" hidden="1" customHeight="1" x14ac:dyDescent="0.25">
      <c r="A5663" s="509"/>
      <c r="B5663" s="256"/>
      <c r="C5663" s="316"/>
      <c r="D5663" s="251"/>
      <c r="E5663" s="251"/>
      <c r="F5663" s="257"/>
      <c r="G5663" s="518"/>
      <c r="H5663" s="627"/>
      <c r="I5663" s="610"/>
      <c r="J5663" s="628"/>
      <c r="K5663" s="533"/>
      <c r="L5663" s="533"/>
      <c r="M5663" s="533"/>
      <c r="N5663" s="533"/>
      <c r="O5663" s="533"/>
      <c r="P5663" s="533"/>
      <c r="Q5663" s="533"/>
      <c r="R5663" s="533"/>
      <c r="S5663" s="533"/>
      <c r="T5663" s="533"/>
      <c r="U5663" s="533"/>
      <c r="V5663" s="533"/>
      <c r="W5663" s="533"/>
      <c r="X5663" s="533"/>
      <c r="Y5663" s="533"/>
    </row>
    <row r="5664" spans="1:25" s="88" customFormat="1" ht="15.75" hidden="1" customHeight="1" x14ac:dyDescent="0.25">
      <c r="A5664" s="509"/>
      <c r="B5664" s="256"/>
      <c r="C5664" s="316"/>
      <c r="D5664" s="251"/>
      <c r="E5664" s="251"/>
      <c r="F5664" s="257"/>
      <c r="G5664" s="518"/>
      <c r="H5664" s="627"/>
      <c r="I5664" s="610"/>
      <c r="J5664" s="628"/>
      <c r="K5664" s="533"/>
      <c r="L5664" s="533"/>
      <c r="M5664" s="533"/>
      <c r="N5664" s="533"/>
      <c r="O5664" s="533"/>
      <c r="P5664" s="533"/>
      <c r="Q5664" s="533"/>
      <c r="R5664" s="533"/>
      <c r="S5664" s="533"/>
      <c r="T5664" s="533"/>
      <c r="U5664" s="533"/>
      <c r="V5664" s="533"/>
      <c r="W5664" s="533"/>
      <c r="X5664" s="533"/>
      <c r="Y5664" s="533"/>
    </row>
    <row r="5665" spans="1:25" s="88" customFormat="1" ht="15.75" hidden="1" customHeight="1" x14ac:dyDescent="0.25">
      <c r="A5665" s="509"/>
      <c r="B5665" s="256"/>
      <c r="C5665" s="316"/>
      <c r="D5665" s="251"/>
      <c r="E5665" s="251"/>
      <c r="F5665" s="257"/>
      <c r="G5665" s="518"/>
      <c r="H5665" s="627"/>
      <c r="I5665" s="610"/>
      <c r="J5665" s="628"/>
      <c r="K5665" s="533"/>
      <c r="L5665" s="533"/>
      <c r="M5665" s="533"/>
      <c r="N5665" s="533"/>
      <c r="O5665" s="533"/>
      <c r="P5665" s="533"/>
      <c r="Q5665" s="533"/>
      <c r="R5665" s="533"/>
      <c r="S5665" s="533"/>
      <c r="T5665" s="533"/>
      <c r="U5665" s="533"/>
      <c r="V5665" s="533"/>
      <c r="W5665" s="533"/>
      <c r="X5665" s="533"/>
      <c r="Y5665" s="533"/>
    </row>
    <row r="5666" spans="1:25" s="88" customFormat="1" ht="15.75" hidden="1" customHeight="1" x14ac:dyDescent="0.25">
      <c r="A5666" s="509"/>
      <c r="B5666" s="256"/>
      <c r="C5666" s="316"/>
      <c r="D5666" s="251"/>
      <c r="E5666" s="251"/>
      <c r="F5666" s="257"/>
      <c r="G5666" s="518"/>
      <c r="H5666" s="627"/>
      <c r="I5666" s="610"/>
      <c r="J5666" s="628"/>
      <c r="K5666" s="533"/>
      <c r="L5666" s="533"/>
      <c r="M5666" s="533"/>
      <c r="N5666" s="533"/>
      <c r="O5666" s="533"/>
      <c r="P5666" s="533"/>
      <c r="Q5666" s="533"/>
      <c r="R5666" s="533"/>
      <c r="S5666" s="533"/>
      <c r="T5666" s="533"/>
      <c r="U5666" s="533"/>
      <c r="V5666" s="533"/>
      <c r="W5666" s="533"/>
      <c r="X5666" s="533"/>
      <c r="Y5666" s="533"/>
    </row>
    <row r="5667" spans="1:25" s="88" customFormat="1" ht="15.75" hidden="1" customHeight="1" x14ac:dyDescent="0.25">
      <c r="A5667" s="509"/>
      <c r="B5667" s="256"/>
      <c r="C5667" s="316"/>
      <c r="D5667" s="251"/>
      <c r="E5667" s="251"/>
      <c r="F5667" s="257"/>
      <c r="G5667" s="518"/>
      <c r="H5667" s="627"/>
      <c r="I5667" s="610"/>
      <c r="J5667" s="628"/>
      <c r="K5667" s="533"/>
      <c r="L5667" s="533"/>
      <c r="M5667" s="533"/>
      <c r="N5667" s="533"/>
      <c r="O5667" s="533"/>
      <c r="P5667" s="533"/>
      <c r="Q5667" s="533"/>
      <c r="R5667" s="533"/>
      <c r="S5667" s="533"/>
      <c r="T5667" s="533"/>
      <c r="U5667" s="533"/>
      <c r="V5667" s="533"/>
      <c r="W5667" s="533"/>
      <c r="X5667" s="533"/>
      <c r="Y5667" s="533"/>
    </row>
    <row r="5668" spans="1:25" s="88" customFormat="1" ht="15.75" hidden="1" customHeight="1" x14ac:dyDescent="0.25">
      <c r="A5668" s="509"/>
      <c r="B5668" s="256"/>
      <c r="C5668" s="316"/>
      <c r="D5668" s="251"/>
      <c r="E5668" s="251"/>
      <c r="F5668" s="257"/>
      <c r="G5668" s="518"/>
      <c r="H5668" s="627"/>
      <c r="I5668" s="610"/>
      <c r="J5668" s="628"/>
      <c r="K5668" s="533"/>
      <c r="L5668" s="533"/>
      <c r="M5668" s="533"/>
      <c r="N5668" s="533"/>
      <c r="O5668" s="533"/>
      <c r="P5668" s="533"/>
      <c r="Q5668" s="533"/>
      <c r="R5668" s="533"/>
      <c r="S5668" s="533"/>
      <c r="T5668" s="533"/>
      <c r="U5668" s="533"/>
      <c r="V5668" s="533"/>
      <c r="W5668" s="533"/>
      <c r="X5668" s="533"/>
      <c r="Y5668" s="533"/>
    </row>
    <row r="5669" spans="1:25" s="88" customFormat="1" ht="15.75" hidden="1" customHeight="1" x14ac:dyDescent="0.25">
      <c r="A5669" s="509"/>
      <c r="B5669" s="256"/>
      <c r="C5669" s="316"/>
      <c r="D5669" s="251"/>
      <c r="E5669" s="251"/>
      <c r="F5669" s="257"/>
      <c r="G5669" s="518"/>
      <c r="H5669" s="627"/>
      <c r="I5669" s="610"/>
      <c r="J5669" s="628"/>
      <c r="K5669" s="533"/>
      <c r="L5669" s="533"/>
      <c r="M5669" s="533"/>
      <c r="N5669" s="533"/>
      <c r="O5669" s="533"/>
      <c r="P5669" s="533"/>
      <c r="Q5669" s="533"/>
      <c r="R5669" s="533"/>
      <c r="S5669" s="533"/>
      <c r="T5669" s="533"/>
      <c r="U5669" s="533"/>
      <c r="V5669" s="533"/>
      <c r="W5669" s="533"/>
      <c r="X5669" s="533"/>
      <c r="Y5669" s="533"/>
    </row>
    <row r="5670" spans="1:25" s="88" customFormat="1" ht="15.75" hidden="1" customHeight="1" x14ac:dyDescent="0.25">
      <c r="A5670" s="509"/>
      <c r="B5670" s="256"/>
      <c r="C5670" s="316"/>
      <c r="D5670" s="251"/>
      <c r="E5670" s="251"/>
      <c r="F5670" s="257"/>
      <c r="G5670" s="518"/>
      <c r="H5670" s="627"/>
      <c r="I5670" s="610"/>
      <c r="J5670" s="628"/>
      <c r="K5670" s="533"/>
      <c r="L5670" s="533"/>
      <c r="M5670" s="533"/>
      <c r="N5670" s="533"/>
      <c r="O5670" s="533"/>
      <c r="P5670" s="533"/>
      <c r="Q5670" s="533"/>
      <c r="R5670" s="533"/>
      <c r="S5670" s="533"/>
      <c r="T5670" s="533"/>
      <c r="U5670" s="533"/>
      <c r="V5670" s="533"/>
      <c r="W5670" s="533"/>
      <c r="X5670" s="533"/>
      <c r="Y5670" s="533"/>
    </row>
    <row r="5671" spans="1:25" s="88" customFormat="1" ht="15.75" hidden="1" customHeight="1" x14ac:dyDescent="0.25">
      <c r="A5671" s="509"/>
      <c r="B5671" s="256"/>
      <c r="C5671" s="316"/>
      <c r="D5671" s="251"/>
      <c r="E5671" s="251"/>
      <c r="F5671" s="257"/>
      <c r="G5671" s="518"/>
      <c r="H5671" s="627"/>
      <c r="I5671" s="610"/>
      <c r="J5671" s="628"/>
      <c r="K5671" s="533"/>
      <c r="L5671" s="533"/>
      <c r="M5671" s="533"/>
      <c r="N5671" s="533"/>
      <c r="O5671" s="533"/>
      <c r="P5671" s="533"/>
      <c r="Q5671" s="533"/>
      <c r="R5671" s="533"/>
      <c r="S5671" s="533"/>
      <c r="T5671" s="533"/>
      <c r="U5671" s="533"/>
      <c r="V5671" s="533"/>
      <c r="W5671" s="533"/>
      <c r="X5671" s="533"/>
      <c r="Y5671" s="533"/>
    </row>
    <row r="5672" spans="1:25" s="88" customFormat="1" ht="15.75" hidden="1" customHeight="1" x14ac:dyDescent="0.25">
      <c r="A5672" s="509"/>
      <c r="B5672" s="256"/>
      <c r="C5672" s="316"/>
      <c r="D5672" s="251"/>
      <c r="E5672" s="251"/>
      <c r="F5672" s="257"/>
      <c r="G5672" s="518"/>
      <c r="H5672" s="627"/>
      <c r="I5672" s="610"/>
      <c r="J5672" s="628"/>
      <c r="K5672" s="533"/>
      <c r="L5672" s="533"/>
      <c r="M5672" s="533"/>
      <c r="N5672" s="533"/>
      <c r="O5672" s="533"/>
      <c r="P5672" s="533"/>
      <c r="Q5672" s="533"/>
      <c r="R5672" s="533"/>
      <c r="S5672" s="533"/>
      <c r="T5672" s="533"/>
      <c r="U5672" s="533"/>
      <c r="V5672" s="533"/>
      <c r="W5672" s="533"/>
      <c r="X5672" s="533"/>
      <c r="Y5672" s="533"/>
    </row>
    <row r="5673" spans="1:25" s="88" customFormat="1" ht="15.75" hidden="1" customHeight="1" x14ac:dyDescent="0.25">
      <c r="A5673" s="509"/>
      <c r="B5673" s="256"/>
      <c r="C5673" s="316"/>
      <c r="D5673" s="251"/>
      <c r="E5673" s="251"/>
      <c r="F5673" s="257"/>
      <c r="G5673" s="518"/>
      <c r="H5673" s="627"/>
      <c r="I5673" s="610"/>
      <c r="J5673" s="628"/>
      <c r="K5673" s="533"/>
      <c r="L5673" s="533"/>
      <c r="M5673" s="533"/>
      <c r="N5673" s="533"/>
      <c r="O5673" s="533"/>
      <c r="P5673" s="533"/>
      <c r="Q5673" s="533"/>
      <c r="R5673" s="533"/>
      <c r="S5673" s="533"/>
      <c r="T5673" s="533"/>
      <c r="U5673" s="533"/>
      <c r="V5673" s="533"/>
      <c r="W5673" s="533"/>
      <c r="X5673" s="533"/>
      <c r="Y5673" s="533"/>
    </row>
    <row r="5674" spans="1:25" s="88" customFormat="1" ht="15.75" hidden="1" customHeight="1" x14ac:dyDescent="0.25">
      <c r="A5674" s="509"/>
      <c r="B5674" s="256"/>
      <c r="C5674" s="316"/>
      <c r="D5674" s="251"/>
      <c r="E5674" s="251"/>
      <c r="F5674" s="257"/>
      <c r="G5674" s="518"/>
      <c r="H5674" s="627"/>
      <c r="I5674" s="610"/>
      <c r="J5674" s="628"/>
      <c r="K5674" s="533"/>
      <c r="L5674" s="533"/>
      <c r="M5674" s="533"/>
      <c r="N5674" s="533"/>
      <c r="O5674" s="533"/>
      <c r="P5674" s="533"/>
      <c r="Q5674" s="533"/>
      <c r="R5674" s="533"/>
      <c r="S5674" s="533"/>
      <c r="T5674" s="533"/>
      <c r="U5674" s="533"/>
      <c r="V5674" s="533"/>
      <c r="W5674" s="533"/>
      <c r="X5674" s="533"/>
      <c r="Y5674" s="533"/>
    </row>
    <row r="5675" spans="1:25" s="88" customFormat="1" ht="15.75" hidden="1" customHeight="1" x14ac:dyDescent="0.25">
      <c r="A5675" s="509"/>
      <c r="B5675" s="256"/>
      <c r="C5675" s="316"/>
      <c r="D5675" s="251"/>
      <c r="E5675" s="251"/>
      <c r="F5675" s="257"/>
      <c r="G5675" s="518"/>
      <c r="H5675" s="627"/>
      <c r="I5675" s="610"/>
      <c r="J5675" s="628"/>
      <c r="K5675" s="533"/>
      <c r="L5675" s="533"/>
      <c r="M5675" s="533"/>
      <c r="N5675" s="533"/>
      <c r="O5675" s="533"/>
      <c r="P5675" s="533"/>
      <c r="Q5675" s="533"/>
      <c r="R5675" s="533"/>
      <c r="S5675" s="533"/>
      <c r="T5675" s="533"/>
      <c r="U5675" s="533"/>
      <c r="V5675" s="533"/>
      <c r="W5675" s="533"/>
      <c r="X5675" s="533"/>
      <c r="Y5675" s="533"/>
    </row>
    <row r="5676" spans="1:25" s="88" customFormat="1" ht="15.75" hidden="1" customHeight="1" x14ac:dyDescent="0.25">
      <c r="A5676" s="509"/>
      <c r="B5676" s="256"/>
      <c r="C5676" s="316"/>
      <c r="D5676" s="251"/>
      <c r="E5676" s="251"/>
      <c r="F5676" s="257"/>
      <c r="G5676" s="518"/>
      <c r="H5676" s="627"/>
      <c r="I5676" s="610"/>
      <c r="J5676" s="628"/>
      <c r="K5676" s="533"/>
      <c r="L5676" s="533"/>
      <c r="M5676" s="533"/>
      <c r="N5676" s="533"/>
      <c r="O5676" s="533"/>
      <c r="P5676" s="533"/>
      <c r="Q5676" s="533"/>
      <c r="R5676" s="533"/>
      <c r="S5676" s="533"/>
      <c r="T5676" s="533"/>
      <c r="U5676" s="533"/>
      <c r="V5676" s="533"/>
      <c r="W5676" s="533"/>
      <c r="X5676" s="533"/>
      <c r="Y5676" s="533"/>
    </row>
    <row r="5677" spans="1:25" s="88" customFormat="1" ht="15.75" hidden="1" customHeight="1" x14ac:dyDescent="0.25">
      <c r="A5677" s="509"/>
      <c r="B5677" s="256"/>
      <c r="C5677" s="316"/>
      <c r="D5677" s="251"/>
      <c r="E5677" s="251"/>
      <c r="F5677" s="257"/>
      <c r="G5677" s="518"/>
      <c r="H5677" s="627"/>
      <c r="I5677" s="610"/>
      <c r="J5677" s="628"/>
      <c r="K5677" s="533"/>
      <c r="L5677" s="533"/>
      <c r="M5677" s="533"/>
      <c r="N5677" s="533"/>
      <c r="O5677" s="533"/>
      <c r="P5677" s="533"/>
      <c r="Q5677" s="533"/>
      <c r="R5677" s="533"/>
      <c r="S5677" s="533"/>
      <c r="T5677" s="533"/>
      <c r="U5677" s="533"/>
      <c r="V5677" s="533"/>
      <c r="W5677" s="533"/>
      <c r="X5677" s="533"/>
      <c r="Y5677" s="533"/>
    </row>
    <row r="5678" spans="1:25" s="88" customFormat="1" ht="15.75" hidden="1" customHeight="1" x14ac:dyDescent="0.25">
      <c r="A5678" s="509"/>
      <c r="B5678" s="256"/>
      <c r="C5678" s="316"/>
      <c r="D5678" s="251"/>
      <c r="E5678" s="251"/>
      <c r="F5678" s="257"/>
      <c r="G5678" s="518"/>
      <c r="H5678" s="627"/>
      <c r="I5678" s="610"/>
      <c r="J5678" s="628"/>
      <c r="K5678" s="533"/>
      <c r="L5678" s="533"/>
      <c r="M5678" s="533"/>
      <c r="N5678" s="533"/>
      <c r="O5678" s="533"/>
      <c r="P5678" s="533"/>
      <c r="Q5678" s="533"/>
      <c r="R5678" s="533"/>
      <c r="S5678" s="533"/>
      <c r="T5678" s="533"/>
      <c r="U5678" s="533"/>
      <c r="V5678" s="533"/>
      <c r="W5678" s="533"/>
      <c r="X5678" s="533"/>
      <c r="Y5678" s="533"/>
    </row>
    <row r="5679" spans="1:25" s="88" customFormat="1" ht="15.75" hidden="1" customHeight="1" x14ac:dyDescent="0.25">
      <c r="A5679" s="509"/>
      <c r="B5679" s="256"/>
      <c r="C5679" s="316"/>
      <c r="D5679" s="251"/>
      <c r="E5679" s="251"/>
      <c r="F5679" s="257"/>
      <c r="G5679" s="518"/>
      <c r="H5679" s="627"/>
      <c r="I5679" s="610"/>
      <c r="J5679" s="628"/>
      <c r="K5679" s="533"/>
      <c r="L5679" s="533"/>
      <c r="M5679" s="533"/>
      <c r="N5679" s="533"/>
      <c r="O5679" s="533"/>
      <c r="P5679" s="533"/>
      <c r="Q5679" s="533"/>
      <c r="R5679" s="533"/>
      <c r="S5679" s="533"/>
      <c r="T5679" s="533"/>
      <c r="U5679" s="533"/>
      <c r="V5679" s="533"/>
      <c r="W5679" s="533"/>
      <c r="X5679" s="533"/>
      <c r="Y5679" s="533"/>
    </row>
    <row r="5680" spans="1:25" s="88" customFormat="1" ht="15.75" hidden="1" customHeight="1" x14ac:dyDescent="0.25">
      <c r="A5680" s="509"/>
      <c r="B5680" s="256"/>
      <c r="C5680" s="316"/>
      <c r="D5680" s="251"/>
      <c r="E5680" s="251"/>
      <c r="F5680" s="257"/>
      <c r="G5680" s="518"/>
      <c r="H5680" s="627"/>
      <c r="I5680" s="610"/>
      <c r="J5680" s="628"/>
      <c r="K5680" s="533"/>
      <c r="L5680" s="533"/>
      <c r="M5680" s="533"/>
      <c r="N5680" s="533"/>
      <c r="O5680" s="533"/>
      <c r="P5680" s="533"/>
      <c r="Q5680" s="533"/>
      <c r="R5680" s="533"/>
      <c r="S5680" s="533"/>
      <c r="T5680" s="533"/>
      <c r="U5680" s="533"/>
      <c r="V5680" s="533"/>
      <c r="W5680" s="533"/>
      <c r="X5680" s="533"/>
      <c r="Y5680" s="533"/>
    </row>
    <row r="5681" spans="1:25" s="88" customFormat="1" ht="15.75" hidden="1" customHeight="1" x14ac:dyDescent="0.25">
      <c r="A5681" s="509"/>
      <c r="B5681" s="256"/>
      <c r="C5681" s="316"/>
      <c r="D5681" s="251"/>
      <c r="E5681" s="251"/>
      <c r="F5681" s="257"/>
      <c r="G5681" s="518"/>
      <c r="H5681" s="627"/>
      <c r="I5681" s="610"/>
      <c r="J5681" s="628"/>
      <c r="K5681" s="533"/>
      <c r="L5681" s="533"/>
      <c r="M5681" s="533"/>
      <c r="N5681" s="533"/>
      <c r="O5681" s="533"/>
      <c r="P5681" s="533"/>
      <c r="Q5681" s="533"/>
      <c r="R5681" s="533"/>
      <c r="S5681" s="533"/>
      <c r="T5681" s="533"/>
      <c r="U5681" s="533"/>
      <c r="V5681" s="533"/>
      <c r="W5681" s="533"/>
      <c r="X5681" s="533"/>
      <c r="Y5681" s="533"/>
    </row>
    <row r="5682" spans="1:25" s="88" customFormat="1" ht="15.75" hidden="1" customHeight="1" x14ac:dyDescent="0.25">
      <c r="A5682" s="509"/>
      <c r="B5682" s="256"/>
      <c r="C5682" s="316"/>
      <c r="D5682" s="251"/>
      <c r="E5682" s="251"/>
      <c r="F5682" s="257"/>
      <c r="G5682" s="518"/>
      <c r="H5682" s="627"/>
      <c r="I5682" s="610"/>
      <c r="J5682" s="628"/>
      <c r="K5682" s="533"/>
      <c r="L5682" s="533"/>
      <c r="M5682" s="533"/>
      <c r="N5682" s="533"/>
      <c r="O5682" s="533"/>
      <c r="P5682" s="533"/>
      <c r="Q5682" s="533"/>
      <c r="R5682" s="533"/>
      <c r="S5682" s="533"/>
      <c r="T5682" s="533"/>
      <c r="U5682" s="533"/>
      <c r="V5682" s="533"/>
      <c r="W5682" s="533"/>
      <c r="X5682" s="533"/>
      <c r="Y5682" s="533"/>
    </row>
    <row r="5683" spans="1:25" s="88" customFormat="1" ht="15.75" hidden="1" customHeight="1" x14ac:dyDescent="0.25">
      <c r="A5683" s="509"/>
      <c r="B5683" s="256"/>
      <c r="C5683" s="316"/>
      <c r="D5683" s="251"/>
      <c r="E5683" s="251"/>
      <c r="F5683" s="257"/>
      <c r="G5683" s="518"/>
      <c r="H5683" s="627"/>
      <c r="I5683" s="610"/>
      <c r="J5683" s="628"/>
      <c r="K5683" s="533"/>
      <c r="L5683" s="533"/>
      <c r="M5683" s="533"/>
      <c r="N5683" s="533"/>
      <c r="O5683" s="533"/>
      <c r="P5683" s="533"/>
      <c r="Q5683" s="533"/>
      <c r="R5683" s="533"/>
      <c r="S5683" s="533"/>
      <c r="T5683" s="533"/>
      <c r="U5683" s="533"/>
      <c r="V5683" s="533"/>
      <c r="W5683" s="533"/>
      <c r="X5683" s="533"/>
      <c r="Y5683" s="533"/>
    </row>
    <row r="5684" spans="1:25" s="88" customFormat="1" ht="15.75" hidden="1" customHeight="1" x14ac:dyDescent="0.25">
      <c r="A5684" s="509"/>
      <c r="B5684" s="256"/>
      <c r="C5684" s="316"/>
      <c r="D5684" s="251"/>
      <c r="E5684" s="251"/>
      <c r="F5684" s="257"/>
      <c r="G5684" s="518"/>
      <c r="H5684" s="627"/>
      <c r="I5684" s="610"/>
      <c r="J5684" s="628"/>
      <c r="K5684" s="533"/>
      <c r="L5684" s="533"/>
      <c r="M5684" s="533"/>
      <c r="N5684" s="533"/>
      <c r="O5684" s="533"/>
      <c r="P5684" s="533"/>
      <c r="Q5684" s="533"/>
      <c r="R5684" s="533"/>
      <c r="S5684" s="533"/>
      <c r="T5684" s="533"/>
      <c r="U5684" s="533"/>
      <c r="V5684" s="533"/>
      <c r="W5684" s="533"/>
      <c r="X5684" s="533"/>
      <c r="Y5684" s="533"/>
    </row>
    <row r="5685" spans="1:25" s="88" customFormat="1" ht="15.75" hidden="1" customHeight="1" x14ac:dyDescent="0.25">
      <c r="A5685" s="509"/>
      <c r="B5685" s="256"/>
      <c r="C5685" s="316"/>
      <c r="D5685" s="251"/>
      <c r="E5685" s="251"/>
      <c r="F5685" s="257"/>
      <c r="G5685" s="518"/>
      <c r="H5685" s="627"/>
      <c r="I5685" s="610"/>
      <c r="J5685" s="628"/>
      <c r="K5685" s="533"/>
      <c r="L5685" s="533"/>
      <c r="M5685" s="533"/>
      <c r="N5685" s="533"/>
      <c r="O5685" s="533"/>
      <c r="P5685" s="533"/>
      <c r="Q5685" s="533"/>
      <c r="R5685" s="533"/>
      <c r="S5685" s="533"/>
      <c r="T5685" s="533"/>
      <c r="U5685" s="533"/>
      <c r="V5685" s="533"/>
      <c r="W5685" s="533"/>
      <c r="X5685" s="533"/>
      <c r="Y5685" s="533"/>
    </row>
    <row r="5686" spans="1:25" s="88" customFormat="1" ht="15.75" hidden="1" customHeight="1" x14ac:dyDescent="0.25">
      <c r="A5686" s="509"/>
      <c r="B5686" s="256"/>
      <c r="C5686" s="316"/>
      <c r="D5686" s="251"/>
      <c r="E5686" s="251"/>
      <c r="F5686" s="257"/>
      <c r="G5686" s="518"/>
      <c r="H5686" s="627"/>
      <c r="I5686" s="610"/>
      <c r="J5686" s="628"/>
      <c r="K5686" s="533"/>
      <c r="L5686" s="533"/>
      <c r="M5686" s="533"/>
      <c r="N5686" s="533"/>
      <c r="O5686" s="533"/>
      <c r="P5686" s="533"/>
      <c r="Q5686" s="533"/>
      <c r="R5686" s="533"/>
      <c r="S5686" s="533"/>
      <c r="T5686" s="533"/>
      <c r="U5686" s="533"/>
      <c r="V5686" s="533"/>
      <c r="W5686" s="533"/>
      <c r="X5686" s="533"/>
      <c r="Y5686" s="533"/>
    </row>
    <row r="5687" spans="1:25" s="88" customFormat="1" ht="15.75" hidden="1" customHeight="1" x14ac:dyDescent="0.25">
      <c r="A5687" s="509"/>
      <c r="B5687" s="256"/>
      <c r="C5687" s="316"/>
      <c r="D5687" s="251"/>
      <c r="E5687" s="251"/>
      <c r="F5687" s="257"/>
      <c r="G5687" s="518"/>
      <c r="H5687" s="627"/>
      <c r="I5687" s="610"/>
      <c r="J5687" s="628"/>
      <c r="K5687" s="533"/>
      <c r="L5687" s="533"/>
      <c r="M5687" s="533"/>
      <c r="N5687" s="533"/>
      <c r="O5687" s="533"/>
      <c r="P5687" s="533"/>
      <c r="Q5687" s="533"/>
      <c r="R5687" s="533"/>
      <c r="S5687" s="533"/>
      <c r="T5687" s="533"/>
      <c r="U5687" s="533"/>
      <c r="V5687" s="533"/>
      <c r="W5687" s="533"/>
      <c r="X5687" s="533"/>
      <c r="Y5687" s="533"/>
    </row>
    <row r="5688" spans="1:25" s="88" customFormat="1" ht="15.75" hidden="1" customHeight="1" x14ac:dyDescent="0.25">
      <c r="A5688" s="509"/>
      <c r="B5688" s="256"/>
      <c r="C5688" s="316"/>
      <c r="D5688" s="251"/>
      <c r="E5688" s="251"/>
      <c r="F5688" s="257"/>
      <c r="G5688" s="518"/>
      <c r="H5688" s="627"/>
      <c r="I5688" s="610"/>
      <c r="J5688" s="628"/>
      <c r="K5688" s="533"/>
      <c r="L5688" s="533"/>
      <c r="M5688" s="533"/>
      <c r="N5688" s="533"/>
      <c r="O5688" s="533"/>
      <c r="P5688" s="533"/>
      <c r="Q5688" s="533"/>
      <c r="R5688" s="533"/>
      <c r="S5688" s="533"/>
      <c r="T5688" s="533"/>
      <c r="U5688" s="533"/>
      <c r="V5688" s="533"/>
      <c r="W5688" s="533"/>
      <c r="X5688" s="533"/>
      <c r="Y5688" s="533"/>
    </row>
    <row r="5689" spans="1:25" s="88" customFormat="1" ht="15.75" hidden="1" customHeight="1" x14ac:dyDescent="0.25">
      <c r="A5689" s="509"/>
      <c r="B5689" s="256"/>
      <c r="C5689" s="316"/>
      <c r="D5689" s="251"/>
      <c r="E5689" s="251"/>
      <c r="F5689" s="257"/>
      <c r="G5689" s="518"/>
      <c r="H5689" s="627"/>
      <c r="I5689" s="610"/>
      <c r="J5689" s="628"/>
      <c r="K5689" s="533"/>
      <c r="L5689" s="533"/>
      <c r="M5689" s="533"/>
      <c r="N5689" s="533"/>
      <c r="O5689" s="533"/>
      <c r="P5689" s="533"/>
      <c r="Q5689" s="533"/>
      <c r="R5689" s="533"/>
      <c r="S5689" s="533"/>
      <c r="T5689" s="533"/>
      <c r="U5689" s="533"/>
      <c r="V5689" s="533"/>
      <c r="W5689" s="533"/>
      <c r="X5689" s="533"/>
      <c r="Y5689" s="533"/>
    </row>
    <row r="5690" spans="1:25" s="88" customFormat="1" ht="15.75" hidden="1" customHeight="1" x14ac:dyDescent="0.25">
      <c r="A5690" s="509"/>
      <c r="B5690" s="256"/>
      <c r="C5690" s="316"/>
      <c r="D5690" s="251"/>
      <c r="E5690" s="251"/>
      <c r="F5690" s="257"/>
      <c r="G5690" s="518"/>
      <c r="H5690" s="627"/>
      <c r="I5690" s="610"/>
      <c r="J5690" s="628"/>
      <c r="K5690" s="533"/>
      <c r="L5690" s="533"/>
      <c r="M5690" s="533"/>
      <c r="N5690" s="533"/>
      <c r="O5690" s="533"/>
      <c r="P5690" s="533"/>
      <c r="Q5690" s="533"/>
      <c r="R5690" s="533"/>
      <c r="S5690" s="533"/>
      <c r="T5690" s="533"/>
      <c r="U5690" s="533"/>
      <c r="V5690" s="533"/>
      <c r="W5690" s="533"/>
      <c r="X5690" s="533"/>
      <c r="Y5690" s="533"/>
    </row>
    <row r="5691" spans="1:25" s="88" customFormat="1" ht="15.75" hidden="1" customHeight="1" x14ac:dyDescent="0.25">
      <c r="A5691" s="509"/>
      <c r="B5691" s="256"/>
      <c r="C5691" s="316"/>
      <c r="D5691" s="251"/>
      <c r="E5691" s="251"/>
      <c r="F5691" s="257"/>
      <c r="G5691" s="518"/>
      <c r="H5691" s="627"/>
      <c r="I5691" s="610"/>
      <c r="J5691" s="628"/>
      <c r="K5691" s="533"/>
      <c r="L5691" s="533"/>
      <c r="M5691" s="533"/>
      <c r="N5691" s="533"/>
      <c r="O5691" s="533"/>
      <c r="P5691" s="533"/>
      <c r="Q5691" s="533"/>
      <c r="R5691" s="533"/>
      <c r="S5691" s="533"/>
      <c r="T5691" s="533"/>
      <c r="U5691" s="533"/>
      <c r="V5691" s="533"/>
      <c r="W5691" s="533"/>
      <c r="X5691" s="533"/>
      <c r="Y5691" s="533"/>
    </row>
    <row r="5692" spans="1:25" s="88" customFormat="1" ht="15.75" hidden="1" customHeight="1" x14ac:dyDescent="0.25">
      <c r="A5692" s="509"/>
      <c r="B5692" s="256"/>
      <c r="C5692" s="316"/>
      <c r="D5692" s="251"/>
      <c r="E5692" s="251"/>
      <c r="F5692" s="257"/>
      <c r="G5692" s="518"/>
      <c r="H5692" s="627"/>
      <c r="I5692" s="610"/>
      <c r="J5692" s="628"/>
      <c r="K5692" s="533"/>
      <c r="L5692" s="533"/>
      <c r="M5692" s="533"/>
      <c r="N5692" s="533"/>
      <c r="O5692" s="533"/>
      <c r="P5692" s="533"/>
      <c r="Q5692" s="533"/>
      <c r="R5692" s="533"/>
      <c r="S5692" s="533"/>
      <c r="T5692" s="533"/>
      <c r="U5692" s="533"/>
      <c r="V5692" s="533"/>
      <c r="W5692" s="533"/>
      <c r="X5692" s="533"/>
      <c r="Y5692" s="533"/>
    </row>
    <row r="5693" spans="1:25" s="88" customFormat="1" ht="15.75" hidden="1" customHeight="1" x14ac:dyDescent="0.25">
      <c r="A5693" s="509"/>
      <c r="B5693" s="256"/>
      <c r="C5693" s="316"/>
      <c r="D5693" s="251"/>
      <c r="E5693" s="251"/>
      <c r="F5693" s="257"/>
      <c r="G5693" s="518"/>
      <c r="H5693" s="627"/>
      <c r="I5693" s="610"/>
      <c r="J5693" s="628"/>
      <c r="K5693" s="533"/>
      <c r="L5693" s="533"/>
      <c r="M5693" s="533"/>
      <c r="N5693" s="533"/>
      <c r="O5693" s="533"/>
      <c r="P5693" s="533"/>
      <c r="Q5693" s="533"/>
      <c r="R5693" s="533"/>
      <c r="S5693" s="533"/>
      <c r="T5693" s="533"/>
      <c r="U5693" s="533"/>
      <c r="V5693" s="533"/>
      <c r="W5693" s="533"/>
      <c r="X5693" s="533"/>
      <c r="Y5693" s="533"/>
    </row>
    <row r="5694" spans="1:25" s="88" customFormat="1" ht="15.75" hidden="1" customHeight="1" x14ac:dyDescent="0.25">
      <c r="A5694" s="509"/>
      <c r="B5694" s="256"/>
      <c r="C5694" s="316"/>
      <c r="D5694" s="251"/>
      <c r="E5694" s="251"/>
      <c r="F5694" s="257"/>
      <c r="G5694" s="518"/>
      <c r="H5694" s="627"/>
      <c r="I5694" s="610"/>
      <c r="J5694" s="628"/>
      <c r="K5694" s="533"/>
      <c r="L5694" s="533"/>
      <c r="M5694" s="533"/>
      <c r="N5694" s="533"/>
      <c r="O5694" s="533"/>
      <c r="P5694" s="533"/>
      <c r="Q5694" s="533"/>
      <c r="R5694" s="533"/>
      <c r="S5694" s="533"/>
      <c r="T5694" s="533"/>
      <c r="U5694" s="533"/>
      <c r="V5694" s="533"/>
      <c r="W5694" s="533"/>
      <c r="X5694" s="533"/>
      <c r="Y5694" s="533"/>
    </row>
    <row r="5695" spans="1:25" s="88" customFormat="1" ht="15.75" hidden="1" customHeight="1" x14ac:dyDescent="0.25">
      <c r="A5695" s="509"/>
      <c r="B5695" s="256"/>
      <c r="C5695" s="316"/>
      <c r="D5695" s="251"/>
      <c r="E5695" s="251"/>
      <c r="F5695" s="257"/>
      <c r="G5695" s="518"/>
      <c r="H5695" s="627"/>
      <c r="I5695" s="610"/>
      <c r="J5695" s="628"/>
      <c r="K5695" s="533"/>
      <c r="L5695" s="533"/>
      <c r="M5695" s="533"/>
      <c r="N5695" s="533"/>
      <c r="O5695" s="533"/>
      <c r="P5695" s="533"/>
      <c r="Q5695" s="533"/>
      <c r="R5695" s="533"/>
      <c r="S5695" s="533"/>
      <c r="T5695" s="533"/>
      <c r="U5695" s="533"/>
      <c r="V5695" s="533"/>
      <c r="W5695" s="533"/>
      <c r="X5695" s="533"/>
      <c r="Y5695" s="533"/>
    </row>
    <row r="5696" spans="1:25" s="88" customFormat="1" ht="15.75" hidden="1" customHeight="1" x14ac:dyDescent="0.25">
      <c r="A5696" s="509"/>
      <c r="B5696" s="256"/>
      <c r="C5696" s="316"/>
      <c r="D5696" s="251"/>
      <c r="E5696" s="251"/>
      <c r="F5696" s="257"/>
      <c r="G5696" s="518"/>
      <c r="H5696" s="627"/>
      <c r="I5696" s="610"/>
      <c r="J5696" s="628"/>
      <c r="K5696" s="533"/>
      <c r="L5696" s="533"/>
      <c r="M5696" s="533"/>
      <c r="N5696" s="533"/>
      <c r="O5696" s="533"/>
      <c r="P5696" s="533"/>
      <c r="Q5696" s="533"/>
      <c r="R5696" s="533"/>
      <c r="S5696" s="533"/>
      <c r="T5696" s="533"/>
      <c r="U5696" s="533"/>
      <c r="V5696" s="533"/>
      <c r="W5696" s="533"/>
      <c r="X5696" s="533"/>
      <c r="Y5696" s="533"/>
    </row>
    <row r="5697" spans="1:25" s="88" customFormat="1" ht="15.75" hidden="1" customHeight="1" x14ac:dyDescent="0.25">
      <c r="A5697" s="509"/>
      <c r="B5697" s="256"/>
      <c r="C5697" s="316"/>
      <c r="D5697" s="251"/>
      <c r="E5697" s="251"/>
      <c r="F5697" s="257"/>
      <c r="G5697" s="518"/>
      <c r="H5697" s="627"/>
      <c r="I5697" s="610"/>
      <c r="J5697" s="628"/>
      <c r="K5697" s="533"/>
      <c r="L5697" s="533"/>
      <c r="M5697" s="533"/>
      <c r="N5697" s="533"/>
      <c r="O5697" s="533"/>
      <c r="P5697" s="533"/>
      <c r="Q5697" s="533"/>
      <c r="R5697" s="533"/>
      <c r="S5697" s="533"/>
      <c r="T5697" s="533"/>
      <c r="U5697" s="533"/>
      <c r="V5697" s="533"/>
      <c r="W5697" s="533"/>
      <c r="X5697" s="533"/>
      <c r="Y5697" s="533"/>
    </row>
    <row r="5698" spans="1:25" s="88" customFormat="1" ht="15.75" hidden="1" customHeight="1" x14ac:dyDescent="0.25">
      <c r="A5698" s="509"/>
      <c r="B5698" s="256"/>
      <c r="C5698" s="316"/>
      <c r="D5698" s="251"/>
      <c r="E5698" s="251"/>
      <c r="F5698" s="257"/>
      <c r="G5698" s="518"/>
      <c r="H5698" s="627"/>
      <c r="I5698" s="610"/>
      <c r="J5698" s="628"/>
      <c r="K5698" s="533"/>
      <c r="L5698" s="533"/>
      <c r="M5698" s="533"/>
      <c r="N5698" s="533"/>
      <c r="O5698" s="533"/>
      <c r="P5698" s="533"/>
      <c r="Q5698" s="533"/>
      <c r="R5698" s="533"/>
      <c r="S5698" s="533"/>
      <c r="T5698" s="533"/>
      <c r="U5698" s="533"/>
      <c r="V5698" s="533"/>
      <c r="W5698" s="533"/>
      <c r="X5698" s="533"/>
      <c r="Y5698" s="533"/>
    </row>
    <row r="5699" spans="1:25" s="88" customFormat="1" ht="15.75" hidden="1" customHeight="1" x14ac:dyDescent="0.25">
      <c r="A5699" s="509"/>
      <c r="B5699" s="256"/>
      <c r="C5699" s="316"/>
      <c r="D5699" s="251"/>
      <c r="E5699" s="251"/>
      <c r="F5699" s="257"/>
      <c r="G5699" s="518"/>
      <c r="H5699" s="627"/>
      <c r="I5699" s="610"/>
      <c r="J5699" s="628"/>
      <c r="K5699" s="533"/>
      <c r="L5699" s="533"/>
      <c r="M5699" s="533"/>
      <c r="N5699" s="533"/>
      <c r="O5699" s="533"/>
      <c r="P5699" s="533"/>
      <c r="Q5699" s="533"/>
      <c r="R5699" s="533"/>
      <c r="S5699" s="533"/>
      <c r="T5699" s="533"/>
      <c r="U5699" s="533"/>
      <c r="V5699" s="533"/>
      <c r="W5699" s="533"/>
      <c r="X5699" s="533"/>
      <c r="Y5699" s="533"/>
    </row>
    <row r="5700" spans="1:25" s="88" customFormat="1" ht="15.75" hidden="1" customHeight="1" x14ac:dyDescent="0.25">
      <c r="A5700" s="509"/>
      <c r="B5700" s="256"/>
      <c r="C5700" s="316"/>
      <c r="D5700" s="251"/>
      <c r="E5700" s="251"/>
      <c r="F5700" s="257"/>
      <c r="G5700" s="518"/>
      <c r="H5700" s="627"/>
      <c r="I5700" s="610"/>
      <c r="J5700" s="628"/>
      <c r="K5700" s="533"/>
      <c r="L5700" s="533"/>
      <c r="M5700" s="533"/>
      <c r="N5700" s="533"/>
      <c r="O5700" s="533"/>
      <c r="P5700" s="533"/>
      <c r="Q5700" s="533"/>
      <c r="R5700" s="533"/>
      <c r="S5700" s="533"/>
      <c r="T5700" s="533"/>
      <c r="U5700" s="533"/>
      <c r="V5700" s="533"/>
      <c r="W5700" s="533"/>
      <c r="X5700" s="533"/>
      <c r="Y5700" s="533"/>
    </row>
    <row r="5701" spans="1:25" s="88" customFormat="1" ht="15.75" hidden="1" customHeight="1" x14ac:dyDescent="0.25">
      <c r="A5701" s="509"/>
      <c r="B5701" s="256"/>
      <c r="C5701" s="316"/>
      <c r="D5701" s="251"/>
      <c r="E5701" s="251"/>
      <c r="F5701" s="257"/>
      <c r="G5701" s="518"/>
      <c r="H5701" s="627"/>
      <c r="I5701" s="610"/>
      <c r="J5701" s="628"/>
      <c r="K5701" s="533"/>
      <c r="L5701" s="533"/>
      <c r="M5701" s="533"/>
      <c r="N5701" s="533"/>
      <c r="O5701" s="533"/>
      <c r="P5701" s="533"/>
      <c r="Q5701" s="533"/>
      <c r="R5701" s="533"/>
      <c r="S5701" s="533"/>
      <c r="T5701" s="533"/>
      <c r="U5701" s="533"/>
      <c r="V5701" s="533"/>
      <c r="W5701" s="533"/>
      <c r="X5701" s="533"/>
      <c r="Y5701" s="533"/>
    </row>
    <row r="5702" spans="1:25" s="88" customFormat="1" ht="15.75" hidden="1" customHeight="1" x14ac:dyDescent="0.25">
      <c r="A5702" s="509"/>
      <c r="B5702" s="256"/>
      <c r="C5702" s="316"/>
      <c r="D5702" s="251"/>
      <c r="E5702" s="251"/>
      <c r="F5702" s="257"/>
      <c r="G5702" s="518"/>
      <c r="H5702" s="627"/>
      <c r="I5702" s="610"/>
      <c r="J5702" s="628"/>
      <c r="K5702" s="533"/>
      <c r="L5702" s="533"/>
      <c r="M5702" s="533"/>
      <c r="N5702" s="533"/>
      <c r="O5702" s="533"/>
      <c r="P5702" s="533"/>
      <c r="Q5702" s="533"/>
      <c r="R5702" s="533"/>
      <c r="S5702" s="533"/>
      <c r="T5702" s="533"/>
      <c r="U5702" s="533"/>
      <c r="V5702" s="533"/>
      <c r="W5702" s="533"/>
      <c r="X5702" s="533"/>
      <c r="Y5702" s="533"/>
    </row>
    <row r="5703" spans="1:25" s="88" customFormat="1" ht="15.75" hidden="1" customHeight="1" x14ac:dyDescent="0.25">
      <c r="A5703" s="509"/>
      <c r="B5703" s="256"/>
      <c r="C5703" s="316"/>
      <c r="D5703" s="251"/>
      <c r="E5703" s="251"/>
      <c r="F5703" s="257"/>
      <c r="G5703" s="518"/>
      <c r="H5703" s="627"/>
      <c r="I5703" s="610"/>
      <c r="J5703" s="628"/>
      <c r="K5703" s="533"/>
      <c r="L5703" s="533"/>
      <c r="M5703" s="533"/>
      <c r="N5703" s="533"/>
      <c r="O5703" s="533"/>
      <c r="P5703" s="533"/>
      <c r="Q5703" s="533"/>
      <c r="R5703" s="533"/>
      <c r="S5703" s="533"/>
      <c r="T5703" s="533"/>
      <c r="U5703" s="533"/>
      <c r="V5703" s="533"/>
      <c r="W5703" s="533"/>
      <c r="X5703" s="533"/>
      <c r="Y5703" s="533"/>
    </row>
    <row r="5704" spans="1:25" s="88" customFormat="1" ht="15.75" hidden="1" customHeight="1" x14ac:dyDescent="0.25">
      <c r="A5704" s="509"/>
      <c r="B5704" s="256"/>
      <c r="C5704" s="316"/>
      <c r="D5704" s="251"/>
      <c r="E5704" s="251"/>
      <c r="F5704" s="257"/>
      <c r="G5704" s="518"/>
      <c r="H5704" s="627"/>
      <c r="I5704" s="610"/>
      <c r="J5704" s="628"/>
      <c r="K5704" s="533"/>
      <c r="L5704" s="533"/>
      <c r="M5704" s="533"/>
      <c r="N5704" s="533"/>
      <c r="O5704" s="533"/>
      <c r="P5704" s="533"/>
      <c r="Q5704" s="533"/>
      <c r="R5704" s="533"/>
      <c r="S5704" s="533"/>
      <c r="T5704" s="533"/>
      <c r="U5704" s="533"/>
      <c r="V5704" s="533"/>
      <c r="W5704" s="533"/>
      <c r="X5704" s="533"/>
      <c r="Y5704" s="533"/>
    </row>
    <row r="5705" spans="1:25" s="88" customFormat="1" ht="15.75" hidden="1" customHeight="1" x14ac:dyDescent="0.25">
      <c r="A5705" s="509"/>
      <c r="B5705" s="256"/>
      <c r="C5705" s="316"/>
      <c r="D5705" s="251"/>
      <c r="E5705" s="251"/>
      <c r="F5705" s="257"/>
      <c r="G5705" s="518"/>
      <c r="H5705" s="627"/>
      <c r="I5705" s="610"/>
      <c r="J5705" s="628"/>
      <c r="K5705" s="533"/>
      <c r="L5705" s="533"/>
      <c r="M5705" s="533"/>
      <c r="N5705" s="533"/>
      <c r="O5705" s="533"/>
      <c r="P5705" s="533"/>
      <c r="Q5705" s="533"/>
      <c r="R5705" s="533"/>
      <c r="S5705" s="533"/>
      <c r="T5705" s="533"/>
      <c r="U5705" s="533"/>
      <c r="V5705" s="533"/>
      <c r="W5705" s="533"/>
      <c r="X5705" s="533"/>
      <c r="Y5705" s="533"/>
    </row>
    <row r="5706" spans="1:25" s="88" customFormat="1" ht="15.75" hidden="1" customHeight="1" x14ac:dyDescent="0.25">
      <c r="A5706" s="509"/>
      <c r="B5706" s="256"/>
      <c r="C5706" s="316"/>
      <c r="D5706" s="251"/>
      <c r="E5706" s="251"/>
      <c r="F5706" s="257"/>
      <c r="G5706" s="518"/>
      <c r="H5706" s="627"/>
      <c r="I5706" s="610"/>
      <c r="J5706" s="628"/>
      <c r="K5706" s="533"/>
      <c r="L5706" s="533"/>
      <c r="M5706" s="533"/>
      <c r="N5706" s="533"/>
      <c r="O5706" s="533"/>
      <c r="P5706" s="533"/>
      <c r="Q5706" s="533"/>
      <c r="R5706" s="533"/>
      <c r="S5706" s="533"/>
      <c r="T5706" s="533"/>
      <c r="U5706" s="533"/>
      <c r="V5706" s="533"/>
      <c r="W5706" s="533"/>
      <c r="X5706" s="533"/>
      <c r="Y5706" s="533"/>
    </row>
    <row r="5707" spans="1:25" s="88" customFormat="1" ht="15.75" hidden="1" customHeight="1" x14ac:dyDescent="0.25">
      <c r="A5707" s="509"/>
      <c r="B5707" s="256"/>
      <c r="C5707" s="316"/>
      <c r="D5707" s="251"/>
      <c r="E5707" s="251"/>
      <c r="F5707" s="257"/>
      <c r="G5707" s="518"/>
      <c r="H5707" s="627"/>
      <c r="I5707" s="610"/>
      <c r="J5707" s="628"/>
      <c r="K5707" s="533"/>
      <c r="L5707" s="533"/>
      <c r="M5707" s="533"/>
      <c r="N5707" s="533"/>
      <c r="O5707" s="533"/>
      <c r="P5707" s="533"/>
      <c r="Q5707" s="533"/>
      <c r="R5707" s="533"/>
      <c r="S5707" s="533"/>
      <c r="T5707" s="533"/>
      <c r="U5707" s="533"/>
      <c r="V5707" s="533"/>
      <c r="W5707" s="533"/>
      <c r="X5707" s="533"/>
      <c r="Y5707" s="533"/>
    </row>
    <row r="5708" spans="1:25" s="88" customFormat="1" ht="15.75" hidden="1" customHeight="1" x14ac:dyDescent="0.25">
      <c r="A5708" s="509"/>
      <c r="B5708" s="256"/>
      <c r="C5708" s="316"/>
      <c r="D5708" s="251"/>
      <c r="E5708" s="251"/>
      <c r="F5708" s="257"/>
      <c r="G5708" s="518"/>
      <c r="H5708" s="627"/>
      <c r="I5708" s="610"/>
      <c r="J5708" s="628"/>
      <c r="K5708" s="533"/>
      <c r="L5708" s="533"/>
      <c r="M5708" s="533"/>
      <c r="N5708" s="533"/>
      <c r="O5708" s="533"/>
      <c r="P5708" s="533"/>
      <c r="Q5708" s="533"/>
      <c r="R5708" s="533"/>
      <c r="S5708" s="533"/>
      <c r="T5708" s="533"/>
      <c r="U5708" s="533"/>
      <c r="V5708" s="533"/>
      <c r="W5708" s="533"/>
      <c r="X5708" s="533"/>
      <c r="Y5708" s="533"/>
    </row>
    <row r="5709" spans="1:25" s="88" customFormat="1" ht="15.75" hidden="1" customHeight="1" x14ac:dyDescent="0.25">
      <c r="A5709" s="509"/>
      <c r="B5709" s="256"/>
      <c r="C5709" s="316"/>
      <c r="D5709" s="251"/>
      <c r="E5709" s="251"/>
      <c r="F5709" s="257"/>
      <c r="G5709" s="518"/>
      <c r="H5709" s="627"/>
      <c r="I5709" s="610"/>
      <c r="J5709" s="628"/>
      <c r="K5709" s="533"/>
      <c r="L5709" s="533"/>
      <c r="M5709" s="533"/>
      <c r="N5709" s="533"/>
      <c r="O5709" s="533"/>
      <c r="P5709" s="533"/>
      <c r="Q5709" s="533"/>
      <c r="R5709" s="533"/>
      <c r="S5709" s="533"/>
      <c r="T5709" s="533"/>
      <c r="U5709" s="533"/>
      <c r="V5709" s="533"/>
      <c r="W5709" s="533"/>
      <c r="X5709" s="533"/>
      <c r="Y5709" s="533"/>
    </row>
    <row r="5710" spans="1:25" s="88" customFormat="1" ht="15.75" hidden="1" customHeight="1" x14ac:dyDescent="0.25">
      <c r="A5710" s="509"/>
      <c r="B5710" s="256"/>
      <c r="C5710" s="316"/>
      <c r="D5710" s="251"/>
      <c r="E5710" s="251"/>
      <c r="F5710" s="257"/>
      <c r="G5710" s="518"/>
      <c r="H5710" s="627"/>
      <c r="I5710" s="610"/>
      <c r="J5710" s="628"/>
      <c r="K5710" s="533"/>
      <c r="L5710" s="533"/>
      <c r="M5710" s="533"/>
      <c r="N5710" s="533"/>
      <c r="O5710" s="533"/>
      <c r="P5710" s="533"/>
      <c r="Q5710" s="533"/>
      <c r="R5710" s="533"/>
      <c r="S5710" s="533"/>
      <c r="T5710" s="533"/>
      <c r="U5710" s="533"/>
      <c r="V5710" s="533"/>
      <c r="W5710" s="533"/>
      <c r="X5710" s="533"/>
      <c r="Y5710" s="533"/>
    </row>
    <row r="5711" spans="1:25" s="88" customFormat="1" ht="15.75" hidden="1" customHeight="1" x14ac:dyDescent="0.25">
      <c r="A5711" s="509"/>
      <c r="B5711" s="256"/>
      <c r="C5711" s="316"/>
      <c r="D5711" s="251"/>
      <c r="E5711" s="251"/>
      <c r="F5711" s="257"/>
      <c r="G5711" s="518"/>
      <c r="H5711" s="627"/>
      <c r="I5711" s="610"/>
      <c r="J5711" s="628"/>
      <c r="K5711" s="533"/>
      <c r="L5711" s="533"/>
      <c r="M5711" s="533"/>
      <c r="N5711" s="533"/>
      <c r="O5711" s="533"/>
      <c r="P5711" s="533"/>
      <c r="Q5711" s="533"/>
      <c r="R5711" s="533"/>
      <c r="S5711" s="533"/>
      <c r="T5711" s="533"/>
      <c r="U5711" s="533"/>
      <c r="V5711" s="533"/>
      <c r="W5711" s="533"/>
      <c r="X5711" s="533"/>
      <c r="Y5711" s="533"/>
    </row>
    <row r="5712" spans="1:25" s="88" customFormat="1" ht="15.75" hidden="1" customHeight="1" x14ac:dyDescent="0.25">
      <c r="A5712" s="509"/>
      <c r="B5712" s="256"/>
      <c r="C5712" s="316"/>
      <c r="D5712" s="251"/>
      <c r="E5712" s="251"/>
      <c r="F5712" s="257"/>
      <c r="G5712" s="518"/>
      <c r="H5712" s="627"/>
      <c r="I5712" s="610"/>
      <c r="J5712" s="628"/>
      <c r="K5712" s="533"/>
      <c r="L5712" s="533"/>
      <c r="M5712" s="533"/>
      <c r="N5712" s="533"/>
      <c r="O5712" s="533"/>
      <c r="P5712" s="533"/>
      <c r="Q5712" s="533"/>
      <c r="R5712" s="533"/>
      <c r="S5712" s="533"/>
      <c r="T5712" s="533"/>
      <c r="U5712" s="533"/>
      <c r="V5712" s="533"/>
      <c r="W5712" s="533"/>
      <c r="X5712" s="533"/>
      <c r="Y5712" s="533"/>
    </row>
    <row r="5713" spans="1:25" s="88" customFormat="1" ht="15.75" hidden="1" customHeight="1" x14ac:dyDescent="0.25">
      <c r="A5713" s="509"/>
      <c r="B5713" s="256"/>
      <c r="C5713" s="316"/>
      <c r="D5713" s="251"/>
      <c r="E5713" s="251"/>
      <c r="F5713" s="257"/>
      <c r="G5713" s="518"/>
      <c r="H5713" s="627"/>
      <c r="I5713" s="610"/>
      <c r="J5713" s="628"/>
      <c r="K5713" s="533"/>
      <c r="L5713" s="533"/>
      <c r="M5713" s="533"/>
      <c r="N5713" s="533"/>
      <c r="O5713" s="533"/>
      <c r="P5713" s="533"/>
      <c r="Q5713" s="533"/>
      <c r="R5713" s="533"/>
      <c r="S5713" s="533"/>
      <c r="T5713" s="533"/>
      <c r="U5713" s="533"/>
      <c r="V5713" s="533"/>
      <c r="W5713" s="533"/>
      <c r="X5713" s="533"/>
      <c r="Y5713" s="533"/>
    </row>
    <row r="5714" spans="1:25" s="88" customFormat="1" ht="15.75" hidden="1" customHeight="1" x14ac:dyDescent="0.25">
      <c r="A5714" s="509"/>
      <c r="B5714" s="256"/>
      <c r="C5714" s="316"/>
      <c r="D5714" s="251"/>
      <c r="E5714" s="251"/>
      <c r="F5714" s="257"/>
      <c r="G5714" s="518"/>
      <c r="H5714" s="627"/>
      <c r="I5714" s="610"/>
      <c r="J5714" s="628"/>
      <c r="K5714" s="533"/>
      <c r="L5714" s="533"/>
      <c r="M5714" s="533"/>
      <c r="N5714" s="533"/>
      <c r="O5714" s="533"/>
      <c r="P5714" s="533"/>
      <c r="Q5714" s="533"/>
      <c r="R5714" s="533"/>
      <c r="S5714" s="533"/>
      <c r="T5714" s="533"/>
      <c r="U5714" s="533"/>
      <c r="V5714" s="533"/>
      <c r="W5714" s="533"/>
      <c r="X5714" s="533"/>
      <c r="Y5714" s="533"/>
    </row>
    <row r="5715" spans="1:25" s="88" customFormat="1" ht="15.75" hidden="1" customHeight="1" x14ac:dyDescent="0.25">
      <c r="A5715" s="509"/>
      <c r="B5715" s="256"/>
      <c r="C5715" s="316"/>
      <c r="D5715" s="251"/>
      <c r="E5715" s="251"/>
      <c r="F5715" s="257"/>
      <c r="G5715" s="518"/>
      <c r="H5715" s="627"/>
      <c r="I5715" s="610"/>
      <c r="J5715" s="628"/>
      <c r="K5715" s="533"/>
      <c r="L5715" s="533"/>
      <c r="M5715" s="533"/>
      <c r="N5715" s="533"/>
      <c r="O5715" s="533"/>
      <c r="P5715" s="533"/>
      <c r="Q5715" s="533"/>
      <c r="R5715" s="533"/>
      <c r="S5715" s="533"/>
      <c r="T5715" s="533"/>
      <c r="U5715" s="533"/>
      <c r="V5715" s="533"/>
      <c r="W5715" s="533"/>
      <c r="X5715" s="533"/>
      <c r="Y5715" s="533"/>
    </row>
    <row r="5716" spans="1:25" s="88" customFormat="1" ht="15.75" hidden="1" customHeight="1" x14ac:dyDescent="0.25">
      <c r="A5716" s="509"/>
      <c r="B5716" s="256"/>
      <c r="C5716" s="316"/>
      <c r="D5716" s="251"/>
      <c r="E5716" s="251"/>
      <c r="F5716" s="257"/>
      <c r="G5716" s="518"/>
      <c r="H5716" s="627"/>
      <c r="I5716" s="610"/>
      <c r="J5716" s="628"/>
      <c r="K5716" s="533"/>
      <c r="L5716" s="533"/>
      <c r="M5716" s="533"/>
      <c r="N5716" s="533"/>
      <c r="O5716" s="533"/>
      <c r="P5716" s="533"/>
      <c r="Q5716" s="533"/>
      <c r="R5716" s="533"/>
      <c r="S5716" s="533"/>
      <c r="T5716" s="533"/>
      <c r="U5716" s="533"/>
      <c r="V5716" s="533"/>
      <c r="W5716" s="533"/>
      <c r="X5716" s="533"/>
      <c r="Y5716" s="533"/>
    </row>
    <row r="5717" spans="1:25" s="88" customFormat="1" ht="15.75" hidden="1" customHeight="1" x14ac:dyDescent="0.25">
      <c r="A5717" s="509"/>
      <c r="B5717" s="256"/>
      <c r="C5717" s="316"/>
      <c r="D5717" s="251"/>
      <c r="E5717" s="251"/>
      <c r="F5717" s="257"/>
      <c r="G5717" s="518"/>
      <c r="H5717" s="627"/>
      <c r="I5717" s="610"/>
      <c r="J5717" s="628"/>
      <c r="K5717" s="533"/>
      <c r="L5717" s="533"/>
      <c r="M5717" s="533"/>
      <c r="N5717" s="533"/>
      <c r="O5717" s="533"/>
      <c r="P5717" s="533"/>
      <c r="Q5717" s="533"/>
      <c r="R5717" s="533"/>
      <c r="S5717" s="533"/>
      <c r="T5717" s="533"/>
      <c r="U5717" s="533"/>
      <c r="V5717" s="533"/>
      <c r="W5717" s="533"/>
      <c r="X5717" s="533"/>
      <c r="Y5717" s="533"/>
    </row>
    <row r="5718" spans="1:25" s="88" customFormat="1" ht="15.75" hidden="1" customHeight="1" x14ac:dyDescent="0.25">
      <c r="A5718" s="509"/>
      <c r="B5718" s="256"/>
      <c r="C5718" s="316"/>
      <c r="D5718" s="251"/>
      <c r="E5718" s="251"/>
      <c r="F5718" s="257"/>
      <c r="G5718" s="518"/>
      <c r="H5718" s="627"/>
      <c r="I5718" s="610"/>
      <c r="J5718" s="628"/>
      <c r="K5718" s="533"/>
      <c r="L5718" s="533"/>
      <c r="M5718" s="533"/>
      <c r="N5718" s="533"/>
      <c r="O5718" s="533"/>
      <c r="P5718" s="533"/>
      <c r="Q5718" s="533"/>
      <c r="R5718" s="533"/>
      <c r="S5718" s="533"/>
      <c r="T5718" s="533"/>
      <c r="U5718" s="533"/>
      <c r="V5718" s="533"/>
      <c r="W5718" s="533"/>
      <c r="X5718" s="533"/>
      <c r="Y5718" s="533"/>
    </row>
    <row r="5719" spans="1:25" s="88" customFormat="1" ht="15.75" hidden="1" customHeight="1" x14ac:dyDescent="0.25">
      <c r="A5719" s="509"/>
      <c r="B5719" s="256"/>
      <c r="C5719" s="316"/>
      <c r="D5719" s="251"/>
      <c r="E5719" s="251"/>
      <c r="F5719" s="257"/>
      <c r="G5719" s="518"/>
      <c r="H5719" s="627"/>
      <c r="I5719" s="610"/>
      <c r="J5719" s="628"/>
      <c r="K5719" s="533"/>
      <c r="L5719" s="533"/>
      <c r="M5719" s="533"/>
      <c r="N5719" s="533"/>
      <c r="O5719" s="533"/>
      <c r="P5719" s="533"/>
      <c r="Q5719" s="533"/>
      <c r="R5719" s="533"/>
      <c r="S5719" s="533"/>
      <c r="T5719" s="533"/>
      <c r="U5719" s="533"/>
      <c r="V5719" s="533"/>
      <c r="W5719" s="533"/>
      <c r="X5719" s="533"/>
      <c r="Y5719" s="533"/>
    </row>
    <row r="5720" spans="1:25" s="88" customFormat="1" ht="15.75" hidden="1" customHeight="1" x14ac:dyDescent="0.25">
      <c r="A5720" s="509"/>
      <c r="B5720" s="256"/>
      <c r="C5720" s="316"/>
      <c r="D5720" s="251"/>
      <c r="E5720" s="251"/>
      <c r="F5720" s="257"/>
      <c r="G5720" s="518"/>
      <c r="H5720" s="627"/>
      <c r="I5720" s="610"/>
      <c r="J5720" s="628"/>
      <c r="K5720" s="533"/>
      <c r="L5720" s="533"/>
      <c r="M5720" s="533"/>
      <c r="N5720" s="533"/>
      <c r="O5720" s="533"/>
      <c r="P5720" s="533"/>
      <c r="Q5720" s="533"/>
      <c r="R5720" s="533"/>
      <c r="S5720" s="533"/>
      <c r="T5720" s="533"/>
      <c r="U5720" s="533"/>
      <c r="V5720" s="533"/>
      <c r="W5720" s="533"/>
      <c r="X5720" s="533"/>
      <c r="Y5720" s="533"/>
    </row>
    <row r="5721" spans="1:25" s="88" customFormat="1" ht="15.75" hidden="1" customHeight="1" x14ac:dyDescent="0.25">
      <c r="A5721" s="509"/>
      <c r="B5721" s="256"/>
      <c r="C5721" s="316"/>
      <c r="D5721" s="251"/>
      <c r="E5721" s="251"/>
      <c r="F5721" s="257"/>
      <c r="G5721" s="518"/>
      <c r="H5721" s="627"/>
      <c r="I5721" s="610"/>
      <c r="J5721" s="628"/>
      <c r="K5721" s="533"/>
      <c r="L5721" s="533"/>
      <c r="M5721" s="533"/>
      <c r="N5721" s="533"/>
      <c r="O5721" s="533"/>
      <c r="P5721" s="533"/>
      <c r="Q5721" s="533"/>
      <c r="R5721" s="533"/>
      <c r="S5721" s="533"/>
      <c r="T5721" s="533"/>
      <c r="U5721" s="533"/>
      <c r="V5721" s="533"/>
      <c r="W5721" s="533"/>
      <c r="X5721" s="533"/>
      <c r="Y5721" s="533"/>
    </row>
    <row r="5722" spans="1:25" s="88" customFormat="1" ht="15.75" hidden="1" customHeight="1" x14ac:dyDescent="0.25">
      <c r="A5722" s="509"/>
      <c r="B5722" s="256"/>
      <c r="C5722" s="316"/>
      <c r="D5722" s="251"/>
      <c r="E5722" s="251"/>
      <c r="F5722" s="257"/>
      <c r="G5722" s="518"/>
      <c r="H5722" s="627"/>
      <c r="I5722" s="610"/>
      <c r="J5722" s="628"/>
      <c r="K5722" s="533"/>
      <c r="L5722" s="533"/>
      <c r="M5722" s="533"/>
      <c r="N5722" s="533"/>
      <c r="O5722" s="533"/>
      <c r="P5722" s="533"/>
      <c r="Q5722" s="533"/>
      <c r="R5722" s="533"/>
      <c r="S5722" s="533"/>
      <c r="T5722" s="533"/>
      <c r="U5722" s="533"/>
      <c r="V5722" s="533"/>
      <c r="W5722" s="533"/>
      <c r="X5722" s="533"/>
      <c r="Y5722" s="533"/>
    </row>
    <row r="5723" spans="1:25" s="88" customFormat="1" ht="15.75" hidden="1" customHeight="1" x14ac:dyDescent="0.25">
      <c r="A5723" s="509"/>
      <c r="B5723" s="256"/>
      <c r="C5723" s="316"/>
      <c r="D5723" s="251"/>
      <c r="E5723" s="251"/>
      <c r="F5723" s="257"/>
      <c r="G5723" s="518"/>
      <c r="H5723" s="627"/>
      <c r="I5723" s="610"/>
      <c r="J5723" s="628"/>
      <c r="K5723" s="533"/>
      <c r="L5723" s="533"/>
      <c r="M5723" s="533"/>
      <c r="N5723" s="533"/>
      <c r="O5723" s="533"/>
      <c r="P5723" s="533"/>
      <c r="Q5723" s="533"/>
      <c r="R5723" s="533"/>
      <c r="S5723" s="533"/>
      <c r="T5723" s="533"/>
      <c r="U5723" s="533"/>
      <c r="V5723" s="533"/>
      <c r="W5723" s="533"/>
      <c r="X5723" s="533"/>
      <c r="Y5723" s="533"/>
    </row>
    <row r="5724" spans="1:25" s="88" customFormat="1" ht="15.75" hidden="1" customHeight="1" x14ac:dyDescent="0.25">
      <c r="A5724" s="509"/>
      <c r="B5724" s="256"/>
      <c r="C5724" s="316"/>
      <c r="D5724" s="251"/>
      <c r="E5724" s="251"/>
      <c r="F5724" s="257"/>
      <c r="G5724" s="518"/>
      <c r="H5724" s="627"/>
      <c r="I5724" s="610"/>
      <c r="J5724" s="628"/>
      <c r="K5724" s="533"/>
      <c r="L5724" s="533"/>
      <c r="M5724" s="533"/>
      <c r="N5724" s="533"/>
      <c r="O5724" s="533"/>
      <c r="P5724" s="533"/>
      <c r="Q5724" s="533"/>
      <c r="R5724" s="533"/>
      <c r="S5724" s="533"/>
      <c r="T5724" s="533"/>
      <c r="U5724" s="533"/>
      <c r="V5724" s="533"/>
      <c r="W5724" s="533"/>
      <c r="X5724" s="533"/>
      <c r="Y5724" s="533"/>
    </row>
    <row r="5725" spans="1:25" s="88" customFormat="1" ht="15.75" hidden="1" customHeight="1" x14ac:dyDescent="0.25">
      <c r="A5725" s="509"/>
      <c r="B5725" s="256"/>
      <c r="C5725" s="316"/>
      <c r="D5725" s="251"/>
      <c r="E5725" s="251"/>
      <c r="F5725" s="257"/>
      <c r="G5725" s="518"/>
      <c r="H5725" s="627"/>
      <c r="I5725" s="610"/>
      <c r="J5725" s="628"/>
      <c r="K5725" s="533"/>
      <c r="L5725" s="533"/>
      <c r="M5725" s="533"/>
      <c r="N5725" s="533"/>
      <c r="O5725" s="533"/>
      <c r="P5725" s="533"/>
      <c r="Q5725" s="533"/>
      <c r="R5725" s="533"/>
      <c r="S5725" s="533"/>
      <c r="T5725" s="533"/>
      <c r="U5725" s="533"/>
      <c r="V5725" s="533"/>
      <c r="W5725" s="533"/>
      <c r="X5725" s="533"/>
      <c r="Y5725" s="533"/>
    </row>
    <row r="5726" spans="1:25" s="88" customFormat="1" ht="15.75" hidden="1" customHeight="1" x14ac:dyDescent="0.25">
      <c r="A5726" s="509"/>
      <c r="B5726" s="256"/>
      <c r="C5726" s="316"/>
      <c r="D5726" s="251"/>
      <c r="E5726" s="251"/>
      <c r="F5726" s="257"/>
      <c r="G5726" s="518"/>
      <c r="H5726" s="627"/>
      <c r="I5726" s="610"/>
      <c r="J5726" s="628"/>
      <c r="K5726" s="533"/>
      <c r="L5726" s="533"/>
      <c r="M5726" s="533"/>
      <c r="N5726" s="533"/>
      <c r="O5726" s="533"/>
      <c r="P5726" s="533"/>
      <c r="Q5726" s="533"/>
      <c r="R5726" s="533"/>
      <c r="S5726" s="533"/>
      <c r="T5726" s="533"/>
      <c r="U5726" s="533"/>
      <c r="V5726" s="533"/>
      <c r="W5726" s="533"/>
      <c r="X5726" s="533"/>
      <c r="Y5726" s="533"/>
    </row>
    <row r="5727" spans="1:25" s="88" customFormat="1" ht="15.75" hidden="1" customHeight="1" x14ac:dyDescent="0.25">
      <c r="A5727" s="509"/>
      <c r="B5727" s="256"/>
      <c r="C5727" s="316"/>
      <c r="D5727" s="251"/>
      <c r="E5727" s="251"/>
      <c r="F5727" s="257"/>
      <c r="G5727" s="518"/>
      <c r="H5727" s="627"/>
      <c r="I5727" s="610"/>
      <c r="J5727" s="628"/>
      <c r="K5727" s="533"/>
      <c r="L5727" s="533"/>
      <c r="M5727" s="533"/>
      <c r="N5727" s="533"/>
      <c r="O5727" s="533"/>
      <c r="P5727" s="533"/>
      <c r="Q5727" s="533"/>
      <c r="R5727" s="533"/>
      <c r="S5727" s="533"/>
      <c r="T5727" s="533"/>
      <c r="U5727" s="533"/>
      <c r="V5727" s="533"/>
      <c r="W5727" s="533"/>
      <c r="X5727" s="533"/>
      <c r="Y5727" s="533"/>
    </row>
    <row r="5728" spans="1:25" s="88" customFormat="1" ht="15.75" hidden="1" customHeight="1" x14ac:dyDescent="0.25">
      <c r="A5728" s="509"/>
      <c r="B5728" s="256"/>
      <c r="C5728" s="316"/>
      <c r="D5728" s="251"/>
      <c r="E5728" s="251"/>
      <c r="F5728" s="257"/>
      <c r="G5728" s="518"/>
      <c r="H5728" s="627"/>
      <c r="I5728" s="610"/>
      <c r="J5728" s="628"/>
      <c r="K5728" s="533"/>
      <c r="L5728" s="533"/>
      <c r="M5728" s="533"/>
      <c r="N5728" s="533"/>
      <c r="O5728" s="533"/>
      <c r="P5728" s="533"/>
      <c r="Q5728" s="533"/>
      <c r="R5728" s="533"/>
      <c r="S5728" s="533"/>
      <c r="T5728" s="533"/>
      <c r="U5728" s="533"/>
      <c r="V5728" s="533"/>
      <c r="W5728" s="533"/>
      <c r="X5728" s="533"/>
      <c r="Y5728" s="533"/>
    </row>
    <row r="5729" spans="1:25" s="88" customFormat="1" ht="15.75" hidden="1" customHeight="1" x14ac:dyDescent="0.25">
      <c r="A5729" s="509"/>
      <c r="B5729" s="256"/>
      <c r="C5729" s="316"/>
      <c r="D5729" s="251"/>
      <c r="E5729" s="251"/>
      <c r="F5729" s="257"/>
      <c r="G5729" s="518"/>
      <c r="H5729" s="627"/>
      <c r="I5729" s="610"/>
      <c r="J5729" s="628"/>
      <c r="K5729" s="533"/>
      <c r="L5729" s="533"/>
      <c r="M5729" s="533"/>
      <c r="N5729" s="533"/>
      <c r="O5729" s="533"/>
      <c r="P5729" s="533"/>
      <c r="Q5729" s="533"/>
      <c r="R5729" s="533"/>
      <c r="S5729" s="533"/>
      <c r="T5729" s="533"/>
      <c r="U5729" s="533"/>
      <c r="V5729" s="533"/>
      <c r="W5729" s="533"/>
      <c r="X5729" s="533"/>
      <c r="Y5729" s="533"/>
    </row>
    <row r="5730" spans="1:25" s="88" customFormat="1" ht="15.75" hidden="1" customHeight="1" x14ac:dyDescent="0.25">
      <c r="A5730" s="509"/>
      <c r="B5730" s="256"/>
      <c r="C5730" s="316"/>
      <c r="D5730" s="251"/>
      <c r="E5730" s="251"/>
      <c r="F5730" s="257"/>
      <c r="G5730" s="518"/>
      <c r="H5730" s="627"/>
      <c r="I5730" s="610"/>
      <c r="J5730" s="628"/>
      <c r="K5730" s="533"/>
      <c r="L5730" s="533"/>
      <c r="M5730" s="533"/>
      <c r="N5730" s="533"/>
      <c r="O5730" s="533"/>
      <c r="P5730" s="533"/>
      <c r="Q5730" s="533"/>
      <c r="R5730" s="533"/>
      <c r="S5730" s="533"/>
      <c r="T5730" s="533"/>
      <c r="U5730" s="533"/>
      <c r="V5730" s="533"/>
      <c r="W5730" s="533"/>
      <c r="X5730" s="533"/>
      <c r="Y5730" s="533"/>
    </row>
    <row r="5731" spans="1:25" s="88" customFormat="1" ht="15.75" hidden="1" customHeight="1" x14ac:dyDescent="0.25">
      <c r="A5731" s="509"/>
      <c r="B5731" s="256"/>
      <c r="C5731" s="316"/>
      <c r="D5731" s="251"/>
      <c r="E5731" s="251"/>
      <c r="F5731" s="257"/>
      <c r="G5731" s="518"/>
      <c r="H5731" s="627"/>
      <c r="I5731" s="610"/>
      <c r="J5731" s="628"/>
      <c r="K5731" s="533"/>
      <c r="L5731" s="533"/>
      <c r="M5731" s="533"/>
      <c r="N5731" s="533"/>
      <c r="O5731" s="533"/>
      <c r="P5731" s="533"/>
      <c r="Q5731" s="533"/>
      <c r="R5731" s="533"/>
      <c r="S5731" s="533"/>
      <c r="T5731" s="533"/>
      <c r="U5731" s="533"/>
      <c r="V5731" s="533"/>
      <c r="W5731" s="533"/>
      <c r="X5731" s="533"/>
      <c r="Y5731" s="533"/>
    </row>
    <row r="5732" spans="1:25" s="88" customFormat="1" ht="15.75" hidden="1" customHeight="1" x14ac:dyDescent="0.25">
      <c r="A5732" s="509"/>
      <c r="B5732" s="256"/>
      <c r="C5732" s="316"/>
      <c r="D5732" s="251"/>
      <c r="E5732" s="251"/>
      <c r="F5732" s="257"/>
      <c r="G5732" s="518"/>
      <c r="H5732" s="627"/>
      <c r="I5732" s="610"/>
      <c r="J5732" s="628"/>
      <c r="K5732" s="533"/>
      <c r="L5732" s="533"/>
      <c r="M5732" s="533"/>
      <c r="N5732" s="533"/>
      <c r="O5732" s="533"/>
      <c r="P5732" s="533"/>
      <c r="Q5732" s="533"/>
      <c r="R5732" s="533"/>
      <c r="S5732" s="533"/>
      <c r="T5732" s="533"/>
      <c r="U5732" s="533"/>
      <c r="V5732" s="533"/>
      <c r="W5732" s="533"/>
      <c r="X5732" s="533"/>
      <c r="Y5732" s="533"/>
    </row>
    <row r="5733" spans="1:25" s="88" customFormat="1" ht="15.75" hidden="1" customHeight="1" x14ac:dyDescent="0.25">
      <c r="A5733" s="509"/>
      <c r="B5733" s="256"/>
      <c r="C5733" s="316"/>
      <c r="D5733" s="251"/>
      <c r="E5733" s="251"/>
      <c r="F5733" s="257"/>
      <c r="G5733" s="518"/>
      <c r="H5733" s="627"/>
      <c r="I5733" s="610"/>
      <c r="J5733" s="628"/>
      <c r="K5733" s="533"/>
      <c r="L5733" s="533"/>
      <c r="M5733" s="533"/>
      <c r="N5733" s="533"/>
      <c r="O5733" s="533"/>
      <c r="P5733" s="533"/>
      <c r="Q5733" s="533"/>
      <c r="R5733" s="533"/>
      <c r="S5733" s="533"/>
      <c r="T5733" s="533"/>
      <c r="U5733" s="533"/>
      <c r="V5733" s="533"/>
      <c r="W5733" s="533"/>
      <c r="X5733" s="533"/>
      <c r="Y5733" s="533"/>
    </row>
    <row r="5734" spans="1:25" s="88" customFormat="1" ht="15.75" hidden="1" customHeight="1" x14ac:dyDescent="0.25">
      <c r="A5734" s="509"/>
      <c r="B5734" s="256"/>
      <c r="C5734" s="316"/>
      <c r="D5734" s="251"/>
      <c r="E5734" s="251"/>
      <c r="F5734" s="257"/>
      <c r="G5734" s="518"/>
      <c r="H5734" s="627"/>
      <c r="I5734" s="610"/>
      <c r="J5734" s="628"/>
      <c r="K5734" s="533"/>
      <c r="L5734" s="533"/>
      <c r="M5734" s="533"/>
      <c r="N5734" s="533"/>
      <c r="O5734" s="533"/>
      <c r="P5734" s="533"/>
      <c r="Q5734" s="533"/>
      <c r="R5734" s="533"/>
      <c r="S5734" s="533"/>
      <c r="T5734" s="533"/>
      <c r="U5734" s="533"/>
      <c r="V5734" s="533"/>
      <c r="W5734" s="533"/>
      <c r="X5734" s="533"/>
      <c r="Y5734" s="533"/>
    </row>
    <row r="5735" spans="1:25" s="88" customFormat="1" ht="15.75" hidden="1" customHeight="1" x14ac:dyDescent="0.25">
      <c r="A5735" s="509"/>
      <c r="B5735" s="256"/>
      <c r="C5735" s="316"/>
      <c r="D5735" s="251"/>
      <c r="E5735" s="251"/>
      <c r="F5735" s="257"/>
      <c r="G5735" s="518"/>
      <c r="H5735" s="627"/>
      <c r="I5735" s="610"/>
      <c r="J5735" s="628"/>
      <c r="K5735" s="533"/>
      <c r="L5735" s="533"/>
      <c r="M5735" s="533"/>
      <c r="N5735" s="533"/>
      <c r="O5735" s="533"/>
      <c r="P5735" s="533"/>
      <c r="Q5735" s="533"/>
      <c r="R5735" s="533"/>
      <c r="S5735" s="533"/>
      <c r="T5735" s="533"/>
      <c r="U5735" s="533"/>
      <c r="V5735" s="533"/>
      <c r="W5735" s="533"/>
      <c r="X5735" s="533"/>
      <c r="Y5735" s="533"/>
    </row>
    <row r="5736" spans="1:25" s="88" customFormat="1" ht="15.75" hidden="1" customHeight="1" x14ac:dyDescent="0.25">
      <c r="A5736" s="509"/>
      <c r="B5736" s="256"/>
      <c r="C5736" s="316"/>
      <c r="D5736" s="251"/>
      <c r="E5736" s="251"/>
      <c r="F5736" s="257"/>
      <c r="G5736" s="518"/>
      <c r="H5736" s="627"/>
      <c r="I5736" s="610"/>
      <c r="J5736" s="628"/>
      <c r="K5736" s="533"/>
      <c r="L5736" s="533"/>
      <c r="M5736" s="533"/>
      <c r="N5736" s="533"/>
      <c r="O5736" s="533"/>
      <c r="P5736" s="533"/>
      <c r="Q5736" s="533"/>
      <c r="R5736" s="533"/>
      <c r="S5736" s="533"/>
      <c r="T5736" s="533"/>
      <c r="U5736" s="533"/>
      <c r="V5736" s="533"/>
      <c r="W5736" s="533"/>
      <c r="X5736" s="533"/>
      <c r="Y5736" s="533"/>
    </row>
    <row r="5737" spans="1:25" s="88" customFormat="1" ht="15.75" hidden="1" customHeight="1" x14ac:dyDescent="0.25">
      <c r="A5737" s="509"/>
      <c r="B5737" s="256"/>
      <c r="C5737" s="316"/>
      <c r="D5737" s="251"/>
      <c r="E5737" s="251"/>
      <c r="F5737" s="257"/>
      <c r="G5737" s="518"/>
      <c r="H5737" s="627"/>
      <c r="I5737" s="610"/>
      <c r="J5737" s="628"/>
      <c r="K5737" s="533"/>
      <c r="L5737" s="533"/>
      <c r="M5737" s="533"/>
      <c r="N5737" s="533"/>
      <c r="O5737" s="533"/>
      <c r="P5737" s="533"/>
      <c r="Q5737" s="533"/>
      <c r="R5737" s="533"/>
      <c r="S5737" s="533"/>
      <c r="T5737" s="533"/>
      <c r="U5737" s="533"/>
      <c r="V5737" s="533"/>
      <c r="W5737" s="533"/>
      <c r="X5737" s="533"/>
      <c r="Y5737" s="533"/>
    </row>
    <row r="5738" spans="1:25" s="88" customFormat="1" ht="15.75" hidden="1" customHeight="1" x14ac:dyDescent="0.25">
      <c r="A5738" s="509"/>
      <c r="B5738" s="256"/>
      <c r="C5738" s="316"/>
      <c r="D5738" s="251"/>
      <c r="E5738" s="251"/>
      <c r="F5738" s="257"/>
      <c r="G5738" s="518"/>
      <c r="H5738" s="627"/>
      <c r="I5738" s="610"/>
      <c r="J5738" s="628"/>
      <c r="K5738" s="533"/>
      <c r="L5738" s="533"/>
      <c r="M5738" s="533"/>
      <c r="N5738" s="533"/>
      <c r="O5738" s="533"/>
      <c r="P5738" s="533"/>
      <c r="Q5738" s="533"/>
      <c r="R5738" s="533"/>
      <c r="S5738" s="533"/>
      <c r="T5738" s="533"/>
      <c r="U5738" s="533"/>
      <c r="V5738" s="533"/>
      <c r="W5738" s="533"/>
      <c r="X5738" s="533"/>
      <c r="Y5738" s="533"/>
    </row>
    <row r="5739" spans="1:25" s="88" customFormat="1" ht="15.75" hidden="1" customHeight="1" x14ac:dyDescent="0.25">
      <c r="A5739" s="509"/>
      <c r="B5739" s="256"/>
      <c r="C5739" s="316"/>
      <c r="D5739" s="251"/>
      <c r="E5739" s="251"/>
      <c r="F5739" s="257"/>
      <c r="G5739" s="518"/>
      <c r="H5739" s="627"/>
      <c r="I5739" s="610"/>
      <c r="J5739" s="628"/>
      <c r="K5739" s="533"/>
      <c r="L5739" s="533"/>
      <c r="M5739" s="533"/>
      <c r="N5739" s="533"/>
      <c r="O5739" s="533"/>
      <c r="P5739" s="533"/>
      <c r="Q5739" s="533"/>
      <c r="R5739" s="533"/>
      <c r="S5739" s="533"/>
      <c r="T5739" s="533"/>
      <c r="U5739" s="533"/>
      <c r="V5739" s="533"/>
      <c r="W5739" s="533"/>
      <c r="X5739" s="533"/>
      <c r="Y5739" s="533"/>
    </row>
    <row r="5740" spans="1:25" s="88" customFormat="1" ht="15.75" hidden="1" customHeight="1" x14ac:dyDescent="0.25">
      <c r="A5740" s="509"/>
      <c r="B5740" s="256"/>
      <c r="C5740" s="316"/>
      <c r="D5740" s="251"/>
      <c r="E5740" s="251"/>
      <c r="F5740" s="257"/>
      <c r="G5740" s="518"/>
      <c r="H5740" s="627"/>
      <c r="I5740" s="610"/>
      <c r="J5740" s="628"/>
      <c r="K5740" s="533"/>
      <c r="L5740" s="533"/>
      <c r="M5740" s="533"/>
      <c r="N5740" s="533"/>
      <c r="O5740" s="533"/>
      <c r="P5740" s="533"/>
      <c r="Q5740" s="533"/>
      <c r="R5740" s="533"/>
      <c r="S5740" s="533"/>
      <c r="T5740" s="533"/>
      <c r="U5740" s="533"/>
      <c r="V5740" s="533"/>
      <c r="W5740" s="533"/>
      <c r="X5740" s="533"/>
      <c r="Y5740" s="533"/>
    </row>
    <row r="5741" spans="1:25" s="88" customFormat="1" ht="15.75" hidden="1" customHeight="1" x14ac:dyDescent="0.25">
      <c r="A5741" s="509"/>
      <c r="B5741" s="256"/>
      <c r="C5741" s="316"/>
      <c r="D5741" s="251"/>
      <c r="E5741" s="251"/>
      <c r="F5741" s="257"/>
      <c r="G5741" s="518"/>
      <c r="H5741" s="627"/>
      <c r="I5741" s="610"/>
      <c r="J5741" s="628"/>
      <c r="K5741" s="533"/>
      <c r="L5741" s="533"/>
      <c r="M5741" s="533"/>
      <c r="N5741" s="533"/>
      <c r="O5741" s="533"/>
      <c r="P5741" s="533"/>
      <c r="Q5741" s="533"/>
      <c r="R5741" s="533"/>
      <c r="S5741" s="533"/>
      <c r="T5741" s="533"/>
      <c r="U5741" s="533"/>
      <c r="V5741" s="533"/>
      <c r="W5741" s="533"/>
      <c r="X5741" s="533"/>
      <c r="Y5741" s="533"/>
    </row>
    <row r="5742" spans="1:25" s="88" customFormat="1" ht="15.75" hidden="1" customHeight="1" x14ac:dyDescent="0.25">
      <c r="A5742" s="509"/>
      <c r="B5742" s="256"/>
      <c r="C5742" s="316"/>
      <c r="D5742" s="251"/>
      <c r="E5742" s="251"/>
      <c r="F5742" s="257"/>
      <c r="G5742" s="518"/>
      <c r="H5742" s="627"/>
      <c r="I5742" s="610"/>
      <c r="J5742" s="628"/>
      <c r="K5742" s="533"/>
      <c r="L5742" s="533"/>
      <c r="M5742" s="533"/>
      <c r="N5742" s="533"/>
      <c r="O5742" s="533"/>
      <c r="P5742" s="533"/>
      <c r="Q5742" s="533"/>
      <c r="R5742" s="533"/>
      <c r="S5742" s="533"/>
      <c r="T5742" s="533"/>
      <c r="U5742" s="533"/>
      <c r="V5742" s="533"/>
      <c r="W5742" s="533"/>
      <c r="X5742" s="533"/>
      <c r="Y5742" s="533"/>
    </row>
    <row r="5743" spans="1:25" s="88" customFormat="1" ht="15.75" hidden="1" customHeight="1" x14ac:dyDescent="0.25">
      <c r="A5743" s="509"/>
      <c r="B5743" s="256"/>
      <c r="C5743" s="316"/>
      <c r="D5743" s="251"/>
      <c r="E5743" s="251"/>
      <c r="F5743" s="257"/>
      <c r="G5743" s="518"/>
      <c r="H5743" s="627"/>
      <c r="I5743" s="610"/>
      <c r="J5743" s="628"/>
      <c r="K5743" s="533"/>
      <c r="L5743" s="533"/>
      <c r="M5743" s="533"/>
      <c r="N5743" s="533"/>
      <c r="O5743" s="533"/>
      <c r="P5743" s="533"/>
      <c r="Q5743" s="533"/>
      <c r="R5743" s="533"/>
      <c r="S5743" s="533"/>
      <c r="T5743" s="533"/>
      <c r="U5743" s="533"/>
      <c r="V5743" s="533"/>
      <c r="W5743" s="533"/>
      <c r="X5743" s="533"/>
      <c r="Y5743" s="533"/>
    </row>
    <row r="5744" spans="1:25" s="88" customFormat="1" ht="15.75" hidden="1" customHeight="1" x14ac:dyDescent="0.25">
      <c r="A5744" s="509"/>
      <c r="B5744" s="256"/>
      <c r="C5744" s="316"/>
      <c r="D5744" s="251"/>
      <c r="E5744" s="251"/>
      <c r="F5744" s="257"/>
      <c r="G5744" s="518"/>
      <c r="H5744" s="627"/>
      <c r="I5744" s="610"/>
      <c r="J5744" s="628"/>
      <c r="K5744" s="533"/>
      <c r="L5744" s="533"/>
      <c r="M5744" s="533"/>
      <c r="N5744" s="533"/>
      <c r="O5744" s="533"/>
      <c r="P5744" s="533"/>
      <c r="Q5744" s="533"/>
      <c r="R5744" s="533"/>
      <c r="S5744" s="533"/>
      <c r="T5744" s="533"/>
      <c r="U5744" s="533"/>
      <c r="V5744" s="533"/>
      <c r="W5744" s="533"/>
      <c r="X5744" s="533"/>
      <c r="Y5744" s="533"/>
    </row>
    <row r="5745" spans="1:25" s="88" customFormat="1" ht="15.75" hidden="1" customHeight="1" x14ac:dyDescent="0.25">
      <c r="A5745" s="509"/>
      <c r="B5745" s="256"/>
      <c r="C5745" s="316"/>
      <c r="D5745" s="251"/>
      <c r="E5745" s="251"/>
      <c r="F5745" s="257"/>
      <c r="G5745" s="518"/>
      <c r="H5745" s="627"/>
      <c r="I5745" s="610"/>
      <c r="J5745" s="628"/>
      <c r="K5745" s="533"/>
      <c r="L5745" s="533"/>
      <c r="M5745" s="533"/>
      <c r="N5745" s="533"/>
      <c r="O5745" s="533"/>
      <c r="P5745" s="533"/>
      <c r="Q5745" s="533"/>
      <c r="R5745" s="533"/>
      <c r="S5745" s="533"/>
      <c r="T5745" s="533"/>
      <c r="U5745" s="533"/>
      <c r="V5745" s="533"/>
      <c r="W5745" s="533"/>
      <c r="X5745" s="533"/>
      <c r="Y5745" s="533"/>
    </row>
    <row r="5746" spans="1:25" s="88" customFormat="1" ht="15.75" hidden="1" customHeight="1" x14ac:dyDescent="0.25">
      <c r="A5746" s="509"/>
      <c r="B5746" s="256"/>
      <c r="C5746" s="316"/>
      <c r="D5746" s="251"/>
      <c r="E5746" s="251"/>
      <c r="F5746" s="257"/>
      <c r="G5746" s="518"/>
      <c r="H5746" s="627"/>
      <c r="I5746" s="610"/>
      <c r="J5746" s="628"/>
      <c r="K5746" s="533"/>
      <c r="L5746" s="533"/>
      <c r="M5746" s="533"/>
      <c r="N5746" s="533"/>
      <c r="O5746" s="533"/>
      <c r="P5746" s="533"/>
      <c r="Q5746" s="533"/>
      <c r="R5746" s="533"/>
      <c r="S5746" s="533"/>
      <c r="T5746" s="533"/>
      <c r="U5746" s="533"/>
      <c r="V5746" s="533"/>
      <c r="W5746" s="533"/>
      <c r="X5746" s="533"/>
      <c r="Y5746" s="533"/>
    </row>
    <row r="5747" spans="1:25" s="88" customFormat="1" ht="15.75" hidden="1" customHeight="1" x14ac:dyDescent="0.25">
      <c r="A5747" s="509"/>
      <c r="B5747" s="256"/>
      <c r="C5747" s="316"/>
      <c r="D5747" s="251"/>
      <c r="E5747" s="251"/>
      <c r="F5747" s="257"/>
      <c r="G5747" s="518"/>
      <c r="H5747" s="627"/>
      <c r="I5747" s="610"/>
      <c r="J5747" s="628"/>
      <c r="K5747" s="533"/>
      <c r="L5747" s="533"/>
      <c r="M5747" s="533"/>
      <c r="N5747" s="533"/>
      <c r="O5747" s="533"/>
      <c r="P5747" s="533"/>
      <c r="Q5747" s="533"/>
      <c r="R5747" s="533"/>
      <c r="S5747" s="533"/>
      <c r="T5747" s="533"/>
      <c r="U5747" s="533"/>
      <c r="V5747" s="533"/>
      <c r="W5747" s="533"/>
      <c r="X5747" s="533"/>
      <c r="Y5747" s="533"/>
    </row>
    <row r="5748" spans="1:25" s="88" customFormat="1" ht="15.75" hidden="1" customHeight="1" x14ac:dyDescent="0.25">
      <c r="A5748" s="509"/>
      <c r="B5748" s="256"/>
      <c r="C5748" s="316"/>
      <c r="D5748" s="251"/>
      <c r="E5748" s="251"/>
      <c r="F5748" s="257"/>
      <c r="G5748" s="518"/>
      <c r="H5748" s="627"/>
      <c r="I5748" s="610"/>
      <c r="J5748" s="628"/>
      <c r="K5748" s="533"/>
      <c r="L5748" s="533"/>
      <c r="M5748" s="533"/>
      <c r="N5748" s="533"/>
      <c r="O5748" s="533"/>
      <c r="P5748" s="533"/>
      <c r="Q5748" s="533"/>
      <c r="R5748" s="533"/>
      <c r="S5748" s="533"/>
      <c r="T5748" s="533"/>
      <c r="U5748" s="533"/>
      <c r="V5748" s="533"/>
      <c r="W5748" s="533"/>
      <c r="X5748" s="533"/>
      <c r="Y5748" s="533"/>
    </row>
    <row r="5749" spans="1:25" s="88" customFormat="1" ht="15.75" hidden="1" customHeight="1" x14ac:dyDescent="0.25">
      <c r="A5749" s="509"/>
      <c r="B5749" s="256"/>
      <c r="C5749" s="316"/>
      <c r="D5749" s="251"/>
      <c r="E5749" s="251"/>
      <c r="F5749" s="257"/>
      <c r="G5749" s="518"/>
      <c r="H5749" s="627"/>
      <c r="I5749" s="610"/>
      <c r="J5749" s="628"/>
      <c r="K5749" s="533"/>
      <c r="L5749" s="533"/>
      <c r="M5749" s="533"/>
      <c r="N5749" s="533"/>
      <c r="O5749" s="533"/>
      <c r="P5749" s="533"/>
      <c r="Q5749" s="533"/>
      <c r="R5749" s="533"/>
      <c r="S5749" s="533"/>
      <c r="T5749" s="533"/>
      <c r="U5749" s="533"/>
      <c r="V5749" s="533"/>
      <c r="W5749" s="533"/>
      <c r="X5749" s="533"/>
      <c r="Y5749" s="533"/>
    </row>
    <row r="5750" spans="1:25" s="88" customFormat="1" ht="15.75" hidden="1" customHeight="1" x14ac:dyDescent="0.25">
      <c r="A5750" s="509"/>
      <c r="B5750" s="256"/>
      <c r="C5750" s="316"/>
      <c r="D5750" s="251"/>
      <c r="E5750" s="251"/>
      <c r="F5750" s="257"/>
      <c r="G5750" s="518"/>
      <c r="H5750" s="627"/>
      <c r="I5750" s="610"/>
      <c r="J5750" s="628"/>
      <c r="K5750" s="533"/>
      <c r="L5750" s="533"/>
      <c r="M5750" s="533"/>
      <c r="N5750" s="533"/>
      <c r="O5750" s="533"/>
      <c r="P5750" s="533"/>
      <c r="Q5750" s="533"/>
      <c r="R5750" s="533"/>
      <c r="S5750" s="533"/>
      <c r="T5750" s="533"/>
      <c r="U5750" s="533"/>
      <c r="V5750" s="533"/>
      <c r="W5750" s="533"/>
      <c r="X5750" s="533"/>
      <c r="Y5750" s="533"/>
    </row>
    <row r="5751" spans="1:25" s="88" customFormat="1" ht="15.75" hidden="1" customHeight="1" x14ac:dyDescent="0.25">
      <c r="A5751" s="509"/>
      <c r="B5751" s="256"/>
      <c r="C5751" s="316"/>
      <c r="D5751" s="251"/>
      <c r="E5751" s="251"/>
      <c r="F5751" s="257"/>
      <c r="G5751" s="518"/>
      <c r="H5751" s="627"/>
      <c r="I5751" s="610"/>
      <c r="J5751" s="628"/>
      <c r="K5751" s="533"/>
      <c r="L5751" s="533"/>
      <c r="M5751" s="533"/>
      <c r="N5751" s="533"/>
      <c r="O5751" s="533"/>
      <c r="P5751" s="533"/>
      <c r="Q5751" s="533"/>
      <c r="R5751" s="533"/>
      <c r="S5751" s="533"/>
      <c r="T5751" s="533"/>
      <c r="U5751" s="533"/>
      <c r="V5751" s="533"/>
      <c r="W5751" s="533"/>
      <c r="X5751" s="533"/>
      <c r="Y5751" s="533"/>
    </row>
    <row r="5752" spans="1:25" s="88" customFormat="1" ht="15.75" hidden="1" customHeight="1" x14ac:dyDescent="0.25">
      <c r="A5752" s="509"/>
      <c r="B5752" s="256"/>
      <c r="C5752" s="316"/>
      <c r="D5752" s="251"/>
      <c r="E5752" s="251"/>
      <c r="F5752" s="257"/>
      <c r="G5752" s="518"/>
      <c r="H5752" s="627"/>
      <c r="I5752" s="610"/>
      <c r="J5752" s="628"/>
      <c r="K5752" s="533"/>
      <c r="L5752" s="533"/>
      <c r="M5752" s="533"/>
      <c r="N5752" s="533"/>
      <c r="O5752" s="533"/>
      <c r="P5752" s="533"/>
      <c r="Q5752" s="533"/>
      <c r="R5752" s="533"/>
      <c r="S5752" s="533"/>
      <c r="T5752" s="533"/>
      <c r="U5752" s="533"/>
      <c r="V5752" s="533"/>
      <c r="W5752" s="533"/>
      <c r="X5752" s="533"/>
      <c r="Y5752" s="533"/>
    </row>
    <row r="5753" spans="1:25" s="88" customFormat="1" ht="15.75" hidden="1" customHeight="1" x14ac:dyDescent="0.25">
      <c r="A5753" s="509"/>
      <c r="B5753" s="256"/>
      <c r="C5753" s="316"/>
      <c r="D5753" s="251"/>
      <c r="E5753" s="251"/>
      <c r="F5753" s="257"/>
      <c r="G5753" s="518"/>
      <c r="H5753" s="627"/>
      <c r="I5753" s="610"/>
      <c r="J5753" s="628"/>
      <c r="K5753" s="533"/>
      <c r="L5753" s="533"/>
      <c r="M5753" s="533"/>
      <c r="N5753" s="533"/>
      <c r="O5753" s="533"/>
      <c r="P5753" s="533"/>
      <c r="Q5753" s="533"/>
      <c r="R5753" s="533"/>
      <c r="S5753" s="533"/>
      <c r="T5753" s="533"/>
      <c r="U5753" s="533"/>
      <c r="V5753" s="533"/>
      <c r="W5753" s="533"/>
      <c r="X5753" s="533"/>
      <c r="Y5753" s="533"/>
    </row>
    <row r="5754" spans="1:25" s="88" customFormat="1" ht="15.75" hidden="1" customHeight="1" x14ac:dyDescent="0.25">
      <c r="A5754" s="509"/>
      <c r="B5754" s="256"/>
      <c r="C5754" s="316"/>
      <c r="D5754" s="251"/>
      <c r="E5754" s="251"/>
      <c r="F5754" s="257"/>
      <c r="G5754" s="518"/>
      <c r="H5754" s="627"/>
      <c r="I5754" s="610"/>
      <c r="J5754" s="628"/>
      <c r="K5754" s="533"/>
      <c r="L5754" s="533"/>
      <c r="M5754" s="533"/>
      <c r="N5754" s="533"/>
      <c r="O5754" s="533"/>
      <c r="P5754" s="533"/>
      <c r="Q5754" s="533"/>
      <c r="R5754" s="533"/>
      <c r="S5754" s="533"/>
      <c r="T5754" s="533"/>
      <c r="U5754" s="533"/>
      <c r="V5754" s="533"/>
      <c r="W5754" s="533"/>
      <c r="X5754" s="533"/>
      <c r="Y5754" s="533"/>
    </row>
    <row r="5755" spans="1:25" s="88" customFormat="1" ht="15.75" hidden="1" customHeight="1" x14ac:dyDescent="0.25">
      <c r="A5755" s="509"/>
      <c r="B5755" s="256"/>
      <c r="C5755" s="316"/>
      <c r="D5755" s="251"/>
      <c r="E5755" s="251"/>
      <c r="F5755" s="257"/>
      <c r="G5755" s="518"/>
      <c r="H5755" s="627"/>
      <c r="I5755" s="610"/>
      <c r="J5755" s="628"/>
      <c r="K5755" s="533"/>
      <c r="L5755" s="533"/>
      <c r="M5755" s="533"/>
      <c r="N5755" s="533"/>
      <c r="O5755" s="533"/>
      <c r="P5755" s="533"/>
      <c r="Q5755" s="533"/>
      <c r="R5755" s="533"/>
      <c r="S5755" s="533"/>
      <c r="T5755" s="533"/>
      <c r="U5755" s="533"/>
      <c r="V5755" s="533"/>
      <c r="W5755" s="533"/>
      <c r="X5755" s="533"/>
      <c r="Y5755" s="533"/>
    </row>
    <row r="5756" spans="1:25" s="88" customFormat="1" ht="15.75" hidden="1" customHeight="1" x14ac:dyDescent="0.25">
      <c r="A5756" s="509"/>
      <c r="B5756" s="256"/>
      <c r="C5756" s="316"/>
      <c r="D5756" s="251"/>
      <c r="E5756" s="251"/>
      <c r="F5756" s="257"/>
      <c r="G5756" s="518"/>
      <c r="H5756" s="627"/>
      <c r="I5756" s="610"/>
      <c r="J5756" s="628"/>
      <c r="K5756" s="533"/>
      <c r="L5756" s="533"/>
      <c r="M5756" s="533"/>
      <c r="N5756" s="533"/>
      <c r="O5756" s="533"/>
      <c r="P5756" s="533"/>
      <c r="Q5756" s="533"/>
      <c r="R5756" s="533"/>
      <c r="S5756" s="533"/>
      <c r="T5756" s="533"/>
      <c r="U5756" s="533"/>
      <c r="V5756" s="533"/>
      <c r="W5756" s="533"/>
      <c r="X5756" s="533"/>
      <c r="Y5756" s="533"/>
    </row>
    <row r="5757" spans="1:25" s="88" customFormat="1" ht="15.75" hidden="1" customHeight="1" x14ac:dyDescent="0.25">
      <c r="A5757" s="509"/>
      <c r="B5757" s="256"/>
      <c r="C5757" s="316"/>
      <c r="D5757" s="251"/>
      <c r="E5757" s="251"/>
      <c r="F5757" s="257"/>
      <c r="G5757" s="518"/>
      <c r="H5757" s="627"/>
      <c r="I5757" s="610"/>
      <c r="J5757" s="628"/>
      <c r="K5757" s="533"/>
      <c r="L5757" s="533"/>
      <c r="M5757" s="533"/>
      <c r="N5757" s="533"/>
      <c r="O5757" s="533"/>
      <c r="P5757" s="533"/>
      <c r="Q5757" s="533"/>
      <c r="R5757" s="533"/>
      <c r="S5757" s="533"/>
      <c r="T5757" s="533"/>
      <c r="U5757" s="533"/>
      <c r="V5757" s="533"/>
      <c r="W5757" s="533"/>
      <c r="X5757" s="533"/>
      <c r="Y5757" s="533"/>
    </row>
    <row r="5758" spans="1:25" s="88" customFormat="1" ht="15.75" hidden="1" customHeight="1" x14ac:dyDescent="0.25">
      <c r="A5758" s="509"/>
      <c r="B5758" s="256"/>
      <c r="C5758" s="316"/>
      <c r="D5758" s="251"/>
      <c r="E5758" s="251"/>
      <c r="F5758" s="257"/>
      <c r="G5758" s="518"/>
      <c r="H5758" s="627"/>
      <c r="I5758" s="610"/>
      <c r="J5758" s="628"/>
      <c r="K5758" s="533"/>
      <c r="L5758" s="533"/>
      <c r="M5758" s="533"/>
      <c r="N5758" s="533"/>
      <c r="O5758" s="533"/>
      <c r="P5758" s="533"/>
      <c r="Q5758" s="533"/>
      <c r="R5758" s="533"/>
      <c r="S5758" s="533"/>
      <c r="T5758" s="533"/>
      <c r="U5758" s="533"/>
      <c r="V5758" s="533"/>
      <c r="W5758" s="533"/>
      <c r="X5758" s="533"/>
      <c r="Y5758" s="533"/>
    </row>
    <row r="5759" spans="1:25" s="88" customFormat="1" ht="15.75" hidden="1" customHeight="1" x14ac:dyDescent="0.25">
      <c r="A5759" s="509"/>
      <c r="B5759" s="256"/>
      <c r="C5759" s="316"/>
      <c r="D5759" s="251"/>
      <c r="E5759" s="251"/>
      <c r="F5759" s="257"/>
      <c r="G5759" s="518"/>
      <c r="H5759" s="627"/>
      <c r="I5759" s="610"/>
      <c r="J5759" s="628"/>
      <c r="K5759" s="533"/>
      <c r="L5759" s="533"/>
      <c r="M5759" s="533"/>
      <c r="N5759" s="533"/>
      <c r="O5759" s="533"/>
      <c r="P5759" s="533"/>
      <c r="Q5759" s="533"/>
      <c r="R5759" s="533"/>
      <c r="S5759" s="533"/>
      <c r="T5759" s="533"/>
      <c r="U5759" s="533"/>
      <c r="V5759" s="533"/>
      <c r="W5759" s="533"/>
      <c r="X5759" s="533"/>
      <c r="Y5759" s="533"/>
    </row>
    <row r="5760" spans="1:25" s="88" customFormat="1" ht="15.75" hidden="1" customHeight="1" x14ac:dyDescent="0.25">
      <c r="A5760" s="509"/>
      <c r="B5760" s="256"/>
      <c r="C5760" s="316"/>
      <c r="D5760" s="251"/>
      <c r="E5760" s="251"/>
      <c r="F5760" s="257"/>
      <c r="G5760" s="518"/>
      <c r="H5760" s="627"/>
      <c r="I5760" s="610"/>
      <c r="J5760" s="628"/>
      <c r="K5760" s="533"/>
      <c r="L5760" s="533"/>
      <c r="M5760" s="533"/>
      <c r="N5760" s="533"/>
      <c r="O5760" s="533"/>
      <c r="P5760" s="533"/>
      <c r="Q5760" s="533"/>
      <c r="R5760" s="533"/>
      <c r="S5760" s="533"/>
      <c r="T5760" s="533"/>
      <c r="U5760" s="533"/>
      <c r="V5760" s="533"/>
      <c r="W5760" s="533"/>
      <c r="X5760" s="533"/>
      <c r="Y5760" s="533"/>
    </row>
    <row r="5761" spans="1:25" s="88" customFormat="1" ht="15.75" hidden="1" customHeight="1" x14ac:dyDescent="0.25">
      <c r="A5761" s="509"/>
      <c r="B5761" s="256"/>
      <c r="C5761" s="316"/>
      <c r="D5761" s="251"/>
      <c r="E5761" s="251"/>
      <c r="F5761" s="257"/>
      <c r="G5761" s="518"/>
      <c r="H5761" s="627"/>
      <c r="I5761" s="610"/>
      <c r="J5761" s="628"/>
      <c r="K5761" s="533"/>
      <c r="L5761" s="533"/>
      <c r="M5761" s="533"/>
      <c r="N5761" s="533"/>
      <c r="O5761" s="533"/>
      <c r="P5761" s="533"/>
      <c r="Q5761" s="533"/>
      <c r="R5761" s="533"/>
      <c r="S5761" s="533"/>
      <c r="T5761" s="533"/>
      <c r="U5761" s="533"/>
      <c r="V5761" s="533"/>
      <c r="W5761" s="533"/>
      <c r="X5761" s="533"/>
      <c r="Y5761" s="533"/>
    </row>
    <row r="5762" spans="1:25" s="88" customFormat="1" ht="15.75" hidden="1" customHeight="1" x14ac:dyDescent="0.25">
      <c r="A5762" s="509"/>
      <c r="B5762" s="256"/>
      <c r="C5762" s="316"/>
      <c r="D5762" s="251"/>
      <c r="E5762" s="251"/>
      <c r="F5762" s="257"/>
      <c r="G5762" s="518"/>
      <c r="H5762" s="627"/>
      <c r="I5762" s="610"/>
      <c r="J5762" s="628"/>
      <c r="K5762" s="533"/>
      <c r="L5762" s="533"/>
      <c r="M5762" s="533"/>
      <c r="N5762" s="533"/>
      <c r="O5762" s="533"/>
      <c r="P5762" s="533"/>
      <c r="Q5762" s="533"/>
      <c r="R5762" s="533"/>
      <c r="S5762" s="533"/>
      <c r="T5762" s="533"/>
      <c r="U5762" s="533"/>
      <c r="V5762" s="533"/>
      <c r="W5762" s="533"/>
      <c r="X5762" s="533"/>
      <c r="Y5762" s="533"/>
    </row>
    <row r="5763" spans="1:25" s="88" customFormat="1" ht="15.75" hidden="1" customHeight="1" x14ac:dyDescent="0.25">
      <c r="A5763" s="509"/>
      <c r="B5763" s="256"/>
      <c r="C5763" s="316"/>
      <c r="D5763" s="251"/>
      <c r="E5763" s="251"/>
      <c r="F5763" s="257"/>
      <c r="G5763" s="518"/>
      <c r="H5763" s="627"/>
      <c r="I5763" s="610"/>
      <c r="J5763" s="628"/>
      <c r="K5763" s="533"/>
      <c r="L5763" s="533"/>
      <c r="M5763" s="533"/>
      <c r="N5763" s="533"/>
      <c r="O5763" s="533"/>
      <c r="P5763" s="533"/>
      <c r="Q5763" s="533"/>
      <c r="R5763" s="533"/>
      <c r="S5763" s="533"/>
      <c r="T5763" s="533"/>
      <c r="U5763" s="533"/>
      <c r="V5763" s="533"/>
      <c r="W5763" s="533"/>
      <c r="X5763" s="533"/>
      <c r="Y5763" s="533"/>
    </row>
    <row r="5764" spans="1:25" s="88" customFormat="1" ht="15.75" hidden="1" customHeight="1" x14ac:dyDescent="0.25">
      <c r="A5764" s="509"/>
      <c r="B5764" s="256"/>
      <c r="C5764" s="316"/>
      <c r="D5764" s="251"/>
      <c r="E5764" s="251"/>
      <c r="F5764" s="257"/>
      <c r="G5764" s="518"/>
      <c r="H5764" s="627"/>
      <c r="I5764" s="610"/>
      <c r="J5764" s="628"/>
      <c r="K5764" s="533"/>
      <c r="L5764" s="533"/>
      <c r="M5764" s="533"/>
      <c r="N5764" s="533"/>
      <c r="O5764" s="533"/>
      <c r="P5764" s="533"/>
      <c r="Q5764" s="533"/>
      <c r="R5764" s="533"/>
      <c r="S5764" s="533"/>
      <c r="T5764" s="533"/>
      <c r="U5764" s="533"/>
      <c r="V5764" s="533"/>
      <c r="W5764" s="533"/>
      <c r="X5764" s="533"/>
      <c r="Y5764" s="533"/>
    </row>
    <row r="5765" spans="1:25" s="88" customFormat="1" ht="15.75" hidden="1" customHeight="1" x14ac:dyDescent="0.25">
      <c r="A5765" s="509"/>
      <c r="B5765" s="256"/>
      <c r="C5765" s="316"/>
      <c r="D5765" s="251"/>
      <c r="E5765" s="251"/>
      <c r="F5765" s="257"/>
      <c r="G5765" s="518"/>
      <c r="H5765" s="627"/>
      <c r="I5765" s="610"/>
      <c r="J5765" s="628"/>
      <c r="K5765" s="533"/>
      <c r="L5765" s="533"/>
      <c r="M5765" s="533"/>
      <c r="N5765" s="533"/>
      <c r="O5765" s="533"/>
      <c r="P5765" s="533"/>
      <c r="Q5765" s="533"/>
      <c r="R5765" s="533"/>
      <c r="S5765" s="533"/>
      <c r="T5765" s="533"/>
      <c r="U5765" s="533"/>
      <c r="V5765" s="533"/>
      <c r="W5765" s="533"/>
      <c r="X5765" s="533"/>
      <c r="Y5765" s="533"/>
    </row>
    <row r="5766" spans="1:25" s="88" customFormat="1" ht="15.75" hidden="1" customHeight="1" x14ac:dyDescent="0.25">
      <c r="A5766" s="509"/>
      <c r="B5766" s="256"/>
      <c r="C5766" s="316"/>
      <c r="D5766" s="251"/>
      <c r="E5766" s="251"/>
      <c r="F5766" s="257"/>
      <c r="G5766" s="518"/>
      <c r="H5766" s="627"/>
      <c r="I5766" s="610"/>
      <c r="J5766" s="628"/>
      <c r="K5766" s="533"/>
      <c r="L5766" s="533"/>
      <c r="M5766" s="533"/>
      <c r="N5766" s="533"/>
      <c r="O5766" s="533"/>
      <c r="P5766" s="533"/>
      <c r="Q5766" s="533"/>
      <c r="R5766" s="533"/>
      <c r="S5766" s="533"/>
      <c r="T5766" s="533"/>
      <c r="U5766" s="533"/>
      <c r="V5766" s="533"/>
      <c r="W5766" s="533"/>
      <c r="X5766" s="533"/>
      <c r="Y5766" s="533"/>
    </row>
    <row r="5767" spans="1:25" s="88" customFormat="1" ht="15.75" hidden="1" customHeight="1" x14ac:dyDescent="0.25">
      <c r="A5767" s="509"/>
      <c r="B5767" s="256"/>
      <c r="C5767" s="316"/>
      <c r="D5767" s="251"/>
      <c r="E5767" s="251"/>
      <c r="F5767" s="257"/>
      <c r="G5767" s="518"/>
      <c r="H5767" s="627"/>
      <c r="I5767" s="610"/>
      <c r="J5767" s="628"/>
      <c r="K5767" s="533"/>
      <c r="L5767" s="533"/>
      <c r="M5767" s="533"/>
      <c r="N5767" s="533"/>
      <c r="O5767" s="533"/>
      <c r="P5767" s="533"/>
      <c r="Q5767" s="533"/>
      <c r="R5767" s="533"/>
      <c r="S5767" s="533"/>
      <c r="T5767" s="533"/>
      <c r="U5767" s="533"/>
      <c r="V5767" s="533"/>
      <c r="W5767" s="533"/>
      <c r="X5767" s="533"/>
      <c r="Y5767" s="533"/>
    </row>
    <row r="5768" spans="1:25" s="88" customFormat="1" ht="15.75" hidden="1" customHeight="1" x14ac:dyDescent="0.25">
      <c r="A5768" s="509"/>
      <c r="B5768" s="256"/>
      <c r="C5768" s="316"/>
      <c r="D5768" s="251"/>
      <c r="E5768" s="251"/>
      <c r="F5768" s="257"/>
      <c r="G5768" s="518"/>
      <c r="H5768" s="627"/>
      <c r="I5768" s="610"/>
      <c r="J5768" s="628"/>
      <c r="K5768" s="533"/>
      <c r="L5768" s="533"/>
      <c r="M5768" s="533"/>
      <c r="N5768" s="533"/>
      <c r="O5768" s="533"/>
      <c r="P5768" s="533"/>
      <c r="Q5768" s="533"/>
      <c r="R5768" s="533"/>
      <c r="S5768" s="533"/>
      <c r="T5768" s="533"/>
      <c r="U5768" s="533"/>
      <c r="V5768" s="533"/>
      <c r="W5768" s="533"/>
      <c r="X5768" s="533"/>
      <c r="Y5768" s="533"/>
    </row>
    <row r="5769" spans="1:25" s="88" customFormat="1" ht="15.75" hidden="1" customHeight="1" x14ac:dyDescent="0.25">
      <c r="A5769" s="509"/>
      <c r="B5769" s="256"/>
      <c r="C5769" s="316"/>
      <c r="D5769" s="251"/>
      <c r="E5769" s="251"/>
      <c r="F5769" s="257"/>
      <c r="G5769" s="518"/>
      <c r="H5769" s="627"/>
      <c r="I5769" s="610"/>
      <c r="J5769" s="628"/>
      <c r="K5769" s="533"/>
      <c r="L5769" s="533"/>
      <c r="M5769" s="533"/>
      <c r="N5769" s="533"/>
      <c r="O5769" s="533"/>
      <c r="P5769" s="533"/>
      <c r="Q5769" s="533"/>
      <c r="R5769" s="533"/>
      <c r="S5769" s="533"/>
      <c r="T5769" s="533"/>
      <c r="U5769" s="533"/>
      <c r="V5769" s="533"/>
      <c r="W5769" s="533"/>
      <c r="X5769" s="533"/>
      <c r="Y5769" s="533"/>
    </row>
    <row r="5770" spans="1:25" s="88" customFormat="1" ht="15.75" hidden="1" customHeight="1" x14ac:dyDescent="0.25">
      <c r="A5770" s="509"/>
      <c r="B5770" s="256"/>
      <c r="C5770" s="316"/>
      <c r="D5770" s="251"/>
      <c r="E5770" s="251"/>
      <c r="F5770" s="257"/>
      <c r="G5770" s="518"/>
      <c r="H5770" s="627"/>
      <c r="I5770" s="610"/>
      <c r="J5770" s="628"/>
      <c r="K5770" s="533"/>
      <c r="L5770" s="533"/>
      <c r="M5770" s="533"/>
      <c r="N5770" s="533"/>
      <c r="O5770" s="533"/>
      <c r="P5770" s="533"/>
      <c r="Q5770" s="533"/>
      <c r="R5770" s="533"/>
      <c r="S5770" s="533"/>
      <c r="T5770" s="533"/>
      <c r="U5770" s="533"/>
      <c r="V5770" s="533"/>
      <c r="W5770" s="533"/>
      <c r="X5770" s="533"/>
      <c r="Y5770" s="533"/>
    </row>
    <row r="5771" spans="1:25" s="88" customFormat="1" ht="15.75" hidden="1" customHeight="1" x14ac:dyDescent="0.25">
      <c r="A5771" s="509"/>
      <c r="B5771" s="256"/>
      <c r="C5771" s="316"/>
      <c r="D5771" s="251"/>
      <c r="E5771" s="251"/>
      <c r="F5771" s="257"/>
      <c r="G5771" s="518"/>
      <c r="H5771" s="627"/>
      <c r="I5771" s="610"/>
      <c r="J5771" s="628"/>
      <c r="K5771" s="533"/>
      <c r="L5771" s="533"/>
      <c r="M5771" s="533"/>
      <c r="N5771" s="533"/>
      <c r="O5771" s="533"/>
      <c r="P5771" s="533"/>
      <c r="Q5771" s="533"/>
      <c r="R5771" s="533"/>
      <c r="S5771" s="533"/>
      <c r="T5771" s="533"/>
      <c r="U5771" s="533"/>
      <c r="V5771" s="533"/>
      <c r="W5771" s="533"/>
      <c r="X5771" s="533"/>
      <c r="Y5771" s="533"/>
    </row>
    <row r="5772" spans="1:25" s="88" customFormat="1" ht="15.75" hidden="1" customHeight="1" x14ac:dyDescent="0.25">
      <c r="A5772" s="509"/>
      <c r="B5772" s="256"/>
      <c r="C5772" s="316"/>
      <c r="D5772" s="251"/>
      <c r="E5772" s="251"/>
      <c r="F5772" s="257"/>
      <c r="G5772" s="518"/>
      <c r="H5772" s="627"/>
      <c r="I5772" s="610"/>
      <c r="J5772" s="628"/>
      <c r="K5772" s="533"/>
      <c r="L5772" s="533"/>
      <c r="M5772" s="533"/>
      <c r="N5772" s="533"/>
      <c r="O5772" s="533"/>
      <c r="P5772" s="533"/>
      <c r="Q5772" s="533"/>
      <c r="R5772" s="533"/>
      <c r="S5772" s="533"/>
      <c r="T5772" s="533"/>
      <c r="U5772" s="533"/>
      <c r="V5772" s="533"/>
      <c r="W5772" s="533"/>
      <c r="X5772" s="533"/>
      <c r="Y5772" s="533"/>
    </row>
    <row r="5773" spans="1:25" s="88" customFormat="1" ht="15.75" hidden="1" customHeight="1" x14ac:dyDescent="0.25">
      <c r="A5773" s="509"/>
      <c r="B5773" s="256"/>
      <c r="C5773" s="316"/>
      <c r="D5773" s="251"/>
      <c r="E5773" s="251"/>
      <c r="F5773" s="257"/>
      <c r="G5773" s="518"/>
      <c r="H5773" s="627"/>
      <c r="I5773" s="610"/>
      <c r="J5773" s="628"/>
      <c r="K5773" s="533"/>
      <c r="L5773" s="533"/>
      <c r="M5773" s="533"/>
      <c r="N5773" s="533"/>
      <c r="O5773" s="533"/>
      <c r="P5773" s="533"/>
      <c r="Q5773" s="533"/>
      <c r="R5773" s="533"/>
      <c r="S5773" s="533"/>
      <c r="T5773" s="533"/>
      <c r="U5773" s="533"/>
      <c r="V5773" s="533"/>
      <c r="W5773" s="533"/>
      <c r="X5773" s="533"/>
      <c r="Y5773" s="533"/>
    </row>
    <row r="5774" spans="1:25" s="88" customFormat="1" ht="15.75" hidden="1" customHeight="1" x14ac:dyDescent="0.25">
      <c r="A5774" s="509"/>
      <c r="B5774" s="256"/>
      <c r="C5774" s="316"/>
      <c r="D5774" s="251"/>
      <c r="E5774" s="251"/>
      <c r="F5774" s="257"/>
      <c r="G5774" s="518"/>
      <c r="H5774" s="627"/>
      <c r="I5774" s="610"/>
      <c r="J5774" s="628"/>
      <c r="K5774" s="533"/>
      <c r="L5774" s="533"/>
      <c r="M5774" s="533"/>
      <c r="N5774" s="533"/>
      <c r="O5774" s="533"/>
      <c r="P5774" s="533"/>
      <c r="Q5774" s="533"/>
      <c r="R5774" s="533"/>
      <c r="S5774" s="533"/>
      <c r="T5774" s="533"/>
      <c r="U5774" s="533"/>
      <c r="V5774" s="533"/>
      <c r="W5774" s="533"/>
      <c r="X5774" s="533"/>
      <c r="Y5774" s="533"/>
    </row>
    <row r="5775" spans="1:25" s="88" customFormat="1" ht="15.75" hidden="1" customHeight="1" x14ac:dyDescent="0.25">
      <c r="A5775" s="509"/>
      <c r="B5775" s="256"/>
      <c r="C5775" s="316"/>
      <c r="D5775" s="251"/>
      <c r="E5775" s="251"/>
      <c r="F5775" s="257"/>
      <c r="G5775" s="518"/>
      <c r="H5775" s="627"/>
      <c r="I5775" s="610"/>
      <c r="J5775" s="628"/>
      <c r="K5775" s="533"/>
      <c r="L5775" s="533"/>
      <c r="M5775" s="533"/>
      <c r="N5775" s="533"/>
      <c r="O5775" s="533"/>
      <c r="P5775" s="533"/>
      <c r="Q5775" s="533"/>
      <c r="R5775" s="533"/>
      <c r="S5775" s="533"/>
      <c r="T5775" s="533"/>
      <c r="U5775" s="533"/>
      <c r="V5775" s="533"/>
      <c r="W5775" s="533"/>
      <c r="X5775" s="533"/>
      <c r="Y5775" s="533"/>
    </row>
    <row r="5776" spans="1:25" s="88" customFormat="1" ht="15.75" hidden="1" customHeight="1" x14ac:dyDescent="0.25">
      <c r="A5776" s="509"/>
      <c r="B5776" s="256"/>
      <c r="C5776" s="316"/>
      <c r="D5776" s="251"/>
      <c r="E5776" s="251"/>
      <c r="F5776" s="257"/>
      <c r="G5776" s="518"/>
      <c r="H5776" s="627"/>
      <c r="I5776" s="610"/>
      <c r="J5776" s="628"/>
      <c r="K5776" s="533"/>
      <c r="L5776" s="533"/>
      <c r="M5776" s="533"/>
      <c r="N5776" s="533"/>
      <c r="O5776" s="533"/>
      <c r="P5776" s="533"/>
      <c r="Q5776" s="533"/>
      <c r="R5776" s="533"/>
      <c r="S5776" s="533"/>
      <c r="T5776" s="533"/>
      <c r="U5776" s="533"/>
      <c r="V5776" s="533"/>
      <c r="W5776" s="533"/>
      <c r="X5776" s="533"/>
      <c r="Y5776" s="533"/>
    </row>
    <row r="5777" spans="1:25" s="88" customFormat="1" ht="15.75" hidden="1" customHeight="1" x14ac:dyDescent="0.25">
      <c r="A5777" s="509"/>
      <c r="B5777" s="256"/>
      <c r="C5777" s="316"/>
      <c r="D5777" s="251"/>
      <c r="E5777" s="251"/>
      <c r="F5777" s="257"/>
      <c r="G5777" s="518"/>
      <c r="H5777" s="627"/>
      <c r="I5777" s="610"/>
      <c r="J5777" s="628"/>
      <c r="K5777" s="533"/>
      <c r="L5777" s="533"/>
      <c r="M5777" s="533"/>
      <c r="N5777" s="533"/>
      <c r="O5777" s="533"/>
      <c r="P5777" s="533"/>
      <c r="Q5777" s="533"/>
      <c r="R5777" s="533"/>
      <c r="S5777" s="533"/>
      <c r="T5777" s="533"/>
      <c r="U5777" s="533"/>
      <c r="V5777" s="533"/>
      <c r="W5777" s="533"/>
      <c r="X5777" s="533"/>
      <c r="Y5777" s="533"/>
    </row>
    <row r="5778" spans="1:25" s="88" customFormat="1" ht="15.75" hidden="1" customHeight="1" x14ac:dyDescent="0.25">
      <c r="A5778" s="509"/>
      <c r="B5778" s="256"/>
      <c r="C5778" s="316"/>
      <c r="D5778" s="251"/>
      <c r="E5778" s="251"/>
      <c r="F5778" s="257"/>
      <c r="G5778" s="518"/>
      <c r="H5778" s="627"/>
      <c r="I5778" s="610"/>
      <c r="J5778" s="628"/>
      <c r="K5778" s="533"/>
      <c r="L5778" s="533"/>
      <c r="M5778" s="533"/>
      <c r="N5778" s="533"/>
      <c r="O5778" s="533"/>
      <c r="P5778" s="533"/>
      <c r="Q5778" s="533"/>
      <c r="R5778" s="533"/>
      <c r="S5778" s="533"/>
      <c r="T5778" s="533"/>
      <c r="U5778" s="533"/>
      <c r="V5778" s="533"/>
      <c r="W5778" s="533"/>
      <c r="X5778" s="533"/>
      <c r="Y5778" s="533"/>
    </row>
    <row r="5779" spans="1:25" s="88" customFormat="1" ht="15.75" hidden="1" customHeight="1" x14ac:dyDescent="0.25">
      <c r="A5779" s="509"/>
      <c r="B5779" s="256"/>
      <c r="C5779" s="316"/>
      <c r="D5779" s="251"/>
      <c r="E5779" s="251"/>
      <c r="F5779" s="257"/>
      <c r="G5779" s="518"/>
      <c r="H5779" s="627"/>
      <c r="I5779" s="610"/>
      <c r="J5779" s="628"/>
      <c r="K5779" s="533"/>
      <c r="L5779" s="533"/>
      <c r="M5779" s="533"/>
      <c r="N5779" s="533"/>
      <c r="O5779" s="533"/>
      <c r="P5779" s="533"/>
      <c r="Q5779" s="533"/>
      <c r="R5779" s="533"/>
      <c r="S5779" s="533"/>
      <c r="T5779" s="533"/>
      <c r="U5779" s="533"/>
      <c r="V5779" s="533"/>
      <c r="W5779" s="533"/>
      <c r="X5779" s="533"/>
      <c r="Y5779" s="533"/>
    </row>
    <row r="5780" spans="1:25" s="88" customFormat="1" ht="15.75" hidden="1" customHeight="1" x14ac:dyDescent="0.25">
      <c r="A5780" s="509"/>
      <c r="B5780" s="256"/>
      <c r="C5780" s="316"/>
      <c r="D5780" s="251"/>
      <c r="E5780" s="251"/>
      <c r="F5780" s="257"/>
      <c r="G5780" s="518"/>
      <c r="H5780" s="627"/>
      <c r="I5780" s="610"/>
      <c r="J5780" s="628"/>
      <c r="K5780" s="533"/>
      <c r="L5780" s="533"/>
      <c r="M5780" s="533"/>
      <c r="N5780" s="533"/>
      <c r="O5780" s="533"/>
      <c r="P5780" s="533"/>
      <c r="Q5780" s="533"/>
      <c r="R5780" s="533"/>
      <c r="S5780" s="533"/>
      <c r="T5780" s="533"/>
      <c r="U5780" s="533"/>
      <c r="V5780" s="533"/>
      <c r="W5780" s="533"/>
      <c r="X5780" s="533"/>
      <c r="Y5780" s="533"/>
    </row>
    <row r="5781" spans="1:25" s="88" customFormat="1" ht="15.75" hidden="1" customHeight="1" x14ac:dyDescent="0.25">
      <c r="A5781" s="509"/>
      <c r="B5781" s="256"/>
      <c r="C5781" s="316"/>
      <c r="D5781" s="251"/>
      <c r="E5781" s="251"/>
      <c r="F5781" s="257"/>
      <c r="G5781" s="518"/>
      <c r="H5781" s="627"/>
      <c r="I5781" s="610"/>
      <c r="J5781" s="628"/>
      <c r="K5781" s="533"/>
      <c r="L5781" s="533"/>
      <c r="M5781" s="533"/>
      <c r="N5781" s="533"/>
      <c r="O5781" s="533"/>
      <c r="P5781" s="533"/>
      <c r="Q5781" s="533"/>
      <c r="R5781" s="533"/>
      <c r="S5781" s="533"/>
      <c r="T5781" s="533"/>
      <c r="U5781" s="533"/>
      <c r="V5781" s="533"/>
      <c r="W5781" s="533"/>
      <c r="X5781" s="533"/>
      <c r="Y5781" s="533"/>
    </row>
    <row r="5782" spans="1:25" s="88" customFormat="1" ht="15.75" hidden="1" customHeight="1" x14ac:dyDescent="0.25">
      <c r="A5782" s="509"/>
      <c r="B5782" s="256"/>
      <c r="C5782" s="316"/>
      <c r="D5782" s="251"/>
      <c r="E5782" s="251"/>
      <c r="F5782" s="257"/>
      <c r="G5782" s="518"/>
      <c r="H5782" s="627"/>
      <c r="I5782" s="610"/>
      <c r="J5782" s="628"/>
      <c r="K5782" s="533"/>
      <c r="L5782" s="533"/>
      <c r="M5782" s="533"/>
      <c r="N5782" s="533"/>
      <c r="O5782" s="533"/>
      <c r="P5782" s="533"/>
      <c r="Q5782" s="533"/>
      <c r="R5782" s="533"/>
      <c r="S5782" s="533"/>
      <c r="T5782" s="533"/>
      <c r="U5782" s="533"/>
      <c r="V5782" s="533"/>
      <c r="W5782" s="533"/>
      <c r="X5782" s="533"/>
      <c r="Y5782" s="533"/>
    </row>
    <row r="5783" spans="1:25" s="88" customFormat="1" ht="15.75" hidden="1" customHeight="1" x14ac:dyDescent="0.25">
      <c r="A5783" s="509"/>
      <c r="B5783" s="256"/>
      <c r="C5783" s="316"/>
      <c r="D5783" s="251"/>
      <c r="E5783" s="251"/>
      <c r="F5783" s="257"/>
      <c r="G5783" s="518"/>
      <c r="H5783" s="627"/>
      <c r="I5783" s="610"/>
      <c r="J5783" s="628"/>
      <c r="K5783" s="533"/>
      <c r="L5783" s="533"/>
      <c r="M5783" s="533"/>
      <c r="N5783" s="533"/>
      <c r="O5783" s="533"/>
      <c r="P5783" s="533"/>
      <c r="Q5783" s="533"/>
      <c r="R5783" s="533"/>
      <c r="S5783" s="533"/>
      <c r="T5783" s="533"/>
      <c r="U5783" s="533"/>
      <c r="V5783" s="533"/>
      <c r="W5783" s="533"/>
      <c r="X5783" s="533"/>
      <c r="Y5783" s="533"/>
    </row>
    <row r="5784" spans="1:25" s="88" customFormat="1" ht="15.75" hidden="1" customHeight="1" x14ac:dyDescent="0.25">
      <c r="A5784" s="509"/>
      <c r="B5784" s="256"/>
      <c r="C5784" s="316"/>
      <c r="D5784" s="251"/>
      <c r="E5784" s="251"/>
      <c r="F5784" s="257"/>
      <c r="G5784" s="518"/>
      <c r="H5784" s="627"/>
      <c r="I5784" s="610"/>
      <c r="J5784" s="628"/>
      <c r="K5784" s="533"/>
      <c r="L5784" s="533"/>
      <c r="M5784" s="533"/>
      <c r="N5784" s="533"/>
      <c r="O5784" s="533"/>
      <c r="P5784" s="533"/>
      <c r="Q5784" s="533"/>
      <c r="R5784" s="533"/>
      <c r="S5784" s="533"/>
      <c r="T5784" s="533"/>
      <c r="U5784" s="533"/>
      <c r="V5784" s="533"/>
      <c r="W5784" s="533"/>
      <c r="X5784" s="533"/>
      <c r="Y5784" s="533"/>
    </row>
    <row r="5785" spans="1:25" s="88" customFormat="1" ht="15.75" hidden="1" customHeight="1" x14ac:dyDescent="0.25">
      <c r="A5785" s="509"/>
      <c r="B5785" s="256"/>
      <c r="C5785" s="316"/>
      <c r="D5785" s="251"/>
      <c r="E5785" s="251"/>
      <c r="F5785" s="257"/>
      <c r="G5785" s="518"/>
      <c r="H5785" s="627"/>
      <c r="I5785" s="610"/>
      <c r="J5785" s="628"/>
      <c r="K5785" s="533"/>
      <c r="L5785" s="533"/>
      <c r="M5785" s="533"/>
      <c r="N5785" s="533"/>
      <c r="O5785" s="533"/>
      <c r="P5785" s="533"/>
      <c r="Q5785" s="533"/>
      <c r="R5785" s="533"/>
      <c r="S5785" s="533"/>
      <c r="T5785" s="533"/>
      <c r="U5785" s="533"/>
      <c r="V5785" s="533"/>
      <c r="W5785" s="533"/>
      <c r="X5785" s="533"/>
      <c r="Y5785" s="533"/>
    </row>
    <row r="5786" spans="1:25" s="88" customFormat="1" ht="15.75" hidden="1" customHeight="1" x14ac:dyDescent="0.25">
      <c r="A5786" s="509"/>
      <c r="B5786" s="256"/>
      <c r="C5786" s="316"/>
      <c r="D5786" s="251"/>
      <c r="E5786" s="251"/>
      <c r="F5786" s="257"/>
      <c r="G5786" s="518"/>
      <c r="H5786" s="627"/>
      <c r="I5786" s="610"/>
      <c r="J5786" s="628"/>
      <c r="K5786" s="533"/>
      <c r="L5786" s="533"/>
      <c r="M5786" s="533"/>
      <c r="N5786" s="533"/>
      <c r="O5786" s="533"/>
      <c r="P5786" s="533"/>
      <c r="Q5786" s="533"/>
      <c r="R5786" s="533"/>
      <c r="S5786" s="533"/>
      <c r="T5786" s="533"/>
      <c r="U5786" s="533"/>
      <c r="V5786" s="533"/>
      <c r="W5786" s="533"/>
      <c r="X5786" s="533"/>
      <c r="Y5786" s="533"/>
    </row>
    <row r="5787" spans="1:25" s="88" customFormat="1" ht="15.75" hidden="1" customHeight="1" x14ac:dyDescent="0.25">
      <c r="A5787" s="509"/>
      <c r="B5787" s="256"/>
      <c r="C5787" s="316"/>
      <c r="D5787" s="251"/>
      <c r="E5787" s="251"/>
      <c r="F5787" s="257"/>
      <c r="G5787" s="518"/>
      <c r="H5787" s="627"/>
      <c r="I5787" s="610"/>
      <c r="J5787" s="628"/>
      <c r="K5787" s="533"/>
      <c r="L5787" s="533"/>
      <c r="M5787" s="533"/>
      <c r="N5787" s="533"/>
      <c r="O5787" s="533"/>
      <c r="P5787" s="533"/>
      <c r="Q5787" s="533"/>
      <c r="R5787" s="533"/>
      <c r="S5787" s="533"/>
      <c r="T5787" s="533"/>
      <c r="U5787" s="533"/>
      <c r="V5787" s="533"/>
      <c r="W5787" s="533"/>
      <c r="X5787" s="533"/>
      <c r="Y5787" s="533"/>
    </row>
    <row r="5788" spans="1:25" s="88" customFormat="1" ht="15.75" hidden="1" customHeight="1" x14ac:dyDescent="0.25">
      <c r="A5788" s="509"/>
      <c r="B5788" s="256"/>
      <c r="C5788" s="316"/>
      <c r="D5788" s="251"/>
      <c r="E5788" s="251"/>
      <c r="F5788" s="257"/>
      <c r="G5788" s="518"/>
      <c r="H5788" s="627"/>
      <c r="I5788" s="610"/>
      <c r="J5788" s="628"/>
      <c r="K5788" s="533"/>
      <c r="L5788" s="533"/>
      <c r="M5788" s="533"/>
      <c r="N5788" s="533"/>
      <c r="O5788" s="533"/>
      <c r="P5788" s="533"/>
      <c r="Q5788" s="533"/>
      <c r="R5788" s="533"/>
      <c r="S5788" s="533"/>
      <c r="T5788" s="533"/>
      <c r="U5788" s="533"/>
      <c r="V5788" s="533"/>
      <c r="W5788" s="533"/>
      <c r="X5788" s="533"/>
      <c r="Y5788" s="533"/>
    </row>
    <row r="5789" spans="1:25" s="88" customFormat="1" ht="15.75" hidden="1" customHeight="1" x14ac:dyDescent="0.25">
      <c r="A5789" s="509"/>
      <c r="B5789" s="256"/>
      <c r="C5789" s="316"/>
      <c r="D5789" s="251"/>
      <c r="E5789" s="251"/>
      <c r="F5789" s="257"/>
      <c r="G5789" s="518"/>
      <c r="H5789" s="627"/>
      <c r="I5789" s="610"/>
      <c r="J5789" s="628"/>
      <c r="K5789" s="533"/>
      <c r="L5789" s="533"/>
      <c r="M5789" s="533"/>
      <c r="N5789" s="533"/>
      <c r="O5789" s="533"/>
      <c r="P5789" s="533"/>
      <c r="Q5789" s="533"/>
      <c r="R5789" s="533"/>
      <c r="S5789" s="533"/>
      <c r="T5789" s="533"/>
      <c r="U5789" s="533"/>
      <c r="V5789" s="533"/>
      <c r="W5789" s="533"/>
      <c r="X5789" s="533"/>
      <c r="Y5789" s="533"/>
    </row>
    <row r="5790" spans="1:25" s="88" customFormat="1" ht="15.75" hidden="1" customHeight="1" x14ac:dyDescent="0.25">
      <c r="A5790" s="509"/>
      <c r="B5790" s="256"/>
      <c r="C5790" s="316"/>
      <c r="D5790" s="251"/>
      <c r="E5790" s="251"/>
      <c r="F5790" s="257"/>
      <c r="G5790" s="518"/>
      <c r="H5790" s="627"/>
      <c r="I5790" s="610"/>
      <c r="J5790" s="628"/>
      <c r="K5790" s="533"/>
      <c r="L5790" s="533"/>
      <c r="M5790" s="533"/>
      <c r="N5790" s="533"/>
      <c r="O5790" s="533"/>
      <c r="P5790" s="533"/>
      <c r="Q5790" s="533"/>
      <c r="R5790" s="533"/>
      <c r="S5790" s="533"/>
      <c r="T5790" s="533"/>
      <c r="U5790" s="533"/>
      <c r="V5790" s="533"/>
      <c r="W5790" s="533"/>
      <c r="X5790" s="533"/>
      <c r="Y5790" s="533"/>
    </row>
    <row r="5791" spans="1:25" s="88" customFormat="1" ht="15.75" hidden="1" customHeight="1" x14ac:dyDescent="0.25">
      <c r="A5791" s="509"/>
      <c r="B5791" s="256"/>
      <c r="C5791" s="316"/>
      <c r="D5791" s="251"/>
      <c r="E5791" s="251"/>
      <c r="F5791" s="257"/>
      <c r="G5791" s="518"/>
      <c r="H5791" s="627"/>
      <c r="I5791" s="610"/>
      <c r="J5791" s="628"/>
      <c r="K5791" s="533"/>
      <c r="L5791" s="533"/>
      <c r="M5791" s="533"/>
      <c r="N5791" s="533"/>
      <c r="O5791" s="533"/>
      <c r="P5791" s="533"/>
      <c r="Q5791" s="533"/>
      <c r="R5791" s="533"/>
      <c r="S5791" s="533"/>
      <c r="T5791" s="533"/>
      <c r="U5791" s="533"/>
      <c r="V5791" s="533"/>
      <c r="W5791" s="533"/>
      <c r="X5791" s="533"/>
      <c r="Y5791" s="533"/>
    </row>
    <row r="5792" spans="1:25" s="88" customFormat="1" ht="15.75" hidden="1" customHeight="1" x14ac:dyDescent="0.25">
      <c r="A5792" s="509"/>
      <c r="B5792" s="256"/>
      <c r="C5792" s="316"/>
      <c r="D5792" s="251"/>
      <c r="E5792" s="251"/>
      <c r="F5792" s="257"/>
      <c r="G5792" s="518"/>
      <c r="H5792" s="627"/>
      <c r="I5792" s="610"/>
      <c r="J5792" s="628"/>
      <c r="K5792" s="533"/>
      <c r="L5792" s="533"/>
      <c r="M5792" s="533"/>
      <c r="N5792" s="533"/>
      <c r="O5792" s="533"/>
      <c r="P5792" s="533"/>
      <c r="Q5792" s="533"/>
      <c r="R5792" s="533"/>
      <c r="S5792" s="533"/>
      <c r="T5792" s="533"/>
      <c r="U5792" s="533"/>
      <c r="V5792" s="533"/>
      <c r="W5792" s="533"/>
      <c r="X5792" s="533"/>
      <c r="Y5792" s="533"/>
    </row>
    <row r="5793" spans="1:25" s="88" customFormat="1" ht="15.75" hidden="1" customHeight="1" x14ac:dyDescent="0.25">
      <c r="A5793" s="509"/>
      <c r="B5793" s="256"/>
      <c r="C5793" s="316"/>
      <c r="D5793" s="251"/>
      <c r="E5793" s="251"/>
      <c r="F5793" s="257"/>
      <c r="G5793" s="518"/>
      <c r="H5793" s="627"/>
      <c r="I5793" s="610"/>
      <c r="J5793" s="628"/>
      <c r="K5793" s="533"/>
      <c r="L5793" s="533"/>
      <c r="M5793" s="533"/>
      <c r="N5793" s="533"/>
      <c r="O5793" s="533"/>
      <c r="P5793" s="533"/>
      <c r="Q5793" s="533"/>
      <c r="R5793" s="533"/>
      <c r="S5793" s="533"/>
      <c r="T5793" s="533"/>
      <c r="U5793" s="533"/>
      <c r="V5793" s="533"/>
      <c r="W5793" s="533"/>
      <c r="X5793" s="533"/>
      <c r="Y5793" s="533"/>
    </row>
    <row r="5794" spans="1:25" s="88" customFormat="1" ht="15.75" hidden="1" customHeight="1" x14ac:dyDescent="0.25">
      <c r="A5794" s="509"/>
      <c r="B5794" s="256"/>
      <c r="C5794" s="316"/>
      <c r="D5794" s="251"/>
      <c r="E5794" s="251"/>
      <c r="F5794" s="257"/>
      <c r="G5794" s="518"/>
      <c r="H5794" s="627"/>
      <c r="I5794" s="610"/>
      <c r="J5794" s="628"/>
      <c r="K5794" s="533"/>
      <c r="L5794" s="533"/>
      <c r="M5794" s="533"/>
      <c r="N5794" s="533"/>
      <c r="O5794" s="533"/>
      <c r="P5794" s="533"/>
      <c r="Q5794" s="533"/>
      <c r="R5794" s="533"/>
      <c r="S5794" s="533"/>
      <c r="T5794" s="533"/>
      <c r="U5794" s="533"/>
      <c r="V5794" s="533"/>
      <c r="W5794" s="533"/>
      <c r="X5794" s="533"/>
      <c r="Y5794" s="533"/>
    </row>
    <row r="5795" spans="1:25" s="88" customFormat="1" ht="15.75" hidden="1" customHeight="1" x14ac:dyDescent="0.25">
      <c r="A5795" s="509"/>
      <c r="B5795" s="256"/>
      <c r="C5795" s="316"/>
      <c r="D5795" s="251"/>
      <c r="E5795" s="251"/>
      <c r="F5795" s="257"/>
      <c r="G5795" s="518"/>
      <c r="H5795" s="627"/>
      <c r="I5795" s="610"/>
      <c r="J5795" s="628"/>
      <c r="K5795" s="533"/>
      <c r="L5795" s="533"/>
      <c r="M5795" s="533"/>
      <c r="N5795" s="533"/>
      <c r="O5795" s="533"/>
      <c r="P5795" s="533"/>
      <c r="Q5795" s="533"/>
      <c r="R5795" s="533"/>
      <c r="S5795" s="533"/>
      <c r="T5795" s="533"/>
      <c r="U5795" s="533"/>
      <c r="V5795" s="533"/>
      <c r="W5795" s="533"/>
      <c r="X5795" s="533"/>
      <c r="Y5795" s="533"/>
    </row>
    <row r="5796" spans="1:25" s="88" customFormat="1" ht="15.75" hidden="1" customHeight="1" x14ac:dyDescent="0.25">
      <c r="A5796" s="509"/>
      <c r="B5796" s="256"/>
      <c r="C5796" s="316"/>
      <c r="D5796" s="251"/>
      <c r="E5796" s="251"/>
      <c r="F5796" s="257"/>
      <c r="G5796" s="518"/>
      <c r="H5796" s="627"/>
      <c r="I5796" s="610"/>
      <c r="J5796" s="628"/>
      <c r="K5796" s="533"/>
      <c r="L5796" s="533"/>
      <c r="M5796" s="533"/>
      <c r="N5796" s="533"/>
      <c r="O5796" s="533"/>
      <c r="P5796" s="533"/>
      <c r="Q5796" s="533"/>
      <c r="R5796" s="533"/>
      <c r="S5796" s="533"/>
      <c r="T5796" s="533"/>
      <c r="U5796" s="533"/>
      <c r="V5796" s="533"/>
      <c r="W5796" s="533"/>
      <c r="X5796" s="533"/>
      <c r="Y5796" s="533"/>
    </row>
    <row r="5797" spans="1:25" s="88" customFormat="1" ht="15.75" hidden="1" customHeight="1" x14ac:dyDescent="0.25">
      <c r="A5797" s="509"/>
      <c r="B5797" s="256"/>
      <c r="C5797" s="316"/>
      <c r="D5797" s="251"/>
      <c r="E5797" s="251"/>
      <c r="F5797" s="257"/>
      <c r="G5797" s="518"/>
      <c r="H5797" s="627"/>
      <c r="I5797" s="610"/>
      <c r="J5797" s="628"/>
      <c r="K5797" s="533"/>
      <c r="L5797" s="533"/>
      <c r="M5797" s="533"/>
      <c r="N5797" s="533"/>
      <c r="O5797" s="533"/>
      <c r="P5797" s="533"/>
      <c r="Q5797" s="533"/>
      <c r="R5797" s="533"/>
      <c r="S5797" s="533"/>
      <c r="T5797" s="533"/>
      <c r="U5797" s="533"/>
      <c r="V5797" s="533"/>
      <c r="W5797" s="533"/>
      <c r="X5797" s="533"/>
      <c r="Y5797" s="533"/>
    </row>
    <row r="5798" spans="1:25" s="88" customFormat="1" ht="15.75" hidden="1" customHeight="1" x14ac:dyDescent="0.25">
      <c r="A5798" s="509"/>
      <c r="B5798" s="256"/>
      <c r="C5798" s="316"/>
      <c r="D5798" s="251"/>
      <c r="E5798" s="251"/>
      <c r="F5798" s="257"/>
      <c r="G5798" s="518"/>
      <c r="H5798" s="627"/>
      <c r="I5798" s="610"/>
      <c r="J5798" s="628"/>
      <c r="K5798" s="533"/>
      <c r="L5798" s="533"/>
      <c r="M5798" s="533"/>
      <c r="N5798" s="533"/>
      <c r="O5798" s="533"/>
      <c r="P5798" s="533"/>
      <c r="Q5798" s="533"/>
      <c r="R5798" s="533"/>
      <c r="S5798" s="533"/>
      <c r="T5798" s="533"/>
      <c r="U5798" s="533"/>
      <c r="V5798" s="533"/>
      <c r="W5798" s="533"/>
      <c r="X5798" s="533"/>
      <c r="Y5798" s="533"/>
    </row>
    <row r="5799" spans="1:25" s="88" customFormat="1" ht="15.75" hidden="1" customHeight="1" x14ac:dyDescent="0.25">
      <c r="A5799" s="509"/>
      <c r="B5799" s="256"/>
      <c r="C5799" s="316"/>
      <c r="D5799" s="251"/>
      <c r="E5799" s="251"/>
      <c r="F5799" s="257"/>
      <c r="G5799" s="518"/>
      <c r="H5799" s="627"/>
      <c r="I5799" s="610"/>
      <c r="J5799" s="628"/>
      <c r="K5799" s="533"/>
      <c r="L5799" s="533"/>
      <c r="M5799" s="533"/>
      <c r="N5799" s="533"/>
      <c r="O5799" s="533"/>
      <c r="P5799" s="533"/>
      <c r="Q5799" s="533"/>
      <c r="R5799" s="533"/>
      <c r="S5799" s="533"/>
      <c r="T5799" s="533"/>
      <c r="U5799" s="533"/>
      <c r="V5799" s="533"/>
      <c r="W5799" s="533"/>
      <c r="X5799" s="533"/>
      <c r="Y5799" s="533"/>
    </row>
    <row r="5800" spans="1:25" s="88" customFormat="1" ht="15.75" hidden="1" customHeight="1" x14ac:dyDescent="0.25">
      <c r="A5800" s="509"/>
      <c r="B5800" s="256"/>
      <c r="C5800" s="316"/>
      <c r="D5800" s="251"/>
      <c r="E5800" s="251"/>
      <c r="F5800" s="257"/>
      <c r="G5800" s="518"/>
      <c r="H5800" s="627"/>
      <c r="I5800" s="610"/>
      <c r="J5800" s="628"/>
      <c r="K5800" s="533"/>
      <c r="L5800" s="533"/>
      <c r="M5800" s="533"/>
      <c r="N5800" s="533"/>
      <c r="O5800" s="533"/>
      <c r="P5800" s="533"/>
      <c r="Q5800" s="533"/>
      <c r="R5800" s="533"/>
      <c r="S5800" s="533"/>
      <c r="T5800" s="533"/>
      <c r="U5800" s="533"/>
      <c r="V5800" s="533"/>
      <c r="W5800" s="533"/>
      <c r="X5800" s="533"/>
      <c r="Y5800" s="533"/>
    </row>
    <row r="5801" spans="1:25" s="88" customFormat="1" ht="15.75" hidden="1" customHeight="1" x14ac:dyDescent="0.25">
      <c r="A5801" s="509"/>
      <c r="B5801" s="256"/>
      <c r="C5801" s="316"/>
      <c r="D5801" s="251"/>
      <c r="E5801" s="251"/>
      <c r="F5801" s="257"/>
      <c r="G5801" s="518"/>
      <c r="H5801" s="627"/>
      <c r="I5801" s="610"/>
      <c r="J5801" s="628"/>
      <c r="K5801" s="533"/>
      <c r="L5801" s="533"/>
      <c r="M5801" s="533"/>
      <c r="N5801" s="533"/>
      <c r="O5801" s="533"/>
      <c r="P5801" s="533"/>
      <c r="Q5801" s="533"/>
      <c r="R5801" s="533"/>
      <c r="S5801" s="533"/>
      <c r="T5801" s="533"/>
      <c r="U5801" s="533"/>
      <c r="V5801" s="533"/>
      <c r="W5801" s="533"/>
      <c r="X5801" s="533"/>
      <c r="Y5801" s="533"/>
    </row>
    <row r="5802" spans="1:25" s="88" customFormat="1" ht="15.75" hidden="1" customHeight="1" x14ac:dyDescent="0.25">
      <c r="A5802" s="509"/>
      <c r="B5802" s="256"/>
      <c r="C5802" s="316"/>
      <c r="D5802" s="251"/>
      <c r="E5802" s="251"/>
      <c r="F5802" s="257"/>
      <c r="G5802" s="518"/>
      <c r="H5802" s="627"/>
      <c r="I5802" s="610"/>
      <c r="J5802" s="628"/>
      <c r="K5802" s="533"/>
      <c r="L5802" s="533"/>
      <c r="M5802" s="533"/>
      <c r="N5802" s="533"/>
      <c r="O5802" s="533"/>
      <c r="P5802" s="533"/>
      <c r="Q5802" s="533"/>
      <c r="R5802" s="533"/>
      <c r="S5802" s="533"/>
      <c r="T5802" s="533"/>
      <c r="U5802" s="533"/>
      <c r="V5802" s="533"/>
      <c r="W5802" s="533"/>
      <c r="X5802" s="533"/>
      <c r="Y5802" s="533"/>
    </row>
    <row r="5803" spans="1:25" s="88" customFormat="1" ht="15.75" hidden="1" customHeight="1" x14ac:dyDescent="0.25">
      <c r="A5803" s="509"/>
      <c r="B5803" s="256"/>
      <c r="C5803" s="316"/>
      <c r="D5803" s="251"/>
      <c r="E5803" s="251"/>
      <c r="F5803" s="257"/>
      <c r="G5803" s="518"/>
      <c r="H5803" s="627"/>
      <c r="I5803" s="610"/>
      <c r="J5803" s="628"/>
      <c r="K5803" s="533"/>
      <c r="L5803" s="533"/>
      <c r="M5803" s="533"/>
      <c r="N5803" s="533"/>
      <c r="O5803" s="533"/>
      <c r="P5803" s="533"/>
      <c r="Q5803" s="533"/>
      <c r="R5803" s="533"/>
      <c r="S5803" s="533"/>
      <c r="T5803" s="533"/>
      <c r="U5803" s="533"/>
      <c r="V5803" s="533"/>
      <c r="W5803" s="533"/>
      <c r="X5803" s="533"/>
      <c r="Y5803" s="533"/>
    </row>
    <row r="5804" spans="1:25" s="88" customFormat="1" ht="15.75" hidden="1" customHeight="1" x14ac:dyDescent="0.25">
      <c r="A5804" s="509"/>
      <c r="B5804" s="256"/>
      <c r="C5804" s="316"/>
      <c r="D5804" s="251"/>
      <c r="E5804" s="251"/>
      <c r="F5804" s="257"/>
      <c r="G5804" s="518"/>
      <c r="H5804" s="627"/>
      <c r="I5804" s="610"/>
      <c r="J5804" s="628"/>
      <c r="K5804" s="533"/>
      <c r="L5804" s="533"/>
      <c r="M5804" s="533"/>
      <c r="N5804" s="533"/>
      <c r="O5804" s="533"/>
      <c r="P5804" s="533"/>
      <c r="Q5804" s="533"/>
      <c r="R5804" s="533"/>
      <c r="S5804" s="533"/>
      <c r="T5804" s="533"/>
      <c r="U5804" s="533"/>
      <c r="V5804" s="533"/>
      <c r="W5804" s="533"/>
      <c r="X5804" s="533"/>
      <c r="Y5804" s="533"/>
    </row>
    <row r="5805" spans="1:25" s="88" customFormat="1" ht="15.75" hidden="1" customHeight="1" x14ac:dyDescent="0.25">
      <c r="A5805" s="509"/>
      <c r="B5805" s="256"/>
      <c r="C5805" s="316"/>
      <c r="D5805" s="251"/>
      <c r="E5805" s="251"/>
      <c r="F5805" s="257"/>
      <c r="G5805" s="518"/>
      <c r="H5805" s="627"/>
      <c r="I5805" s="610"/>
      <c r="J5805" s="628"/>
      <c r="K5805" s="533"/>
      <c r="L5805" s="533"/>
      <c r="M5805" s="533"/>
      <c r="N5805" s="533"/>
      <c r="O5805" s="533"/>
      <c r="P5805" s="533"/>
      <c r="Q5805" s="533"/>
      <c r="R5805" s="533"/>
      <c r="S5805" s="533"/>
      <c r="T5805" s="533"/>
      <c r="U5805" s="533"/>
      <c r="V5805" s="533"/>
      <c r="W5805" s="533"/>
      <c r="X5805" s="533"/>
      <c r="Y5805" s="533"/>
    </row>
    <row r="5806" spans="1:25" s="88" customFormat="1" ht="15.75" hidden="1" customHeight="1" x14ac:dyDescent="0.25">
      <c r="A5806" s="509"/>
      <c r="B5806" s="256"/>
      <c r="C5806" s="316"/>
      <c r="D5806" s="251"/>
      <c r="E5806" s="251"/>
      <c r="F5806" s="257"/>
      <c r="G5806" s="518"/>
      <c r="H5806" s="627"/>
      <c r="I5806" s="610"/>
      <c r="J5806" s="628"/>
      <c r="K5806" s="533"/>
      <c r="L5806" s="533"/>
      <c r="M5806" s="533"/>
      <c r="N5806" s="533"/>
      <c r="O5806" s="533"/>
      <c r="P5806" s="533"/>
      <c r="Q5806" s="533"/>
      <c r="R5806" s="533"/>
      <c r="S5806" s="533"/>
      <c r="T5806" s="533"/>
      <c r="U5806" s="533"/>
      <c r="V5806" s="533"/>
      <c r="W5806" s="533"/>
      <c r="X5806" s="533"/>
      <c r="Y5806" s="533"/>
    </row>
    <row r="5807" spans="1:25" s="88" customFormat="1" ht="15.75" hidden="1" customHeight="1" x14ac:dyDescent="0.25">
      <c r="A5807" s="509"/>
      <c r="B5807" s="256"/>
      <c r="C5807" s="316"/>
      <c r="D5807" s="251"/>
      <c r="E5807" s="251"/>
      <c r="F5807" s="257"/>
      <c r="G5807" s="518"/>
      <c r="H5807" s="627"/>
      <c r="I5807" s="610"/>
      <c r="J5807" s="628"/>
      <c r="K5807" s="533"/>
      <c r="L5807" s="533"/>
      <c r="M5807" s="533"/>
      <c r="N5807" s="533"/>
      <c r="O5807" s="533"/>
      <c r="P5807" s="533"/>
      <c r="Q5807" s="533"/>
      <c r="R5807" s="533"/>
      <c r="S5807" s="533"/>
      <c r="T5807" s="533"/>
      <c r="U5807" s="533"/>
      <c r="V5807" s="533"/>
      <c r="W5807" s="533"/>
      <c r="X5807" s="533"/>
      <c r="Y5807" s="533"/>
    </row>
    <row r="5808" spans="1:25" s="88" customFormat="1" ht="15.75" hidden="1" customHeight="1" x14ac:dyDescent="0.25">
      <c r="A5808" s="509"/>
      <c r="B5808" s="256"/>
      <c r="C5808" s="316"/>
      <c r="D5808" s="251"/>
      <c r="E5808" s="251"/>
      <c r="F5808" s="257"/>
      <c r="G5808" s="518"/>
      <c r="H5808" s="627"/>
      <c r="I5808" s="610"/>
      <c r="J5808" s="628"/>
      <c r="K5808" s="533"/>
      <c r="L5808" s="533"/>
      <c r="M5808" s="533"/>
      <c r="N5808" s="533"/>
      <c r="O5808" s="533"/>
      <c r="P5808" s="533"/>
      <c r="Q5808" s="533"/>
      <c r="R5808" s="533"/>
      <c r="S5808" s="533"/>
      <c r="T5808" s="533"/>
      <c r="U5808" s="533"/>
      <c r="V5808" s="533"/>
      <c r="W5808" s="533"/>
      <c r="X5808" s="533"/>
      <c r="Y5808" s="533"/>
    </row>
    <row r="5809" spans="1:25" s="88" customFormat="1" ht="15.75" hidden="1" customHeight="1" x14ac:dyDescent="0.25">
      <c r="A5809" s="509"/>
      <c r="B5809" s="256"/>
      <c r="C5809" s="316"/>
      <c r="D5809" s="251"/>
      <c r="E5809" s="251"/>
      <c r="F5809" s="257"/>
      <c r="G5809" s="518"/>
      <c r="H5809" s="627"/>
      <c r="I5809" s="610"/>
      <c r="J5809" s="628"/>
      <c r="K5809" s="533"/>
      <c r="L5809" s="533"/>
      <c r="M5809" s="533"/>
      <c r="N5809" s="533"/>
      <c r="O5809" s="533"/>
      <c r="P5809" s="533"/>
      <c r="Q5809" s="533"/>
      <c r="R5809" s="533"/>
      <c r="S5809" s="533"/>
      <c r="T5809" s="533"/>
      <c r="U5809" s="533"/>
      <c r="V5809" s="533"/>
      <c r="W5809" s="533"/>
      <c r="X5809" s="533"/>
      <c r="Y5809" s="533"/>
    </row>
    <row r="5810" spans="1:25" s="88" customFormat="1" ht="15.75" hidden="1" customHeight="1" x14ac:dyDescent="0.25">
      <c r="A5810" s="509"/>
      <c r="B5810" s="256"/>
      <c r="C5810" s="316"/>
      <c r="D5810" s="251"/>
      <c r="E5810" s="251"/>
      <c r="F5810" s="257"/>
      <c r="G5810" s="518"/>
      <c r="H5810" s="627"/>
      <c r="I5810" s="610"/>
      <c r="J5810" s="628"/>
      <c r="K5810" s="533"/>
      <c r="L5810" s="533"/>
      <c r="M5810" s="533"/>
      <c r="N5810" s="533"/>
      <c r="O5810" s="533"/>
      <c r="P5810" s="533"/>
      <c r="Q5810" s="533"/>
      <c r="R5810" s="533"/>
      <c r="S5810" s="533"/>
      <c r="T5810" s="533"/>
      <c r="U5810" s="533"/>
      <c r="V5810" s="533"/>
      <c r="W5810" s="533"/>
      <c r="X5810" s="533"/>
      <c r="Y5810" s="533"/>
    </row>
    <row r="5811" spans="1:25" s="88" customFormat="1" ht="15.75" hidden="1" customHeight="1" x14ac:dyDescent="0.25">
      <c r="A5811" s="509"/>
      <c r="B5811" s="256"/>
      <c r="C5811" s="316"/>
      <c r="D5811" s="251"/>
      <c r="E5811" s="251"/>
      <c r="F5811" s="257"/>
      <c r="G5811" s="518"/>
      <c r="H5811" s="627"/>
      <c r="I5811" s="610"/>
      <c r="J5811" s="628"/>
      <c r="K5811" s="533"/>
      <c r="L5811" s="533"/>
      <c r="M5811" s="533"/>
      <c r="N5811" s="533"/>
      <c r="O5811" s="533"/>
      <c r="P5811" s="533"/>
      <c r="Q5811" s="533"/>
      <c r="R5811" s="533"/>
      <c r="S5811" s="533"/>
      <c r="T5811" s="533"/>
      <c r="U5811" s="533"/>
      <c r="V5811" s="533"/>
      <c r="W5811" s="533"/>
      <c r="X5811" s="533"/>
      <c r="Y5811" s="533"/>
    </row>
    <row r="5812" spans="1:25" s="88" customFormat="1" ht="15.75" hidden="1" customHeight="1" x14ac:dyDescent="0.25">
      <c r="A5812" s="509"/>
      <c r="B5812" s="256"/>
      <c r="C5812" s="316"/>
      <c r="D5812" s="251"/>
      <c r="E5812" s="251"/>
      <c r="F5812" s="257"/>
      <c r="G5812" s="518"/>
      <c r="H5812" s="627"/>
      <c r="I5812" s="610"/>
      <c r="J5812" s="628"/>
      <c r="K5812" s="533"/>
      <c r="L5812" s="533"/>
      <c r="M5812" s="533"/>
      <c r="N5812" s="533"/>
      <c r="O5812" s="533"/>
      <c r="P5812" s="533"/>
      <c r="Q5812" s="533"/>
      <c r="R5812" s="533"/>
      <c r="S5812" s="533"/>
      <c r="T5812" s="533"/>
      <c r="U5812" s="533"/>
      <c r="V5812" s="533"/>
      <c r="W5812" s="533"/>
      <c r="X5812" s="533"/>
      <c r="Y5812" s="533"/>
    </row>
    <row r="5813" spans="1:25" s="88" customFormat="1" ht="15.75" hidden="1" customHeight="1" x14ac:dyDescent="0.25">
      <c r="A5813" s="509"/>
      <c r="B5813" s="256"/>
      <c r="C5813" s="316"/>
      <c r="D5813" s="251"/>
      <c r="E5813" s="251"/>
      <c r="F5813" s="257"/>
      <c r="G5813" s="518"/>
      <c r="H5813" s="627"/>
      <c r="I5813" s="610"/>
      <c r="J5813" s="628"/>
      <c r="K5813" s="533"/>
      <c r="L5813" s="533"/>
      <c r="M5813" s="533"/>
      <c r="N5813" s="533"/>
      <c r="O5813" s="533"/>
      <c r="P5813" s="533"/>
      <c r="Q5813" s="533"/>
      <c r="R5813" s="533"/>
      <c r="S5813" s="533"/>
      <c r="T5813" s="533"/>
      <c r="U5813" s="533"/>
      <c r="V5813" s="533"/>
      <c r="W5813" s="533"/>
      <c r="X5813" s="533"/>
      <c r="Y5813" s="533"/>
    </row>
    <row r="5814" spans="1:25" s="88" customFormat="1" ht="15.75" hidden="1" customHeight="1" x14ac:dyDescent="0.25">
      <c r="A5814" s="509"/>
      <c r="B5814" s="256"/>
      <c r="C5814" s="316"/>
      <c r="D5814" s="251"/>
      <c r="E5814" s="251"/>
      <c r="F5814" s="257"/>
      <c r="G5814" s="518"/>
      <c r="H5814" s="627"/>
      <c r="I5814" s="610"/>
      <c r="J5814" s="628"/>
      <c r="K5814" s="533"/>
      <c r="L5814" s="533"/>
      <c r="M5814" s="533"/>
      <c r="N5814" s="533"/>
      <c r="O5814" s="533"/>
      <c r="P5814" s="533"/>
      <c r="Q5814" s="533"/>
      <c r="R5814" s="533"/>
      <c r="S5814" s="533"/>
      <c r="T5814" s="533"/>
      <c r="U5814" s="533"/>
      <c r="V5814" s="533"/>
      <c r="W5814" s="533"/>
      <c r="X5814" s="533"/>
      <c r="Y5814" s="533"/>
    </row>
    <row r="5815" spans="1:25" s="88" customFormat="1" ht="15.75" hidden="1" customHeight="1" x14ac:dyDescent="0.25">
      <c r="A5815" s="509"/>
      <c r="B5815" s="256"/>
      <c r="C5815" s="316"/>
      <c r="D5815" s="251"/>
      <c r="E5815" s="251"/>
      <c r="F5815" s="257"/>
      <c r="G5815" s="518"/>
      <c r="H5815" s="627"/>
      <c r="I5815" s="610"/>
      <c r="J5815" s="628"/>
      <c r="K5815" s="533"/>
      <c r="L5815" s="533"/>
      <c r="M5815" s="533"/>
      <c r="N5815" s="533"/>
      <c r="O5815" s="533"/>
      <c r="P5815" s="533"/>
      <c r="Q5815" s="533"/>
      <c r="R5815" s="533"/>
      <c r="S5815" s="533"/>
      <c r="T5815" s="533"/>
      <c r="U5815" s="533"/>
      <c r="V5815" s="533"/>
      <c r="W5815" s="533"/>
      <c r="X5815" s="533"/>
      <c r="Y5815" s="533"/>
    </row>
    <row r="5816" spans="1:25" s="88" customFormat="1" ht="15.75" hidden="1" customHeight="1" x14ac:dyDescent="0.25">
      <c r="A5816" s="509"/>
      <c r="B5816" s="256"/>
      <c r="C5816" s="316"/>
      <c r="D5816" s="251"/>
      <c r="E5816" s="251"/>
      <c r="F5816" s="257"/>
      <c r="G5816" s="518"/>
      <c r="H5816" s="627"/>
      <c r="I5816" s="610"/>
      <c r="J5816" s="628"/>
      <c r="K5816" s="533"/>
      <c r="L5816" s="533"/>
      <c r="M5816" s="533"/>
      <c r="N5816" s="533"/>
      <c r="O5816" s="533"/>
      <c r="P5816" s="533"/>
      <c r="Q5816" s="533"/>
      <c r="R5816" s="533"/>
      <c r="S5816" s="533"/>
      <c r="T5816" s="533"/>
      <c r="U5816" s="533"/>
      <c r="V5816" s="533"/>
      <c r="W5816" s="533"/>
      <c r="X5816" s="533"/>
      <c r="Y5816" s="533"/>
    </row>
    <row r="5817" spans="1:25" s="88" customFormat="1" ht="15.75" hidden="1" customHeight="1" x14ac:dyDescent="0.25">
      <c r="A5817" s="509"/>
      <c r="B5817" s="256"/>
      <c r="C5817" s="316"/>
      <c r="D5817" s="251"/>
      <c r="E5817" s="251"/>
      <c r="F5817" s="257"/>
      <c r="G5817" s="518"/>
      <c r="H5817" s="627"/>
      <c r="I5817" s="610"/>
      <c r="J5817" s="628"/>
      <c r="K5817" s="533"/>
      <c r="L5817" s="533"/>
      <c r="M5817" s="533"/>
      <c r="N5817" s="533"/>
      <c r="O5817" s="533"/>
      <c r="P5817" s="533"/>
      <c r="Q5817" s="533"/>
      <c r="R5817" s="533"/>
      <c r="S5817" s="533"/>
      <c r="T5817" s="533"/>
      <c r="U5817" s="533"/>
      <c r="V5817" s="533"/>
      <c r="W5817" s="533"/>
      <c r="X5817" s="533"/>
      <c r="Y5817" s="533"/>
    </row>
    <row r="5818" spans="1:25" s="88" customFormat="1" ht="15.75" hidden="1" customHeight="1" x14ac:dyDescent="0.25">
      <c r="A5818" s="509"/>
      <c r="B5818" s="256"/>
      <c r="C5818" s="316"/>
      <c r="D5818" s="251"/>
      <c r="E5818" s="251"/>
      <c r="F5818" s="257"/>
      <c r="G5818" s="518"/>
      <c r="H5818" s="627"/>
      <c r="I5818" s="610"/>
      <c r="J5818" s="628"/>
      <c r="K5818" s="533"/>
      <c r="L5818" s="533"/>
      <c r="M5818" s="533"/>
      <c r="N5818" s="533"/>
      <c r="O5818" s="533"/>
      <c r="P5818" s="533"/>
      <c r="Q5818" s="533"/>
      <c r="R5818" s="533"/>
      <c r="S5818" s="533"/>
      <c r="T5818" s="533"/>
      <c r="U5818" s="533"/>
      <c r="V5818" s="533"/>
      <c r="W5818" s="533"/>
      <c r="X5818" s="533"/>
      <c r="Y5818" s="533"/>
    </row>
    <row r="5819" spans="1:25" s="88" customFormat="1" ht="15.75" hidden="1" customHeight="1" x14ac:dyDescent="0.25">
      <c r="A5819" s="509"/>
      <c r="B5819" s="256"/>
      <c r="C5819" s="316"/>
      <c r="D5819" s="251"/>
      <c r="E5819" s="251"/>
      <c r="F5819" s="257"/>
      <c r="G5819" s="518"/>
      <c r="H5819" s="627"/>
      <c r="I5819" s="610"/>
      <c r="J5819" s="628"/>
      <c r="K5819" s="533"/>
      <c r="L5819" s="533"/>
      <c r="M5819" s="533"/>
      <c r="N5819" s="533"/>
      <c r="O5819" s="533"/>
      <c r="P5819" s="533"/>
      <c r="Q5819" s="533"/>
      <c r="R5819" s="533"/>
      <c r="S5819" s="533"/>
      <c r="T5819" s="533"/>
      <c r="U5819" s="533"/>
      <c r="V5819" s="533"/>
      <c r="W5819" s="533"/>
      <c r="X5819" s="533"/>
      <c r="Y5819" s="533"/>
    </row>
    <row r="5820" spans="1:25" s="88" customFormat="1" ht="15.75" hidden="1" customHeight="1" x14ac:dyDescent="0.25">
      <c r="A5820" s="509"/>
      <c r="B5820" s="256"/>
      <c r="C5820" s="316"/>
      <c r="D5820" s="251"/>
      <c r="E5820" s="251"/>
      <c r="F5820" s="257"/>
      <c r="G5820" s="518"/>
      <c r="H5820" s="627"/>
      <c r="I5820" s="610"/>
      <c r="J5820" s="628"/>
      <c r="K5820" s="533"/>
      <c r="L5820" s="533"/>
      <c r="M5820" s="533"/>
      <c r="N5820" s="533"/>
      <c r="O5820" s="533"/>
      <c r="P5820" s="533"/>
      <c r="Q5820" s="533"/>
      <c r="R5820" s="533"/>
      <c r="S5820" s="533"/>
      <c r="T5820" s="533"/>
      <c r="U5820" s="533"/>
      <c r="V5820" s="533"/>
      <c r="W5820" s="533"/>
      <c r="X5820" s="533"/>
      <c r="Y5820" s="533"/>
    </row>
    <row r="5821" spans="1:25" s="88" customFormat="1" ht="15.75" hidden="1" customHeight="1" x14ac:dyDescent="0.25">
      <c r="A5821" s="509"/>
      <c r="B5821" s="256"/>
      <c r="C5821" s="316"/>
      <c r="D5821" s="251"/>
      <c r="E5821" s="251"/>
      <c r="F5821" s="257"/>
      <c r="G5821" s="518"/>
      <c r="H5821" s="627"/>
      <c r="I5821" s="610"/>
      <c r="J5821" s="628"/>
      <c r="K5821" s="533"/>
      <c r="L5821" s="533"/>
      <c r="M5821" s="533"/>
      <c r="N5821" s="533"/>
      <c r="O5821" s="533"/>
      <c r="P5821" s="533"/>
      <c r="Q5821" s="533"/>
      <c r="R5821" s="533"/>
      <c r="S5821" s="533"/>
      <c r="T5821" s="533"/>
      <c r="U5821" s="533"/>
      <c r="V5821" s="533"/>
      <c r="W5821" s="533"/>
      <c r="X5821" s="533"/>
      <c r="Y5821" s="533"/>
    </row>
    <row r="5822" spans="1:25" s="88" customFormat="1" ht="15.75" hidden="1" customHeight="1" x14ac:dyDescent="0.25">
      <c r="A5822" s="509"/>
      <c r="B5822" s="256"/>
      <c r="C5822" s="316"/>
      <c r="D5822" s="251"/>
      <c r="E5822" s="251"/>
      <c r="F5822" s="257"/>
      <c r="G5822" s="518"/>
      <c r="H5822" s="627"/>
      <c r="I5822" s="610"/>
      <c r="J5822" s="628"/>
      <c r="K5822" s="533"/>
      <c r="L5822" s="533"/>
      <c r="M5822" s="533"/>
      <c r="N5822" s="533"/>
      <c r="O5822" s="533"/>
      <c r="P5822" s="533"/>
      <c r="Q5822" s="533"/>
      <c r="R5822" s="533"/>
      <c r="S5822" s="533"/>
      <c r="T5822" s="533"/>
      <c r="U5822" s="533"/>
      <c r="V5822" s="533"/>
      <c r="W5822" s="533"/>
      <c r="X5822" s="533"/>
      <c r="Y5822" s="533"/>
    </row>
    <row r="5823" spans="1:25" s="88" customFormat="1" ht="15.75" hidden="1" customHeight="1" x14ac:dyDescent="0.25">
      <c r="A5823" s="509"/>
      <c r="B5823" s="256"/>
      <c r="C5823" s="316"/>
      <c r="D5823" s="251"/>
      <c r="E5823" s="251"/>
      <c r="F5823" s="257"/>
      <c r="G5823" s="518"/>
      <c r="H5823" s="627"/>
      <c r="I5823" s="610"/>
      <c r="J5823" s="628"/>
      <c r="K5823" s="533"/>
      <c r="L5823" s="533"/>
      <c r="M5823" s="533"/>
      <c r="N5823" s="533"/>
      <c r="O5823" s="533"/>
      <c r="P5823" s="533"/>
      <c r="Q5823" s="533"/>
      <c r="R5823" s="533"/>
      <c r="S5823" s="533"/>
      <c r="T5823" s="533"/>
      <c r="U5823" s="533"/>
      <c r="V5823" s="533"/>
      <c r="W5823" s="533"/>
      <c r="X5823" s="533"/>
      <c r="Y5823" s="533"/>
    </row>
    <row r="5824" spans="1:25" s="88" customFormat="1" ht="15.75" hidden="1" customHeight="1" x14ac:dyDescent="0.25">
      <c r="A5824" s="509"/>
      <c r="B5824" s="256"/>
      <c r="C5824" s="316"/>
      <c r="D5824" s="251"/>
      <c r="E5824" s="251"/>
      <c r="F5824" s="257"/>
      <c r="G5824" s="518"/>
      <c r="H5824" s="627"/>
      <c r="I5824" s="610"/>
      <c r="J5824" s="628"/>
      <c r="K5824" s="533"/>
      <c r="L5824" s="533"/>
      <c r="M5824" s="533"/>
      <c r="N5824" s="533"/>
      <c r="O5824" s="533"/>
      <c r="P5824" s="533"/>
      <c r="Q5824" s="533"/>
      <c r="R5824" s="533"/>
      <c r="S5824" s="533"/>
      <c r="T5824" s="533"/>
      <c r="U5824" s="533"/>
      <c r="V5824" s="533"/>
      <c r="W5824" s="533"/>
      <c r="X5824" s="533"/>
      <c r="Y5824" s="533"/>
    </row>
    <row r="5825" spans="1:25" s="88" customFormat="1" ht="15.75" hidden="1" customHeight="1" x14ac:dyDescent="0.25">
      <c r="A5825" s="509"/>
      <c r="B5825" s="256"/>
      <c r="C5825" s="316"/>
      <c r="D5825" s="251"/>
      <c r="E5825" s="251"/>
      <c r="F5825" s="257"/>
      <c r="G5825" s="518"/>
      <c r="H5825" s="627"/>
      <c r="I5825" s="610"/>
      <c r="J5825" s="628"/>
      <c r="K5825" s="533"/>
      <c r="L5825" s="533"/>
      <c r="M5825" s="533"/>
      <c r="N5825" s="533"/>
      <c r="O5825" s="533"/>
      <c r="P5825" s="533"/>
      <c r="Q5825" s="533"/>
      <c r="R5825" s="533"/>
      <c r="S5825" s="533"/>
      <c r="T5825" s="533"/>
      <c r="U5825" s="533"/>
      <c r="V5825" s="533"/>
      <c r="W5825" s="533"/>
      <c r="X5825" s="533"/>
      <c r="Y5825" s="533"/>
    </row>
    <row r="5826" spans="1:25" s="88" customFormat="1" ht="15.75" hidden="1" customHeight="1" x14ac:dyDescent="0.25">
      <c r="A5826" s="509"/>
      <c r="B5826" s="256"/>
      <c r="C5826" s="316"/>
      <c r="D5826" s="251"/>
      <c r="E5826" s="251"/>
      <c r="F5826" s="257"/>
      <c r="G5826" s="518"/>
      <c r="H5826" s="627"/>
      <c r="I5826" s="610"/>
      <c r="J5826" s="628"/>
      <c r="K5826" s="533"/>
      <c r="L5826" s="533"/>
      <c r="M5826" s="533"/>
      <c r="N5826" s="533"/>
      <c r="O5826" s="533"/>
      <c r="P5826" s="533"/>
      <c r="Q5826" s="533"/>
      <c r="R5826" s="533"/>
      <c r="S5826" s="533"/>
      <c r="T5826" s="533"/>
      <c r="U5826" s="533"/>
      <c r="V5826" s="533"/>
      <c r="W5826" s="533"/>
      <c r="X5826" s="533"/>
      <c r="Y5826" s="533"/>
    </row>
    <row r="5827" spans="1:25" s="88" customFormat="1" ht="15.75" hidden="1" customHeight="1" x14ac:dyDescent="0.25">
      <c r="A5827" s="509"/>
      <c r="B5827" s="256"/>
      <c r="C5827" s="316"/>
      <c r="D5827" s="251"/>
      <c r="E5827" s="251"/>
      <c r="F5827" s="257"/>
      <c r="G5827" s="518"/>
      <c r="H5827" s="627"/>
      <c r="I5827" s="610"/>
      <c r="J5827" s="628"/>
      <c r="K5827" s="533"/>
      <c r="L5827" s="533"/>
      <c r="M5827" s="533"/>
      <c r="N5827" s="533"/>
      <c r="O5827" s="533"/>
      <c r="P5827" s="533"/>
      <c r="Q5827" s="533"/>
      <c r="R5827" s="533"/>
      <c r="S5827" s="533"/>
      <c r="T5827" s="533"/>
      <c r="U5827" s="533"/>
      <c r="V5827" s="533"/>
      <c r="W5827" s="533"/>
      <c r="X5827" s="533"/>
      <c r="Y5827" s="533"/>
    </row>
    <row r="5828" spans="1:25" s="88" customFormat="1" ht="15.75" hidden="1" customHeight="1" x14ac:dyDescent="0.25">
      <c r="A5828" s="509"/>
      <c r="B5828" s="256"/>
      <c r="C5828" s="316"/>
      <c r="D5828" s="251"/>
      <c r="E5828" s="251"/>
      <c r="F5828" s="257"/>
      <c r="G5828" s="518"/>
      <c r="H5828" s="627"/>
      <c r="I5828" s="610"/>
      <c r="J5828" s="628"/>
      <c r="K5828" s="533"/>
      <c r="L5828" s="533"/>
      <c r="M5828" s="533"/>
      <c r="N5828" s="533"/>
      <c r="O5828" s="533"/>
      <c r="P5828" s="533"/>
      <c r="Q5828" s="533"/>
      <c r="R5828" s="533"/>
      <c r="S5828" s="533"/>
      <c r="T5828" s="533"/>
      <c r="U5828" s="533"/>
      <c r="V5828" s="533"/>
      <c r="W5828" s="533"/>
      <c r="X5828" s="533"/>
      <c r="Y5828" s="533"/>
    </row>
    <row r="5829" spans="1:25" s="88" customFormat="1" ht="15.75" hidden="1" customHeight="1" x14ac:dyDescent="0.25">
      <c r="A5829" s="509"/>
      <c r="B5829" s="256"/>
      <c r="C5829" s="316"/>
      <c r="D5829" s="251"/>
      <c r="E5829" s="251"/>
      <c r="F5829" s="257"/>
      <c r="G5829" s="518"/>
      <c r="H5829" s="627"/>
      <c r="I5829" s="610"/>
      <c r="J5829" s="628"/>
      <c r="K5829" s="533"/>
      <c r="L5829" s="533"/>
      <c r="M5829" s="533"/>
      <c r="N5829" s="533"/>
      <c r="O5829" s="533"/>
      <c r="P5829" s="533"/>
      <c r="Q5829" s="533"/>
      <c r="R5829" s="533"/>
      <c r="S5829" s="533"/>
      <c r="T5829" s="533"/>
      <c r="U5829" s="533"/>
      <c r="V5829" s="533"/>
      <c r="W5829" s="533"/>
      <c r="X5829" s="533"/>
      <c r="Y5829" s="533"/>
    </row>
    <row r="5830" spans="1:25" s="88" customFormat="1" ht="15.75" hidden="1" customHeight="1" x14ac:dyDescent="0.25">
      <c r="A5830" s="509"/>
      <c r="B5830" s="256"/>
      <c r="C5830" s="316"/>
      <c r="D5830" s="251"/>
      <c r="E5830" s="251"/>
      <c r="F5830" s="257"/>
      <c r="G5830" s="518"/>
      <c r="H5830" s="627"/>
      <c r="I5830" s="610"/>
      <c r="J5830" s="628"/>
      <c r="K5830" s="533"/>
      <c r="L5830" s="533"/>
      <c r="M5830" s="533"/>
      <c r="N5830" s="533"/>
      <c r="O5830" s="533"/>
      <c r="P5830" s="533"/>
      <c r="Q5830" s="533"/>
      <c r="R5830" s="533"/>
      <c r="S5830" s="533"/>
      <c r="T5830" s="533"/>
      <c r="U5830" s="533"/>
      <c r="V5830" s="533"/>
      <c r="W5830" s="533"/>
      <c r="X5830" s="533"/>
      <c r="Y5830" s="533"/>
    </row>
    <row r="5831" spans="1:25" s="88" customFormat="1" ht="15.75" hidden="1" customHeight="1" x14ac:dyDescent="0.25">
      <c r="A5831" s="509"/>
      <c r="B5831" s="256"/>
      <c r="C5831" s="316"/>
      <c r="D5831" s="251"/>
      <c r="E5831" s="251"/>
      <c r="F5831" s="257"/>
      <c r="G5831" s="518"/>
      <c r="H5831" s="627"/>
      <c r="I5831" s="610"/>
      <c r="J5831" s="628"/>
      <c r="K5831" s="533"/>
      <c r="L5831" s="533"/>
      <c r="M5831" s="533"/>
      <c r="N5831" s="533"/>
      <c r="O5831" s="533"/>
      <c r="P5831" s="533"/>
      <c r="Q5831" s="533"/>
      <c r="R5831" s="533"/>
      <c r="S5831" s="533"/>
      <c r="T5831" s="533"/>
      <c r="U5831" s="533"/>
      <c r="V5831" s="533"/>
      <c r="W5831" s="533"/>
      <c r="X5831" s="533"/>
      <c r="Y5831" s="533"/>
    </row>
    <row r="5832" spans="1:25" s="88" customFormat="1" ht="15.75" hidden="1" customHeight="1" x14ac:dyDescent="0.25">
      <c r="A5832" s="509"/>
      <c r="B5832" s="256"/>
      <c r="C5832" s="316"/>
      <c r="D5832" s="251"/>
      <c r="E5832" s="251"/>
      <c r="F5832" s="257"/>
      <c r="G5832" s="518"/>
      <c r="H5832" s="627"/>
      <c r="I5832" s="610"/>
      <c r="J5832" s="628"/>
      <c r="K5832" s="533"/>
      <c r="L5832" s="533"/>
      <c r="M5832" s="533"/>
      <c r="N5832" s="533"/>
      <c r="O5832" s="533"/>
      <c r="P5832" s="533"/>
      <c r="Q5832" s="533"/>
      <c r="R5832" s="533"/>
      <c r="S5832" s="533"/>
      <c r="T5832" s="533"/>
      <c r="U5832" s="533"/>
      <c r="V5832" s="533"/>
      <c r="W5832" s="533"/>
      <c r="X5832" s="533"/>
      <c r="Y5832" s="533"/>
    </row>
    <row r="5833" spans="1:25" s="88" customFormat="1" ht="15.75" hidden="1" customHeight="1" x14ac:dyDescent="0.25">
      <c r="A5833" s="509"/>
      <c r="B5833" s="256"/>
      <c r="C5833" s="316"/>
      <c r="D5833" s="251"/>
      <c r="E5833" s="251"/>
      <c r="F5833" s="257"/>
      <c r="G5833" s="518"/>
      <c r="H5833" s="627"/>
      <c r="I5833" s="610"/>
      <c r="J5833" s="628"/>
      <c r="K5833" s="533"/>
      <c r="L5833" s="533"/>
      <c r="M5833" s="533"/>
      <c r="N5833" s="533"/>
      <c r="O5833" s="533"/>
      <c r="P5833" s="533"/>
      <c r="Q5833" s="533"/>
      <c r="R5833" s="533"/>
      <c r="S5833" s="533"/>
      <c r="T5833" s="533"/>
      <c r="U5833" s="533"/>
      <c r="V5833" s="533"/>
      <c r="W5833" s="533"/>
      <c r="X5833" s="533"/>
      <c r="Y5833" s="533"/>
    </row>
    <row r="5834" spans="1:25" s="88" customFormat="1" ht="15.75" hidden="1" customHeight="1" x14ac:dyDescent="0.25">
      <c r="A5834" s="509"/>
      <c r="B5834" s="256"/>
      <c r="C5834" s="316"/>
      <c r="D5834" s="251"/>
      <c r="E5834" s="251"/>
      <c r="F5834" s="257"/>
      <c r="G5834" s="518"/>
      <c r="H5834" s="627"/>
      <c r="I5834" s="610"/>
      <c r="J5834" s="628"/>
      <c r="K5834" s="533"/>
      <c r="L5834" s="533"/>
      <c r="M5834" s="533"/>
      <c r="N5834" s="533"/>
      <c r="O5834" s="533"/>
      <c r="P5834" s="533"/>
      <c r="Q5834" s="533"/>
      <c r="R5834" s="533"/>
      <c r="S5834" s="533"/>
      <c r="T5834" s="533"/>
      <c r="U5834" s="533"/>
      <c r="V5834" s="533"/>
      <c r="W5834" s="533"/>
      <c r="X5834" s="533"/>
      <c r="Y5834" s="533"/>
    </row>
    <row r="5835" spans="1:25" s="88" customFormat="1" ht="15.75" hidden="1" customHeight="1" x14ac:dyDescent="0.25">
      <c r="A5835" s="509"/>
      <c r="B5835" s="256"/>
      <c r="C5835" s="316"/>
      <c r="D5835" s="251"/>
      <c r="E5835" s="251"/>
      <c r="F5835" s="257"/>
      <c r="G5835" s="518"/>
      <c r="H5835" s="627"/>
      <c r="I5835" s="610"/>
      <c r="J5835" s="628"/>
      <c r="K5835" s="533"/>
      <c r="L5835" s="533"/>
      <c r="M5835" s="533"/>
      <c r="N5835" s="533"/>
      <c r="O5835" s="533"/>
      <c r="P5835" s="533"/>
      <c r="Q5835" s="533"/>
      <c r="R5835" s="533"/>
      <c r="S5835" s="533"/>
      <c r="T5835" s="533"/>
      <c r="U5835" s="533"/>
      <c r="V5835" s="533"/>
      <c r="W5835" s="533"/>
      <c r="X5835" s="533"/>
      <c r="Y5835" s="533"/>
    </row>
    <row r="5836" spans="1:25" s="88" customFormat="1" ht="15.75" hidden="1" customHeight="1" x14ac:dyDescent="0.25">
      <c r="A5836" s="509"/>
      <c r="B5836" s="256"/>
      <c r="C5836" s="316"/>
      <c r="D5836" s="251"/>
      <c r="E5836" s="251"/>
      <c r="F5836" s="257"/>
      <c r="G5836" s="518"/>
      <c r="H5836" s="627"/>
      <c r="I5836" s="610"/>
      <c r="J5836" s="628"/>
      <c r="K5836" s="533"/>
      <c r="L5836" s="533"/>
      <c r="M5836" s="533"/>
      <c r="N5836" s="533"/>
      <c r="O5836" s="533"/>
      <c r="P5836" s="533"/>
      <c r="Q5836" s="533"/>
      <c r="R5836" s="533"/>
      <c r="S5836" s="533"/>
      <c r="T5836" s="533"/>
      <c r="U5836" s="533"/>
      <c r="V5836" s="533"/>
      <c r="W5836" s="533"/>
      <c r="X5836" s="533"/>
      <c r="Y5836" s="533"/>
    </row>
    <row r="5837" spans="1:25" s="88" customFormat="1" ht="15.75" hidden="1" customHeight="1" x14ac:dyDescent="0.25">
      <c r="A5837" s="509"/>
      <c r="B5837" s="256"/>
      <c r="C5837" s="316"/>
      <c r="D5837" s="251"/>
      <c r="E5837" s="251"/>
      <c r="F5837" s="257"/>
      <c r="G5837" s="518"/>
      <c r="H5837" s="627"/>
      <c r="I5837" s="610"/>
      <c r="J5837" s="628"/>
      <c r="K5837" s="533"/>
      <c r="L5837" s="533"/>
      <c r="M5837" s="533"/>
      <c r="N5837" s="533"/>
      <c r="O5837" s="533"/>
      <c r="P5837" s="533"/>
      <c r="Q5837" s="533"/>
      <c r="R5837" s="533"/>
      <c r="S5837" s="533"/>
      <c r="T5837" s="533"/>
      <c r="U5837" s="533"/>
      <c r="V5837" s="533"/>
      <c r="W5837" s="533"/>
      <c r="X5837" s="533"/>
      <c r="Y5837" s="533"/>
    </row>
    <row r="5838" spans="1:25" s="88" customFormat="1" ht="15.75" hidden="1" customHeight="1" x14ac:dyDescent="0.25">
      <c r="A5838" s="509"/>
      <c r="B5838" s="256"/>
      <c r="C5838" s="316"/>
      <c r="D5838" s="251"/>
      <c r="E5838" s="251"/>
      <c r="F5838" s="257"/>
      <c r="G5838" s="518"/>
      <c r="H5838" s="627"/>
      <c r="I5838" s="610"/>
      <c r="J5838" s="628"/>
      <c r="K5838" s="533"/>
      <c r="L5838" s="533"/>
      <c r="M5838" s="533"/>
      <c r="N5838" s="533"/>
      <c r="O5838" s="533"/>
      <c r="P5838" s="533"/>
      <c r="Q5838" s="533"/>
      <c r="R5838" s="533"/>
      <c r="S5838" s="533"/>
      <c r="T5838" s="533"/>
      <c r="U5838" s="533"/>
      <c r="V5838" s="533"/>
      <c r="W5838" s="533"/>
      <c r="X5838" s="533"/>
      <c r="Y5838" s="533"/>
    </row>
    <row r="5839" spans="1:25" s="88" customFormat="1" ht="15.75" hidden="1" customHeight="1" x14ac:dyDescent="0.25">
      <c r="A5839" s="509"/>
      <c r="B5839" s="256"/>
      <c r="C5839" s="316"/>
      <c r="D5839" s="251"/>
      <c r="E5839" s="251"/>
      <c r="F5839" s="257"/>
      <c r="G5839" s="518"/>
      <c r="H5839" s="627"/>
      <c r="I5839" s="610"/>
      <c r="J5839" s="628"/>
      <c r="K5839" s="533"/>
      <c r="L5839" s="533"/>
      <c r="M5839" s="533"/>
      <c r="N5839" s="533"/>
      <c r="O5839" s="533"/>
      <c r="P5839" s="533"/>
      <c r="Q5839" s="533"/>
      <c r="R5839" s="533"/>
      <c r="S5839" s="533"/>
      <c r="T5839" s="533"/>
      <c r="U5839" s="533"/>
      <c r="V5839" s="533"/>
      <c r="W5839" s="533"/>
      <c r="X5839" s="533"/>
      <c r="Y5839" s="533"/>
    </row>
    <row r="5840" spans="1:25" s="88" customFormat="1" ht="15.75" hidden="1" customHeight="1" x14ac:dyDescent="0.25">
      <c r="A5840" s="509"/>
      <c r="B5840" s="256"/>
      <c r="C5840" s="316"/>
      <c r="D5840" s="251"/>
      <c r="E5840" s="251"/>
      <c r="F5840" s="257"/>
      <c r="G5840" s="518"/>
      <c r="H5840" s="627"/>
      <c r="I5840" s="610"/>
      <c r="J5840" s="628"/>
      <c r="K5840" s="533"/>
      <c r="L5840" s="533"/>
      <c r="M5840" s="533"/>
      <c r="N5840" s="533"/>
      <c r="O5840" s="533"/>
      <c r="P5840" s="533"/>
      <c r="Q5840" s="533"/>
      <c r="R5840" s="533"/>
      <c r="S5840" s="533"/>
      <c r="T5840" s="533"/>
      <c r="U5840" s="533"/>
      <c r="V5840" s="533"/>
      <c r="W5840" s="533"/>
      <c r="X5840" s="533"/>
      <c r="Y5840" s="533"/>
    </row>
    <row r="5841" spans="1:25" s="88" customFormat="1" ht="15.75" hidden="1" customHeight="1" x14ac:dyDescent="0.25">
      <c r="A5841" s="509"/>
      <c r="B5841" s="256"/>
      <c r="C5841" s="316"/>
      <c r="D5841" s="251"/>
      <c r="E5841" s="251"/>
      <c r="F5841" s="257"/>
      <c r="G5841" s="518"/>
      <c r="H5841" s="627"/>
      <c r="I5841" s="610"/>
      <c r="J5841" s="628"/>
      <c r="K5841" s="533"/>
      <c r="L5841" s="533"/>
      <c r="M5841" s="533"/>
      <c r="N5841" s="533"/>
      <c r="O5841" s="533"/>
      <c r="P5841" s="533"/>
      <c r="Q5841" s="533"/>
      <c r="R5841" s="533"/>
      <c r="S5841" s="533"/>
      <c r="T5841" s="533"/>
      <c r="U5841" s="533"/>
      <c r="V5841" s="533"/>
      <c r="W5841" s="533"/>
      <c r="X5841" s="533"/>
      <c r="Y5841" s="533"/>
    </row>
    <row r="5842" spans="1:25" s="88" customFormat="1" ht="15.75" hidden="1" customHeight="1" x14ac:dyDescent="0.25">
      <c r="A5842" s="509"/>
      <c r="B5842" s="256"/>
      <c r="C5842" s="316"/>
      <c r="D5842" s="251"/>
      <c r="E5842" s="251"/>
      <c r="F5842" s="257"/>
      <c r="G5842" s="518"/>
      <c r="H5842" s="627"/>
      <c r="I5842" s="610"/>
      <c r="J5842" s="628"/>
      <c r="K5842" s="533"/>
      <c r="L5842" s="533"/>
      <c r="M5842" s="533"/>
      <c r="N5842" s="533"/>
      <c r="O5842" s="533"/>
      <c r="P5842" s="533"/>
      <c r="Q5842" s="533"/>
      <c r="R5842" s="533"/>
      <c r="S5842" s="533"/>
      <c r="T5842" s="533"/>
      <c r="U5842" s="533"/>
      <c r="V5842" s="533"/>
      <c r="W5842" s="533"/>
      <c r="X5842" s="533"/>
      <c r="Y5842" s="533"/>
    </row>
    <row r="5843" spans="1:25" s="88" customFormat="1" ht="15.75" hidden="1" customHeight="1" x14ac:dyDescent="0.25">
      <c r="A5843" s="509"/>
      <c r="B5843" s="256"/>
      <c r="C5843" s="316"/>
      <c r="D5843" s="251"/>
      <c r="E5843" s="251"/>
      <c r="F5843" s="257"/>
      <c r="G5843" s="518"/>
      <c r="H5843" s="627"/>
      <c r="I5843" s="610"/>
      <c r="J5843" s="628"/>
      <c r="K5843" s="533"/>
      <c r="L5843" s="533"/>
      <c r="M5843" s="533"/>
      <c r="N5843" s="533"/>
      <c r="O5843" s="533"/>
      <c r="P5843" s="533"/>
      <c r="Q5843" s="533"/>
      <c r="R5843" s="533"/>
      <c r="S5843" s="533"/>
      <c r="T5843" s="533"/>
      <c r="U5843" s="533"/>
      <c r="V5843" s="533"/>
      <c r="W5843" s="533"/>
      <c r="X5843" s="533"/>
      <c r="Y5843" s="533"/>
    </row>
    <row r="5844" spans="1:25" s="88" customFormat="1" ht="15.75" hidden="1" customHeight="1" x14ac:dyDescent="0.25">
      <c r="A5844" s="509"/>
      <c r="B5844" s="256"/>
      <c r="C5844" s="316"/>
      <c r="D5844" s="251"/>
      <c r="E5844" s="251"/>
      <c r="F5844" s="257"/>
      <c r="G5844" s="518"/>
      <c r="H5844" s="627"/>
      <c r="I5844" s="610"/>
      <c r="J5844" s="628"/>
      <c r="K5844" s="533"/>
      <c r="L5844" s="533"/>
      <c r="M5844" s="533"/>
      <c r="N5844" s="533"/>
      <c r="O5844" s="533"/>
      <c r="P5844" s="533"/>
      <c r="Q5844" s="533"/>
      <c r="R5844" s="533"/>
      <c r="S5844" s="533"/>
      <c r="T5844" s="533"/>
      <c r="U5844" s="533"/>
      <c r="V5844" s="533"/>
      <c r="W5844" s="533"/>
      <c r="X5844" s="533"/>
      <c r="Y5844" s="533"/>
    </row>
    <row r="5845" spans="1:25" s="88" customFormat="1" ht="15.75" hidden="1" customHeight="1" x14ac:dyDescent="0.25">
      <c r="A5845" s="509"/>
      <c r="B5845" s="256"/>
      <c r="C5845" s="316"/>
      <c r="D5845" s="251"/>
      <c r="E5845" s="251"/>
      <c r="F5845" s="257"/>
      <c r="G5845" s="518"/>
      <c r="H5845" s="627"/>
      <c r="I5845" s="610"/>
      <c r="J5845" s="628"/>
      <c r="K5845" s="533"/>
      <c r="L5845" s="533"/>
      <c r="M5845" s="533"/>
      <c r="N5845" s="533"/>
      <c r="O5845" s="533"/>
      <c r="P5845" s="533"/>
      <c r="Q5845" s="533"/>
      <c r="R5845" s="533"/>
      <c r="S5845" s="533"/>
      <c r="T5845" s="533"/>
      <c r="U5845" s="533"/>
      <c r="V5845" s="533"/>
      <c r="W5845" s="533"/>
      <c r="X5845" s="533"/>
      <c r="Y5845" s="533"/>
    </row>
    <row r="5846" spans="1:25" s="88" customFormat="1" ht="15.75" hidden="1" customHeight="1" x14ac:dyDescent="0.25">
      <c r="A5846" s="509"/>
      <c r="B5846" s="256"/>
      <c r="C5846" s="316"/>
      <c r="D5846" s="251"/>
      <c r="E5846" s="251"/>
      <c r="F5846" s="257"/>
      <c r="G5846" s="518"/>
      <c r="H5846" s="627"/>
      <c r="I5846" s="610"/>
      <c r="J5846" s="628"/>
      <c r="K5846" s="533"/>
      <c r="L5846" s="533"/>
      <c r="M5846" s="533"/>
      <c r="N5846" s="533"/>
      <c r="O5846" s="533"/>
      <c r="P5846" s="533"/>
      <c r="Q5846" s="533"/>
      <c r="R5846" s="533"/>
      <c r="S5846" s="533"/>
      <c r="T5846" s="533"/>
      <c r="U5846" s="533"/>
      <c r="V5846" s="533"/>
      <c r="W5846" s="533"/>
      <c r="X5846" s="533"/>
      <c r="Y5846" s="533"/>
    </row>
    <row r="5847" spans="1:25" s="88" customFormat="1" ht="15.75" hidden="1" customHeight="1" x14ac:dyDescent="0.25">
      <c r="A5847" s="509"/>
      <c r="B5847" s="256"/>
      <c r="C5847" s="316"/>
      <c r="D5847" s="251"/>
      <c r="E5847" s="251"/>
      <c r="F5847" s="257"/>
      <c r="G5847" s="518"/>
      <c r="H5847" s="627"/>
      <c r="I5847" s="610"/>
      <c r="J5847" s="628"/>
      <c r="K5847" s="533"/>
      <c r="L5847" s="533"/>
      <c r="M5847" s="533"/>
      <c r="N5847" s="533"/>
      <c r="O5847" s="533"/>
      <c r="P5847" s="533"/>
      <c r="Q5847" s="533"/>
      <c r="R5847" s="533"/>
      <c r="S5847" s="533"/>
      <c r="T5847" s="533"/>
      <c r="U5847" s="533"/>
      <c r="V5847" s="533"/>
      <c r="W5847" s="533"/>
      <c r="X5847" s="533"/>
      <c r="Y5847" s="533"/>
    </row>
    <row r="5848" spans="1:25" s="88" customFormat="1" ht="15.75" hidden="1" customHeight="1" x14ac:dyDescent="0.25">
      <c r="A5848" s="509"/>
      <c r="B5848" s="256"/>
      <c r="C5848" s="316"/>
      <c r="D5848" s="251"/>
      <c r="E5848" s="251"/>
      <c r="F5848" s="257"/>
      <c r="G5848" s="518"/>
      <c r="H5848" s="627"/>
      <c r="I5848" s="610"/>
      <c r="J5848" s="628"/>
      <c r="K5848" s="533"/>
      <c r="L5848" s="533"/>
      <c r="M5848" s="533"/>
      <c r="N5848" s="533"/>
      <c r="O5848" s="533"/>
      <c r="P5848" s="533"/>
      <c r="Q5848" s="533"/>
      <c r="R5848" s="533"/>
      <c r="S5848" s="533"/>
      <c r="T5848" s="533"/>
      <c r="U5848" s="533"/>
      <c r="V5848" s="533"/>
      <c r="W5848" s="533"/>
      <c r="X5848" s="533"/>
      <c r="Y5848" s="533"/>
    </row>
    <row r="5849" spans="1:25" s="88" customFormat="1" ht="15.75" hidden="1" customHeight="1" x14ac:dyDescent="0.25">
      <c r="A5849" s="509"/>
      <c r="B5849" s="256"/>
      <c r="C5849" s="316"/>
      <c r="D5849" s="251"/>
      <c r="E5849" s="251"/>
      <c r="F5849" s="257"/>
      <c r="G5849" s="518"/>
      <c r="H5849" s="627"/>
      <c r="I5849" s="610"/>
      <c r="J5849" s="628"/>
      <c r="K5849" s="533"/>
      <c r="L5849" s="533"/>
      <c r="M5849" s="533"/>
      <c r="N5849" s="533"/>
      <c r="O5849" s="533"/>
      <c r="P5849" s="533"/>
      <c r="Q5849" s="533"/>
      <c r="R5849" s="533"/>
      <c r="S5849" s="533"/>
      <c r="T5849" s="533"/>
      <c r="U5849" s="533"/>
      <c r="V5849" s="533"/>
      <c r="W5849" s="533"/>
      <c r="X5849" s="533"/>
      <c r="Y5849" s="533"/>
    </row>
    <row r="5850" spans="1:25" s="88" customFormat="1" ht="15.75" hidden="1" customHeight="1" x14ac:dyDescent="0.25">
      <c r="A5850" s="509"/>
      <c r="B5850" s="256"/>
      <c r="C5850" s="316"/>
      <c r="D5850" s="251"/>
      <c r="E5850" s="251"/>
      <c r="F5850" s="257"/>
      <c r="G5850" s="518"/>
      <c r="H5850" s="627"/>
      <c r="I5850" s="610"/>
      <c r="J5850" s="628"/>
      <c r="K5850" s="533"/>
      <c r="L5850" s="533"/>
      <c r="M5850" s="533"/>
      <c r="N5850" s="533"/>
      <c r="O5850" s="533"/>
      <c r="P5850" s="533"/>
      <c r="Q5850" s="533"/>
      <c r="R5850" s="533"/>
      <c r="S5850" s="533"/>
      <c r="T5850" s="533"/>
      <c r="U5850" s="533"/>
      <c r="V5850" s="533"/>
      <c r="W5850" s="533"/>
      <c r="X5850" s="533"/>
      <c r="Y5850" s="533"/>
    </row>
    <row r="5851" spans="1:25" s="88" customFormat="1" ht="15.75" hidden="1" customHeight="1" x14ac:dyDescent="0.25">
      <c r="A5851" s="509"/>
      <c r="B5851" s="256"/>
      <c r="C5851" s="316"/>
      <c r="D5851" s="251"/>
      <c r="E5851" s="251"/>
      <c r="F5851" s="257"/>
      <c r="G5851" s="518"/>
      <c r="H5851" s="627"/>
      <c r="I5851" s="610"/>
      <c r="J5851" s="628"/>
      <c r="K5851" s="533"/>
      <c r="L5851" s="533"/>
      <c r="M5851" s="533"/>
      <c r="N5851" s="533"/>
      <c r="O5851" s="533"/>
      <c r="P5851" s="533"/>
      <c r="Q5851" s="533"/>
      <c r="R5851" s="533"/>
      <c r="S5851" s="533"/>
      <c r="T5851" s="533"/>
      <c r="U5851" s="533"/>
      <c r="V5851" s="533"/>
      <c r="W5851" s="533"/>
      <c r="X5851" s="533"/>
      <c r="Y5851" s="533"/>
    </row>
    <row r="5852" spans="1:25" s="88" customFormat="1" ht="15.75" hidden="1" customHeight="1" x14ac:dyDescent="0.25">
      <c r="A5852" s="509"/>
      <c r="B5852" s="256"/>
      <c r="C5852" s="316"/>
      <c r="D5852" s="251"/>
      <c r="E5852" s="251"/>
      <c r="F5852" s="257"/>
      <c r="G5852" s="518"/>
      <c r="H5852" s="627"/>
      <c r="I5852" s="610"/>
      <c r="J5852" s="628"/>
      <c r="K5852" s="533"/>
      <c r="L5852" s="533"/>
      <c r="M5852" s="533"/>
      <c r="N5852" s="533"/>
      <c r="O5852" s="533"/>
      <c r="P5852" s="533"/>
      <c r="Q5852" s="533"/>
      <c r="R5852" s="533"/>
      <c r="S5852" s="533"/>
      <c r="T5852" s="533"/>
      <c r="U5852" s="533"/>
      <c r="V5852" s="533"/>
      <c r="W5852" s="533"/>
      <c r="X5852" s="533"/>
      <c r="Y5852" s="533"/>
    </row>
    <row r="5853" spans="1:25" s="88" customFormat="1" ht="15.75" hidden="1" customHeight="1" x14ac:dyDescent="0.25">
      <c r="A5853" s="509"/>
      <c r="B5853" s="256"/>
      <c r="C5853" s="316"/>
      <c r="D5853" s="251"/>
      <c r="E5853" s="251"/>
      <c r="F5853" s="257"/>
      <c r="G5853" s="518"/>
      <c r="H5853" s="627"/>
      <c r="I5853" s="610"/>
      <c r="J5853" s="628"/>
      <c r="K5853" s="533"/>
      <c r="L5853" s="533"/>
      <c r="M5853" s="533"/>
      <c r="N5853" s="533"/>
      <c r="O5853" s="533"/>
      <c r="P5853" s="533"/>
      <c r="Q5853" s="533"/>
      <c r="R5853" s="533"/>
      <c r="S5853" s="533"/>
      <c r="T5853" s="533"/>
      <c r="U5853" s="533"/>
      <c r="V5853" s="533"/>
      <c r="W5853" s="533"/>
      <c r="X5853" s="533"/>
      <c r="Y5853" s="533"/>
    </row>
    <row r="5854" spans="1:25" s="88" customFormat="1" ht="15.75" hidden="1" customHeight="1" x14ac:dyDescent="0.25">
      <c r="A5854" s="509"/>
      <c r="B5854" s="256"/>
      <c r="C5854" s="316"/>
      <c r="D5854" s="251"/>
      <c r="E5854" s="251"/>
      <c r="F5854" s="257"/>
      <c r="G5854" s="518"/>
      <c r="H5854" s="627"/>
      <c r="I5854" s="610"/>
      <c r="J5854" s="628"/>
      <c r="K5854" s="533"/>
      <c r="L5854" s="533"/>
      <c r="M5854" s="533"/>
      <c r="N5854" s="533"/>
      <c r="O5854" s="533"/>
      <c r="P5854" s="533"/>
      <c r="Q5854" s="533"/>
      <c r="R5854" s="533"/>
      <c r="S5854" s="533"/>
      <c r="T5854" s="533"/>
      <c r="U5854" s="533"/>
      <c r="V5854" s="533"/>
      <c r="W5854" s="533"/>
      <c r="X5854" s="533"/>
      <c r="Y5854" s="533"/>
    </row>
    <row r="5855" spans="1:25" s="88" customFormat="1" ht="15.75" hidden="1" customHeight="1" x14ac:dyDescent="0.25">
      <c r="A5855" s="509"/>
      <c r="B5855" s="256"/>
      <c r="C5855" s="316"/>
      <c r="D5855" s="251"/>
      <c r="E5855" s="251"/>
      <c r="F5855" s="257"/>
      <c r="G5855" s="518"/>
      <c r="H5855" s="627"/>
      <c r="I5855" s="610"/>
      <c r="J5855" s="628"/>
      <c r="K5855" s="533"/>
      <c r="L5855" s="533"/>
      <c r="M5855" s="533"/>
      <c r="N5855" s="533"/>
      <c r="O5855" s="533"/>
      <c r="P5855" s="533"/>
      <c r="Q5855" s="533"/>
      <c r="R5855" s="533"/>
      <c r="S5855" s="533"/>
      <c r="T5855" s="533"/>
      <c r="U5855" s="533"/>
      <c r="V5855" s="533"/>
      <c r="W5855" s="533"/>
      <c r="X5855" s="533"/>
      <c r="Y5855" s="533"/>
    </row>
    <row r="5856" spans="1:25" s="88" customFormat="1" ht="15.75" hidden="1" customHeight="1" x14ac:dyDescent="0.25">
      <c r="A5856" s="509"/>
      <c r="B5856" s="256"/>
      <c r="C5856" s="316"/>
      <c r="D5856" s="251"/>
      <c r="E5856" s="251"/>
      <c r="F5856" s="257"/>
      <c r="G5856" s="518"/>
      <c r="H5856" s="627"/>
      <c r="I5856" s="610"/>
      <c r="J5856" s="628"/>
      <c r="K5856" s="533"/>
      <c r="L5856" s="533"/>
      <c r="M5856" s="533"/>
      <c r="N5856" s="533"/>
      <c r="O5856" s="533"/>
      <c r="P5856" s="533"/>
      <c r="Q5856" s="533"/>
      <c r="R5856" s="533"/>
      <c r="S5856" s="533"/>
      <c r="T5856" s="533"/>
      <c r="U5856" s="533"/>
      <c r="V5856" s="533"/>
      <c r="W5856" s="533"/>
      <c r="X5856" s="533"/>
      <c r="Y5856" s="533"/>
    </row>
    <row r="5857" spans="1:25" s="88" customFormat="1" ht="15.75" hidden="1" customHeight="1" x14ac:dyDescent="0.25">
      <c r="A5857" s="509"/>
      <c r="B5857" s="256"/>
      <c r="C5857" s="316"/>
      <c r="D5857" s="251"/>
      <c r="E5857" s="251"/>
      <c r="F5857" s="257"/>
      <c r="G5857" s="518"/>
      <c r="H5857" s="627"/>
      <c r="I5857" s="610"/>
      <c r="J5857" s="628"/>
      <c r="K5857" s="533"/>
      <c r="L5857" s="533"/>
      <c r="M5857" s="533"/>
      <c r="N5857" s="533"/>
      <c r="O5857" s="533"/>
      <c r="P5857" s="533"/>
      <c r="Q5857" s="533"/>
      <c r="R5857" s="533"/>
      <c r="S5857" s="533"/>
      <c r="T5857" s="533"/>
      <c r="U5857" s="533"/>
      <c r="V5857" s="533"/>
      <c r="W5857" s="533"/>
      <c r="X5857" s="533"/>
      <c r="Y5857" s="533"/>
    </row>
    <row r="5858" spans="1:25" s="88" customFormat="1" ht="15.75" hidden="1" customHeight="1" x14ac:dyDescent="0.25">
      <c r="A5858" s="509"/>
      <c r="B5858" s="256"/>
      <c r="C5858" s="316"/>
      <c r="D5858" s="251"/>
      <c r="E5858" s="251"/>
      <c r="F5858" s="257"/>
      <c r="G5858" s="518"/>
      <c r="H5858" s="627"/>
      <c r="I5858" s="610"/>
      <c r="J5858" s="628"/>
      <c r="K5858" s="533"/>
      <c r="L5858" s="533"/>
      <c r="M5858" s="533"/>
      <c r="N5858" s="533"/>
      <c r="O5858" s="533"/>
      <c r="P5858" s="533"/>
      <c r="Q5858" s="533"/>
      <c r="R5858" s="533"/>
      <c r="S5858" s="533"/>
      <c r="T5858" s="533"/>
      <c r="U5858" s="533"/>
      <c r="V5858" s="533"/>
      <c r="W5858" s="533"/>
      <c r="X5858" s="533"/>
      <c r="Y5858" s="533"/>
    </row>
    <row r="5859" spans="1:25" s="88" customFormat="1" ht="15.75" hidden="1" customHeight="1" x14ac:dyDescent="0.25">
      <c r="A5859" s="509"/>
      <c r="B5859" s="256"/>
      <c r="C5859" s="316"/>
      <c r="D5859" s="251"/>
      <c r="E5859" s="251"/>
      <c r="F5859" s="257"/>
      <c r="G5859" s="518"/>
      <c r="H5859" s="627"/>
      <c r="I5859" s="610"/>
      <c r="J5859" s="628"/>
      <c r="K5859" s="533"/>
      <c r="L5859" s="533"/>
      <c r="M5859" s="533"/>
      <c r="N5859" s="533"/>
      <c r="O5859" s="533"/>
      <c r="P5859" s="533"/>
      <c r="Q5859" s="533"/>
      <c r="R5859" s="533"/>
      <c r="S5859" s="533"/>
      <c r="T5859" s="533"/>
      <c r="U5859" s="533"/>
      <c r="V5859" s="533"/>
      <c r="W5859" s="533"/>
      <c r="X5859" s="533"/>
      <c r="Y5859" s="533"/>
    </row>
    <row r="5860" spans="1:25" s="88" customFormat="1" ht="15.75" hidden="1" customHeight="1" x14ac:dyDescent="0.25">
      <c r="A5860" s="509"/>
      <c r="B5860" s="256"/>
      <c r="C5860" s="316"/>
      <c r="D5860" s="251"/>
      <c r="E5860" s="251"/>
      <c r="F5860" s="257"/>
      <c r="G5860" s="518"/>
      <c r="H5860" s="627"/>
      <c r="I5860" s="610"/>
      <c r="J5860" s="628"/>
      <c r="K5860" s="533"/>
      <c r="L5860" s="533"/>
      <c r="M5860" s="533"/>
      <c r="N5860" s="533"/>
      <c r="O5860" s="533"/>
      <c r="P5860" s="533"/>
      <c r="Q5860" s="533"/>
      <c r="R5860" s="533"/>
      <c r="S5860" s="533"/>
      <c r="T5860" s="533"/>
      <c r="U5860" s="533"/>
      <c r="V5860" s="533"/>
      <c r="W5860" s="533"/>
      <c r="X5860" s="533"/>
      <c r="Y5860" s="533"/>
    </row>
    <row r="5861" spans="1:25" s="88" customFormat="1" ht="15.75" hidden="1" customHeight="1" x14ac:dyDescent="0.25">
      <c r="A5861" s="509"/>
      <c r="B5861" s="256"/>
      <c r="C5861" s="316"/>
      <c r="D5861" s="251"/>
      <c r="E5861" s="251"/>
      <c r="F5861" s="257"/>
      <c r="G5861" s="518"/>
      <c r="H5861" s="627"/>
      <c r="I5861" s="610"/>
      <c r="J5861" s="628"/>
      <c r="K5861" s="533"/>
      <c r="L5861" s="533"/>
      <c r="M5861" s="533"/>
      <c r="N5861" s="533"/>
      <c r="O5861" s="533"/>
      <c r="P5861" s="533"/>
      <c r="Q5861" s="533"/>
      <c r="R5861" s="533"/>
      <c r="S5861" s="533"/>
      <c r="T5861" s="533"/>
      <c r="U5861" s="533"/>
      <c r="V5861" s="533"/>
      <c r="W5861" s="533"/>
      <c r="X5861" s="533"/>
      <c r="Y5861" s="533"/>
    </row>
    <row r="5862" spans="1:25" s="88" customFormat="1" ht="15.75" hidden="1" customHeight="1" x14ac:dyDescent="0.25">
      <c r="A5862" s="509"/>
      <c r="B5862" s="256"/>
      <c r="C5862" s="316"/>
      <c r="D5862" s="251"/>
      <c r="E5862" s="251"/>
      <c r="F5862" s="257"/>
      <c r="G5862" s="518"/>
      <c r="H5862" s="627"/>
      <c r="I5862" s="610"/>
      <c r="J5862" s="628"/>
      <c r="K5862" s="533"/>
      <c r="L5862" s="533"/>
      <c r="M5862" s="533"/>
      <c r="N5862" s="533"/>
      <c r="O5862" s="533"/>
      <c r="P5862" s="533"/>
      <c r="Q5862" s="533"/>
      <c r="R5862" s="533"/>
      <c r="S5862" s="533"/>
      <c r="T5862" s="533"/>
      <c r="U5862" s="533"/>
      <c r="V5862" s="533"/>
      <c r="W5862" s="533"/>
      <c r="X5862" s="533"/>
      <c r="Y5862" s="533"/>
    </row>
    <row r="5863" spans="1:25" s="88" customFormat="1" ht="15.75" hidden="1" customHeight="1" x14ac:dyDescent="0.25">
      <c r="A5863" s="509"/>
      <c r="B5863" s="256"/>
      <c r="C5863" s="316"/>
      <c r="D5863" s="251"/>
      <c r="E5863" s="251"/>
      <c r="F5863" s="257"/>
      <c r="G5863" s="518"/>
      <c r="H5863" s="627"/>
      <c r="I5863" s="610"/>
      <c r="J5863" s="628"/>
      <c r="K5863" s="533"/>
      <c r="L5863" s="533"/>
      <c r="M5863" s="533"/>
      <c r="N5863" s="533"/>
      <c r="O5863" s="533"/>
      <c r="P5863" s="533"/>
      <c r="Q5863" s="533"/>
      <c r="R5863" s="533"/>
      <c r="S5863" s="533"/>
      <c r="T5863" s="533"/>
      <c r="U5863" s="533"/>
      <c r="V5863" s="533"/>
      <c r="W5863" s="533"/>
      <c r="X5863" s="533"/>
      <c r="Y5863" s="533"/>
    </row>
    <row r="5864" spans="1:25" s="88" customFormat="1" ht="15.75" hidden="1" customHeight="1" x14ac:dyDescent="0.25">
      <c r="A5864" s="509"/>
      <c r="B5864" s="256"/>
      <c r="C5864" s="316"/>
      <c r="D5864" s="251"/>
      <c r="E5864" s="251"/>
      <c r="F5864" s="257"/>
      <c r="G5864" s="518"/>
      <c r="H5864" s="627"/>
      <c r="I5864" s="610"/>
      <c r="J5864" s="628"/>
      <c r="K5864" s="533"/>
      <c r="L5864" s="533"/>
      <c r="M5864" s="533"/>
      <c r="N5864" s="533"/>
      <c r="O5864" s="533"/>
      <c r="P5864" s="533"/>
      <c r="Q5864" s="533"/>
      <c r="R5864" s="533"/>
      <c r="S5864" s="533"/>
      <c r="T5864" s="533"/>
      <c r="U5864" s="533"/>
      <c r="V5864" s="533"/>
      <c r="W5864" s="533"/>
      <c r="X5864" s="533"/>
      <c r="Y5864" s="533"/>
    </row>
    <row r="5865" spans="1:25" s="88" customFormat="1" ht="15.75" hidden="1" customHeight="1" x14ac:dyDescent="0.25">
      <c r="A5865" s="509"/>
      <c r="B5865" s="256"/>
      <c r="C5865" s="316"/>
      <c r="D5865" s="251"/>
      <c r="E5865" s="251"/>
      <c r="F5865" s="257"/>
      <c r="G5865" s="518"/>
      <c r="H5865" s="627"/>
      <c r="I5865" s="610"/>
      <c r="J5865" s="628"/>
      <c r="K5865" s="533"/>
      <c r="L5865" s="533"/>
      <c r="M5865" s="533"/>
      <c r="N5865" s="533"/>
      <c r="O5865" s="533"/>
      <c r="P5865" s="533"/>
      <c r="Q5865" s="533"/>
      <c r="R5865" s="533"/>
      <c r="S5865" s="533"/>
      <c r="T5865" s="533"/>
      <c r="U5865" s="533"/>
      <c r="V5865" s="533"/>
      <c r="W5865" s="533"/>
      <c r="X5865" s="533"/>
      <c r="Y5865" s="533"/>
    </row>
    <row r="5866" spans="1:25" s="88" customFormat="1" ht="15.75" hidden="1" customHeight="1" x14ac:dyDescent="0.25">
      <c r="A5866" s="509"/>
      <c r="B5866" s="256"/>
      <c r="C5866" s="316"/>
      <c r="D5866" s="251"/>
      <c r="E5866" s="251"/>
      <c r="F5866" s="257"/>
      <c r="G5866" s="518"/>
      <c r="H5866" s="627"/>
      <c r="I5866" s="610"/>
      <c r="J5866" s="628"/>
      <c r="K5866" s="533"/>
      <c r="L5866" s="533"/>
      <c r="M5866" s="533"/>
      <c r="N5866" s="533"/>
      <c r="O5866" s="533"/>
      <c r="P5866" s="533"/>
      <c r="Q5866" s="533"/>
      <c r="R5866" s="533"/>
      <c r="S5866" s="533"/>
      <c r="T5866" s="533"/>
      <c r="U5866" s="533"/>
      <c r="V5866" s="533"/>
      <c r="W5866" s="533"/>
      <c r="X5866" s="533"/>
      <c r="Y5866" s="533"/>
    </row>
    <row r="5867" spans="1:25" s="88" customFormat="1" ht="15.75" hidden="1" customHeight="1" x14ac:dyDescent="0.25">
      <c r="A5867" s="509"/>
      <c r="B5867" s="256"/>
      <c r="C5867" s="316"/>
      <c r="D5867" s="251"/>
      <c r="E5867" s="251"/>
      <c r="F5867" s="257"/>
      <c r="G5867" s="518"/>
      <c r="H5867" s="627"/>
      <c r="I5867" s="610"/>
      <c r="J5867" s="628"/>
      <c r="K5867" s="533"/>
      <c r="L5867" s="533"/>
      <c r="M5867" s="533"/>
      <c r="N5867" s="533"/>
      <c r="O5867" s="533"/>
      <c r="P5867" s="533"/>
      <c r="Q5867" s="533"/>
      <c r="R5867" s="533"/>
      <c r="S5867" s="533"/>
      <c r="T5867" s="533"/>
      <c r="U5867" s="533"/>
      <c r="V5867" s="533"/>
      <c r="W5867" s="533"/>
      <c r="X5867" s="533"/>
      <c r="Y5867" s="533"/>
    </row>
    <row r="5868" spans="1:25" s="88" customFormat="1" ht="15.75" hidden="1" customHeight="1" x14ac:dyDescent="0.25">
      <c r="A5868" s="509"/>
      <c r="B5868" s="256"/>
      <c r="C5868" s="316"/>
      <c r="D5868" s="251"/>
      <c r="E5868" s="251"/>
      <c r="F5868" s="257"/>
      <c r="G5868" s="518"/>
      <c r="H5868" s="627"/>
      <c r="I5868" s="610"/>
      <c r="J5868" s="628"/>
      <c r="K5868" s="533"/>
      <c r="L5868" s="533"/>
      <c r="M5868" s="533"/>
      <c r="N5868" s="533"/>
      <c r="O5868" s="533"/>
      <c r="P5868" s="533"/>
      <c r="Q5868" s="533"/>
      <c r="R5868" s="533"/>
      <c r="S5868" s="533"/>
      <c r="T5868" s="533"/>
      <c r="U5868" s="533"/>
      <c r="V5868" s="533"/>
      <c r="W5868" s="533"/>
      <c r="X5868" s="533"/>
      <c r="Y5868" s="533"/>
    </row>
    <row r="5869" spans="1:25" s="88" customFormat="1" ht="15.75" hidden="1" customHeight="1" x14ac:dyDescent="0.25">
      <c r="A5869" s="509"/>
      <c r="B5869" s="256"/>
      <c r="C5869" s="316"/>
      <c r="D5869" s="251"/>
      <c r="E5869" s="251"/>
      <c r="F5869" s="257"/>
      <c r="G5869" s="518"/>
      <c r="H5869" s="627"/>
      <c r="I5869" s="610"/>
      <c r="J5869" s="628"/>
      <c r="K5869" s="533"/>
      <c r="L5869" s="533"/>
      <c r="M5869" s="533"/>
      <c r="N5869" s="533"/>
      <c r="O5869" s="533"/>
      <c r="P5869" s="533"/>
      <c r="Q5869" s="533"/>
      <c r="R5869" s="533"/>
      <c r="S5869" s="533"/>
      <c r="T5869" s="533"/>
      <c r="U5869" s="533"/>
      <c r="V5869" s="533"/>
      <c r="W5869" s="533"/>
      <c r="X5869" s="533"/>
      <c r="Y5869" s="533"/>
    </row>
    <row r="5870" spans="1:25" s="88" customFormat="1" ht="15.75" hidden="1" customHeight="1" x14ac:dyDescent="0.25">
      <c r="A5870" s="509"/>
      <c r="B5870" s="256"/>
      <c r="C5870" s="316"/>
      <c r="D5870" s="251"/>
      <c r="E5870" s="251"/>
      <c r="F5870" s="257"/>
      <c r="G5870" s="518"/>
      <c r="H5870" s="627"/>
      <c r="I5870" s="610"/>
      <c r="J5870" s="628"/>
      <c r="K5870" s="533"/>
      <c r="L5870" s="533"/>
      <c r="M5870" s="533"/>
      <c r="N5870" s="533"/>
      <c r="O5870" s="533"/>
      <c r="P5870" s="533"/>
      <c r="Q5870" s="533"/>
      <c r="R5870" s="533"/>
      <c r="S5870" s="533"/>
      <c r="T5870" s="533"/>
      <c r="U5870" s="533"/>
      <c r="V5870" s="533"/>
      <c r="W5870" s="533"/>
      <c r="X5870" s="533"/>
      <c r="Y5870" s="533"/>
    </row>
    <row r="5871" spans="1:25" s="88" customFormat="1" ht="15.75" hidden="1" customHeight="1" x14ac:dyDescent="0.25">
      <c r="A5871" s="509"/>
      <c r="B5871" s="256"/>
      <c r="C5871" s="316"/>
      <c r="D5871" s="251"/>
      <c r="E5871" s="251"/>
      <c r="F5871" s="257"/>
      <c r="G5871" s="518"/>
      <c r="H5871" s="627"/>
      <c r="I5871" s="610"/>
      <c r="J5871" s="628"/>
      <c r="K5871" s="533"/>
      <c r="L5871" s="533"/>
      <c r="M5871" s="533"/>
      <c r="N5871" s="533"/>
      <c r="O5871" s="533"/>
      <c r="P5871" s="533"/>
      <c r="Q5871" s="533"/>
      <c r="R5871" s="533"/>
      <c r="S5871" s="533"/>
      <c r="T5871" s="533"/>
      <c r="U5871" s="533"/>
      <c r="V5871" s="533"/>
      <c r="W5871" s="533"/>
      <c r="X5871" s="533"/>
      <c r="Y5871" s="533"/>
    </row>
    <row r="5872" spans="1:25" s="88" customFormat="1" ht="15.75" hidden="1" customHeight="1" x14ac:dyDescent="0.25">
      <c r="A5872" s="509"/>
      <c r="B5872" s="256"/>
      <c r="C5872" s="316"/>
      <c r="D5872" s="251"/>
      <c r="E5872" s="251"/>
      <c r="F5872" s="257"/>
      <c r="G5872" s="518"/>
      <c r="H5872" s="627"/>
      <c r="I5872" s="610"/>
      <c r="J5872" s="628"/>
      <c r="K5872" s="533"/>
      <c r="L5872" s="533"/>
      <c r="M5872" s="533"/>
      <c r="N5872" s="533"/>
      <c r="O5872" s="533"/>
      <c r="P5872" s="533"/>
      <c r="Q5872" s="533"/>
      <c r="R5872" s="533"/>
      <c r="S5872" s="533"/>
      <c r="T5872" s="533"/>
      <c r="U5872" s="533"/>
      <c r="V5872" s="533"/>
      <c r="W5872" s="533"/>
      <c r="X5872" s="533"/>
      <c r="Y5872" s="533"/>
    </row>
    <row r="5873" spans="1:25" s="88" customFormat="1" ht="15.75" hidden="1" customHeight="1" x14ac:dyDescent="0.25">
      <c r="A5873" s="509"/>
      <c r="B5873" s="256"/>
      <c r="C5873" s="316"/>
      <c r="D5873" s="251"/>
      <c r="E5873" s="251"/>
      <c r="F5873" s="257"/>
      <c r="G5873" s="518"/>
      <c r="H5873" s="627"/>
      <c r="I5873" s="610"/>
      <c r="J5873" s="628"/>
      <c r="K5873" s="533"/>
      <c r="L5873" s="533"/>
      <c r="M5873" s="533"/>
      <c r="N5873" s="533"/>
      <c r="O5873" s="533"/>
      <c r="P5873" s="533"/>
      <c r="Q5873" s="533"/>
      <c r="R5873" s="533"/>
      <c r="S5873" s="533"/>
      <c r="T5873" s="533"/>
      <c r="U5873" s="533"/>
      <c r="V5873" s="533"/>
      <c r="W5873" s="533"/>
      <c r="X5873" s="533"/>
      <c r="Y5873" s="533"/>
    </row>
    <row r="5874" spans="1:25" s="88" customFormat="1" ht="15.75" hidden="1" customHeight="1" x14ac:dyDescent="0.25">
      <c r="A5874" s="509"/>
      <c r="B5874" s="256"/>
      <c r="C5874" s="316"/>
      <c r="D5874" s="251"/>
      <c r="E5874" s="251"/>
      <c r="F5874" s="257"/>
      <c r="G5874" s="518"/>
      <c r="H5874" s="627"/>
      <c r="I5874" s="610"/>
      <c r="J5874" s="628"/>
      <c r="K5874" s="533"/>
      <c r="L5874" s="533"/>
      <c r="M5874" s="533"/>
      <c r="N5874" s="533"/>
      <c r="O5874" s="533"/>
      <c r="P5874" s="533"/>
      <c r="Q5874" s="533"/>
      <c r="R5874" s="533"/>
      <c r="S5874" s="533"/>
      <c r="T5874" s="533"/>
      <c r="U5874" s="533"/>
      <c r="V5874" s="533"/>
      <c r="W5874" s="533"/>
      <c r="X5874" s="533"/>
      <c r="Y5874" s="533"/>
    </row>
    <row r="5875" spans="1:25" s="88" customFormat="1" ht="15.75" hidden="1" customHeight="1" x14ac:dyDescent="0.25">
      <c r="A5875" s="509"/>
      <c r="B5875" s="256"/>
      <c r="C5875" s="316"/>
      <c r="D5875" s="251"/>
      <c r="E5875" s="251"/>
      <c r="F5875" s="257"/>
      <c r="G5875" s="518"/>
      <c r="H5875" s="627"/>
      <c r="I5875" s="610"/>
      <c r="J5875" s="628"/>
      <c r="K5875" s="533"/>
      <c r="L5875" s="533"/>
      <c r="M5875" s="533"/>
      <c r="N5875" s="533"/>
      <c r="O5875" s="533"/>
      <c r="P5875" s="533"/>
      <c r="Q5875" s="533"/>
      <c r="R5875" s="533"/>
      <c r="S5875" s="533"/>
      <c r="T5875" s="533"/>
      <c r="U5875" s="533"/>
      <c r="V5875" s="533"/>
      <c r="W5875" s="533"/>
      <c r="X5875" s="533"/>
      <c r="Y5875" s="533"/>
    </row>
    <row r="5876" spans="1:25" s="88" customFormat="1" ht="15.75" hidden="1" customHeight="1" x14ac:dyDescent="0.25">
      <c r="A5876" s="509"/>
      <c r="B5876" s="256"/>
      <c r="C5876" s="316"/>
      <c r="D5876" s="251"/>
      <c r="E5876" s="251"/>
      <c r="F5876" s="257"/>
      <c r="G5876" s="518"/>
      <c r="H5876" s="627"/>
      <c r="I5876" s="610"/>
      <c r="J5876" s="628"/>
      <c r="K5876" s="533"/>
      <c r="L5876" s="533"/>
      <c r="M5876" s="533"/>
      <c r="N5876" s="533"/>
      <c r="O5876" s="533"/>
      <c r="P5876" s="533"/>
      <c r="Q5876" s="533"/>
      <c r="R5876" s="533"/>
      <c r="S5876" s="533"/>
      <c r="T5876" s="533"/>
      <c r="U5876" s="533"/>
      <c r="V5876" s="533"/>
      <c r="W5876" s="533"/>
      <c r="X5876" s="533"/>
      <c r="Y5876" s="533"/>
    </row>
    <row r="5877" spans="1:25" s="88" customFormat="1" ht="15.75" hidden="1" customHeight="1" x14ac:dyDescent="0.25">
      <c r="A5877" s="509"/>
      <c r="B5877" s="256"/>
      <c r="C5877" s="316"/>
      <c r="D5877" s="251"/>
      <c r="E5877" s="251"/>
      <c r="F5877" s="257"/>
      <c r="G5877" s="518"/>
      <c r="H5877" s="627"/>
      <c r="I5877" s="610"/>
      <c r="J5877" s="628"/>
      <c r="K5877" s="533"/>
      <c r="L5877" s="533"/>
      <c r="M5877" s="533"/>
      <c r="N5877" s="533"/>
      <c r="O5877" s="533"/>
      <c r="P5877" s="533"/>
      <c r="Q5877" s="533"/>
      <c r="R5877" s="533"/>
      <c r="S5877" s="533"/>
      <c r="T5877" s="533"/>
      <c r="U5877" s="533"/>
      <c r="V5877" s="533"/>
      <c r="W5877" s="533"/>
      <c r="X5877" s="533"/>
      <c r="Y5877" s="533"/>
    </row>
    <row r="5878" spans="1:25" s="88" customFormat="1" ht="15.75" hidden="1" customHeight="1" x14ac:dyDescent="0.25">
      <c r="A5878" s="509"/>
      <c r="B5878" s="256"/>
      <c r="C5878" s="316"/>
      <c r="D5878" s="251"/>
      <c r="E5878" s="251"/>
      <c r="F5878" s="257"/>
      <c r="G5878" s="518"/>
      <c r="H5878" s="627"/>
      <c r="I5878" s="610"/>
      <c r="J5878" s="628"/>
      <c r="K5878" s="533"/>
      <c r="L5878" s="533"/>
      <c r="M5878" s="533"/>
      <c r="N5878" s="533"/>
      <c r="O5878" s="533"/>
      <c r="P5878" s="533"/>
      <c r="Q5878" s="533"/>
      <c r="R5878" s="533"/>
      <c r="S5878" s="533"/>
      <c r="T5878" s="533"/>
      <c r="U5878" s="533"/>
      <c r="V5878" s="533"/>
      <c r="W5878" s="533"/>
      <c r="X5878" s="533"/>
      <c r="Y5878" s="533"/>
    </row>
    <row r="5879" spans="1:25" s="88" customFormat="1" hidden="1" x14ac:dyDescent="0.25">
      <c r="A5879" s="509"/>
      <c r="B5879" s="256"/>
      <c r="C5879" s="316"/>
      <c r="D5879" s="251"/>
      <c r="E5879" s="251"/>
      <c r="F5879" s="257"/>
      <c r="G5879" s="518"/>
      <c r="H5879" s="627"/>
      <c r="I5879" s="610"/>
      <c r="J5879" s="628"/>
      <c r="K5879" s="533"/>
      <c r="L5879" s="533"/>
      <c r="M5879" s="533"/>
      <c r="N5879" s="533"/>
      <c r="O5879" s="533"/>
      <c r="P5879" s="533"/>
      <c r="Q5879" s="533"/>
      <c r="R5879" s="533"/>
      <c r="S5879" s="533"/>
      <c r="T5879" s="533"/>
      <c r="U5879" s="533"/>
      <c r="V5879" s="533"/>
      <c r="W5879" s="533"/>
      <c r="X5879" s="533"/>
      <c r="Y5879" s="533"/>
    </row>
    <row r="5880" spans="1:25" s="88" customFormat="1" hidden="1" x14ac:dyDescent="0.25">
      <c r="A5880" s="509"/>
      <c r="B5880" s="256"/>
      <c r="C5880" s="316"/>
      <c r="D5880" s="251"/>
      <c r="E5880" s="251"/>
      <c r="F5880" s="257"/>
      <c r="G5880" s="518"/>
      <c r="H5880" s="627"/>
      <c r="I5880" s="610"/>
      <c r="J5880" s="628"/>
      <c r="K5880" s="533"/>
      <c r="L5880" s="533"/>
      <c r="M5880" s="533"/>
      <c r="N5880" s="533"/>
      <c r="O5880" s="533"/>
      <c r="P5880" s="533"/>
      <c r="Q5880" s="533"/>
      <c r="R5880" s="533"/>
      <c r="S5880" s="533"/>
      <c r="T5880" s="533"/>
      <c r="U5880" s="533"/>
      <c r="V5880" s="533"/>
      <c r="W5880" s="533"/>
      <c r="X5880" s="533"/>
      <c r="Y5880" s="533"/>
    </row>
    <row r="5881" spans="1:25" s="88" customFormat="1" hidden="1" x14ac:dyDescent="0.25">
      <c r="A5881" s="509"/>
      <c r="B5881" s="256"/>
      <c r="C5881" s="316"/>
      <c r="D5881" s="251"/>
      <c r="E5881" s="251"/>
      <c r="F5881" s="257"/>
      <c r="G5881" s="518"/>
      <c r="H5881" s="627"/>
      <c r="I5881" s="610"/>
      <c r="J5881" s="628"/>
      <c r="K5881" s="533"/>
      <c r="L5881" s="533"/>
      <c r="M5881" s="533"/>
      <c r="N5881" s="533"/>
      <c r="O5881" s="533"/>
      <c r="P5881" s="533"/>
      <c r="Q5881" s="533"/>
      <c r="R5881" s="533"/>
      <c r="S5881" s="533"/>
      <c r="T5881" s="533"/>
      <c r="U5881" s="533"/>
      <c r="V5881" s="533"/>
      <c r="W5881" s="533"/>
      <c r="X5881" s="533"/>
      <c r="Y5881" s="533"/>
    </row>
    <row r="5882" spans="1:25" s="88" customFormat="1" hidden="1" x14ac:dyDescent="0.25">
      <c r="A5882" s="509"/>
      <c r="B5882" s="256"/>
      <c r="C5882" s="316"/>
      <c r="D5882" s="251"/>
      <c r="E5882" s="251"/>
      <c r="F5882" s="257"/>
      <c r="G5882" s="518"/>
      <c r="H5882" s="627"/>
      <c r="I5882" s="610"/>
      <c r="J5882" s="628"/>
      <c r="K5882" s="533"/>
      <c r="L5882" s="533"/>
      <c r="M5882" s="533"/>
      <c r="N5882" s="533"/>
      <c r="O5882" s="533"/>
      <c r="P5882" s="533"/>
      <c r="Q5882" s="533"/>
      <c r="R5882" s="533"/>
      <c r="S5882" s="533"/>
      <c r="T5882" s="533"/>
      <c r="U5882" s="533"/>
      <c r="V5882" s="533"/>
      <c r="W5882" s="533"/>
      <c r="X5882" s="533"/>
      <c r="Y5882" s="533"/>
    </row>
    <row r="5883" spans="1:25" s="88" customFormat="1" hidden="1" x14ac:dyDescent="0.25">
      <c r="A5883" s="509"/>
      <c r="B5883" s="256"/>
      <c r="C5883" s="316"/>
      <c r="D5883" s="251"/>
      <c r="E5883" s="251"/>
      <c r="F5883" s="257"/>
      <c r="G5883" s="518"/>
      <c r="H5883" s="627"/>
      <c r="I5883" s="610"/>
      <c r="J5883" s="628"/>
      <c r="K5883" s="533"/>
      <c r="L5883" s="533"/>
      <c r="M5883" s="533"/>
      <c r="N5883" s="533"/>
      <c r="O5883" s="533"/>
      <c r="P5883" s="533"/>
      <c r="Q5883" s="533"/>
      <c r="R5883" s="533"/>
      <c r="S5883" s="533"/>
      <c r="T5883" s="533"/>
      <c r="U5883" s="533"/>
      <c r="V5883" s="533"/>
      <c r="W5883" s="533"/>
      <c r="X5883" s="533"/>
      <c r="Y5883" s="533"/>
    </row>
    <row r="5884" spans="1:25" s="88" customFormat="1" hidden="1" x14ac:dyDescent="0.25">
      <c r="A5884" s="509"/>
      <c r="B5884" s="256"/>
      <c r="C5884" s="316"/>
      <c r="D5884" s="251"/>
      <c r="E5884" s="251"/>
      <c r="F5884" s="257"/>
      <c r="G5884" s="518"/>
      <c r="H5884" s="627"/>
      <c r="I5884" s="610"/>
      <c r="J5884" s="628"/>
      <c r="K5884" s="533"/>
      <c r="L5884" s="533"/>
      <c r="M5884" s="533"/>
      <c r="N5884" s="533"/>
      <c r="O5884" s="533"/>
      <c r="P5884" s="533"/>
      <c r="Q5884" s="533"/>
      <c r="R5884" s="533"/>
      <c r="S5884" s="533"/>
      <c r="T5884" s="533"/>
      <c r="U5884" s="533"/>
      <c r="V5884" s="533"/>
      <c r="W5884" s="533"/>
      <c r="X5884" s="533"/>
      <c r="Y5884" s="533"/>
    </row>
    <row r="5885" spans="1:25" s="88" customFormat="1" hidden="1" x14ac:dyDescent="0.25">
      <c r="A5885" s="509"/>
      <c r="B5885" s="256"/>
      <c r="C5885" s="316"/>
      <c r="D5885" s="251"/>
      <c r="E5885" s="251"/>
      <c r="F5885" s="257"/>
      <c r="G5885" s="518"/>
      <c r="H5885" s="627"/>
      <c r="I5885" s="610"/>
      <c r="J5885" s="628"/>
      <c r="K5885" s="533"/>
      <c r="L5885" s="533"/>
      <c r="M5885" s="533"/>
      <c r="N5885" s="533"/>
      <c r="O5885" s="533"/>
      <c r="P5885" s="533"/>
      <c r="Q5885" s="533"/>
      <c r="R5885" s="533"/>
      <c r="S5885" s="533"/>
      <c r="T5885" s="533"/>
      <c r="U5885" s="533"/>
      <c r="V5885" s="533"/>
      <c r="W5885" s="533"/>
      <c r="X5885" s="533"/>
      <c r="Y5885" s="533"/>
    </row>
    <row r="5886" spans="1:25" s="88" customFormat="1" hidden="1" x14ac:dyDescent="0.25">
      <c r="A5886" s="509"/>
      <c r="B5886" s="256"/>
      <c r="C5886" s="220"/>
      <c r="D5886" s="216"/>
      <c r="E5886" s="216"/>
      <c r="F5886" s="216"/>
      <c r="G5886" s="284" t="s">
        <v>4294</v>
      </c>
      <c r="H5886" s="592"/>
      <c r="I5886" s="593"/>
      <c r="J5886" s="593"/>
      <c r="K5886" s="533"/>
      <c r="L5886" s="533"/>
      <c r="M5886" s="533"/>
      <c r="N5886" s="533"/>
      <c r="O5886" s="533"/>
      <c r="P5886" s="533"/>
      <c r="Q5886" s="533"/>
      <c r="R5886" s="533"/>
      <c r="S5886" s="533"/>
      <c r="T5886" s="533"/>
      <c r="U5886" s="533"/>
      <c r="V5886" s="533"/>
      <c r="W5886" s="533"/>
      <c r="X5886" s="533"/>
      <c r="Y5886" s="533"/>
    </row>
    <row r="5887" spans="1:25" s="88" customFormat="1" hidden="1" x14ac:dyDescent="0.25">
      <c r="A5887" s="509"/>
      <c r="B5887" s="256"/>
      <c r="C5887" s="228" t="s">
        <v>3608</v>
      </c>
      <c r="D5887" s="218"/>
      <c r="E5887" s="218"/>
      <c r="F5887" s="218"/>
      <c r="G5887" s="294" t="s">
        <v>4188</v>
      </c>
      <c r="H5887" s="594"/>
      <c r="I5887" s="595"/>
      <c r="J5887" s="595"/>
      <c r="K5887" s="533"/>
      <c r="L5887" s="533"/>
      <c r="M5887" s="533"/>
      <c r="N5887" s="533"/>
      <c r="O5887" s="533"/>
      <c r="P5887" s="533"/>
      <c r="Q5887" s="533"/>
      <c r="R5887" s="533"/>
      <c r="S5887" s="533"/>
      <c r="T5887" s="533"/>
      <c r="U5887" s="533"/>
      <c r="V5887" s="533"/>
      <c r="W5887" s="533"/>
      <c r="X5887" s="533"/>
      <c r="Y5887" s="533"/>
    </row>
    <row r="5888" spans="1:25" s="88" customFormat="1" hidden="1" x14ac:dyDescent="0.25">
      <c r="K5888" s="533"/>
      <c r="L5888" s="533"/>
      <c r="M5888" s="533"/>
      <c r="N5888" s="533"/>
      <c r="O5888" s="533"/>
      <c r="P5888" s="533"/>
      <c r="Q5888" s="533"/>
      <c r="R5888" s="533"/>
      <c r="S5888" s="533"/>
      <c r="T5888" s="533"/>
      <c r="U5888" s="533"/>
      <c r="V5888" s="533"/>
      <c r="W5888" s="533"/>
      <c r="X5888" s="533"/>
      <c r="Y5888" s="533"/>
    </row>
    <row r="5889" spans="11:25" s="88" customFormat="1" hidden="1" x14ac:dyDescent="0.25">
      <c r="K5889" s="533"/>
      <c r="L5889" s="533"/>
      <c r="M5889" s="533"/>
      <c r="N5889" s="533"/>
      <c r="O5889" s="533"/>
      <c r="P5889" s="533"/>
      <c r="Q5889" s="533"/>
      <c r="R5889" s="533"/>
      <c r="S5889" s="533"/>
      <c r="T5889" s="533"/>
      <c r="U5889" s="533"/>
      <c r="V5889" s="533"/>
      <c r="W5889" s="533"/>
      <c r="X5889" s="533"/>
      <c r="Y5889" s="533"/>
    </row>
    <row r="5890" spans="11:25" s="88" customFormat="1" hidden="1" x14ac:dyDescent="0.25">
      <c r="K5890" s="533"/>
      <c r="L5890" s="533"/>
      <c r="M5890" s="533"/>
      <c r="N5890" s="533"/>
      <c r="O5890" s="533"/>
      <c r="P5890" s="533"/>
      <c r="Q5890" s="533"/>
      <c r="R5890" s="533"/>
      <c r="S5890" s="533"/>
      <c r="T5890" s="533"/>
      <c r="U5890" s="533"/>
      <c r="V5890" s="533"/>
      <c r="W5890" s="533"/>
      <c r="X5890" s="533"/>
      <c r="Y5890" s="533"/>
    </row>
    <row r="5891" spans="11:25" s="88" customFormat="1" hidden="1" x14ac:dyDescent="0.25">
      <c r="K5891" s="533"/>
      <c r="L5891" s="533"/>
      <c r="M5891" s="533"/>
      <c r="N5891" s="533"/>
      <c r="O5891" s="533"/>
      <c r="P5891" s="533"/>
      <c r="Q5891" s="533"/>
      <c r="R5891" s="533"/>
      <c r="S5891" s="533"/>
      <c r="T5891" s="533"/>
      <c r="U5891" s="533"/>
      <c r="V5891" s="533"/>
      <c r="W5891" s="533"/>
      <c r="X5891" s="533"/>
      <c r="Y5891" s="533"/>
    </row>
    <row r="5892" spans="11:25" s="88" customFormat="1" hidden="1" x14ac:dyDescent="0.25">
      <c r="K5892" s="533"/>
      <c r="L5892" s="533"/>
      <c r="M5892" s="533"/>
      <c r="N5892" s="533"/>
      <c r="O5892" s="533"/>
      <c r="P5892" s="533"/>
      <c r="Q5892" s="533"/>
      <c r="R5892" s="533"/>
      <c r="S5892" s="533"/>
      <c r="T5892" s="533"/>
      <c r="U5892" s="533"/>
      <c r="V5892" s="533"/>
      <c r="W5892" s="533"/>
      <c r="X5892" s="533"/>
      <c r="Y5892" s="533"/>
    </row>
    <row r="5893" spans="11:25" s="88" customFormat="1" hidden="1" x14ac:dyDescent="0.25">
      <c r="K5893" s="533"/>
      <c r="L5893" s="533"/>
      <c r="M5893" s="533"/>
      <c r="N5893" s="533"/>
      <c r="O5893" s="533"/>
      <c r="P5893" s="533"/>
      <c r="Q5893" s="533"/>
      <c r="R5893" s="533"/>
      <c r="S5893" s="533"/>
      <c r="T5893" s="533"/>
      <c r="U5893" s="533"/>
      <c r="V5893" s="533"/>
      <c r="W5893" s="533"/>
      <c r="X5893" s="533"/>
      <c r="Y5893" s="533"/>
    </row>
    <row r="5894" spans="11:25" s="88" customFormat="1" hidden="1" x14ac:dyDescent="0.25">
      <c r="K5894" s="533"/>
      <c r="L5894" s="533"/>
      <c r="M5894" s="533"/>
      <c r="N5894" s="533"/>
      <c r="O5894" s="533"/>
      <c r="P5894" s="533"/>
      <c r="Q5894" s="533"/>
      <c r="R5894" s="533"/>
      <c r="S5894" s="533"/>
      <c r="T5894" s="533"/>
      <c r="U5894" s="533"/>
      <c r="V5894" s="533"/>
      <c r="W5894" s="533"/>
      <c r="X5894" s="533"/>
      <c r="Y5894" s="533"/>
    </row>
    <row r="5895" spans="11:25" s="88" customFormat="1" hidden="1" x14ac:dyDescent="0.25">
      <c r="K5895" s="533"/>
      <c r="L5895" s="533"/>
      <c r="M5895" s="533"/>
      <c r="N5895" s="533"/>
      <c r="O5895" s="533"/>
      <c r="P5895" s="533"/>
      <c r="Q5895" s="533"/>
      <c r="R5895" s="533"/>
      <c r="S5895" s="533"/>
      <c r="T5895" s="533"/>
      <c r="U5895" s="533"/>
      <c r="V5895" s="533"/>
      <c r="W5895" s="533"/>
      <c r="X5895" s="533"/>
      <c r="Y5895" s="533"/>
    </row>
    <row r="5896" spans="11:25" s="88" customFormat="1" hidden="1" x14ac:dyDescent="0.25">
      <c r="K5896" s="533"/>
      <c r="L5896" s="533"/>
      <c r="M5896" s="533"/>
      <c r="N5896" s="533"/>
      <c r="O5896" s="533"/>
      <c r="P5896" s="533"/>
      <c r="Q5896" s="533"/>
      <c r="R5896" s="533"/>
      <c r="S5896" s="533"/>
      <c r="T5896" s="533"/>
      <c r="U5896" s="533"/>
      <c r="V5896" s="533"/>
      <c r="W5896" s="533"/>
      <c r="X5896" s="533"/>
      <c r="Y5896" s="533"/>
    </row>
    <row r="5897" spans="11:25" s="88" customFormat="1" hidden="1" x14ac:dyDescent="0.25">
      <c r="K5897" s="533"/>
      <c r="L5897" s="533"/>
      <c r="M5897" s="533"/>
      <c r="N5897" s="533"/>
      <c r="O5897" s="533"/>
      <c r="P5897" s="533"/>
      <c r="Q5897" s="533"/>
      <c r="R5897" s="533"/>
      <c r="S5897" s="533"/>
      <c r="T5897" s="533"/>
      <c r="U5897" s="533"/>
      <c r="V5897" s="533"/>
      <c r="W5897" s="533"/>
      <c r="X5897" s="533"/>
      <c r="Y5897" s="533"/>
    </row>
    <row r="5898" spans="11:25" s="88" customFormat="1" hidden="1" x14ac:dyDescent="0.25">
      <c r="K5898" s="533"/>
      <c r="L5898" s="533"/>
      <c r="M5898" s="533"/>
      <c r="N5898" s="533"/>
      <c r="O5898" s="533"/>
      <c r="P5898" s="533"/>
      <c r="Q5898" s="533"/>
      <c r="R5898" s="533"/>
      <c r="S5898" s="533"/>
      <c r="T5898" s="533"/>
      <c r="U5898" s="533"/>
      <c r="V5898" s="533"/>
      <c r="W5898" s="533"/>
      <c r="X5898" s="533"/>
      <c r="Y5898" s="533"/>
    </row>
    <row r="5899" spans="11:25" s="88" customFormat="1" hidden="1" x14ac:dyDescent="0.25">
      <c r="K5899" s="533"/>
      <c r="L5899" s="533"/>
      <c r="M5899" s="533"/>
      <c r="N5899" s="533"/>
      <c r="O5899" s="533"/>
      <c r="P5899" s="533"/>
      <c r="Q5899" s="533"/>
      <c r="R5899" s="533"/>
      <c r="S5899" s="533"/>
      <c r="T5899" s="533"/>
      <c r="U5899" s="533"/>
      <c r="V5899" s="533"/>
      <c r="W5899" s="533"/>
      <c r="X5899" s="533"/>
      <c r="Y5899" s="533"/>
    </row>
    <row r="5900" spans="11:25" s="88" customFormat="1" hidden="1" x14ac:dyDescent="0.25">
      <c r="K5900" s="533"/>
      <c r="L5900" s="533"/>
      <c r="M5900" s="533"/>
      <c r="N5900" s="533"/>
      <c r="O5900" s="533"/>
      <c r="P5900" s="533"/>
      <c r="Q5900" s="533"/>
      <c r="R5900" s="533"/>
      <c r="S5900" s="533"/>
      <c r="T5900" s="533"/>
      <c r="U5900" s="533"/>
      <c r="V5900" s="533"/>
      <c r="W5900" s="533"/>
      <c r="X5900" s="533"/>
      <c r="Y5900" s="533"/>
    </row>
    <row r="5901" spans="11:25" s="88" customFormat="1" hidden="1" x14ac:dyDescent="0.25">
      <c r="K5901" s="533"/>
      <c r="L5901" s="533"/>
      <c r="M5901" s="533"/>
      <c r="N5901" s="533"/>
      <c r="O5901" s="533"/>
      <c r="P5901" s="533"/>
      <c r="Q5901" s="533"/>
      <c r="R5901" s="533"/>
      <c r="S5901" s="533"/>
      <c r="T5901" s="533"/>
      <c r="U5901" s="533"/>
      <c r="V5901" s="533"/>
      <c r="W5901" s="533"/>
      <c r="X5901" s="533"/>
      <c r="Y5901" s="533"/>
    </row>
    <row r="5902" spans="11:25" s="88" customFormat="1" hidden="1" x14ac:dyDescent="0.25">
      <c r="K5902" s="533"/>
      <c r="L5902" s="533"/>
      <c r="M5902" s="533"/>
      <c r="N5902" s="533"/>
      <c r="O5902" s="533"/>
      <c r="P5902" s="533"/>
      <c r="Q5902" s="533"/>
      <c r="R5902" s="533"/>
      <c r="S5902" s="533"/>
      <c r="T5902" s="533"/>
      <c r="U5902" s="533"/>
      <c r="V5902" s="533"/>
      <c r="W5902" s="533"/>
      <c r="X5902" s="533"/>
      <c r="Y5902" s="533"/>
    </row>
    <row r="5903" spans="11:25" s="88" customFormat="1" hidden="1" x14ac:dyDescent="0.25">
      <c r="K5903" s="533"/>
      <c r="L5903" s="533"/>
      <c r="M5903" s="533"/>
      <c r="N5903" s="533"/>
      <c r="O5903" s="533"/>
      <c r="P5903" s="533"/>
      <c r="Q5903" s="533"/>
      <c r="R5903" s="533"/>
      <c r="S5903" s="533"/>
      <c r="T5903" s="533"/>
      <c r="U5903" s="533"/>
      <c r="V5903" s="533"/>
      <c r="W5903" s="533"/>
      <c r="X5903" s="533"/>
      <c r="Y5903" s="533"/>
    </row>
    <row r="5904" spans="11:25" s="88" customFormat="1" hidden="1" x14ac:dyDescent="0.25">
      <c r="K5904" s="533"/>
      <c r="L5904" s="533"/>
      <c r="M5904" s="533"/>
      <c r="N5904" s="533"/>
      <c r="O5904" s="533"/>
      <c r="P5904" s="533"/>
      <c r="Q5904" s="533"/>
      <c r="R5904" s="533"/>
      <c r="S5904" s="533"/>
      <c r="T5904" s="533"/>
      <c r="U5904" s="533"/>
      <c r="V5904" s="533"/>
      <c r="W5904" s="533"/>
      <c r="X5904" s="533"/>
      <c r="Y5904" s="533"/>
    </row>
    <row r="5905" spans="11:25" s="88" customFormat="1" hidden="1" x14ac:dyDescent="0.25">
      <c r="K5905" s="533"/>
      <c r="L5905" s="533"/>
      <c r="M5905" s="533"/>
      <c r="N5905" s="533"/>
      <c r="O5905" s="533"/>
      <c r="P5905" s="533"/>
      <c r="Q5905" s="533"/>
      <c r="R5905" s="533"/>
      <c r="S5905" s="533"/>
      <c r="T5905" s="533"/>
      <c r="U5905" s="533"/>
      <c r="V5905" s="533"/>
      <c r="W5905" s="533"/>
      <c r="X5905" s="533"/>
      <c r="Y5905" s="533"/>
    </row>
    <row r="5906" spans="11:25" s="88" customFormat="1" hidden="1" x14ac:dyDescent="0.25">
      <c r="K5906" s="533"/>
      <c r="L5906" s="533"/>
      <c r="M5906" s="533"/>
      <c r="N5906" s="533"/>
      <c r="O5906" s="533"/>
      <c r="P5906" s="533"/>
      <c r="Q5906" s="533"/>
      <c r="R5906" s="533"/>
      <c r="S5906" s="533"/>
      <c r="T5906" s="533"/>
      <c r="U5906" s="533"/>
      <c r="V5906" s="533"/>
      <c r="W5906" s="533"/>
      <c r="X5906" s="533"/>
      <c r="Y5906" s="533"/>
    </row>
    <row r="5907" spans="11:25" s="88" customFormat="1" hidden="1" x14ac:dyDescent="0.25">
      <c r="K5907" s="533"/>
      <c r="L5907" s="533"/>
      <c r="M5907" s="533"/>
      <c r="N5907" s="533"/>
      <c r="O5907" s="533"/>
      <c r="P5907" s="533"/>
      <c r="Q5907" s="533"/>
      <c r="R5907" s="533"/>
      <c r="S5907" s="533"/>
      <c r="T5907" s="533"/>
      <c r="U5907" s="533"/>
      <c r="V5907" s="533"/>
      <c r="W5907" s="533"/>
      <c r="X5907" s="533"/>
      <c r="Y5907" s="533"/>
    </row>
    <row r="5908" spans="11:25" s="88" customFormat="1" hidden="1" x14ac:dyDescent="0.25">
      <c r="K5908" s="533"/>
      <c r="L5908" s="533"/>
      <c r="M5908" s="533"/>
      <c r="N5908" s="533"/>
      <c r="O5908" s="533"/>
      <c r="P5908" s="533"/>
      <c r="Q5908" s="533"/>
      <c r="R5908" s="533"/>
      <c r="S5908" s="533"/>
      <c r="T5908" s="533"/>
      <c r="U5908" s="533"/>
      <c r="V5908" s="533"/>
      <c r="W5908" s="533"/>
      <c r="X5908" s="533"/>
      <c r="Y5908" s="533"/>
    </row>
    <row r="5909" spans="11:25" s="88" customFormat="1" hidden="1" x14ac:dyDescent="0.25">
      <c r="K5909" s="533"/>
      <c r="L5909" s="533"/>
      <c r="M5909" s="533"/>
      <c r="N5909" s="533"/>
      <c r="O5909" s="533"/>
      <c r="P5909" s="533"/>
      <c r="Q5909" s="533"/>
      <c r="R5909" s="533"/>
      <c r="S5909" s="533"/>
      <c r="T5909" s="533"/>
      <c r="U5909" s="533"/>
      <c r="V5909" s="533"/>
      <c r="W5909" s="533"/>
      <c r="X5909" s="533"/>
      <c r="Y5909" s="533"/>
    </row>
    <row r="5910" spans="11:25" s="88" customFormat="1" hidden="1" x14ac:dyDescent="0.25">
      <c r="K5910" s="533"/>
      <c r="L5910" s="533"/>
      <c r="M5910" s="533"/>
      <c r="N5910" s="533"/>
      <c r="O5910" s="533"/>
      <c r="P5910" s="533"/>
      <c r="Q5910" s="533"/>
      <c r="R5910" s="533"/>
      <c r="S5910" s="533"/>
      <c r="T5910" s="533"/>
      <c r="U5910" s="533"/>
      <c r="V5910" s="533"/>
      <c r="W5910" s="533"/>
      <c r="X5910" s="533"/>
      <c r="Y5910" s="533"/>
    </row>
    <row r="5911" spans="11:25" s="88" customFormat="1" hidden="1" x14ac:dyDescent="0.25">
      <c r="K5911" s="533"/>
      <c r="L5911" s="533"/>
      <c r="M5911" s="533"/>
      <c r="N5911" s="533"/>
      <c r="O5911" s="533"/>
      <c r="P5911" s="533"/>
      <c r="Q5911" s="533"/>
      <c r="R5911" s="533"/>
      <c r="S5911" s="533"/>
      <c r="T5911" s="533"/>
      <c r="U5911" s="533"/>
      <c r="V5911" s="533"/>
      <c r="W5911" s="533"/>
      <c r="X5911" s="533"/>
      <c r="Y5911" s="533"/>
    </row>
    <row r="5912" spans="11:25" s="88" customFormat="1" hidden="1" x14ac:dyDescent="0.25">
      <c r="K5912" s="533"/>
      <c r="L5912" s="533"/>
      <c r="M5912" s="533"/>
      <c r="N5912" s="533"/>
      <c r="O5912" s="533"/>
      <c r="P5912" s="533"/>
      <c r="Q5912" s="533"/>
      <c r="R5912" s="533"/>
      <c r="S5912" s="533"/>
      <c r="T5912" s="533"/>
      <c r="U5912" s="533"/>
      <c r="V5912" s="533"/>
      <c r="W5912" s="533"/>
      <c r="X5912" s="533"/>
      <c r="Y5912" s="533"/>
    </row>
    <row r="5913" spans="11:25" s="88" customFormat="1" hidden="1" x14ac:dyDescent="0.25">
      <c r="K5913" s="533"/>
      <c r="L5913" s="533"/>
      <c r="M5913" s="533"/>
      <c r="N5913" s="533"/>
      <c r="O5913" s="533"/>
      <c r="P5913" s="533"/>
      <c r="Q5913" s="533"/>
      <c r="R5913" s="533"/>
      <c r="S5913" s="533"/>
      <c r="T5913" s="533"/>
      <c r="U5913" s="533"/>
      <c r="V5913" s="533"/>
      <c r="W5913" s="533"/>
      <c r="X5913" s="533"/>
      <c r="Y5913" s="533"/>
    </row>
    <row r="5914" spans="11:25" s="88" customFormat="1" hidden="1" x14ac:dyDescent="0.25">
      <c r="K5914" s="533"/>
      <c r="L5914" s="533"/>
      <c r="M5914" s="533"/>
      <c r="N5914" s="533"/>
      <c r="O5914" s="533"/>
      <c r="P5914" s="533"/>
      <c r="Q5914" s="533"/>
      <c r="R5914" s="533"/>
      <c r="S5914" s="533"/>
      <c r="T5914" s="533"/>
      <c r="U5914" s="533"/>
      <c r="V5914" s="533"/>
      <c r="W5914" s="533"/>
      <c r="X5914" s="533"/>
      <c r="Y5914" s="533"/>
    </row>
    <row r="5915" spans="11:25" s="88" customFormat="1" hidden="1" x14ac:dyDescent="0.25">
      <c r="K5915" s="533"/>
      <c r="L5915" s="533"/>
      <c r="M5915" s="533"/>
      <c r="N5915" s="533"/>
      <c r="O5915" s="533"/>
      <c r="P5915" s="533"/>
      <c r="Q5915" s="533"/>
      <c r="R5915" s="533"/>
      <c r="S5915" s="533"/>
      <c r="T5915" s="533"/>
      <c r="U5915" s="533"/>
      <c r="V5915" s="533"/>
      <c r="W5915" s="533"/>
      <c r="X5915" s="533"/>
      <c r="Y5915" s="533"/>
    </row>
    <row r="5916" spans="11:25" s="88" customFormat="1" hidden="1" x14ac:dyDescent="0.25">
      <c r="K5916" s="533"/>
      <c r="L5916" s="533"/>
      <c r="M5916" s="533"/>
      <c r="N5916" s="533"/>
      <c r="O5916" s="533"/>
      <c r="P5916" s="533"/>
      <c r="Q5916" s="533"/>
      <c r="R5916" s="533"/>
      <c r="S5916" s="533"/>
      <c r="T5916" s="533"/>
      <c r="U5916" s="533"/>
      <c r="V5916" s="533"/>
      <c r="W5916" s="533"/>
      <c r="X5916" s="533"/>
      <c r="Y5916" s="533"/>
    </row>
    <row r="5917" spans="11:25" s="88" customFormat="1" hidden="1" x14ac:dyDescent="0.25">
      <c r="K5917" s="533"/>
      <c r="L5917" s="533"/>
      <c r="M5917" s="533"/>
      <c r="N5917" s="533"/>
      <c r="O5917" s="533"/>
      <c r="P5917" s="533"/>
      <c r="Q5917" s="533"/>
      <c r="R5917" s="533"/>
      <c r="S5917" s="533"/>
      <c r="T5917" s="533"/>
      <c r="U5917" s="533"/>
      <c r="V5917" s="533"/>
      <c r="W5917" s="533"/>
      <c r="X5917" s="533"/>
      <c r="Y5917" s="533"/>
    </row>
    <row r="5918" spans="11:25" s="88" customFormat="1" hidden="1" x14ac:dyDescent="0.25">
      <c r="K5918" s="533"/>
      <c r="L5918" s="533"/>
      <c r="M5918" s="533"/>
      <c r="N5918" s="533"/>
      <c r="O5918" s="533"/>
      <c r="P5918" s="533"/>
      <c r="Q5918" s="533"/>
      <c r="R5918" s="533"/>
      <c r="S5918" s="533"/>
      <c r="T5918" s="533"/>
      <c r="U5918" s="533"/>
      <c r="V5918" s="533"/>
      <c r="W5918" s="533"/>
      <c r="X5918" s="533"/>
      <c r="Y5918" s="533"/>
    </row>
    <row r="5919" spans="11:25" s="88" customFormat="1" hidden="1" x14ac:dyDescent="0.25">
      <c r="K5919" s="533"/>
      <c r="L5919" s="533"/>
      <c r="M5919" s="533"/>
      <c r="N5919" s="533"/>
      <c r="O5919" s="533"/>
      <c r="P5919" s="533"/>
      <c r="Q5919" s="533"/>
      <c r="R5919" s="533"/>
      <c r="S5919" s="533"/>
      <c r="T5919" s="533"/>
      <c r="U5919" s="533"/>
      <c r="V5919" s="533"/>
      <c r="W5919" s="533"/>
      <c r="X5919" s="533"/>
      <c r="Y5919" s="533"/>
    </row>
    <row r="5920" spans="11:25" s="88" customFormat="1" hidden="1" x14ac:dyDescent="0.25">
      <c r="K5920" s="533"/>
      <c r="L5920" s="533"/>
      <c r="M5920" s="533"/>
      <c r="N5920" s="533"/>
      <c r="O5920" s="533"/>
      <c r="P5920" s="533"/>
      <c r="Q5920" s="533"/>
      <c r="R5920" s="533"/>
      <c r="S5920" s="533"/>
      <c r="T5920" s="533"/>
      <c r="U5920" s="533"/>
      <c r="V5920" s="533"/>
      <c r="W5920" s="533"/>
      <c r="X5920" s="533"/>
      <c r="Y5920" s="533"/>
    </row>
    <row r="5921" spans="11:25" s="88" customFormat="1" hidden="1" x14ac:dyDescent="0.25">
      <c r="K5921" s="533"/>
      <c r="L5921" s="533"/>
      <c r="M5921" s="533"/>
      <c r="N5921" s="533"/>
      <c r="O5921" s="533"/>
      <c r="P5921" s="533"/>
      <c r="Q5921" s="533"/>
      <c r="R5921" s="533"/>
      <c r="S5921" s="533"/>
      <c r="T5921" s="533"/>
      <c r="U5921" s="533"/>
      <c r="V5921" s="533"/>
      <c r="W5921" s="533"/>
      <c r="X5921" s="533"/>
      <c r="Y5921" s="533"/>
    </row>
    <row r="5922" spans="11:25" s="88" customFormat="1" hidden="1" x14ac:dyDescent="0.25">
      <c r="K5922" s="533"/>
      <c r="L5922" s="533"/>
      <c r="M5922" s="533"/>
      <c r="N5922" s="533"/>
      <c r="O5922" s="533"/>
      <c r="P5922" s="533"/>
      <c r="Q5922" s="533"/>
      <c r="R5922" s="533"/>
      <c r="S5922" s="533"/>
      <c r="T5922" s="533"/>
      <c r="U5922" s="533"/>
      <c r="V5922" s="533"/>
      <c r="W5922" s="533"/>
      <c r="X5922" s="533"/>
      <c r="Y5922" s="533"/>
    </row>
    <row r="5923" spans="11:25" s="88" customFormat="1" hidden="1" x14ac:dyDescent="0.25">
      <c r="K5923" s="533"/>
      <c r="L5923" s="533"/>
      <c r="M5923" s="533"/>
      <c r="N5923" s="533"/>
      <c r="O5923" s="533"/>
      <c r="P5923" s="533"/>
      <c r="Q5923" s="533"/>
      <c r="R5923" s="533"/>
      <c r="S5923" s="533"/>
      <c r="T5923" s="533"/>
      <c r="U5923" s="533"/>
      <c r="V5923" s="533"/>
      <c r="W5923" s="533"/>
      <c r="X5923" s="533"/>
      <c r="Y5923" s="533"/>
    </row>
    <row r="5924" spans="11:25" s="88" customFormat="1" hidden="1" x14ac:dyDescent="0.25">
      <c r="K5924" s="533"/>
      <c r="L5924" s="533"/>
      <c r="M5924" s="533"/>
      <c r="N5924" s="533"/>
      <c r="O5924" s="533"/>
      <c r="P5924" s="533"/>
      <c r="Q5924" s="533"/>
      <c r="R5924" s="533"/>
      <c r="S5924" s="533"/>
      <c r="T5924" s="533"/>
      <c r="U5924" s="533"/>
      <c r="V5924" s="533"/>
      <c r="W5924" s="533"/>
      <c r="X5924" s="533"/>
      <c r="Y5924" s="533"/>
    </row>
    <row r="5925" spans="11:25" s="88" customFormat="1" hidden="1" x14ac:dyDescent="0.25">
      <c r="K5925" s="533"/>
      <c r="L5925" s="533"/>
      <c r="M5925" s="533"/>
      <c r="N5925" s="533"/>
      <c r="O5925" s="533"/>
      <c r="P5925" s="533"/>
      <c r="Q5925" s="533"/>
      <c r="R5925" s="533"/>
      <c r="S5925" s="533"/>
      <c r="T5925" s="533"/>
      <c r="U5925" s="533"/>
      <c r="V5925" s="533"/>
      <c r="W5925" s="533"/>
      <c r="X5925" s="533"/>
      <c r="Y5925" s="533"/>
    </row>
    <row r="5926" spans="11:25" s="88" customFormat="1" hidden="1" x14ac:dyDescent="0.25">
      <c r="K5926" s="533"/>
      <c r="L5926" s="533"/>
      <c r="M5926" s="533"/>
      <c r="N5926" s="533"/>
      <c r="O5926" s="533"/>
      <c r="P5926" s="533"/>
      <c r="Q5926" s="533"/>
      <c r="R5926" s="533"/>
      <c r="S5926" s="533"/>
      <c r="T5926" s="533"/>
      <c r="U5926" s="533"/>
      <c r="V5926" s="533"/>
      <c r="W5926" s="533"/>
      <c r="X5926" s="533"/>
      <c r="Y5926" s="533"/>
    </row>
    <row r="5927" spans="11:25" s="88" customFormat="1" hidden="1" x14ac:dyDescent="0.25">
      <c r="K5927" s="533"/>
      <c r="L5927" s="533"/>
      <c r="M5927" s="533"/>
      <c r="N5927" s="533"/>
      <c r="O5927" s="533"/>
      <c r="P5927" s="533"/>
      <c r="Q5927" s="533"/>
      <c r="R5927" s="533"/>
      <c r="S5927" s="533"/>
      <c r="T5927" s="533"/>
      <c r="U5927" s="533"/>
      <c r="V5927" s="533"/>
      <c r="W5927" s="533"/>
      <c r="X5927" s="533"/>
      <c r="Y5927" s="533"/>
    </row>
    <row r="5928" spans="11:25" s="88" customFormat="1" hidden="1" x14ac:dyDescent="0.25">
      <c r="K5928" s="533"/>
      <c r="L5928" s="533"/>
      <c r="M5928" s="533"/>
      <c r="N5928" s="533"/>
      <c r="O5928" s="533"/>
      <c r="P5928" s="533"/>
      <c r="Q5928" s="533"/>
      <c r="R5928" s="533"/>
      <c r="S5928" s="533"/>
      <c r="T5928" s="533"/>
      <c r="U5928" s="533"/>
      <c r="V5928" s="533"/>
      <c r="W5928" s="533"/>
      <c r="X5928" s="533"/>
      <c r="Y5928" s="533"/>
    </row>
    <row r="5929" spans="11:25" s="88" customFormat="1" hidden="1" x14ac:dyDescent="0.25">
      <c r="K5929" s="533"/>
      <c r="L5929" s="533"/>
      <c r="M5929" s="533"/>
      <c r="N5929" s="533"/>
      <c r="O5929" s="533"/>
      <c r="P5929" s="533"/>
      <c r="Q5929" s="533"/>
      <c r="R5929" s="533"/>
      <c r="S5929" s="533"/>
      <c r="T5929" s="533"/>
      <c r="U5929" s="533"/>
      <c r="V5929" s="533"/>
      <c r="W5929" s="533"/>
      <c r="X5929" s="533"/>
      <c r="Y5929" s="533"/>
    </row>
    <row r="5930" spans="11:25" s="88" customFormat="1" hidden="1" x14ac:dyDescent="0.25">
      <c r="K5930" s="533"/>
      <c r="L5930" s="533"/>
      <c r="M5930" s="533"/>
      <c r="N5930" s="533"/>
      <c r="O5930" s="533"/>
      <c r="P5930" s="533"/>
      <c r="Q5930" s="533"/>
      <c r="R5930" s="533"/>
      <c r="S5930" s="533"/>
      <c r="T5930" s="533"/>
      <c r="U5930" s="533"/>
      <c r="V5930" s="533"/>
      <c r="W5930" s="533"/>
      <c r="X5930" s="533"/>
      <c r="Y5930" s="533"/>
    </row>
    <row r="5931" spans="11:25" s="88" customFormat="1" hidden="1" x14ac:dyDescent="0.25">
      <c r="K5931" s="533"/>
      <c r="L5931" s="533"/>
      <c r="M5931" s="533"/>
      <c r="N5931" s="533"/>
      <c r="O5931" s="533"/>
      <c r="P5931" s="533"/>
      <c r="Q5931" s="533"/>
      <c r="R5931" s="533"/>
      <c r="S5931" s="533"/>
      <c r="T5931" s="533"/>
      <c r="U5931" s="533"/>
      <c r="V5931" s="533"/>
      <c r="W5931" s="533"/>
      <c r="X5931" s="533"/>
      <c r="Y5931" s="533"/>
    </row>
    <row r="5932" spans="11:25" s="88" customFormat="1" hidden="1" x14ac:dyDescent="0.25">
      <c r="K5932" s="533"/>
      <c r="L5932" s="533"/>
      <c r="M5932" s="533"/>
      <c r="N5932" s="533"/>
      <c r="O5932" s="533"/>
      <c r="P5932" s="533"/>
      <c r="Q5932" s="533"/>
      <c r="R5932" s="533"/>
      <c r="S5932" s="533"/>
      <c r="T5932" s="533"/>
      <c r="U5932" s="533"/>
      <c r="V5932" s="533"/>
      <c r="W5932" s="533"/>
      <c r="X5932" s="533"/>
      <c r="Y5932" s="533"/>
    </row>
    <row r="5933" spans="11:25" s="88" customFormat="1" hidden="1" x14ac:dyDescent="0.25">
      <c r="K5933" s="533"/>
      <c r="L5933" s="533"/>
      <c r="M5933" s="533"/>
      <c r="N5933" s="533"/>
      <c r="O5933" s="533"/>
      <c r="P5933" s="533"/>
      <c r="Q5933" s="533"/>
      <c r="R5933" s="533"/>
      <c r="S5933" s="533"/>
      <c r="T5933" s="533"/>
      <c r="U5933" s="533"/>
      <c r="V5933" s="533"/>
      <c r="W5933" s="533"/>
      <c r="X5933" s="533"/>
      <c r="Y5933" s="533"/>
    </row>
    <row r="5934" spans="11:25" s="88" customFormat="1" hidden="1" x14ac:dyDescent="0.25">
      <c r="K5934" s="533"/>
      <c r="L5934" s="533"/>
      <c r="M5934" s="533"/>
      <c r="N5934" s="533"/>
      <c r="O5934" s="533"/>
      <c r="P5934" s="533"/>
      <c r="Q5934" s="533"/>
      <c r="R5934" s="533"/>
      <c r="S5934" s="533"/>
      <c r="T5934" s="533"/>
      <c r="U5934" s="533"/>
      <c r="V5934" s="533"/>
      <c r="W5934" s="533"/>
      <c r="X5934" s="533"/>
      <c r="Y5934" s="533"/>
    </row>
    <row r="5935" spans="11:25" s="88" customFormat="1" hidden="1" x14ac:dyDescent="0.25">
      <c r="K5935" s="533"/>
      <c r="L5935" s="533"/>
      <c r="M5935" s="533"/>
      <c r="N5935" s="533"/>
      <c r="O5935" s="533"/>
      <c r="P5935" s="533"/>
      <c r="Q5935" s="533"/>
      <c r="R5935" s="533"/>
      <c r="S5935" s="533"/>
      <c r="T5935" s="533"/>
      <c r="U5935" s="533"/>
      <c r="V5935" s="533"/>
      <c r="W5935" s="533"/>
      <c r="X5935" s="533"/>
      <c r="Y5935" s="533"/>
    </row>
    <row r="5936" spans="11:25" s="88" customFormat="1" hidden="1" x14ac:dyDescent="0.25">
      <c r="K5936" s="533"/>
      <c r="L5936" s="533"/>
      <c r="M5936" s="533"/>
      <c r="N5936" s="533"/>
      <c r="O5936" s="533"/>
      <c r="P5936" s="533"/>
      <c r="Q5936" s="533"/>
      <c r="R5936" s="533"/>
      <c r="S5936" s="533"/>
      <c r="T5936" s="533"/>
      <c r="U5936" s="533"/>
      <c r="V5936" s="533"/>
      <c r="W5936" s="533"/>
      <c r="X5936" s="533"/>
      <c r="Y5936" s="533"/>
    </row>
    <row r="5937" spans="11:25" s="88" customFormat="1" hidden="1" x14ac:dyDescent="0.25">
      <c r="K5937" s="533"/>
      <c r="L5937" s="533"/>
      <c r="M5937" s="533"/>
      <c r="N5937" s="533"/>
      <c r="O5937" s="533"/>
      <c r="P5937" s="533"/>
      <c r="Q5937" s="533"/>
      <c r="R5937" s="533"/>
      <c r="S5937" s="533"/>
      <c r="T5937" s="533"/>
      <c r="U5937" s="533"/>
      <c r="V5937" s="533"/>
      <c r="W5937" s="533"/>
      <c r="X5937" s="533"/>
      <c r="Y5937" s="533"/>
    </row>
    <row r="5938" spans="11:25" s="88" customFormat="1" hidden="1" x14ac:dyDescent="0.25">
      <c r="K5938" s="533"/>
      <c r="L5938" s="533"/>
      <c r="M5938" s="533"/>
      <c r="N5938" s="533"/>
      <c r="O5938" s="533"/>
      <c r="P5938" s="533"/>
      <c r="Q5938" s="533"/>
      <c r="R5938" s="533"/>
      <c r="S5938" s="533"/>
      <c r="T5938" s="533"/>
      <c r="U5938" s="533"/>
      <c r="V5938" s="533"/>
      <c r="W5938" s="533"/>
      <c r="X5938" s="533"/>
      <c r="Y5938" s="533"/>
    </row>
    <row r="5939" spans="11:25" s="88" customFormat="1" hidden="1" x14ac:dyDescent="0.25">
      <c r="K5939" s="533"/>
      <c r="L5939" s="533"/>
      <c r="M5939" s="533"/>
      <c r="N5939" s="533"/>
      <c r="O5939" s="533"/>
      <c r="P5939" s="533"/>
      <c r="Q5939" s="533"/>
      <c r="R5939" s="533"/>
      <c r="S5939" s="533"/>
      <c r="T5939" s="533"/>
      <c r="U5939" s="533"/>
      <c r="V5939" s="533"/>
      <c r="W5939" s="533"/>
      <c r="X5939" s="533"/>
      <c r="Y5939" s="533"/>
    </row>
    <row r="5940" spans="11:25" s="88" customFormat="1" hidden="1" x14ac:dyDescent="0.25">
      <c r="K5940" s="533"/>
      <c r="L5940" s="533"/>
      <c r="M5940" s="533"/>
      <c r="N5940" s="533"/>
      <c r="O5940" s="533"/>
      <c r="P5940" s="533"/>
      <c r="Q5940" s="533"/>
      <c r="R5940" s="533"/>
      <c r="S5940" s="533"/>
      <c r="T5940" s="533"/>
      <c r="U5940" s="533"/>
      <c r="V5940" s="533"/>
      <c r="W5940" s="533"/>
      <c r="X5940" s="533"/>
      <c r="Y5940" s="533"/>
    </row>
    <row r="5941" spans="11:25" s="88" customFormat="1" hidden="1" x14ac:dyDescent="0.25">
      <c r="K5941" s="533"/>
      <c r="L5941" s="533"/>
      <c r="M5941" s="533"/>
      <c r="N5941" s="533"/>
      <c r="O5941" s="533"/>
      <c r="P5941" s="533"/>
      <c r="Q5941" s="533"/>
      <c r="R5941" s="533"/>
      <c r="S5941" s="533"/>
      <c r="T5941" s="533"/>
      <c r="U5941" s="533"/>
      <c r="V5941" s="533"/>
      <c r="W5941" s="533"/>
      <c r="X5941" s="533"/>
      <c r="Y5941" s="533"/>
    </row>
    <row r="5942" spans="11:25" s="88" customFormat="1" hidden="1" x14ac:dyDescent="0.25">
      <c r="K5942" s="533"/>
      <c r="L5942" s="533"/>
      <c r="M5942" s="533"/>
      <c r="N5942" s="533"/>
      <c r="O5942" s="533"/>
      <c r="P5942" s="533"/>
      <c r="Q5942" s="533"/>
      <c r="R5942" s="533"/>
      <c r="S5942" s="533"/>
      <c r="T5942" s="533"/>
      <c r="U5942" s="533"/>
      <c r="V5942" s="533"/>
      <c r="W5942" s="533"/>
      <c r="X5942" s="533"/>
      <c r="Y5942" s="533"/>
    </row>
    <row r="5943" spans="11:25" s="88" customFormat="1" hidden="1" x14ac:dyDescent="0.25">
      <c r="K5943" s="533"/>
      <c r="L5943" s="533"/>
      <c r="M5943" s="533"/>
      <c r="N5943" s="533"/>
      <c r="O5943" s="533"/>
      <c r="P5943" s="533"/>
      <c r="Q5943" s="533"/>
      <c r="R5943" s="533"/>
      <c r="S5943" s="533"/>
      <c r="T5943" s="533"/>
      <c r="U5943" s="533"/>
      <c r="V5943" s="533"/>
      <c r="W5943" s="533"/>
      <c r="X5943" s="533"/>
      <c r="Y5943" s="533"/>
    </row>
    <row r="5944" spans="11:25" s="88" customFormat="1" hidden="1" x14ac:dyDescent="0.25">
      <c r="K5944" s="533"/>
      <c r="L5944" s="533"/>
      <c r="M5944" s="533"/>
      <c r="N5944" s="533"/>
      <c r="O5944" s="533"/>
      <c r="P5944" s="533"/>
      <c r="Q5944" s="533"/>
      <c r="R5944" s="533"/>
      <c r="S5944" s="533"/>
      <c r="T5944" s="533"/>
      <c r="U5944" s="533"/>
      <c r="V5944" s="533"/>
      <c r="W5944" s="533"/>
      <c r="X5944" s="533"/>
      <c r="Y5944" s="533"/>
    </row>
    <row r="5945" spans="11:25" s="88" customFormat="1" hidden="1" x14ac:dyDescent="0.25">
      <c r="K5945" s="533"/>
      <c r="L5945" s="533"/>
      <c r="M5945" s="533"/>
      <c r="N5945" s="533"/>
      <c r="O5945" s="533"/>
      <c r="P5945" s="533"/>
      <c r="Q5945" s="533"/>
      <c r="R5945" s="533"/>
      <c r="S5945" s="533"/>
      <c r="T5945" s="533"/>
      <c r="U5945" s="533"/>
      <c r="V5945" s="533"/>
      <c r="W5945" s="533"/>
      <c r="X5945" s="533"/>
      <c r="Y5945" s="533"/>
    </row>
    <row r="5946" spans="11:25" s="88" customFormat="1" hidden="1" x14ac:dyDescent="0.25">
      <c r="K5946" s="533"/>
      <c r="L5946" s="533"/>
      <c r="M5946" s="533"/>
      <c r="N5946" s="533"/>
      <c r="O5946" s="533"/>
      <c r="P5946" s="533"/>
      <c r="Q5946" s="533"/>
      <c r="R5946" s="533"/>
      <c r="S5946" s="533"/>
      <c r="T5946" s="533"/>
      <c r="U5946" s="533"/>
      <c r="V5946" s="533"/>
      <c r="W5946" s="533"/>
      <c r="X5946" s="533"/>
      <c r="Y5946" s="533"/>
    </row>
    <row r="5947" spans="11:25" s="88" customFormat="1" hidden="1" x14ac:dyDescent="0.25">
      <c r="K5947" s="533"/>
      <c r="L5947" s="533"/>
      <c r="M5947" s="533"/>
      <c r="N5947" s="533"/>
      <c r="O5947" s="533"/>
      <c r="P5947" s="533"/>
      <c r="Q5947" s="533"/>
      <c r="R5947" s="533"/>
      <c r="S5947" s="533"/>
      <c r="T5947" s="533"/>
      <c r="U5947" s="533"/>
      <c r="V5947" s="533"/>
      <c r="W5947" s="533"/>
      <c r="X5947" s="533"/>
      <c r="Y5947" s="533"/>
    </row>
    <row r="5948" spans="11:25" s="88" customFormat="1" hidden="1" x14ac:dyDescent="0.25">
      <c r="K5948" s="533"/>
      <c r="L5948" s="533"/>
      <c r="M5948" s="533"/>
      <c r="N5948" s="533"/>
      <c r="O5948" s="533"/>
      <c r="P5948" s="533"/>
      <c r="Q5948" s="533"/>
      <c r="R5948" s="533"/>
      <c r="S5948" s="533"/>
      <c r="T5948" s="533"/>
      <c r="U5948" s="533"/>
      <c r="V5948" s="533"/>
      <c r="W5948" s="533"/>
      <c r="X5948" s="533"/>
      <c r="Y5948" s="533"/>
    </row>
    <row r="5949" spans="11:25" s="88" customFormat="1" hidden="1" x14ac:dyDescent="0.25">
      <c r="K5949" s="533"/>
      <c r="L5949" s="533"/>
      <c r="M5949" s="533"/>
      <c r="N5949" s="533"/>
      <c r="O5949" s="533"/>
      <c r="P5949" s="533"/>
      <c r="Q5949" s="533"/>
      <c r="R5949" s="533"/>
      <c r="S5949" s="533"/>
      <c r="T5949" s="533"/>
      <c r="U5949" s="533"/>
      <c r="V5949" s="533"/>
      <c r="W5949" s="533"/>
      <c r="X5949" s="533"/>
      <c r="Y5949" s="533"/>
    </row>
    <row r="5950" spans="11:25" s="88" customFormat="1" hidden="1" x14ac:dyDescent="0.25">
      <c r="K5950" s="533"/>
      <c r="L5950" s="533"/>
      <c r="M5950" s="533"/>
      <c r="N5950" s="533"/>
      <c r="O5950" s="533"/>
      <c r="P5950" s="533"/>
      <c r="Q5950" s="533"/>
      <c r="R5950" s="533"/>
      <c r="S5950" s="533"/>
      <c r="T5950" s="533"/>
      <c r="U5950" s="533"/>
      <c r="V5950" s="533"/>
      <c r="W5950" s="533"/>
      <c r="X5950" s="533"/>
      <c r="Y5950" s="533"/>
    </row>
    <row r="5951" spans="11:25" s="88" customFormat="1" hidden="1" x14ac:dyDescent="0.25">
      <c r="K5951" s="533"/>
      <c r="L5951" s="533"/>
      <c r="M5951" s="533"/>
      <c r="N5951" s="533"/>
      <c r="O5951" s="533"/>
      <c r="P5951" s="533"/>
      <c r="Q5951" s="533"/>
      <c r="R5951" s="533"/>
      <c r="S5951" s="533"/>
      <c r="T5951" s="533"/>
      <c r="U5951" s="533"/>
      <c r="V5951" s="533"/>
      <c r="W5951" s="533"/>
      <c r="X5951" s="533"/>
      <c r="Y5951" s="533"/>
    </row>
    <row r="5952" spans="11:25" s="88" customFormat="1" hidden="1" x14ac:dyDescent="0.25">
      <c r="K5952" s="533"/>
      <c r="L5952" s="533"/>
      <c r="M5952" s="533"/>
      <c r="N5952" s="533"/>
      <c r="O5952" s="533"/>
      <c r="P5952" s="533"/>
      <c r="Q5952" s="533"/>
      <c r="R5952" s="533"/>
      <c r="S5952" s="533"/>
      <c r="T5952" s="533"/>
      <c r="U5952" s="533"/>
      <c r="V5952" s="533"/>
      <c r="W5952" s="533"/>
      <c r="X5952" s="533"/>
      <c r="Y5952" s="533"/>
    </row>
    <row r="5953" spans="11:25" s="88" customFormat="1" hidden="1" x14ac:dyDescent="0.25">
      <c r="K5953" s="533"/>
      <c r="L5953" s="533"/>
      <c r="M5953" s="533"/>
      <c r="N5953" s="533"/>
      <c r="O5953" s="533"/>
      <c r="P5953" s="533"/>
      <c r="Q5953" s="533"/>
      <c r="R5953" s="533"/>
      <c r="S5953" s="533"/>
      <c r="T5953" s="533"/>
      <c r="U5953" s="533"/>
      <c r="V5953" s="533"/>
      <c r="W5953" s="533"/>
      <c r="X5953" s="533"/>
      <c r="Y5953" s="533"/>
    </row>
    <row r="5954" spans="11:25" s="88" customFormat="1" hidden="1" x14ac:dyDescent="0.25">
      <c r="K5954" s="533"/>
      <c r="L5954" s="533"/>
      <c r="M5954" s="533"/>
      <c r="N5954" s="533"/>
      <c r="O5954" s="533"/>
      <c r="P5954" s="533"/>
      <c r="Q5954" s="533"/>
      <c r="R5954" s="533"/>
      <c r="S5954" s="533"/>
      <c r="T5954" s="533"/>
      <c r="U5954" s="533"/>
      <c r="V5954" s="533"/>
      <c r="W5954" s="533"/>
      <c r="X5954" s="533"/>
      <c r="Y5954" s="533"/>
    </row>
    <row r="5955" spans="11:25" s="88" customFormat="1" hidden="1" x14ac:dyDescent="0.25">
      <c r="K5955" s="533"/>
      <c r="L5955" s="533"/>
      <c r="M5955" s="533"/>
      <c r="N5955" s="533"/>
      <c r="O5955" s="533"/>
      <c r="P5955" s="533"/>
      <c r="Q5955" s="533"/>
      <c r="R5955" s="533"/>
      <c r="S5955" s="533"/>
      <c r="T5955" s="533"/>
      <c r="U5955" s="533"/>
      <c r="V5955" s="533"/>
      <c r="W5955" s="533"/>
      <c r="X5955" s="533"/>
      <c r="Y5955" s="533"/>
    </row>
    <row r="5956" spans="11:25" s="88" customFormat="1" hidden="1" x14ac:dyDescent="0.25">
      <c r="K5956" s="533"/>
      <c r="L5956" s="533"/>
      <c r="M5956" s="533"/>
      <c r="N5956" s="533"/>
      <c r="O5956" s="533"/>
      <c r="P5956" s="533"/>
      <c r="Q5956" s="533"/>
      <c r="R5956" s="533"/>
      <c r="S5956" s="533"/>
      <c r="T5956" s="533"/>
      <c r="U5956" s="533"/>
      <c r="V5956" s="533"/>
      <c r="W5956" s="533"/>
      <c r="X5956" s="533"/>
      <c r="Y5956" s="533"/>
    </row>
    <row r="5957" spans="11:25" s="88" customFormat="1" hidden="1" x14ac:dyDescent="0.25">
      <c r="K5957" s="533"/>
      <c r="L5957" s="533"/>
      <c r="M5957" s="533"/>
      <c r="N5957" s="533"/>
      <c r="O5957" s="533"/>
      <c r="P5957" s="533"/>
      <c r="Q5957" s="533"/>
      <c r="R5957" s="533"/>
      <c r="S5957" s="533"/>
      <c r="T5957" s="533"/>
      <c r="U5957" s="533"/>
      <c r="V5957" s="533"/>
      <c r="W5957" s="533"/>
      <c r="X5957" s="533"/>
      <c r="Y5957" s="533"/>
    </row>
    <row r="5958" spans="11:25" s="88" customFormat="1" hidden="1" x14ac:dyDescent="0.25">
      <c r="K5958" s="533"/>
      <c r="L5958" s="533"/>
      <c r="M5958" s="533"/>
      <c r="N5958" s="533"/>
      <c r="O5958" s="533"/>
      <c r="P5958" s="533"/>
      <c r="Q5958" s="533"/>
      <c r="R5958" s="533"/>
      <c r="S5958" s="533"/>
      <c r="T5958" s="533"/>
      <c r="U5958" s="533"/>
      <c r="V5958" s="533"/>
      <c r="W5958" s="533"/>
      <c r="X5958" s="533"/>
      <c r="Y5958" s="533"/>
    </row>
    <row r="5959" spans="11:25" s="88" customFormat="1" hidden="1" x14ac:dyDescent="0.25">
      <c r="K5959" s="533"/>
      <c r="L5959" s="533"/>
      <c r="M5959" s="533"/>
      <c r="N5959" s="533"/>
      <c r="O5959" s="533"/>
      <c r="P5959" s="533"/>
      <c r="Q5959" s="533"/>
      <c r="R5959" s="533"/>
      <c r="S5959" s="533"/>
      <c r="T5959" s="533"/>
      <c r="U5959" s="533"/>
      <c r="V5959" s="533"/>
      <c r="W5959" s="533"/>
      <c r="X5959" s="533"/>
      <c r="Y5959" s="533"/>
    </row>
    <row r="5960" spans="11:25" s="88" customFormat="1" hidden="1" x14ac:dyDescent="0.25">
      <c r="K5960" s="533"/>
      <c r="L5960" s="533"/>
      <c r="M5960" s="533"/>
      <c r="N5960" s="533"/>
      <c r="O5960" s="533"/>
      <c r="P5960" s="533"/>
      <c r="Q5960" s="533"/>
      <c r="R5960" s="533"/>
      <c r="S5960" s="533"/>
      <c r="T5960" s="533"/>
      <c r="U5960" s="533"/>
      <c r="V5960" s="533"/>
      <c r="W5960" s="533"/>
      <c r="X5960" s="533"/>
      <c r="Y5960" s="533"/>
    </row>
    <row r="5961" spans="11:25" s="88" customFormat="1" hidden="1" x14ac:dyDescent="0.25">
      <c r="K5961" s="533"/>
      <c r="L5961" s="533"/>
      <c r="M5961" s="533"/>
      <c r="N5961" s="533"/>
      <c r="O5961" s="533"/>
      <c r="P5961" s="533"/>
      <c r="Q5961" s="533"/>
      <c r="R5961" s="533"/>
      <c r="S5961" s="533"/>
      <c r="T5961" s="533"/>
      <c r="U5961" s="533"/>
      <c r="V5961" s="533"/>
      <c r="W5961" s="533"/>
      <c r="X5961" s="533"/>
      <c r="Y5961" s="533"/>
    </row>
    <row r="5962" spans="11:25" s="88" customFormat="1" hidden="1" x14ac:dyDescent="0.25">
      <c r="K5962" s="533"/>
      <c r="L5962" s="533"/>
      <c r="M5962" s="533"/>
      <c r="N5962" s="533"/>
      <c r="O5962" s="533"/>
      <c r="P5962" s="533"/>
      <c r="Q5962" s="533"/>
      <c r="R5962" s="533"/>
      <c r="S5962" s="533"/>
      <c r="T5962" s="533"/>
      <c r="U5962" s="533"/>
      <c r="V5962" s="533"/>
      <c r="W5962" s="533"/>
      <c r="X5962" s="533"/>
      <c r="Y5962" s="533"/>
    </row>
    <row r="5963" spans="11:25" s="88" customFormat="1" hidden="1" x14ac:dyDescent="0.25">
      <c r="K5963" s="533"/>
      <c r="L5963" s="533"/>
      <c r="M5963" s="533"/>
      <c r="N5963" s="533"/>
      <c r="O5963" s="533"/>
      <c r="P5963" s="533"/>
      <c r="Q5963" s="533"/>
      <c r="R5963" s="533"/>
      <c r="S5963" s="533"/>
      <c r="T5963" s="533"/>
      <c r="U5963" s="533"/>
      <c r="V5963" s="533"/>
      <c r="W5963" s="533"/>
      <c r="X5963" s="533"/>
      <c r="Y5963" s="533"/>
    </row>
    <row r="5964" spans="11:25" s="88" customFormat="1" hidden="1" x14ac:dyDescent="0.25">
      <c r="K5964" s="533"/>
      <c r="L5964" s="533"/>
      <c r="M5964" s="533"/>
      <c r="N5964" s="533"/>
      <c r="O5964" s="533"/>
      <c r="P5964" s="533"/>
      <c r="Q5964" s="533"/>
      <c r="R5964" s="533"/>
      <c r="S5964" s="533"/>
      <c r="T5964" s="533"/>
      <c r="U5964" s="533"/>
      <c r="V5964" s="533"/>
      <c r="W5964" s="533"/>
      <c r="X5964" s="533"/>
      <c r="Y5964" s="533"/>
    </row>
    <row r="5965" spans="11:25" s="88" customFormat="1" hidden="1" x14ac:dyDescent="0.25">
      <c r="K5965" s="533"/>
      <c r="L5965" s="533"/>
      <c r="M5965" s="533"/>
      <c r="N5965" s="533"/>
      <c r="O5965" s="533"/>
      <c r="P5965" s="533"/>
      <c r="Q5965" s="533"/>
      <c r="R5965" s="533"/>
      <c r="S5965" s="533"/>
      <c r="T5965" s="533"/>
      <c r="U5965" s="533"/>
      <c r="V5965" s="533"/>
      <c r="W5965" s="533"/>
      <c r="X5965" s="533"/>
      <c r="Y5965" s="533"/>
    </row>
    <row r="5966" spans="11:25" s="88" customFormat="1" hidden="1" x14ac:dyDescent="0.25">
      <c r="K5966" s="533"/>
      <c r="L5966" s="533"/>
      <c r="M5966" s="533"/>
      <c r="N5966" s="533"/>
      <c r="O5966" s="533"/>
      <c r="P5966" s="533"/>
      <c r="Q5966" s="533"/>
      <c r="R5966" s="533"/>
      <c r="S5966" s="533"/>
      <c r="T5966" s="533"/>
      <c r="U5966" s="533"/>
      <c r="V5966" s="533"/>
      <c r="W5966" s="533"/>
      <c r="X5966" s="533"/>
      <c r="Y5966" s="533"/>
    </row>
    <row r="5967" spans="11:25" s="88" customFormat="1" hidden="1" x14ac:dyDescent="0.25">
      <c r="K5967" s="533"/>
      <c r="L5967" s="533"/>
      <c r="M5967" s="533"/>
      <c r="N5967" s="533"/>
      <c r="O5967" s="533"/>
      <c r="P5967" s="533"/>
      <c r="Q5967" s="533"/>
      <c r="R5967" s="533"/>
      <c r="S5967" s="533"/>
      <c r="T5967" s="533"/>
      <c r="U5967" s="533"/>
      <c r="V5967" s="533"/>
      <c r="W5967" s="533"/>
      <c r="X5967" s="533"/>
      <c r="Y5967" s="533"/>
    </row>
    <row r="5968" spans="11:25" s="88" customFormat="1" hidden="1" x14ac:dyDescent="0.25">
      <c r="K5968" s="533"/>
      <c r="L5968" s="533"/>
      <c r="M5968" s="533"/>
      <c r="N5968" s="533"/>
      <c r="O5968" s="533"/>
      <c r="P5968" s="533"/>
      <c r="Q5968" s="533"/>
      <c r="R5968" s="533"/>
      <c r="S5968" s="533"/>
      <c r="T5968" s="533"/>
      <c r="U5968" s="533"/>
      <c r="V5968" s="533"/>
      <c r="W5968" s="533"/>
      <c r="X5968" s="533"/>
      <c r="Y5968" s="533"/>
    </row>
    <row r="5969" spans="11:25" s="88" customFormat="1" hidden="1" x14ac:dyDescent="0.25">
      <c r="K5969" s="533"/>
      <c r="L5969" s="533"/>
      <c r="M5969" s="533"/>
      <c r="N5969" s="533"/>
      <c r="O5969" s="533"/>
      <c r="P5969" s="533"/>
      <c r="Q5969" s="533"/>
      <c r="R5969" s="533"/>
      <c r="S5969" s="533"/>
      <c r="T5969" s="533"/>
      <c r="U5969" s="533"/>
      <c r="V5969" s="533"/>
      <c r="W5969" s="533"/>
      <c r="X5969" s="533"/>
      <c r="Y5969" s="533"/>
    </row>
    <row r="5970" spans="11:25" s="88" customFormat="1" hidden="1" x14ac:dyDescent="0.25">
      <c r="K5970" s="533"/>
      <c r="L5970" s="533"/>
      <c r="M5970" s="533"/>
      <c r="N5970" s="533"/>
      <c r="O5970" s="533"/>
      <c r="P5970" s="533"/>
      <c r="Q5970" s="533"/>
      <c r="R5970" s="533"/>
      <c r="S5970" s="533"/>
      <c r="T5970" s="533"/>
      <c r="U5970" s="533"/>
      <c r="V5970" s="533"/>
      <c r="W5970" s="533"/>
      <c r="X5970" s="533"/>
      <c r="Y5970" s="533"/>
    </row>
    <row r="5971" spans="11:25" s="88" customFormat="1" hidden="1" x14ac:dyDescent="0.25">
      <c r="K5971" s="533"/>
      <c r="L5971" s="533"/>
      <c r="M5971" s="533"/>
      <c r="N5971" s="533"/>
      <c r="O5971" s="533"/>
      <c r="P5971" s="533"/>
      <c r="Q5971" s="533"/>
      <c r="R5971" s="533"/>
      <c r="S5971" s="533"/>
      <c r="T5971" s="533"/>
      <c r="U5971" s="533"/>
      <c r="V5971" s="533"/>
      <c r="W5971" s="533"/>
      <c r="X5971" s="533"/>
      <c r="Y5971" s="533"/>
    </row>
    <row r="5972" spans="11:25" s="88" customFormat="1" hidden="1" x14ac:dyDescent="0.25">
      <c r="K5972" s="533"/>
      <c r="L5972" s="533"/>
      <c r="M5972" s="533"/>
      <c r="N5972" s="533"/>
      <c r="O5972" s="533"/>
      <c r="P5972" s="533"/>
      <c r="Q5972" s="533"/>
      <c r="R5972" s="533"/>
      <c r="S5972" s="533"/>
      <c r="T5972" s="533"/>
      <c r="U5972" s="533"/>
      <c r="V5972" s="533"/>
      <c r="W5972" s="533"/>
      <c r="X5972" s="533"/>
      <c r="Y5972" s="533"/>
    </row>
    <row r="5973" spans="11:25" s="88" customFormat="1" hidden="1" x14ac:dyDescent="0.25">
      <c r="K5973" s="533"/>
      <c r="L5973" s="533"/>
      <c r="M5973" s="533"/>
      <c r="N5973" s="533"/>
      <c r="O5973" s="533"/>
      <c r="P5973" s="533"/>
      <c r="Q5973" s="533"/>
      <c r="R5973" s="533"/>
      <c r="S5973" s="533"/>
      <c r="T5973" s="533"/>
      <c r="U5973" s="533"/>
      <c r="V5973" s="533"/>
      <c r="W5973" s="533"/>
      <c r="X5973" s="533"/>
      <c r="Y5973" s="533"/>
    </row>
    <row r="5974" spans="11:25" s="88" customFormat="1" hidden="1" x14ac:dyDescent="0.25">
      <c r="K5974" s="533"/>
      <c r="L5974" s="533"/>
      <c r="M5974" s="533"/>
      <c r="N5974" s="533"/>
      <c r="O5974" s="533"/>
      <c r="P5974" s="533"/>
      <c r="Q5974" s="533"/>
      <c r="R5974" s="533"/>
      <c r="S5974" s="533"/>
      <c r="T5974" s="533"/>
      <c r="U5974" s="533"/>
      <c r="V5974" s="533"/>
      <c r="W5974" s="533"/>
      <c r="X5974" s="533"/>
      <c r="Y5974" s="533"/>
    </row>
    <row r="5975" spans="11:25" s="88" customFormat="1" hidden="1" x14ac:dyDescent="0.25">
      <c r="K5975" s="533"/>
      <c r="L5975" s="533"/>
      <c r="M5975" s="533"/>
      <c r="N5975" s="533"/>
      <c r="O5975" s="533"/>
      <c r="P5975" s="533"/>
      <c r="Q5975" s="533"/>
      <c r="R5975" s="533"/>
      <c r="S5975" s="533"/>
      <c r="T5975" s="533"/>
      <c r="U5975" s="533"/>
      <c r="V5975" s="533"/>
      <c r="W5975" s="533"/>
      <c r="X5975" s="533"/>
      <c r="Y5975" s="533"/>
    </row>
    <row r="5976" spans="11:25" s="88" customFormat="1" hidden="1" x14ac:dyDescent="0.25">
      <c r="K5976" s="533"/>
      <c r="L5976" s="533"/>
      <c r="M5976" s="533"/>
      <c r="N5976" s="533"/>
      <c r="O5976" s="533"/>
      <c r="P5976" s="533"/>
      <c r="Q5976" s="533"/>
      <c r="R5976" s="533"/>
      <c r="S5976" s="533"/>
      <c r="T5976" s="533"/>
      <c r="U5976" s="533"/>
      <c r="V5976" s="533"/>
      <c r="W5976" s="533"/>
      <c r="X5976" s="533"/>
      <c r="Y5976" s="533"/>
    </row>
    <row r="5977" spans="11:25" s="88" customFormat="1" hidden="1" x14ac:dyDescent="0.25">
      <c r="K5977" s="533"/>
      <c r="L5977" s="533"/>
      <c r="M5977" s="533"/>
      <c r="N5977" s="533"/>
      <c r="O5977" s="533"/>
      <c r="P5977" s="533"/>
      <c r="Q5977" s="533"/>
      <c r="R5977" s="533"/>
      <c r="S5977" s="533"/>
      <c r="T5977" s="533"/>
      <c r="U5977" s="533"/>
      <c r="V5977" s="533"/>
      <c r="W5977" s="533"/>
      <c r="X5977" s="533"/>
      <c r="Y5977" s="533"/>
    </row>
    <row r="5978" spans="11:25" s="88" customFormat="1" hidden="1" x14ac:dyDescent="0.25">
      <c r="K5978" s="533"/>
      <c r="L5978" s="533"/>
      <c r="M5978" s="533"/>
      <c r="N5978" s="533"/>
      <c r="O5978" s="533"/>
      <c r="P5978" s="533"/>
      <c r="Q5978" s="533"/>
      <c r="R5978" s="533"/>
      <c r="S5978" s="533"/>
      <c r="T5978" s="533"/>
      <c r="U5978" s="533"/>
      <c r="V5978" s="533"/>
      <c r="W5978" s="533"/>
      <c r="X5978" s="533"/>
      <c r="Y5978" s="533"/>
    </row>
    <row r="5979" spans="11:25" s="88" customFormat="1" hidden="1" x14ac:dyDescent="0.25">
      <c r="K5979" s="533"/>
      <c r="L5979" s="533"/>
      <c r="M5979" s="533"/>
      <c r="N5979" s="533"/>
      <c r="O5979" s="533"/>
      <c r="P5979" s="533"/>
      <c r="Q5979" s="533"/>
      <c r="R5979" s="533"/>
      <c r="S5979" s="533"/>
      <c r="T5979" s="533"/>
      <c r="U5979" s="533"/>
      <c r="V5979" s="533"/>
      <c r="W5979" s="533"/>
      <c r="X5979" s="533"/>
      <c r="Y5979" s="533"/>
    </row>
    <row r="5980" spans="11:25" s="88" customFormat="1" hidden="1" x14ac:dyDescent="0.25">
      <c r="K5980" s="533"/>
      <c r="L5980" s="533"/>
      <c r="M5980" s="533"/>
      <c r="N5980" s="533"/>
      <c r="O5980" s="533"/>
      <c r="P5980" s="533"/>
      <c r="Q5980" s="533"/>
      <c r="R5980" s="533"/>
      <c r="S5980" s="533"/>
      <c r="T5980" s="533"/>
      <c r="U5980" s="533"/>
      <c r="V5980" s="533"/>
      <c r="W5980" s="533"/>
      <c r="X5980" s="533"/>
      <c r="Y5980" s="533"/>
    </row>
    <row r="5981" spans="11:25" s="88" customFormat="1" hidden="1" x14ac:dyDescent="0.25">
      <c r="K5981" s="533"/>
      <c r="L5981" s="533"/>
      <c r="M5981" s="533"/>
      <c r="N5981" s="533"/>
      <c r="O5981" s="533"/>
      <c r="P5981" s="533"/>
      <c r="Q5981" s="533"/>
      <c r="R5981" s="533"/>
      <c r="S5981" s="533"/>
      <c r="T5981" s="533"/>
      <c r="U5981" s="533"/>
      <c r="V5981" s="533"/>
      <c r="W5981" s="533"/>
      <c r="X5981" s="533"/>
      <c r="Y5981" s="533"/>
    </row>
    <row r="5982" spans="11:25" s="88" customFormat="1" hidden="1" x14ac:dyDescent="0.25">
      <c r="K5982" s="533"/>
      <c r="L5982" s="533"/>
      <c r="M5982" s="533"/>
      <c r="N5982" s="533"/>
      <c r="O5982" s="533"/>
      <c r="P5982" s="533"/>
      <c r="Q5982" s="533"/>
      <c r="R5982" s="533"/>
      <c r="S5982" s="533"/>
      <c r="T5982" s="533"/>
      <c r="U5982" s="533"/>
      <c r="V5982" s="533"/>
      <c r="W5982" s="533"/>
      <c r="X5982" s="533"/>
      <c r="Y5982" s="533"/>
    </row>
    <row r="5983" spans="11:25" s="88" customFormat="1" hidden="1" x14ac:dyDescent="0.25">
      <c r="K5983" s="533"/>
      <c r="L5983" s="533"/>
      <c r="M5983" s="533"/>
      <c r="N5983" s="533"/>
      <c r="O5983" s="533"/>
      <c r="P5983" s="533"/>
      <c r="Q5983" s="533"/>
      <c r="R5983" s="533"/>
      <c r="S5983" s="533"/>
      <c r="T5983" s="533"/>
      <c r="U5983" s="533"/>
      <c r="V5983" s="533"/>
      <c r="W5983" s="533"/>
      <c r="X5983" s="533"/>
      <c r="Y5983" s="533"/>
    </row>
    <row r="5984" spans="11:25" s="88" customFormat="1" hidden="1" x14ac:dyDescent="0.25">
      <c r="K5984" s="533"/>
      <c r="L5984" s="533"/>
      <c r="M5984" s="533"/>
      <c r="N5984" s="533"/>
      <c r="O5984" s="533"/>
      <c r="P5984" s="533"/>
      <c r="Q5984" s="533"/>
      <c r="R5984" s="533"/>
      <c r="S5984" s="533"/>
      <c r="T5984" s="533"/>
      <c r="U5984" s="533"/>
      <c r="V5984" s="533"/>
      <c r="W5984" s="533"/>
      <c r="X5984" s="533"/>
      <c r="Y5984" s="533"/>
    </row>
    <row r="5985" spans="1:25" s="88" customFormat="1" hidden="1" x14ac:dyDescent="0.25">
      <c r="K5985" s="533"/>
      <c r="L5985" s="533"/>
      <c r="M5985" s="533"/>
      <c r="N5985" s="533"/>
      <c r="O5985" s="533"/>
      <c r="P5985" s="533"/>
      <c r="Q5985" s="533"/>
      <c r="R5985" s="533"/>
      <c r="S5985" s="533"/>
      <c r="T5985" s="533"/>
      <c r="U5985" s="533"/>
      <c r="V5985" s="533"/>
      <c r="W5985" s="533"/>
      <c r="X5985" s="533"/>
      <c r="Y5985" s="533"/>
    </row>
    <row r="5986" spans="1:25" s="88" customFormat="1" hidden="1" x14ac:dyDescent="0.25">
      <c r="A5986" s="509"/>
      <c r="B5986" s="256"/>
      <c r="C5986" s="316"/>
      <c r="D5986" s="251"/>
      <c r="E5986" s="251"/>
      <c r="F5986" s="257"/>
      <c r="G5986" s="518"/>
      <c r="H5986" s="627"/>
      <c r="I5986" s="610"/>
      <c r="J5986" s="628"/>
      <c r="K5986" s="533"/>
      <c r="L5986" s="533"/>
      <c r="M5986" s="533"/>
      <c r="N5986" s="533"/>
      <c r="O5986" s="533"/>
      <c r="P5986" s="533"/>
      <c r="Q5986" s="533"/>
      <c r="R5986" s="533"/>
      <c r="S5986" s="533"/>
      <c r="T5986" s="533"/>
      <c r="U5986" s="533"/>
      <c r="V5986" s="533"/>
      <c r="W5986" s="533"/>
      <c r="X5986" s="533"/>
      <c r="Y5986" s="533"/>
    </row>
    <row r="5987" spans="1:25" s="88" customFormat="1" hidden="1" x14ac:dyDescent="0.25">
      <c r="A5987" s="509"/>
      <c r="B5987" s="256"/>
      <c r="C5987" s="228" t="s">
        <v>4963</v>
      </c>
      <c r="D5987" s="219"/>
      <c r="E5987" s="218"/>
      <c r="F5987" s="218"/>
      <c r="G5987" s="296"/>
      <c r="H5987" s="594"/>
      <c r="I5987" s="595"/>
      <c r="J5987" s="595"/>
      <c r="K5987" s="533"/>
      <c r="L5987" s="533"/>
      <c r="M5987" s="533"/>
      <c r="N5987" s="533"/>
      <c r="O5987" s="533"/>
      <c r="P5987" s="533"/>
      <c r="Q5987" s="533"/>
      <c r="R5987" s="533"/>
      <c r="S5987" s="533"/>
      <c r="T5987" s="533"/>
      <c r="U5987" s="533"/>
      <c r="V5987" s="533"/>
      <c r="W5987" s="533"/>
      <c r="X5987" s="533"/>
      <c r="Y5987" s="533"/>
    </row>
    <row r="5988" spans="1:25" s="88" customFormat="1" hidden="1" x14ac:dyDescent="0.25">
      <c r="A5988" s="509"/>
      <c r="B5988" s="256"/>
      <c r="C5988" s="228"/>
      <c r="D5988" s="312">
        <v>150</v>
      </c>
      <c r="E5988" s="312"/>
      <c r="F5988" s="312"/>
      <c r="G5988" s="338" t="s">
        <v>4315</v>
      </c>
      <c r="H5988" s="594"/>
      <c r="I5988" s="595"/>
      <c r="J5988" s="595"/>
      <c r="K5988" s="533"/>
      <c r="L5988" s="533"/>
      <c r="M5988" s="533"/>
      <c r="N5988" s="533"/>
      <c r="O5988" s="533"/>
      <c r="P5988" s="533"/>
      <c r="Q5988" s="533"/>
      <c r="R5988" s="533"/>
      <c r="S5988" s="533"/>
      <c r="T5988" s="533"/>
      <c r="U5988" s="533"/>
      <c r="V5988" s="533"/>
      <c r="W5988" s="533"/>
      <c r="X5988" s="533"/>
      <c r="Y5988" s="533"/>
    </row>
    <row r="5989" spans="1:25" s="88" customFormat="1" hidden="1" x14ac:dyDescent="0.25">
      <c r="A5989" s="509"/>
      <c r="B5989" s="256"/>
      <c r="C5989" s="221"/>
      <c r="D5989" s="218"/>
      <c r="E5989" s="218"/>
      <c r="F5989" s="290">
        <v>411</v>
      </c>
      <c r="G5989" s="295" t="s">
        <v>4189</v>
      </c>
      <c r="H5989" s="594"/>
      <c r="I5989" s="595"/>
      <c r="J5989" s="595">
        <f t="shared" ref="J5989:J6020" si="177">SUM(H5989:I5989)</f>
        <v>0</v>
      </c>
      <c r="K5989" s="533"/>
      <c r="L5989" s="533"/>
      <c r="M5989" s="533"/>
      <c r="N5989" s="533"/>
      <c r="O5989" s="533"/>
      <c r="P5989" s="533"/>
      <c r="Q5989" s="533"/>
      <c r="R5989" s="533"/>
      <c r="S5989" s="533"/>
      <c r="T5989" s="533"/>
      <c r="U5989" s="533"/>
      <c r="V5989" s="533"/>
      <c r="W5989" s="533"/>
      <c r="X5989" s="533"/>
      <c r="Y5989" s="533"/>
    </row>
    <row r="5990" spans="1:25" s="88" customFormat="1" hidden="1" x14ac:dyDescent="0.25">
      <c r="A5990" s="509"/>
      <c r="B5990" s="256"/>
      <c r="C5990" s="221"/>
      <c r="D5990" s="218"/>
      <c r="E5990" s="218"/>
      <c r="F5990" s="290">
        <v>412</v>
      </c>
      <c r="G5990" s="292" t="s">
        <v>3784</v>
      </c>
      <c r="H5990" s="594"/>
      <c r="I5990" s="595"/>
      <c r="J5990" s="595">
        <f t="shared" si="177"/>
        <v>0</v>
      </c>
      <c r="K5990" s="533"/>
      <c r="L5990" s="533"/>
      <c r="M5990" s="533"/>
      <c r="N5990" s="533"/>
      <c r="O5990" s="533"/>
      <c r="P5990" s="533"/>
      <c r="Q5990" s="533"/>
      <c r="R5990" s="533"/>
      <c r="S5990" s="533"/>
      <c r="T5990" s="533"/>
      <c r="U5990" s="533"/>
      <c r="V5990" s="533"/>
      <c r="W5990" s="533"/>
      <c r="X5990" s="533"/>
      <c r="Y5990" s="533"/>
    </row>
    <row r="5991" spans="1:25" s="88" customFormat="1" hidden="1" x14ac:dyDescent="0.25">
      <c r="A5991" s="509"/>
      <c r="B5991" s="256"/>
      <c r="C5991" s="221"/>
      <c r="D5991" s="218"/>
      <c r="E5991" s="218"/>
      <c r="F5991" s="290">
        <v>413</v>
      </c>
      <c r="G5991" s="295" t="s">
        <v>4190</v>
      </c>
      <c r="H5991" s="594"/>
      <c r="I5991" s="595"/>
      <c r="J5991" s="595">
        <f t="shared" si="177"/>
        <v>0</v>
      </c>
      <c r="K5991" s="533"/>
      <c r="L5991" s="533"/>
      <c r="M5991" s="533"/>
      <c r="N5991" s="533"/>
      <c r="O5991" s="533"/>
      <c r="P5991" s="533"/>
      <c r="Q5991" s="533"/>
      <c r="R5991" s="533"/>
      <c r="S5991" s="533"/>
      <c r="T5991" s="533"/>
      <c r="U5991" s="533"/>
      <c r="V5991" s="533"/>
      <c r="W5991" s="533"/>
      <c r="X5991" s="533"/>
      <c r="Y5991" s="533"/>
    </row>
    <row r="5992" spans="1:25" s="88" customFormat="1" hidden="1" x14ac:dyDescent="0.25">
      <c r="A5992" s="509"/>
      <c r="B5992" s="256"/>
      <c r="C5992" s="221"/>
      <c r="D5992" s="218"/>
      <c r="E5992" s="218"/>
      <c r="F5992" s="290">
        <v>414</v>
      </c>
      <c r="G5992" s="295" t="s">
        <v>3787</v>
      </c>
      <c r="H5992" s="594"/>
      <c r="I5992" s="595"/>
      <c r="J5992" s="595">
        <f t="shared" si="177"/>
        <v>0</v>
      </c>
      <c r="K5992" s="533"/>
      <c r="L5992" s="533"/>
      <c r="M5992" s="533"/>
      <c r="N5992" s="533"/>
      <c r="O5992" s="533"/>
      <c r="P5992" s="533"/>
      <c r="Q5992" s="533"/>
      <c r="R5992" s="533"/>
      <c r="S5992" s="533"/>
      <c r="T5992" s="533"/>
      <c r="U5992" s="533"/>
      <c r="V5992" s="533"/>
      <c r="W5992" s="533"/>
      <c r="X5992" s="533"/>
      <c r="Y5992" s="533"/>
    </row>
    <row r="5993" spans="1:25" s="88" customFormat="1" hidden="1" x14ac:dyDescent="0.25">
      <c r="A5993" s="509"/>
      <c r="B5993" s="256"/>
      <c r="C5993" s="221"/>
      <c r="D5993" s="218"/>
      <c r="E5993" s="218"/>
      <c r="F5993" s="290">
        <v>415</v>
      </c>
      <c r="G5993" s="295" t="s">
        <v>4199</v>
      </c>
      <c r="H5993" s="594"/>
      <c r="I5993" s="595"/>
      <c r="J5993" s="595">
        <f t="shared" si="177"/>
        <v>0</v>
      </c>
      <c r="K5993" s="533"/>
      <c r="L5993" s="533"/>
      <c r="M5993" s="533"/>
      <c r="N5993" s="533"/>
      <c r="O5993" s="533"/>
      <c r="P5993" s="533"/>
      <c r="Q5993" s="533"/>
      <c r="R5993" s="533"/>
      <c r="S5993" s="533"/>
      <c r="T5993" s="533"/>
      <c r="U5993" s="533"/>
      <c r="V5993" s="533"/>
      <c r="W5993" s="533"/>
      <c r="X5993" s="533"/>
      <c r="Y5993" s="533"/>
    </row>
    <row r="5994" spans="1:25" s="88" customFormat="1" hidden="1" x14ac:dyDescent="0.25">
      <c r="A5994" s="509"/>
      <c r="B5994" s="256"/>
      <c r="C5994" s="221"/>
      <c r="D5994" s="218"/>
      <c r="E5994" s="218"/>
      <c r="F5994" s="290">
        <v>416</v>
      </c>
      <c r="G5994" s="295" t="s">
        <v>4200</v>
      </c>
      <c r="H5994" s="594"/>
      <c r="I5994" s="595"/>
      <c r="J5994" s="595">
        <f t="shared" si="177"/>
        <v>0</v>
      </c>
      <c r="K5994" s="533"/>
      <c r="L5994" s="533"/>
      <c r="M5994" s="533"/>
      <c r="N5994" s="533"/>
      <c r="O5994" s="533"/>
      <c r="P5994" s="533"/>
      <c r="Q5994" s="533"/>
      <c r="R5994" s="533"/>
      <c r="S5994" s="533"/>
      <c r="T5994" s="533"/>
      <c r="U5994" s="533"/>
      <c r="V5994" s="533"/>
      <c r="W5994" s="533"/>
      <c r="X5994" s="533"/>
      <c r="Y5994" s="533"/>
    </row>
    <row r="5995" spans="1:25" s="88" customFormat="1" hidden="1" x14ac:dyDescent="0.25">
      <c r="A5995" s="509"/>
      <c r="B5995" s="256"/>
      <c r="C5995" s="221"/>
      <c r="D5995" s="218"/>
      <c r="E5995" s="218"/>
      <c r="F5995" s="290">
        <v>417</v>
      </c>
      <c r="G5995" s="295" t="s">
        <v>4201</v>
      </c>
      <c r="H5995" s="594"/>
      <c r="I5995" s="595"/>
      <c r="J5995" s="595">
        <f t="shared" si="177"/>
        <v>0</v>
      </c>
      <c r="K5995" s="533"/>
      <c r="L5995" s="533"/>
      <c r="M5995" s="533"/>
      <c r="N5995" s="533"/>
      <c r="O5995" s="533"/>
      <c r="P5995" s="533"/>
      <c r="Q5995" s="533"/>
      <c r="R5995" s="533"/>
      <c r="S5995" s="533"/>
      <c r="T5995" s="533"/>
      <c r="U5995" s="533"/>
      <c r="V5995" s="533"/>
      <c r="W5995" s="533"/>
      <c r="X5995" s="533"/>
      <c r="Y5995" s="533"/>
    </row>
    <row r="5996" spans="1:25" s="88" customFormat="1" hidden="1" x14ac:dyDescent="0.25">
      <c r="A5996" s="509"/>
      <c r="B5996" s="256"/>
      <c r="C5996" s="221"/>
      <c r="D5996" s="218"/>
      <c r="E5996" s="218"/>
      <c r="F5996" s="290">
        <v>418</v>
      </c>
      <c r="G5996" s="295" t="s">
        <v>3793</v>
      </c>
      <c r="H5996" s="594"/>
      <c r="I5996" s="595"/>
      <c r="J5996" s="595">
        <f t="shared" si="177"/>
        <v>0</v>
      </c>
      <c r="K5996" s="533"/>
      <c r="L5996" s="533"/>
      <c r="M5996" s="533"/>
      <c r="N5996" s="533"/>
      <c r="O5996" s="533"/>
      <c r="P5996" s="533"/>
      <c r="Q5996" s="533"/>
      <c r="R5996" s="533"/>
      <c r="S5996" s="533"/>
      <c r="T5996" s="533"/>
      <c r="U5996" s="533"/>
      <c r="V5996" s="533"/>
      <c r="W5996" s="533"/>
      <c r="X5996" s="533"/>
      <c r="Y5996" s="533"/>
    </row>
    <row r="5997" spans="1:25" s="88" customFormat="1" hidden="1" x14ac:dyDescent="0.25">
      <c r="A5997" s="509"/>
      <c r="B5997" s="256"/>
      <c r="C5997" s="221"/>
      <c r="D5997" s="218"/>
      <c r="E5997" s="218"/>
      <c r="F5997" s="290">
        <v>421</v>
      </c>
      <c r="G5997" s="295" t="s">
        <v>3797</v>
      </c>
      <c r="H5997" s="594"/>
      <c r="I5997" s="595"/>
      <c r="J5997" s="595">
        <f t="shared" si="177"/>
        <v>0</v>
      </c>
      <c r="K5997" s="533"/>
      <c r="L5997" s="533"/>
      <c r="M5997" s="533"/>
      <c r="N5997" s="533"/>
      <c r="O5997" s="533"/>
      <c r="P5997" s="533"/>
      <c r="Q5997" s="533"/>
      <c r="R5997" s="533"/>
      <c r="S5997" s="533"/>
      <c r="T5997" s="533"/>
      <c r="U5997" s="533"/>
      <c r="V5997" s="533"/>
      <c r="W5997" s="533"/>
      <c r="X5997" s="533"/>
      <c r="Y5997" s="533"/>
    </row>
    <row r="5998" spans="1:25" s="88" customFormat="1" hidden="1" x14ac:dyDescent="0.25">
      <c r="A5998" s="509"/>
      <c r="B5998" s="256"/>
      <c r="C5998" s="221"/>
      <c r="D5998" s="218"/>
      <c r="E5998" s="218"/>
      <c r="F5998" s="290">
        <v>422</v>
      </c>
      <c r="G5998" s="295" t="s">
        <v>3798</v>
      </c>
      <c r="H5998" s="594"/>
      <c r="I5998" s="595"/>
      <c r="J5998" s="595">
        <f t="shared" si="177"/>
        <v>0</v>
      </c>
      <c r="K5998" s="533"/>
      <c r="L5998" s="533"/>
      <c r="M5998" s="533"/>
      <c r="N5998" s="533"/>
      <c r="O5998" s="533"/>
      <c r="P5998" s="533"/>
      <c r="Q5998" s="533"/>
      <c r="R5998" s="533"/>
      <c r="S5998" s="533"/>
      <c r="T5998" s="533"/>
      <c r="U5998" s="533"/>
      <c r="V5998" s="533"/>
      <c r="W5998" s="533"/>
      <c r="X5998" s="533"/>
      <c r="Y5998" s="533"/>
    </row>
    <row r="5999" spans="1:25" s="88" customFormat="1" hidden="1" x14ac:dyDescent="0.25">
      <c r="A5999" s="509"/>
      <c r="B5999" s="256"/>
      <c r="C5999" s="221"/>
      <c r="D5999" s="218"/>
      <c r="E5999" s="218"/>
      <c r="F5999" s="290">
        <v>423</v>
      </c>
      <c r="G5999" s="295" t="s">
        <v>3799</v>
      </c>
      <c r="H5999" s="594"/>
      <c r="I5999" s="595"/>
      <c r="J5999" s="595">
        <f t="shared" si="177"/>
        <v>0</v>
      </c>
      <c r="K5999" s="533"/>
      <c r="L5999" s="533"/>
      <c r="M5999" s="533"/>
      <c r="N5999" s="533"/>
      <c r="O5999" s="533"/>
      <c r="P5999" s="533"/>
      <c r="Q5999" s="533"/>
      <c r="R5999" s="533"/>
      <c r="S5999" s="533"/>
      <c r="T5999" s="533"/>
      <c r="U5999" s="533"/>
      <c r="V5999" s="533"/>
      <c r="W5999" s="533"/>
      <c r="X5999" s="533"/>
      <c r="Y5999" s="533"/>
    </row>
    <row r="6000" spans="1:25" s="88" customFormat="1" hidden="1" x14ac:dyDescent="0.25">
      <c r="A6000" s="509"/>
      <c r="B6000" s="256"/>
      <c r="C6000" s="221"/>
      <c r="D6000" s="218"/>
      <c r="E6000" s="218"/>
      <c r="F6000" s="290">
        <v>424</v>
      </c>
      <c r="G6000" s="295" t="s">
        <v>3801</v>
      </c>
      <c r="H6000" s="594"/>
      <c r="I6000" s="595"/>
      <c r="J6000" s="595">
        <f t="shared" si="177"/>
        <v>0</v>
      </c>
      <c r="K6000" s="533"/>
      <c r="L6000" s="533"/>
      <c r="M6000" s="533"/>
      <c r="N6000" s="533"/>
      <c r="O6000" s="533"/>
      <c r="P6000" s="533"/>
      <c r="Q6000" s="533"/>
      <c r="R6000" s="533"/>
      <c r="S6000" s="533"/>
      <c r="T6000" s="533"/>
      <c r="U6000" s="533"/>
      <c r="V6000" s="533"/>
      <c r="W6000" s="533"/>
      <c r="X6000" s="533"/>
      <c r="Y6000" s="533"/>
    </row>
    <row r="6001" spans="1:25" s="88" customFormat="1" hidden="1" x14ac:dyDescent="0.25">
      <c r="A6001" s="509"/>
      <c r="B6001" s="256"/>
      <c r="C6001" s="221"/>
      <c r="D6001" s="218"/>
      <c r="E6001" s="218"/>
      <c r="F6001" s="290">
        <v>425</v>
      </c>
      <c r="G6001" s="295" t="s">
        <v>4202</v>
      </c>
      <c r="H6001" s="594"/>
      <c r="I6001" s="595"/>
      <c r="J6001" s="595">
        <f t="shared" si="177"/>
        <v>0</v>
      </c>
      <c r="K6001" s="533"/>
      <c r="L6001" s="533"/>
      <c r="M6001" s="533"/>
      <c r="N6001" s="533"/>
      <c r="O6001" s="533"/>
      <c r="P6001" s="533"/>
      <c r="Q6001" s="533"/>
      <c r="R6001" s="533"/>
      <c r="S6001" s="533"/>
      <c r="T6001" s="533"/>
      <c r="U6001" s="533"/>
      <c r="V6001" s="533"/>
      <c r="W6001" s="533"/>
      <c r="X6001" s="533"/>
      <c r="Y6001" s="533"/>
    </row>
    <row r="6002" spans="1:25" s="88" customFormat="1" hidden="1" x14ac:dyDescent="0.25">
      <c r="A6002" s="509"/>
      <c r="B6002" s="256"/>
      <c r="C6002" s="221"/>
      <c r="D6002" s="218"/>
      <c r="E6002" s="218"/>
      <c r="F6002" s="290">
        <v>426</v>
      </c>
      <c r="G6002" s="295" t="s">
        <v>3805</v>
      </c>
      <c r="H6002" s="594"/>
      <c r="I6002" s="595"/>
      <c r="J6002" s="595">
        <f t="shared" si="177"/>
        <v>0</v>
      </c>
      <c r="K6002" s="533"/>
      <c r="L6002" s="533"/>
      <c r="M6002" s="533"/>
      <c r="N6002" s="533"/>
      <c r="O6002" s="533"/>
      <c r="P6002" s="533"/>
      <c r="Q6002" s="533"/>
      <c r="R6002" s="533"/>
      <c r="S6002" s="533"/>
      <c r="T6002" s="533"/>
      <c r="U6002" s="533"/>
      <c r="V6002" s="533"/>
      <c r="W6002" s="533"/>
      <c r="X6002" s="533"/>
      <c r="Y6002" s="533"/>
    </row>
    <row r="6003" spans="1:25" s="88" customFormat="1" hidden="1" x14ac:dyDescent="0.25">
      <c r="A6003" s="509"/>
      <c r="B6003" s="256"/>
      <c r="C6003" s="221"/>
      <c r="D6003" s="218"/>
      <c r="E6003" s="218"/>
      <c r="F6003" s="290">
        <v>431</v>
      </c>
      <c r="G6003" s="295" t="s">
        <v>4203</v>
      </c>
      <c r="H6003" s="594"/>
      <c r="I6003" s="595"/>
      <c r="J6003" s="595">
        <f t="shared" si="177"/>
        <v>0</v>
      </c>
      <c r="K6003" s="533"/>
      <c r="L6003" s="533"/>
      <c r="M6003" s="533"/>
      <c r="N6003" s="533"/>
      <c r="O6003" s="533"/>
      <c r="P6003" s="533"/>
      <c r="Q6003" s="533"/>
      <c r="R6003" s="533"/>
      <c r="S6003" s="533"/>
      <c r="T6003" s="533"/>
      <c r="U6003" s="533"/>
      <c r="V6003" s="533"/>
      <c r="W6003" s="533"/>
      <c r="X6003" s="533"/>
      <c r="Y6003" s="533"/>
    </row>
    <row r="6004" spans="1:25" s="88" customFormat="1" hidden="1" x14ac:dyDescent="0.25">
      <c r="A6004" s="509"/>
      <c r="B6004" s="256"/>
      <c r="C6004" s="221"/>
      <c r="D6004" s="218"/>
      <c r="E6004" s="218"/>
      <c r="F6004" s="290">
        <v>432</v>
      </c>
      <c r="G6004" s="295" t="s">
        <v>4204</v>
      </c>
      <c r="H6004" s="594"/>
      <c r="I6004" s="595"/>
      <c r="J6004" s="595">
        <f t="shared" si="177"/>
        <v>0</v>
      </c>
      <c r="K6004" s="533"/>
      <c r="L6004" s="533"/>
      <c r="M6004" s="533"/>
      <c r="N6004" s="533"/>
      <c r="O6004" s="533"/>
      <c r="P6004" s="533"/>
      <c r="Q6004" s="533"/>
      <c r="R6004" s="533"/>
      <c r="S6004" s="533"/>
      <c r="T6004" s="533"/>
      <c r="U6004" s="533"/>
      <c r="V6004" s="533"/>
      <c r="W6004" s="533"/>
      <c r="X6004" s="533"/>
      <c r="Y6004" s="533"/>
    </row>
    <row r="6005" spans="1:25" s="88" customFormat="1" hidden="1" x14ac:dyDescent="0.25">
      <c r="A6005" s="509"/>
      <c r="B6005" s="256"/>
      <c r="C6005" s="221"/>
      <c r="D6005" s="218"/>
      <c r="E6005" s="218"/>
      <c r="F6005" s="290">
        <v>433</v>
      </c>
      <c r="G6005" s="295" t="s">
        <v>4205</v>
      </c>
      <c r="H6005" s="594"/>
      <c r="I6005" s="595"/>
      <c r="J6005" s="595">
        <f t="shared" si="177"/>
        <v>0</v>
      </c>
      <c r="K6005" s="533"/>
      <c r="L6005" s="533"/>
      <c r="M6005" s="533"/>
      <c r="N6005" s="533"/>
      <c r="O6005" s="533"/>
      <c r="P6005" s="533"/>
      <c r="Q6005" s="533"/>
      <c r="R6005" s="533"/>
      <c r="S6005" s="533"/>
      <c r="T6005" s="533"/>
      <c r="U6005" s="533"/>
      <c r="V6005" s="533"/>
      <c r="W6005" s="533"/>
      <c r="X6005" s="533"/>
      <c r="Y6005" s="533"/>
    </row>
    <row r="6006" spans="1:25" s="88" customFormat="1" hidden="1" x14ac:dyDescent="0.25">
      <c r="A6006" s="509"/>
      <c r="B6006" s="256"/>
      <c r="C6006" s="221"/>
      <c r="D6006" s="218"/>
      <c r="E6006" s="218"/>
      <c r="F6006" s="290">
        <v>434</v>
      </c>
      <c r="G6006" s="295" t="s">
        <v>4206</v>
      </c>
      <c r="H6006" s="594"/>
      <c r="I6006" s="595"/>
      <c r="J6006" s="595">
        <f t="shared" si="177"/>
        <v>0</v>
      </c>
      <c r="K6006" s="533"/>
      <c r="L6006" s="533"/>
      <c r="M6006" s="533"/>
      <c r="N6006" s="533"/>
      <c r="O6006" s="533"/>
      <c r="P6006" s="533"/>
      <c r="Q6006" s="533"/>
      <c r="R6006" s="533"/>
      <c r="S6006" s="533"/>
      <c r="T6006" s="533"/>
      <c r="U6006" s="533"/>
      <c r="V6006" s="533"/>
      <c r="W6006" s="533"/>
      <c r="X6006" s="533"/>
      <c r="Y6006" s="533"/>
    </row>
    <row r="6007" spans="1:25" s="88" customFormat="1" hidden="1" x14ac:dyDescent="0.25">
      <c r="A6007" s="509"/>
      <c r="B6007" s="256"/>
      <c r="C6007" s="221"/>
      <c r="D6007" s="218"/>
      <c r="E6007" s="218"/>
      <c r="F6007" s="290">
        <v>435</v>
      </c>
      <c r="G6007" s="295" t="s">
        <v>3812</v>
      </c>
      <c r="H6007" s="594"/>
      <c r="I6007" s="595"/>
      <c r="J6007" s="595">
        <f t="shared" si="177"/>
        <v>0</v>
      </c>
      <c r="K6007" s="533"/>
      <c r="L6007" s="533"/>
      <c r="M6007" s="533"/>
      <c r="N6007" s="533"/>
      <c r="O6007" s="533"/>
      <c r="P6007" s="533"/>
      <c r="Q6007" s="533"/>
      <c r="R6007" s="533"/>
      <c r="S6007" s="533"/>
      <c r="T6007" s="533"/>
      <c r="U6007" s="533"/>
      <c r="V6007" s="533"/>
      <c r="W6007" s="533"/>
      <c r="X6007" s="533"/>
      <c r="Y6007" s="533"/>
    </row>
    <row r="6008" spans="1:25" s="88" customFormat="1" hidden="1" x14ac:dyDescent="0.25">
      <c r="A6008" s="509"/>
      <c r="B6008" s="256"/>
      <c r="C6008" s="221"/>
      <c r="D6008" s="218"/>
      <c r="E6008" s="218"/>
      <c r="F6008" s="290">
        <v>441</v>
      </c>
      <c r="G6008" s="295" t="s">
        <v>4207</v>
      </c>
      <c r="H6008" s="594"/>
      <c r="I6008" s="595"/>
      <c r="J6008" s="595">
        <f t="shared" si="177"/>
        <v>0</v>
      </c>
      <c r="K6008" s="533"/>
      <c r="L6008" s="533"/>
      <c r="M6008" s="533"/>
      <c r="N6008" s="533"/>
      <c r="O6008" s="533"/>
      <c r="P6008" s="533"/>
      <c r="Q6008" s="533"/>
      <c r="R6008" s="533"/>
      <c r="S6008" s="533"/>
      <c r="T6008" s="533"/>
      <c r="U6008" s="533"/>
      <c r="V6008" s="533"/>
      <c r="W6008" s="533"/>
      <c r="X6008" s="533"/>
      <c r="Y6008" s="533"/>
    </row>
    <row r="6009" spans="1:25" s="88" customFormat="1" hidden="1" x14ac:dyDescent="0.25">
      <c r="A6009" s="509"/>
      <c r="B6009" s="256"/>
      <c r="C6009" s="221"/>
      <c r="D6009" s="218"/>
      <c r="E6009" s="218"/>
      <c r="F6009" s="290">
        <v>442</v>
      </c>
      <c r="G6009" s="295" t="s">
        <v>4208</v>
      </c>
      <c r="H6009" s="594"/>
      <c r="I6009" s="595"/>
      <c r="J6009" s="595">
        <f t="shared" si="177"/>
        <v>0</v>
      </c>
      <c r="K6009" s="533"/>
      <c r="L6009" s="533"/>
      <c r="M6009" s="533"/>
      <c r="N6009" s="533"/>
      <c r="O6009" s="533"/>
      <c r="P6009" s="533"/>
      <c r="Q6009" s="533"/>
      <c r="R6009" s="533"/>
      <c r="S6009" s="533"/>
      <c r="T6009" s="533"/>
      <c r="U6009" s="533"/>
      <c r="V6009" s="533"/>
      <c r="W6009" s="533"/>
      <c r="X6009" s="533"/>
      <c r="Y6009" s="533"/>
    </row>
    <row r="6010" spans="1:25" s="88" customFormat="1" hidden="1" x14ac:dyDescent="0.25">
      <c r="A6010" s="509"/>
      <c r="B6010" s="256"/>
      <c r="C6010" s="221"/>
      <c r="D6010" s="218"/>
      <c r="E6010" s="218"/>
      <c r="F6010" s="290">
        <v>443</v>
      </c>
      <c r="G6010" s="295" t="s">
        <v>3817</v>
      </c>
      <c r="H6010" s="594"/>
      <c r="I6010" s="595"/>
      <c r="J6010" s="595">
        <f t="shared" si="177"/>
        <v>0</v>
      </c>
      <c r="K6010" s="533"/>
      <c r="L6010" s="533"/>
      <c r="M6010" s="533"/>
      <c r="N6010" s="533"/>
      <c r="O6010" s="533"/>
      <c r="P6010" s="533"/>
      <c r="Q6010" s="533"/>
      <c r="R6010" s="533"/>
      <c r="S6010" s="533"/>
      <c r="T6010" s="533"/>
      <c r="U6010" s="533"/>
      <c r="V6010" s="533"/>
      <c r="W6010" s="533"/>
      <c r="X6010" s="533"/>
      <c r="Y6010" s="533"/>
    </row>
    <row r="6011" spans="1:25" s="88" customFormat="1" hidden="1" x14ac:dyDescent="0.25">
      <c r="A6011" s="509"/>
      <c r="B6011" s="256"/>
      <c r="C6011" s="221"/>
      <c r="D6011" s="218"/>
      <c r="E6011" s="218"/>
      <c r="F6011" s="290">
        <v>444</v>
      </c>
      <c r="G6011" s="295" t="s">
        <v>3818</v>
      </c>
      <c r="H6011" s="594"/>
      <c r="I6011" s="595"/>
      <c r="J6011" s="595">
        <f t="shared" si="177"/>
        <v>0</v>
      </c>
      <c r="K6011" s="533"/>
      <c r="L6011" s="533"/>
      <c r="M6011" s="533"/>
      <c r="N6011" s="533"/>
      <c r="O6011" s="533"/>
      <c r="P6011" s="533"/>
      <c r="Q6011" s="533"/>
      <c r="R6011" s="533"/>
      <c r="S6011" s="533"/>
      <c r="T6011" s="533"/>
      <c r="U6011" s="533"/>
      <c r="V6011" s="533"/>
      <c r="W6011" s="533"/>
      <c r="X6011" s="533"/>
      <c r="Y6011" s="533"/>
    </row>
    <row r="6012" spans="1:25" s="88" customFormat="1" ht="30" hidden="1" x14ac:dyDescent="0.25">
      <c r="A6012" s="509"/>
      <c r="B6012" s="256"/>
      <c r="C6012" s="221"/>
      <c r="D6012" s="218"/>
      <c r="E6012" s="218"/>
      <c r="F6012" s="290">
        <v>4511</v>
      </c>
      <c r="G6012" s="223" t="s">
        <v>1692</v>
      </c>
      <c r="H6012" s="594"/>
      <c r="I6012" s="595"/>
      <c r="J6012" s="595">
        <f t="shared" si="177"/>
        <v>0</v>
      </c>
      <c r="K6012" s="533"/>
      <c r="L6012" s="533"/>
      <c r="M6012" s="533"/>
      <c r="N6012" s="533"/>
      <c r="O6012" s="533"/>
      <c r="P6012" s="533"/>
      <c r="Q6012" s="533"/>
      <c r="R6012" s="533"/>
      <c r="S6012" s="533"/>
      <c r="T6012" s="533"/>
      <c r="U6012" s="533"/>
      <c r="V6012" s="533"/>
      <c r="W6012" s="533"/>
      <c r="X6012" s="533"/>
      <c r="Y6012" s="533"/>
    </row>
    <row r="6013" spans="1:25" s="88" customFormat="1" ht="30" hidden="1" x14ac:dyDescent="0.25">
      <c r="A6013" s="509"/>
      <c r="B6013" s="256"/>
      <c r="C6013" s="221"/>
      <c r="D6013" s="218"/>
      <c r="E6013" s="218"/>
      <c r="F6013" s="290">
        <v>4512</v>
      </c>
      <c r="G6013" s="223" t="s">
        <v>1701</v>
      </c>
      <c r="H6013" s="594"/>
      <c r="I6013" s="595"/>
      <c r="J6013" s="595">
        <f t="shared" si="177"/>
        <v>0</v>
      </c>
      <c r="K6013" s="533"/>
      <c r="L6013" s="533"/>
      <c r="M6013" s="533"/>
      <c r="N6013" s="533"/>
      <c r="O6013" s="533"/>
      <c r="P6013" s="533"/>
      <c r="Q6013" s="533"/>
      <c r="R6013" s="533"/>
      <c r="S6013" s="533"/>
      <c r="T6013" s="533"/>
      <c r="U6013" s="533"/>
      <c r="V6013" s="533"/>
      <c r="W6013" s="533"/>
      <c r="X6013" s="533"/>
      <c r="Y6013" s="533"/>
    </row>
    <row r="6014" spans="1:25" s="88" customFormat="1" hidden="1" x14ac:dyDescent="0.25">
      <c r="A6014" s="509"/>
      <c r="B6014" s="256"/>
      <c r="C6014" s="221"/>
      <c r="D6014" s="218"/>
      <c r="E6014" s="218"/>
      <c r="F6014" s="290">
        <v>452</v>
      </c>
      <c r="G6014" s="295" t="s">
        <v>4209</v>
      </c>
      <c r="H6014" s="594"/>
      <c r="I6014" s="595"/>
      <c r="J6014" s="595">
        <f t="shared" si="177"/>
        <v>0</v>
      </c>
      <c r="K6014" s="533"/>
      <c r="L6014" s="533"/>
      <c r="M6014" s="533"/>
      <c r="N6014" s="533"/>
      <c r="O6014" s="533"/>
      <c r="P6014" s="533"/>
      <c r="Q6014" s="533"/>
      <c r="R6014" s="533"/>
      <c r="S6014" s="533"/>
      <c r="T6014" s="533"/>
      <c r="U6014" s="533"/>
      <c r="V6014" s="533"/>
      <c r="W6014" s="533"/>
      <c r="X6014" s="533"/>
      <c r="Y6014" s="533"/>
    </row>
    <row r="6015" spans="1:25" s="88" customFormat="1" hidden="1" x14ac:dyDescent="0.25">
      <c r="A6015" s="509"/>
      <c r="B6015" s="256"/>
      <c r="C6015" s="221"/>
      <c r="D6015" s="218"/>
      <c r="E6015" s="218"/>
      <c r="F6015" s="290">
        <v>453</v>
      </c>
      <c r="G6015" s="295" t="s">
        <v>4210</v>
      </c>
      <c r="H6015" s="594"/>
      <c r="I6015" s="595"/>
      <c r="J6015" s="595">
        <f t="shared" si="177"/>
        <v>0</v>
      </c>
      <c r="K6015" s="533"/>
      <c r="L6015" s="533"/>
      <c r="M6015" s="533"/>
      <c r="N6015" s="533"/>
      <c r="O6015" s="533"/>
      <c r="P6015" s="533"/>
      <c r="Q6015" s="533"/>
      <c r="R6015" s="533"/>
      <c r="S6015" s="533"/>
      <c r="T6015" s="533"/>
      <c r="U6015" s="533"/>
      <c r="V6015" s="533"/>
      <c r="W6015" s="533"/>
      <c r="X6015" s="533"/>
      <c r="Y6015" s="533"/>
    </row>
    <row r="6016" spans="1:25" s="88" customFormat="1" hidden="1" x14ac:dyDescent="0.25">
      <c r="A6016" s="509"/>
      <c r="B6016" s="256"/>
      <c r="C6016" s="221"/>
      <c r="D6016" s="218"/>
      <c r="E6016" s="218"/>
      <c r="F6016" s="290">
        <v>454</v>
      </c>
      <c r="G6016" s="295" t="s">
        <v>3823</v>
      </c>
      <c r="H6016" s="594"/>
      <c r="I6016" s="595"/>
      <c r="J6016" s="595">
        <f t="shared" si="177"/>
        <v>0</v>
      </c>
      <c r="K6016" s="533"/>
      <c r="L6016" s="533"/>
      <c r="M6016" s="533"/>
      <c r="N6016" s="533"/>
      <c r="O6016" s="533"/>
      <c r="P6016" s="533"/>
      <c r="Q6016" s="533"/>
      <c r="R6016" s="533"/>
      <c r="S6016" s="533"/>
      <c r="T6016" s="533"/>
      <c r="U6016" s="533"/>
      <c r="V6016" s="533"/>
      <c r="W6016" s="533"/>
      <c r="X6016" s="533"/>
      <c r="Y6016" s="533"/>
    </row>
    <row r="6017" spans="1:25" s="88" customFormat="1" hidden="1" x14ac:dyDescent="0.25">
      <c r="A6017" s="509"/>
      <c r="B6017" s="256"/>
      <c r="C6017" s="221"/>
      <c r="D6017" s="218"/>
      <c r="E6017" s="218"/>
      <c r="F6017" s="290">
        <v>461</v>
      </c>
      <c r="G6017" s="295" t="s">
        <v>4191</v>
      </c>
      <c r="H6017" s="594"/>
      <c r="I6017" s="595"/>
      <c r="J6017" s="595">
        <f t="shared" si="177"/>
        <v>0</v>
      </c>
      <c r="K6017" s="533"/>
      <c r="L6017" s="533"/>
      <c r="M6017" s="533"/>
      <c r="N6017" s="533"/>
      <c r="O6017" s="533"/>
      <c r="P6017" s="533"/>
      <c r="Q6017" s="533"/>
      <c r="R6017" s="533"/>
      <c r="S6017" s="533"/>
      <c r="T6017" s="533"/>
      <c r="U6017" s="533"/>
      <c r="V6017" s="533"/>
      <c r="W6017" s="533"/>
      <c r="X6017" s="533"/>
      <c r="Y6017" s="533"/>
    </row>
    <row r="6018" spans="1:25" s="88" customFormat="1" hidden="1" x14ac:dyDescent="0.25">
      <c r="A6018" s="509"/>
      <c r="B6018" s="256"/>
      <c r="C6018" s="221"/>
      <c r="D6018" s="218"/>
      <c r="E6018" s="218"/>
      <c r="F6018" s="290">
        <v>462</v>
      </c>
      <c r="G6018" s="295" t="s">
        <v>3826</v>
      </c>
      <c r="H6018" s="594"/>
      <c r="I6018" s="595"/>
      <c r="J6018" s="595">
        <f t="shared" si="177"/>
        <v>0</v>
      </c>
      <c r="K6018" s="533"/>
      <c r="L6018" s="533"/>
      <c r="M6018" s="533"/>
      <c r="N6018" s="533"/>
      <c r="O6018" s="533"/>
      <c r="P6018" s="533"/>
      <c r="Q6018" s="533"/>
      <c r="R6018" s="533"/>
      <c r="S6018" s="533"/>
      <c r="T6018" s="533"/>
      <c r="U6018" s="533"/>
      <c r="V6018" s="533"/>
      <c r="W6018" s="533"/>
      <c r="X6018" s="533"/>
      <c r="Y6018" s="533"/>
    </row>
    <row r="6019" spans="1:25" s="88" customFormat="1" hidden="1" x14ac:dyDescent="0.25">
      <c r="A6019" s="509"/>
      <c r="B6019" s="256"/>
      <c r="C6019" s="221"/>
      <c r="D6019" s="218"/>
      <c r="E6019" s="218"/>
      <c r="F6019" s="290">
        <v>4631</v>
      </c>
      <c r="G6019" s="295" t="s">
        <v>3827</v>
      </c>
      <c r="H6019" s="594"/>
      <c r="I6019" s="595"/>
      <c r="J6019" s="595">
        <f t="shared" si="177"/>
        <v>0</v>
      </c>
      <c r="K6019" s="533"/>
      <c r="L6019" s="533"/>
      <c r="M6019" s="533"/>
      <c r="N6019" s="533"/>
      <c r="O6019" s="533"/>
      <c r="P6019" s="533"/>
      <c r="Q6019" s="533"/>
      <c r="R6019" s="533"/>
      <c r="S6019" s="533"/>
      <c r="T6019" s="533"/>
      <c r="U6019" s="533"/>
      <c r="V6019" s="533"/>
      <c r="W6019" s="533"/>
      <c r="X6019" s="533"/>
      <c r="Y6019" s="533"/>
    </row>
    <row r="6020" spans="1:25" s="88" customFormat="1" hidden="1" x14ac:dyDescent="0.25">
      <c r="A6020" s="509"/>
      <c r="B6020" s="256"/>
      <c r="C6020" s="221"/>
      <c r="D6020" s="218"/>
      <c r="E6020" s="218"/>
      <c r="F6020" s="290">
        <v>4632</v>
      </c>
      <c r="G6020" s="295" t="s">
        <v>3828</v>
      </c>
      <c r="H6020" s="594"/>
      <c r="I6020" s="595"/>
      <c r="J6020" s="595">
        <f t="shared" si="177"/>
        <v>0</v>
      </c>
      <c r="K6020" s="533"/>
      <c r="L6020" s="533"/>
      <c r="M6020" s="533"/>
      <c r="N6020" s="533"/>
      <c r="O6020" s="533"/>
      <c r="P6020" s="533"/>
      <c r="Q6020" s="533"/>
      <c r="R6020" s="533"/>
      <c r="S6020" s="533"/>
      <c r="T6020" s="533"/>
      <c r="U6020" s="533"/>
      <c r="V6020" s="533"/>
      <c r="W6020" s="533"/>
      <c r="X6020" s="533"/>
      <c r="Y6020" s="533"/>
    </row>
    <row r="6021" spans="1:25" s="88" customFormat="1" hidden="1" x14ac:dyDescent="0.25">
      <c r="A6021" s="509"/>
      <c r="B6021" s="256"/>
      <c r="C6021" s="221"/>
      <c r="D6021" s="218"/>
      <c r="E6021" s="218"/>
      <c r="F6021" s="290">
        <v>464</v>
      </c>
      <c r="G6021" s="295" t="s">
        <v>3829</v>
      </c>
      <c r="H6021" s="594"/>
      <c r="I6021" s="595"/>
      <c r="J6021" s="595">
        <f t="shared" ref="J6021:J6048" si="178">SUM(H6021:I6021)</f>
        <v>0</v>
      </c>
      <c r="K6021" s="533"/>
      <c r="L6021" s="533"/>
      <c r="M6021" s="533"/>
      <c r="N6021" s="533"/>
      <c r="O6021" s="533"/>
      <c r="P6021" s="533"/>
      <c r="Q6021" s="533"/>
      <c r="R6021" s="533"/>
      <c r="S6021" s="533"/>
      <c r="T6021" s="533"/>
      <c r="U6021" s="533"/>
      <c r="V6021" s="533"/>
      <c r="W6021" s="533"/>
      <c r="X6021" s="533"/>
      <c r="Y6021" s="533"/>
    </row>
    <row r="6022" spans="1:25" s="88" customFormat="1" hidden="1" x14ac:dyDescent="0.25">
      <c r="A6022" s="509"/>
      <c r="B6022" s="256"/>
      <c r="C6022" s="221"/>
      <c r="D6022" s="218"/>
      <c r="E6022" s="218"/>
      <c r="F6022" s="290">
        <v>465</v>
      </c>
      <c r="G6022" s="295" t="s">
        <v>4192</v>
      </c>
      <c r="H6022" s="594"/>
      <c r="I6022" s="595"/>
      <c r="J6022" s="595">
        <f t="shared" si="178"/>
        <v>0</v>
      </c>
      <c r="K6022" s="533"/>
      <c r="L6022" s="533"/>
      <c r="M6022" s="533"/>
      <c r="N6022" s="533"/>
      <c r="O6022" s="533"/>
      <c r="P6022" s="533"/>
      <c r="Q6022" s="533"/>
      <c r="R6022" s="533"/>
      <c r="S6022" s="533"/>
      <c r="T6022" s="533"/>
      <c r="U6022" s="533"/>
      <c r="V6022" s="533"/>
      <c r="W6022" s="533"/>
      <c r="X6022" s="533"/>
      <c r="Y6022" s="533"/>
    </row>
    <row r="6023" spans="1:25" s="88" customFormat="1" hidden="1" x14ac:dyDescent="0.25">
      <c r="A6023" s="509"/>
      <c r="B6023" s="256"/>
      <c r="C6023" s="221"/>
      <c r="D6023" s="218"/>
      <c r="E6023" s="218"/>
      <c r="F6023" s="290">
        <v>472</v>
      </c>
      <c r="G6023" s="295" t="s">
        <v>3833</v>
      </c>
      <c r="H6023" s="594"/>
      <c r="I6023" s="595"/>
      <c r="J6023" s="595">
        <f t="shared" si="178"/>
        <v>0</v>
      </c>
      <c r="K6023" s="533"/>
      <c r="L6023" s="533"/>
      <c r="M6023" s="533"/>
      <c r="N6023" s="533"/>
      <c r="O6023" s="533"/>
      <c r="P6023" s="533"/>
      <c r="Q6023" s="533"/>
      <c r="R6023" s="533"/>
      <c r="S6023" s="533"/>
      <c r="T6023" s="533"/>
      <c r="U6023" s="533"/>
      <c r="V6023" s="533"/>
      <c r="W6023" s="533"/>
      <c r="X6023" s="533"/>
      <c r="Y6023" s="533"/>
    </row>
    <row r="6024" spans="1:25" s="88" customFormat="1" hidden="1" x14ac:dyDescent="0.25">
      <c r="A6024" s="509"/>
      <c r="B6024" s="256"/>
      <c r="C6024" s="221"/>
      <c r="D6024" s="218"/>
      <c r="E6024" s="218"/>
      <c r="F6024" s="290">
        <v>481</v>
      </c>
      <c r="G6024" s="295" t="s">
        <v>4211</v>
      </c>
      <c r="H6024" s="594"/>
      <c r="I6024" s="595"/>
      <c r="J6024" s="595">
        <f t="shared" si="178"/>
        <v>0</v>
      </c>
      <c r="K6024" s="533"/>
      <c r="L6024" s="533"/>
      <c r="M6024" s="533"/>
      <c r="N6024" s="533"/>
      <c r="O6024" s="533"/>
      <c r="P6024" s="533"/>
      <c r="Q6024" s="533"/>
      <c r="R6024" s="533"/>
      <c r="S6024" s="533"/>
      <c r="T6024" s="533"/>
      <c r="U6024" s="533"/>
      <c r="V6024" s="533"/>
      <c r="W6024" s="533"/>
      <c r="X6024" s="533"/>
      <c r="Y6024" s="533"/>
    </row>
    <row r="6025" spans="1:25" s="88" customFormat="1" hidden="1" x14ac:dyDescent="0.25">
      <c r="A6025" s="509"/>
      <c r="B6025" s="256"/>
      <c r="C6025" s="221"/>
      <c r="D6025" s="218"/>
      <c r="E6025" s="218"/>
      <c r="F6025" s="290">
        <v>482</v>
      </c>
      <c r="G6025" s="295" t="s">
        <v>4212</v>
      </c>
      <c r="H6025" s="594"/>
      <c r="I6025" s="595"/>
      <c r="J6025" s="595">
        <f t="shared" si="178"/>
        <v>0</v>
      </c>
      <c r="K6025" s="533"/>
      <c r="L6025" s="533"/>
      <c r="M6025" s="533"/>
      <c r="N6025" s="533"/>
      <c r="O6025" s="533"/>
      <c r="P6025" s="533"/>
      <c r="Q6025" s="533"/>
      <c r="R6025" s="533"/>
      <c r="S6025" s="533"/>
      <c r="T6025" s="533"/>
      <c r="U6025" s="533"/>
      <c r="V6025" s="533"/>
      <c r="W6025" s="533"/>
      <c r="X6025" s="533"/>
      <c r="Y6025" s="533"/>
    </row>
    <row r="6026" spans="1:25" s="88" customFormat="1" hidden="1" x14ac:dyDescent="0.25">
      <c r="A6026" s="509"/>
      <c r="B6026" s="256"/>
      <c r="C6026" s="221"/>
      <c r="D6026" s="218"/>
      <c r="E6026" s="218"/>
      <c r="F6026" s="290">
        <v>483</v>
      </c>
      <c r="G6026" s="298" t="s">
        <v>4213</v>
      </c>
      <c r="H6026" s="594"/>
      <c r="I6026" s="595"/>
      <c r="J6026" s="595">
        <f t="shared" si="178"/>
        <v>0</v>
      </c>
      <c r="K6026" s="533"/>
      <c r="L6026" s="533"/>
      <c r="M6026" s="533"/>
      <c r="N6026" s="533"/>
      <c r="O6026" s="533"/>
      <c r="P6026" s="533"/>
      <c r="Q6026" s="533"/>
      <c r="R6026" s="533"/>
      <c r="S6026" s="533"/>
      <c r="T6026" s="533"/>
      <c r="U6026" s="533"/>
      <c r="V6026" s="533"/>
      <c r="W6026" s="533"/>
      <c r="X6026" s="533"/>
      <c r="Y6026" s="533"/>
    </row>
    <row r="6027" spans="1:25" s="88" customFormat="1" ht="30" hidden="1" x14ac:dyDescent="0.25">
      <c r="A6027" s="509"/>
      <c r="B6027" s="256"/>
      <c r="C6027" s="221"/>
      <c r="D6027" s="218"/>
      <c r="E6027" s="218"/>
      <c r="F6027" s="290">
        <v>484</v>
      </c>
      <c r="G6027" s="295" t="s">
        <v>4214</v>
      </c>
      <c r="H6027" s="594"/>
      <c r="I6027" s="595"/>
      <c r="J6027" s="595">
        <f t="shared" si="178"/>
        <v>0</v>
      </c>
      <c r="K6027" s="533"/>
      <c r="L6027" s="533"/>
      <c r="M6027" s="533"/>
      <c r="N6027" s="533"/>
      <c r="O6027" s="533"/>
      <c r="P6027" s="533"/>
      <c r="Q6027" s="533"/>
      <c r="R6027" s="533"/>
      <c r="S6027" s="533"/>
      <c r="T6027" s="533"/>
      <c r="U6027" s="533"/>
      <c r="V6027" s="533"/>
      <c r="W6027" s="533"/>
      <c r="X6027" s="533"/>
      <c r="Y6027" s="533"/>
    </row>
    <row r="6028" spans="1:25" s="88" customFormat="1" ht="30" hidden="1" x14ac:dyDescent="0.25">
      <c r="A6028" s="509"/>
      <c r="B6028" s="256"/>
      <c r="C6028" s="221"/>
      <c r="D6028" s="218"/>
      <c r="E6028" s="218"/>
      <c r="F6028" s="290">
        <v>485</v>
      </c>
      <c r="G6028" s="295" t="s">
        <v>4215</v>
      </c>
      <c r="H6028" s="594"/>
      <c r="I6028" s="595"/>
      <c r="J6028" s="595">
        <f t="shared" si="178"/>
        <v>0</v>
      </c>
      <c r="K6028" s="533"/>
      <c r="L6028" s="533"/>
      <c r="M6028" s="533"/>
      <c r="N6028" s="533"/>
      <c r="O6028" s="533"/>
      <c r="P6028" s="533"/>
      <c r="Q6028" s="533"/>
      <c r="R6028" s="533"/>
      <c r="S6028" s="533"/>
      <c r="T6028" s="533"/>
      <c r="U6028" s="533"/>
      <c r="V6028" s="533"/>
      <c r="W6028" s="533"/>
      <c r="X6028" s="533"/>
      <c r="Y6028" s="533"/>
    </row>
    <row r="6029" spans="1:25" s="88" customFormat="1" ht="30" hidden="1" x14ac:dyDescent="0.25">
      <c r="A6029" s="509"/>
      <c r="B6029" s="256"/>
      <c r="C6029" s="221"/>
      <c r="D6029" s="218"/>
      <c r="E6029" s="218"/>
      <c r="F6029" s="290">
        <v>489</v>
      </c>
      <c r="G6029" s="295" t="s">
        <v>3841</v>
      </c>
      <c r="H6029" s="594"/>
      <c r="I6029" s="595"/>
      <c r="J6029" s="595">
        <f t="shared" si="178"/>
        <v>0</v>
      </c>
      <c r="K6029" s="533"/>
      <c r="L6029" s="533"/>
      <c r="M6029" s="533"/>
      <c r="N6029" s="533"/>
      <c r="O6029" s="533"/>
      <c r="P6029" s="533"/>
      <c r="Q6029" s="533"/>
      <c r="R6029" s="533"/>
      <c r="S6029" s="533"/>
      <c r="T6029" s="533"/>
      <c r="U6029" s="533"/>
      <c r="V6029" s="533"/>
      <c r="W6029" s="533"/>
      <c r="X6029" s="533"/>
      <c r="Y6029" s="533"/>
    </row>
    <row r="6030" spans="1:25" s="88" customFormat="1" hidden="1" x14ac:dyDescent="0.25">
      <c r="A6030" s="509"/>
      <c r="B6030" s="256"/>
      <c r="C6030" s="221"/>
      <c r="D6030" s="218"/>
      <c r="E6030" s="218"/>
      <c r="F6030" s="290">
        <v>494</v>
      </c>
      <c r="G6030" s="295" t="s">
        <v>4193</v>
      </c>
      <c r="H6030" s="594"/>
      <c r="I6030" s="595"/>
      <c r="J6030" s="595">
        <f t="shared" si="178"/>
        <v>0</v>
      </c>
      <c r="K6030" s="533"/>
      <c r="L6030" s="533"/>
      <c r="M6030" s="533"/>
      <c r="N6030" s="533"/>
      <c r="O6030" s="533"/>
      <c r="P6030" s="533"/>
      <c r="Q6030" s="533"/>
      <c r="R6030" s="533"/>
      <c r="S6030" s="533"/>
      <c r="T6030" s="533"/>
      <c r="U6030" s="533"/>
      <c r="V6030" s="533"/>
      <c r="W6030" s="533"/>
      <c r="X6030" s="533"/>
      <c r="Y6030" s="533"/>
    </row>
    <row r="6031" spans="1:25" s="88" customFormat="1" ht="30" hidden="1" x14ac:dyDescent="0.25">
      <c r="A6031" s="509"/>
      <c r="B6031" s="256"/>
      <c r="C6031" s="221"/>
      <c r="D6031" s="218"/>
      <c r="E6031" s="218"/>
      <c r="F6031" s="290">
        <v>495</v>
      </c>
      <c r="G6031" s="295" t="s">
        <v>4194</v>
      </c>
      <c r="H6031" s="594"/>
      <c r="I6031" s="595"/>
      <c r="J6031" s="595">
        <f t="shared" si="178"/>
        <v>0</v>
      </c>
      <c r="K6031" s="533"/>
      <c r="L6031" s="533"/>
      <c r="M6031" s="533"/>
      <c r="N6031" s="533"/>
      <c r="O6031" s="533"/>
      <c r="P6031" s="533"/>
      <c r="Q6031" s="533"/>
      <c r="R6031" s="533"/>
      <c r="S6031" s="533"/>
      <c r="T6031" s="533"/>
      <c r="U6031" s="533"/>
      <c r="V6031" s="533"/>
      <c r="W6031" s="533"/>
      <c r="X6031" s="533"/>
      <c r="Y6031" s="533"/>
    </row>
    <row r="6032" spans="1:25" s="88" customFormat="1" ht="30" hidden="1" x14ac:dyDescent="0.25">
      <c r="A6032" s="509"/>
      <c r="B6032" s="256"/>
      <c r="C6032" s="221"/>
      <c r="D6032" s="218"/>
      <c r="E6032" s="218"/>
      <c r="F6032" s="290">
        <v>496</v>
      </c>
      <c r="G6032" s="295" t="s">
        <v>4195</v>
      </c>
      <c r="H6032" s="594"/>
      <c r="I6032" s="595"/>
      <c r="J6032" s="595">
        <f t="shared" si="178"/>
        <v>0</v>
      </c>
      <c r="K6032" s="533"/>
      <c r="L6032" s="533"/>
      <c r="M6032" s="533"/>
      <c r="N6032" s="533"/>
      <c r="O6032" s="533"/>
      <c r="P6032" s="533"/>
      <c r="Q6032" s="533"/>
      <c r="R6032" s="533"/>
      <c r="S6032" s="533"/>
      <c r="T6032" s="533"/>
      <c r="U6032" s="533"/>
      <c r="V6032" s="533"/>
      <c r="W6032" s="533"/>
      <c r="X6032" s="533"/>
      <c r="Y6032" s="533"/>
    </row>
    <row r="6033" spans="1:25" s="88" customFormat="1" hidden="1" x14ac:dyDescent="0.25">
      <c r="A6033" s="509"/>
      <c r="B6033" s="256"/>
      <c r="C6033" s="221"/>
      <c r="D6033" s="218"/>
      <c r="E6033" s="218"/>
      <c r="F6033" s="290">
        <v>499</v>
      </c>
      <c r="G6033" s="295" t="s">
        <v>4196</v>
      </c>
      <c r="H6033" s="594"/>
      <c r="I6033" s="595"/>
      <c r="J6033" s="595">
        <f t="shared" si="178"/>
        <v>0</v>
      </c>
      <c r="K6033" s="533"/>
      <c r="L6033" s="533"/>
      <c r="M6033" s="533"/>
      <c r="N6033" s="533"/>
      <c r="O6033" s="533"/>
      <c r="P6033" s="533"/>
      <c r="Q6033" s="533"/>
      <c r="R6033" s="533"/>
      <c r="S6033" s="533"/>
      <c r="T6033" s="533"/>
      <c r="U6033" s="533"/>
      <c r="V6033" s="533"/>
      <c r="W6033" s="533"/>
      <c r="X6033" s="533"/>
      <c r="Y6033" s="533"/>
    </row>
    <row r="6034" spans="1:25" s="88" customFormat="1" hidden="1" x14ac:dyDescent="0.25">
      <c r="A6034" s="509"/>
      <c r="B6034" s="256"/>
      <c r="C6034" s="221"/>
      <c r="D6034" s="218"/>
      <c r="E6034" s="218"/>
      <c r="F6034" s="290">
        <v>511</v>
      </c>
      <c r="G6034" s="298" t="s">
        <v>4216</v>
      </c>
      <c r="H6034" s="594"/>
      <c r="I6034" s="595"/>
      <c r="J6034" s="595">
        <f t="shared" si="178"/>
        <v>0</v>
      </c>
      <c r="K6034" s="533"/>
      <c r="L6034" s="533"/>
      <c r="M6034" s="533"/>
      <c r="N6034" s="533"/>
      <c r="O6034" s="533"/>
      <c r="P6034" s="533"/>
      <c r="Q6034" s="533"/>
      <c r="R6034" s="533"/>
      <c r="S6034" s="533"/>
      <c r="T6034" s="533"/>
      <c r="U6034" s="533"/>
      <c r="V6034" s="533"/>
      <c r="W6034" s="533"/>
      <c r="X6034" s="533"/>
      <c r="Y6034" s="533"/>
    </row>
    <row r="6035" spans="1:25" s="88" customFormat="1" hidden="1" x14ac:dyDescent="0.25">
      <c r="A6035" s="509"/>
      <c r="B6035" s="256"/>
      <c r="C6035" s="221"/>
      <c r="D6035" s="218"/>
      <c r="E6035" s="218"/>
      <c r="F6035" s="290">
        <v>512</v>
      </c>
      <c r="G6035" s="298" t="s">
        <v>4217</v>
      </c>
      <c r="H6035" s="594"/>
      <c r="I6035" s="595"/>
      <c r="J6035" s="595">
        <f t="shared" si="178"/>
        <v>0</v>
      </c>
      <c r="K6035" s="533"/>
      <c r="L6035" s="533"/>
      <c r="M6035" s="533"/>
      <c r="N6035" s="533"/>
      <c r="O6035" s="533"/>
      <c r="P6035" s="533"/>
      <c r="Q6035" s="533"/>
      <c r="R6035" s="533"/>
      <c r="S6035" s="533"/>
      <c r="T6035" s="533"/>
      <c r="U6035" s="533"/>
      <c r="V6035" s="533"/>
      <c r="W6035" s="533"/>
      <c r="X6035" s="533"/>
      <c r="Y6035" s="533"/>
    </row>
    <row r="6036" spans="1:25" s="88" customFormat="1" hidden="1" x14ac:dyDescent="0.25">
      <c r="A6036" s="509"/>
      <c r="B6036" s="256"/>
      <c r="C6036" s="221"/>
      <c r="D6036" s="218"/>
      <c r="E6036" s="218"/>
      <c r="F6036" s="290">
        <v>513</v>
      </c>
      <c r="G6036" s="298" t="s">
        <v>4218</v>
      </c>
      <c r="H6036" s="594"/>
      <c r="I6036" s="595"/>
      <c r="J6036" s="595">
        <f t="shared" si="178"/>
        <v>0</v>
      </c>
      <c r="K6036" s="533"/>
      <c r="L6036" s="533"/>
      <c r="M6036" s="533"/>
      <c r="N6036" s="533"/>
      <c r="O6036" s="533"/>
      <c r="P6036" s="533"/>
      <c r="Q6036" s="533"/>
      <c r="R6036" s="533"/>
      <c r="S6036" s="533"/>
      <c r="T6036" s="533"/>
      <c r="U6036" s="533"/>
      <c r="V6036" s="533"/>
      <c r="W6036" s="533"/>
      <c r="X6036" s="533"/>
      <c r="Y6036" s="533"/>
    </row>
    <row r="6037" spans="1:25" s="88" customFormat="1" hidden="1" x14ac:dyDescent="0.25">
      <c r="A6037" s="509"/>
      <c r="B6037" s="256"/>
      <c r="C6037" s="221"/>
      <c r="D6037" s="218"/>
      <c r="E6037" s="218"/>
      <c r="F6037" s="290">
        <v>514</v>
      </c>
      <c r="G6037" s="295" t="s">
        <v>4219</v>
      </c>
      <c r="H6037" s="594"/>
      <c r="I6037" s="595"/>
      <c r="J6037" s="595">
        <f t="shared" si="178"/>
        <v>0</v>
      </c>
      <c r="K6037" s="533"/>
      <c r="L6037" s="533"/>
      <c r="M6037" s="533"/>
      <c r="N6037" s="533"/>
      <c r="O6037" s="533"/>
      <c r="P6037" s="533"/>
      <c r="Q6037" s="533"/>
      <c r="R6037" s="533"/>
      <c r="S6037" s="533"/>
      <c r="T6037" s="533"/>
      <c r="U6037" s="533"/>
      <c r="V6037" s="533"/>
      <c r="W6037" s="533"/>
      <c r="X6037" s="533"/>
      <c r="Y6037" s="533"/>
    </row>
    <row r="6038" spans="1:25" s="88" customFormat="1" hidden="1" x14ac:dyDescent="0.25">
      <c r="A6038" s="509"/>
      <c r="B6038" s="256"/>
      <c r="C6038" s="221"/>
      <c r="D6038" s="218"/>
      <c r="E6038" s="218"/>
      <c r="F6038" s="290">
        <v>515</v>
      </c>
      <c r="G6038" s="295" t="s">
        <v>3852</v>
      </c>
      <c r="H6038" s="594"/>
      <c r="I6038" s="595"/>
      <c r="J6038" s="595">
        <f t="shared" si="178"/>
        <v>0</v>
      </c>
      <c r="K6038" s="533"/>
      <c r="L6038" s="533"/>
      <c r="M6038" s="533"/>
      <c r="N6038" s="533"/>
      <c r="O6038" s="533"/>
      <c r="P6038" s="533"/>
      <c r="Q6038" s="533"/>
      <c r="R6038" s="533"/>
      <c r="S6038" s="533"/>
      <c r="T6038" s="533"/>
      <c r="U6038" s="533"/>
      <c r="V6038" s="533"/>
      <c r="W6038" s="533"/>
      <c r="X6038" s="533"/>
      <c r="Y6038" s="533"/>
    </row>
    <row r="6039" spans="1:25" s="88" customFormat="1" hidden="1" x14ac:dyDescent="0.25">
      <c r="A6039" s="509"/>
      <c r="B6039" s="256"/>
      <c r="C6039" s="221"/>
      <c r="D6039" s="218"/>
      <c r="E6039" s="218"/>
      <c r="F6039" s="290">
        <v>521</v>
      </c>
      <c r="G6039" s="295" t="s">
        <v>4220</v>
      </c>
      <c r="H6039" s="594"/>
      <c r="I6039" s="595"/>
      <c r="J6039" s="595">
        <f t="shared" si="178"/>
        <v>0</v>
      </c>
      <c r="K6039" s="533"/>
      <c r="L6039" s="533"/>
      <c r="M6039" s="533"/>
      <c r="N6039" s="533"/>
      <c r="O6039" s="533"/>
      <c r="P6039" s="533"/>
      <c r="Q6039" s="533"/>
      <c r="R6039" s="533"/>
      <c r="S6039" s="533"/>
      <c r="T6039" s="533"/>
      <c r="U6039" s="533"/>
      <c r="V6039" s="533"/>
      <c r="W6039" s="533"/>
      <c r="X6039" s="533"/>
      <c r="Y6039" s="533"/>
    </row>
    <row r="6040" spans="1:25" s="88" customFormat="1" hidden="1" x14ac:dyDescent="0.25">
      <c r="A6040" s="509"/>
      <c r="B6040" s="256"/>
      <c r="C6040" s="221"/>
      <c r="D6040" s="218"/>
      <c r="E6040" s="218"/>
      <c r="F6040" s="290">
        <v>522</v>
      </c>
      <c r="G6040" s="295" t="s">
        <v>4221</v>
      </c>
      <c r="H6040" s="594"/>
      <c r="I6040" s="595"/>
      <c r="J6040" s="595">
        <f t="shared" si="178"/>
        <v>0</v>
      </c>
      <c r="K6040" s="533"/>
      <c r="L6040" s="533"/>
      <c r="M6040" s="533"/>
      <c r="N6040" s="533"/>
      <c r="O6040" s="533"/>
      <c r="P6040" s="533"/>
      <c r="Q6040" s="533"/>
      <c r="R6040" s="533"/>
      <c r="S6040" s="533"/>
      <c r="T6040" s="533"/>
      <c r="U6040" s="533"/>
      <c r="V6040" s="533"/>
      <c r="W6040" s="533"/>
      <c r="X6040" s="533"/>
      <c r="Y6040" s="533"/>
    </row>
    <row r="6041" spans="1:25" s="88" customFormat="1" hidden="1" x14ac:dyDescent="0.25">
      <c r="A6041" s="509"/>
      <c r="B6041" s="256"/>
      <c r="C6041" s="221"/>
      <c r="D6041" s="218"/>
      <c r="E6041" s="218"/>
      <c r="F6041" s="290">
        <v>523</v>
      </c>
      <c r="G6041" s="295" t="s">
        <v>3857</v>
      </c>
      <c r="H6041" s="594"/>
      <c r="I6041" s="595"/>
      <c r="J6041" s="595">
        <f t="shared" si="178"/>
        <v>0</v>
      </c>
      <c r="K6041" s="533"/>
      <c r="L6041" s="533"/>
      <c r="M6041" s="533"/>
      <c r="N6041" s="533"/>
      <c r="O6041" s="533"/>
      <c r="P6041" s="533"/>
      <c r="Q6041" s="533"/>
      <c r="R6041" s="533"/>
      <c r="S6041" s="533"/>
      <c r="T6041" s="533"/>
      <c r="U6041" s="533"/>
      <c r="V6041" s="533"/>
      <c r="W6041" s="533"/>
      <c r="X6041" s="533"/>
      <c r="Y6041" s="533"/>
    </row>
    <row r="6042" spans="1:25" s="88" customFormat="1" hidden="1" x14ac:dyDescent="0.25">
      <c r="A6042" s="509"/>
      <c r="B6042" s="256"/>
      <c r="C6042" s="221"/>
      <c r="D6042" s="218"/>
      <c r="E6042" s="218"/>
      <c r="F6042" s="290">
        <v>531</v>
      </c>
      <c r="G6042" s="292" t="s">
        <v>4197</v>
      </c>
      <c r="H6042" s="594"/>
      <c r="I6042" s="595"/>
      <c r="J6042" s="595">
        <f t="shared" si="178"/>
        <v>0</v>
      </c>
      <c r="K6042" s="533"/>
      <c r="L6042" s="533"/>
      <c r="M6042" s="533"/>
      <c r="N6042" s="533"/>
      <c r="O6042" s="533"/>
      <c r="P6042" s="533"/>
      <c r="Q6042" s="533"/>
      <c r="R6042" s="533"/>
      <c r="S6042" s="533"/>
      <c r="T6042" s="533"/>
      <c r="U6042" s="533"/>
      <c r="V6042" s="533"/>
      <c r="W6042" s="533"/>
      <c r="X6042" s="533"/>
      <c r="Y6042" s="533"/>
    </row>
    <row r="6043" spans="1:25" s="88" customFormat="1" hidden="1" x14ac:dyDescent="0.25">
      <c r="A6043" s="509"/>
      <c r="B6043" s="256"/>
      <c r="C6043" s="221"/>
      <c r="D6043" s="218"/>
      <c r="E6043" s="218"/>
      <c r="F6043" s="290">
        <v>541</v>
      </c>
      <c r="G6043" s="295" t="s">
        <v>4222</v>
      </c>
      <c r="H6043" s="594"/>
      <c r="I6043" s="595"/>
      <c r="J6043" s="595">
        <f t="shared" si="178"/>
        <v>0</v>
      </c>
      <c r="K6043" s="533"/>
      <c r="L6043" s="533"/>
      <c r="M6043" s="533"/>
      <c r="N6043" s="533"/>
      <c r="O6043" s="533"/>
      <c r="P6043" s="533"/>
      <c r="Q6043" s="533"/>
      <c r="R6043" s="533"/>
      <c r="S6043" s="533"/>
      <c r="T6043" s="533"/>
      <c r="U6043" s="533"/>
      <c r="V6043" s="533"/>
      <c r="W6043" s="533"/>
      <c r="X6043" s="533"/>
      <c r="Y6043" s="533"/>
    </row>
    <row r="6044" spans="1:25" s="88" customFormat="1" hidden="1" x14ac:dyDescent="0.25">
      <c r="A6044" s="509"/>
      <c r="B6044" s="256"/>
      <c r="C6044" s="221"/>
      <c r="D6044" s="218"/>
      <c r="E6044" s="218"/>
      <c r="F6044" s="290">
        <v>542</v>
      </c>
      <c r="G6044" s="295" t="s">
        <v>4223</v>
      </c>
      <c r="H6044" s="594"/>
      <c r="I6044" s="595"/>
      <c r="J6044" s="595">
        <f t="shared" si="178"/>
        <v>0</v>
      </c>
      <c r="K6044" s="533"/>
      <c r="L6044" s="533"/>
      <c r="M6044" s="533"/>
      <c r="N6044" s="533"/>
      <c r="O6044" s="533"/>
      <c r="P6044" s="533"/>
      <c r="Q6044" s="533"/>
      <c r="R6044" s="533"/>
      <c r="S6044" s="533"/>
      <c r="T6044" s="533"/>
      <c r="U6044" s="533"/>
      <c r="V6044" s="533"/>
      <c r="W6044" s="533"/>
      <c r="X6044" s="533"/>
      <c r="Y6044" s="533"/>
    </row>
    <row r="6045" spans="1:25" s="88" customFormat="1" hidden="1" x14ac:dyDescent="0.25">
      <c r="A6045" s="509"/>
      <c r="B6045" s="256"/>
      <c r="C6045" s="221"/>
      <c r="D6045" s="218"/>
      <c r="E6045" s="218"/>
      <c r="F6045" s="290">
        <v>543</v>
      </c>
      <c r="G6045" s="295" t="s">
        <v>3862</v>
      </c>
      <c r="H6045" s="594"/>
      <c r="I6045" s="595"/>
      <c r="J6045" s="595">
        <f t="shared" si="178"/>
        <v>0</v>
      </c>
      <c r="K6045" s="533"/>
      <c r="L6045" s="533"/>
      <c r="M6045" s="533"/>
      <c r="N6045" s="533"/>
      <c r="O6045" s="533"/>
      <c r="P6045" s="533"/>
      <c r="Q6045" s="533"/>
      <c r="R6045" s="533"/>
      <c r="S6045" s="533"/>
      <c r="T6045" s="533"/>
      <c r="U6045" s="533"/>
      <c r="V6045" s="533"/>
      <c r="W6045" s="533"/>
      <c r="X6045" s="533"/>
      <c r="Y6045" s="533"/>
    </row>
    <row r="6046" spans="1:25" s="88" customFormat="1" ht="30" hidden="1" x14ac:dyDescent="0.25">
      <c r="A6046" s="509"/>
      <c r="B6046" s="256"/>
      <c r="C6046" s="221"/>
      <c r="D6046" s="218"/>
      <c r="E6046" s="218"/>
      <c r="F6046" s="290">
        <v>551</v>
      </c>
      <c r="G6046" s="295" t="s">
        <v>4198</v>
      </c>
      <c r="H6046" s="594"/>
      <c r="I6046" s="595"/>
      <c r="J6046" s="595">
        <f t="shared" si="178"/>
        <v>0</v>
      </c>
      <c r="K6046" s="533"/>
      <c r="L6046" s="533"/>
      <c r="M6046" s="533"/>
      <c r="N6046" s="533"/>
      <c r="O6046" s="533"/>
      <c r="P6046" s="533"/>
      <c r="Q6046" s="533"/>
      <c r="R6046" s="533"/>
      <c r="S6046" s="533"/>
      <c r="T6046" s="533"/>
      <c r="U6046" s="533"/>
      <c r="V6046" s="533"/>
      <c r="W6046" s="533"/>
      <c r="X6046" s="533"/>
      <c r="Y6046" s="533"/>
    </row>
    <row r="6047" spans="1:25" s="88" customFormat="1" hidden="1" x14ac:dyDescent="0.25">
      <c r="A6047" s="509"/>
      <c r="B6047" s="256"/>
      <c r="C6047" s="221"/>
      <c r="D6047" s="218"/>
      <c r="E6047" s="218"/>
      <c r="F6047" s="291">
        <v>611</v>
      </c>
      <c r="G6047" s="299" t="s">
        <v>3868</v>
      </c>
      <c r="H6047" s="594"/>
      <c r="I6047" s="595"/>
      <c r="J6047" s="595">
        <f t="shared" si="178"/>
        <v>0</v>
      </c>
      <c r="K6047" s="533"/>
      <c r="L6047" s="533"/>
      <c r="M6047" s="533"/>
      <c r="N6047" s="533"/>
      <c r="O6047" s="533"/>
      <c r="P6047" s="533"/>
      <c r="Q6047" s="533"/>
      <c r="R6047" s="533"/>
      <c r="S6047" s="533"/>
      <c r="T6047" s="533"/>
      <c r="U6047" s="533"/>
      <c r="V6047" s="533"/>
      <c r="W6047" s="533"/>
      <c r="X6047" s="533"/>
      <c r="Y6047" s="533"/>
    </row>
    <row r="6048" spans="1:25" s="88" customFormat="1" ht="15.75" hidden="1" thickBot="1" x14ac:dyDescent="0.3">
      <c r="A6048" s="509"/>
      <c r="B6048" s="256"/>
      <c r="C6048" s="221"/>
      <c r="D6048" s="218"/>
      <c r="E6048" s="218"/>
      <c r="F6048" s="291">
        <v>620</v>
      </c>
      <c r="G6048" s="299" t="s">
        <v>88</v>
      </c>
      <c r="H6048" s="594"/>
      <c r="I6048" s="595"/>
      <c r="J6048" s="595">
        <f t="shared" si="178"/>
        <v>0</v>
      </c>
      <c r="K6048" s="533"/>
      <c r="L6048" s="533"/>
      <c r="M6048" s="533"/>
      <c r="N6048" s="533"/>
      <c r="O6048" s="533"/>
      <c r="P6048" s="533"/>
      <c r="Q6048" s="533"/>
      <c r="R6048" s="533"/>
      <c r="S6048" s="533"/>
      <c r="T6048" s="533"/>
      <c r="U6048" s="533"/>
      <c r="V6048" s="533"/>
      <c r="W6048" s="533"/>
      <c r="X6048" s="533"/>
      <c r="Y6048" s="533"/>
    </row>
    <row r="6049" spans="1:25" s="88" customFormat="1" hidden="1" x14ac:dyDescent="0.25">
      <c r="A6049" s="509"/>
      <c r="B6049" s="256"/>
      <c r="C6049" s="221"/>
      <c r="D6049" s="218"/>
      <c r="E6049" s="293"/>
      <c r="F6049" s="301"/>
      <c r="G6049" s="327" t="s">
        <v>4414</v>
      </c>
      <c r="H6049" s="596"/>
      <c r="I6049" s="622"/>
      <c r="J6049" s="597"/>
      <c r="K6049" s="533"/>
      <c r="L6049" s="533"/>
      <c r="M6049" s="533"/>
      <c r="N6049" s="533"/>
      <c r="O6049" s="533"/>
      <c r="P6049" s="533"/>
      <c r="Q6049" s="533"/>
      <c r="R6049" s="533"/>
      <c r="S6049" s="533"/>
      <c r="T6049" s="533"/>
      <c r="U6049" s="533"/>
      <c r="V6049" s="533"/>
      <c r="W6049" s="533"/>
      <c r="X6049" s="533"/>
      <c r="Y6049" s="533"/>
    </row>
    <row r="6050" spans="1:25" s="88" customFormat="1" hidden="1" x14ac:dyDescent="0.25">
      <c r="A6050" s="509"/>
      <c r="B6050" s="256"/>
      <c r="C6050" s="221"/>
      <c r="D6050" s="218"/>
      <c r="E6050" s="222"/>
      <c r="F6050" s="249" t="s">
        <v>234</v>
      </c>
      <c r="G6050" s="252" t="s">
        <v>235</v>
      </c>
      <c r="H6050" s="598">
        <f>SUM(H5989:H6048)</f>
        <v>0</v>
      </c>
      <c r="I6050" s="599"/>
      <c r="J6050" s="599">
        <f t="shared" ref="J6050:J6065" si="179">SUM(H6050:I6050)</f>
        <v>0</v>
      </c>
      <c r="K6050" s="533"/>
      <c r="L6050" s="533"/>
      <c r="M6050" s="533"/>
      <c r="N6050" s="533"/>
      <c r="O6050" s="533"/>
      <c r="P6050" s="533"/>
      <c r="Q6050" s="533"/>
      <c r="R6050" s="533"/>
      <c r="S6050" s="533"/>
      <c r="T6050" s="533"/>
      <c r="U6050" s="533"/>
      <c r="V6050" s="533"/>
      <c r="W6050" s="533"/>
      <c r="X6050" s="533"/>
      <c r="Y6050" s="533"/>
    </row>
    <row r="6051" spans="1:25" s="88" customFormat="1" hidden="1" x14ac:dyDescent="0.25">
      <c r="A6051" s="509"/>
      <c r="B6051" s="256"/>
      <c r="C6051" s="221"/>
      <c r="D6051" s="218"/>
      <c r="E6051" s="218"/>
      <c r="F6051" s="249" t="s">
        <v>236</v>
      </c>
      <c r="G6051" s="252" t="s">
        <v>237</v>
      </c>
      <c r="H6051" s="594"/>
      <c r="I6051" s="595"/>
      <c r="J6051" s="599">
        <f t="shared" si="179"/>
        <v>0</v>
      </c>
      <c r="K6051" s="533"/>
      <c r="L6051" s="533"/>
      <c r="M6051" s="533"/>
      <c r="N6051" s="533"/>
      <c r="O6051" s="533"/>
      <c r="P6051" s="533"/>
      <c r="Q6051" s="533"/>
      <c r="R6051" s="533"/>
      <c r="S6051" s="533"/>
      <c r="T6051" s="533"/>
      <c r="U6051" s="533"/>
      <c r="V6051" s="533"/>
      <c r="W6051" s="533"/>
      <c r="X6051" s="533"/>
      <c r="Y6051" s="533"/>
    </row>
    <row r="6052" spans="1:25" s="88" customFormat="1" hidden="1" x14ac:dyDescent="0.25">
      <c r="A6052" s="509"/>
      <c r="B6052" s="256"/>
      <c r="C6052" s="221"/>
      <c r="D6052" s="218"/>
      <c r="E6052" s="218"/>
      <c r="F6052" s="249" t="s">
        <v>238</v>
      </c>
      <c r="G6052" s="252" t="s">
        <v>239</v>
      </c>
      <c r="H6052" s="594"/>
      <c r="I6052" s="595"/>
      <c r="J6052" s="599">
        <f t="shared" si="179"/>
        <v>0</v>
      </c>
      <c r="K6052" s="533"/>
      <c r="L6052" s="533"/>
      <c r="M6052" s="533"/>
      <c r="N6052" s="533"/>
      <c r="O6052" s="533"/>
      <c r="P6052" s="533"/>
      <c r="Q6052" s="533"/>
      <c r="R6052" s="533"/>
      <c r="S6052" s="533"/>
      <c r="T6052" s="533"/>
      <c r="U6052" s="533"/>
      <c r="V6052" s="533"/>
      <c r="W6052" s="533"/>
      <c r="X6052" s="533"/>
      <c r="Y6052" s="533"/>
    </row>
    <row r="6053" spans="1:25" s="88" customFormat="1" hidden="1" x14ac:dyDescent="0.25">
      <c r="A6053" s="509"/>
      <c r="B6053" s="256"/>
      <c r="C6053" s="221"/>
      <c r="D6053" s="218"/>
      <c r="E6053" s="218"/>
      <c r="F6053" s="249" t="s">
        <v>240</v>
      </c>
      <c r="G6053" s="252" t="s">
        <v>241</v>
      </c>
      <c r="H6053" s="594"/>
      <c r="I6053" s="595"/>
      <c r="J6053" s="599">
        <f t="shared" si="179"/>
        <v>0</v>
      </c>
      <c r="K6053" s="533"/>
      <c r="L6053" s="533"/>
      <c r="M6053" s="533"/>
      <c r="N6053" s="533"/>
      <c r="O6053" s="533"/>
      <c r="P6053" s="533"/>
      <c r="Q6053" s="533"/>
      <c r="R6053" s="533"/>
      <c r="S6053" s="533"/>
      <c r="T6053" s="533"/>
      <c r="U6053" s="533"/>
      <c r="V6053" s="533"/>
      <c r="W6053" s="533"/>
      <c r="X6053" s="533"/>
      <c r="Y6053" s="533"/>
    </row>
    <row r="6054" spans="1:25" s="88" customFormat="1" hidden="1" x14ac:dyDescent="0.25">
      <c r="A6054" s="509"/>
      <c r="B6054" s="256"/>
      <c r="C6054" s="221"/>
      <c r="D6054" s="218"/>
      <c r="E6054" s="218"/>
      <c r="F6054" s="249" t="s">
        <v>242</v>
      </c>
      <c r="G6054" s="252" t="s">
        <v>243</v>
      </c>
      <c r="H6054" s="594"/>
      <c r="I6054" s="595"/>
      <c r="J6054" s="599">
        <f t="shared" si="179"/>
        <v>0</v>
      </c>
      <c r="K6054" s="533"/>
      <c r="L6054" s="533"/>
      <c r="M6054" s="533"/>
      <c r="N6054" s="533"/>
      <c r="O6054" s="533"/>
      <c r="P6054" s="533"/>
      <c r="Q6054" s="533"/>
      <c r="R6054" s="533"/>
      <c r="S6054" s="533"/>
      <c r="T6054" s="533"/>
      <c r="U6054" s="533"/>
      <c r="V6054" s="533"/>
      <c r="W6054" s="533"/>
      <c r="X6054" s="533"/>
      <c r="Y6054" s="533"/>
    </row>
    <row r="6055" spans="1:25" s="88" customFormat="1" hidden="1" x14ac:dyDescent="0.25">
      <c r="A6055" s="509"/>
      <c r="B6055" s="256"/>
      <c r="C6055" s="221"/>
      <c r="D6055" s="218"/>
      <c r="E6055" s="218"/>
      <c r="F6055" s="249" t="s">
        <v>244</v>
      </c>
      <c r="G6055" s="252" t="s">
        <v>245</v>
      </c>
      <c r="H6055" s="594"/>
      <c r="I6055" s="595"/>
      <c r="J6055" s="599">
        <f t="shared" si="179"/>
        <v>0</v>
      </c>
      <c r="K6055" s="533"/>
      <c r="L6055" s="533"/>
      <c r="M6055" s="533"/>
      <c r="N6055" s="533"/>
      <c r="O6055" s="533"/>
      <c r="P6055" s="533"/>
      <c r="Q6055" s="533"/>
      <c r="R6055" s="533"/>
      <c r="S6055" s="533"/>
      <c r="T6055" s="533"/>
      <c r="U6055" s="533"/>
      <c r="V6055" s="533"/>
      <c r="W6055" s="533"/>
      <c r="X6055" s="533"/>
      <c r="Y6055" s="533"/>
    </row>
    <row r="6056" spans="1:25" s="88" customFormat="1" hidden="1" x14ac:dyDescent="0.25">
      <c r="A6056" s="509"/>
      <c r="B6056" s="256"/>
      <c r="C6056" s="221"/>
      <c r="D6056" s="218"/>
      <c r="E6056" s="218"/>
      <c r="F6056" s="249" t="s">
        <v>246</v>
      </c>
      <c r="G6056" s="252" t="s">
        <v>247</v>
      </c>
      <c r="H6056" s="594"/>
      <c r="I6056" s="595"/>
      <c r="J6056" s="599">
        <f t="shared" si="179"/>
        <v>0</v>
      </c>
      <c r="K6056" s="533"/>
      <c r="L6056" s="533"/>
      <c r="M6056" s="533"/>
      <c r="N6056" s="533"/>
      <c r="O6056" s="533"/>
      <c r="P6056" s="533"/>
      <c r="Q6056" s="533"/>
      <c r="R6056" s="533"/>
      <c r="S6056" s="533"/>
      <c r="T6056" s="533"/>
      <c r="U6056" s="533"/>
      <c r="V6056" s="533"/>
      <c r="W6056" s="533"/>
      <c r="X6056" s="533"/>
      <c r="Y6056" s="533"/>
    </row>
    <row r="6057" spans="1:25" s="88" customFormat="1" hidden="1" x14ac:dyDescent="0.25">
      <c r="A6057" s="509"/>
      <c r="B6057" s="256"/>
      <c r="C6057" s="221"/>
      <c r="D6057" s="218"/>
      <c r="E6057" s="218"/>
      <c r="F6057" s="249" t="s">
        <v>248</v>
      </c>
      <c r="G6057" s="252" t="s">
        <v>249</v>
      </c>
      <c r="H6057" s="594"/>
      <c r="I6057" s="595"/>
      <c r="J6057" s="599">
        <f t="shared" si="179"/>
        <v>0</v>
      </c>
      <c r="K6057" s="533"/>
      <c r="L6057" s="533"/>
      <c r="M6057" s="533"/>
      <c r="N6057" s="533"/>
      <c r="O6057" s="533"/>
      <c r="P6057" s="533"/>
      <c r="Q6057" s="533"/>
      <c r="R6057" s="533"/>
      <c r="S6057" s="533"/>
      <c r="T6057" s="533"/>
      <c r="U6057" s="533"/>
      <c r="V6057" s="533"/>
      <c r="W6057" s="533"/>
      <c r="X6057" s="533"/>
      <c r="Y6057" s="533"/>
    </row>
    <row r="6058" spans="1:25" s="88" customFormat="1" hidden="1" x14ac:dyDescent="0.25">
      <c r="A6058" s="509"/>
      <c r="B6058" s="256"/>
      <c r="C6058" s="221"/>
      <c r="D6058" s="218"/>
      <c r="E6058" s="218"/>
      <c r="F6058" s="249" t="s">
        <v>250</v>
      </c>
      <c r="G6058" s="252" t="s">
        <v>57</v>
      </c>
      <c r="H6058" s="594"/>
      <c r="I6058" s="595"/>
      <c r="J6058" s="599">
        <f t="shared" si="179"/>
        <v>0</v>
      </c>
      <c r="K6058" s="533"/>
      <c r="L6058" s="533"/>
      <c r="M6058" s="533"/>
      <c r="N6058" s="533"/>
      <c r="O6058" s="533"/>
      <c r="P6058" s="533"/>
      <c r="Q6058" s="533"/>
      <c r="R6058" s="533"/>
      <c r="S6058" s="533"/>
      <c r="T6058" s="533"/>
      <c r="U6058" s="533"/>
      <c r="V6058" s="533"/>
      <c r="W6058" s="533"/>
      <c r="X6058" s="533"/>
      <c r="Y6058" s="533"/>
    </row>
    <row r="6059" spans="1:25" s="88" customFormat="1" hidden="1" x14ac:dyDescent="0.25">
      <c r="A6059" s="509"/>
      <c r="B6059" s="256"/>
      <c r="C6059" s="221"/>
      <c r="D6059" s="218"/>
      <c r="E6059" s="218"/>
      <c r="F6059" s="249" t="s">
        <v>251</v>
      </c>
      <c r="G6059" s="252" t="s">
        <v>252</v>
      </c>
      <c r="H6059" s="594"/>
      <c r="I6059" s="595"/>
      <c r="J6059" s="599">
        <f t="shared" si="179"/>
        <v>0</v>
      </c>
      <c r="K6059" s="533"/>
      <c r="L6059" s="533"/>
      <c r="M6059" s="533"/>
      <c r="N6059" s="533"/>
      <c r="O6059" s="533"/>
      <c r="P6059" s="533"/>
      <c r="Q6059" s="533"/>
      <c r="R6059" s="533"/>
      <c r="S6059" s="533"/>
      <c r="T6059" s="533"/>
      <c r="U6059" s="533"/>
      <c r="V6059" s="533"/>
      <c r="W6059" s="533"/>
      <c r="X6059" s="533"/>
      <c r="Y6059" s="533"/>
    </row>
    <row r="6060" spans="1:25" s="88" customFormat="1" hidden="1" x14ac:dyDescent="0.25">
      <c r="A6060" s="509"/>
      <c r="B6060" s="256"/>
      <c r="C6060" s="221"/>
      <c r="D6060" s="218"/>
      <c r="E6060" s="218"/>
      <c r="F6060" s="249" t="s">
        <v>253</v>
      </c>
      <c r="G6060" s="252" t="s">
        <v>254</v>
      </c>
      <c r="H6060" s="594"/>
      <c r="I6060" s="595"/>
      <c r="J6060" s="599">
        <f t="shared" si="179"/>
        <v>0</v>
      </c>
      <c r="K6060" s="533"/>
      <c r="L6060" s="533"/>
      <c r="M6060" s="533"/>
      <c r="N6060" s="533"/>
      <c r="O6060" s="533"/>
      <c r="P6060" s="533"/>
      <c r="Q6060" s="533"/>
      <c r="R6060" s="533"/>
      <c r="S6060" s="533"/>
      <c r="T6060" s="533"/>
      <c r="U6060" s="533"/>
      <c r="V6060" s="533"/>
      <c r="W6060" s="533"/>
      <c r="X6060" s="533"/>
      <c r="Y6060" s="533"/>
    </row>
    <row r="6061" spans="1:25" s="88" customFormat="1" ht="30" hidden="1" x14ac:dyDescent="0.25">
      <c r="A6061" s="509"/>
      <c r="B6061" s="256"/>
      <c r="C6061" s="221"/>
      <c r="D6061" s="218"/>
      <c r="E6061" s="218"/>
      <c r="F6061" s="249" t="s">
        <v>255</v>
      </c>
      <c r="G6061" s="252" t="s">
        <v>256</v>
      </c>
      <c r="H6061" s="594"/>
      <c r="I6061" s="595"/>
      <c r="J6061" s="599">
        <f t="shared" si="179"/>
        <v>0</v>
      </c>
      <c r="K6061" s="533"/>
      <c r="L6061" s="533"/>
      <c r="M6061" s="533"/>
      <c r="N6061" s="533"/>
      <c r="O6061" s="533"/>
      <c r="P6061" s="533"/>
      <c r="Q6061" s="533"/>
      <c r="R6061" s="533"/>
      <c r="S6061" s="533"/>
      <c r="T6061" s="533"/>
      <c r="U6061" s="533"/>
      <c r="V6061" s="533"/>
      <c r="W6061" s="533"/>
      <c r="X6061" s="533"/>
      <c r="Y6061" s="533"/>
    </row>
    <row r="6062" spans="1:25" s="88" customFormat="1" hidden="1" x14ac:dyDescent="0.25">
      <c r="A6062" s="509"/>
      <c r="B6062" s="256"/>
      <c r="C6062" s="221"/>
      <c r="D6062" s="218"/>
      <c r="E6062" s="218"/>
      <c r="F6062" s="249" t="s">
        <v>257</v>
      </c>
      <c r="G6062" s="252" t="s">
        <v>258</v>
      </c>
      <c r="H6062" s="594"/>
      <c r="I6062" s="595"/>
      <c r="J6062" s="599">
        <f t="shared" si="179"/>
        <v>0</v>
      </c>
      <c r="K6062" s="533"/>
      <c r="L6062" s="533"/>
      <c r="M6062" s="533"/>
      <c r="N6062" s="533"/>
      <c r="O6062" s="533"/>
      <c r="P6062" s="533"/>
      <c r="Q6062" s="533"/>
      <c r="R6062" s="533"/>
      <c r="S6062" s="533"/>
      <c r="T6062" s="533"/>
      <c r="U6062" s="533"/>
      <c r="V6062" s="533"/>
      <c r="W6062" s="533"/>
      <c r="X6062" s="533"/>
      <c r="Y6062" s="533"/>
    </row>
    <row r="6063" spans="1:25" s="88" customFormat="1" ht="30" hidden="1" x14ac:dyDescent="0.25">
      <c r="A6063" s="509"/>
      <c r="B6063" s="256"/>
      <c r="C6063" s="221"/>
      <c r="D6063" s="218"/>
      <c r="E6063" s="218"/>
      <c r="F6063" s="249" t="s">
        <v>259</v>
      </c>
      <c r="G6063" s="252" t="s">
        <v>260</v>
      </c>
      <c r="H6063" s="594"/>
      <c r="I6063" s="595"/>
      <c r="J6063" s="599">
        <f t="shared" si="179"/>
        <v>0</v>
      </c>
      <c r="K6063" s="533"/>
      <c r="L6063" s="533"/>
      <c r="M6063" s="533"/>
      <c r="N6063" s="533"/>
      <c r="O6063" s="533"/>
      <c r="P6063" s="533"/>
      <c r="Q6063" s="533"/>
      <c r="R6063" s="533"/>
      <c r="S6063" s="533"/>
      <c r="T6063" s="533"/>
      <c r="U6063" s="533"/>
      <c r="V6063" s="533"/>
      <c r="W6063" s="533"/>
      <c r="X6063" s="533"/>
      <c r="Y6063" s="533"/>
    </row>
    <row r="6064" spans="1:25" s="88" customFormat="1" hidden="1" x14ac:dyDescent="0.25">
      <c r="A6064" s="509"/>
      <c r="B6064" s="256"/>
      <c r="C6064" s="221"/>
      <c r="D6064" s="218"/>
      <c r="E6064" s="218"/>
      <c r="F6064" s="249" t="s">
        <v>261</v>
      </c>
      <c r="G6064" s="252" t="s">
        <v>262</v>
      </c>
      <c r="H6064" s="594"/>
      <c r="I6064" s="595"/>
      <c r="J6064" s="599">
        <f t="shared" si="179"/>
        <v>0</v>
      </c>
      <c r="K6064" s="533"/>
      <c r="L6064" s="533"/>
      <c r="M6064" s="533"/>
      <c r="N6064" s="533"/>
      <c r="O6064" s="533"/>
      <c r="P6064" s="533"/>
      <c r="Q6064" s="533"/>
      <c r="R6064" s="533"/>
      <c r="S6064" s="533"/>
      <c r="T6064" s="533"/>
      <c r="U6064" s="533"/>
      <c r="V6064" s="533"/>
      <c r="W6064" s="533"/>
      <c r="X6064" s="533"/>
      <c r="Y6064" s="533"/>
    </row>
    <row r="6065" spans="1:25" s="88" customFormat="1" ht="15.75" hidden="1" thickBot="1" x14ac:dyDescent="0.3">
      <c r="A6065" s="509"/>
      <c r="B6065" s="256"/>
      <c r="C6065" s="221"/>
      <c r="D6065" s="218"/>
      <c r="E6065" s="218"/>
      <c r="F6065" s="249" t="s">
        <v>263</v>
      </c>
      <c r="G6065" s="252" t="s">
        <v>264</v>
      </c>
      <c r="H6065" s="598"/>
      <c r="I6065" s="599"/>
      <c r="J6065" s="599">
        <f t="shared" si="179"/>
        <v>0</v>
      </c>
      <c r="K6065" s="533"/>
      <c r="L6065" s="533"/>
      <c r="M6065" s="533"/>
      <c r="N6065" s="533"/>
      <c r="O6065" s="533"/>
      <c r="P6065" s="533"/>
      <c r="Q6065" s="533"/>
      <c r="R6065" s="533"/>
      <c r="S6065" s="533"/>
      <c r="T6065" s="533"/>
      <c r="U6065" s="533"/>
      <c r="V6065" s="533"/>
      <c r="W6065" s="533"/>
      <c r="X6065" s="533"/>
      <c r="Y6065" s="533"/>
    </row>
    <row r="6066" spans="1:25" s="88" customFormat="1" ht="15.75" hidden="1" thickBot="1" x14ac:dyDescent="0.3">
      <c r="A6066" s="509"/>
      <c r="B6066" s="256"/>
      <c r="C6066" s="221"/>
      <c r="D6066" s="218"/>
      <c r="E6066" s="218"/>
      <c r="F6066" s="218"/>
      <c r="G6066" s="229" t="s">
        <v>4415</v>
      </c>
      <c r="H6066" s="600">
        <f>SUM(H6050:H6065)</f>
        <v>0</v>
      </c>
      <c r="I6066" s="601">
        <f>SUM(I6051:I6065)</f>
        <v>0</v>
      </c>
      <c r="J6066" s="601">
        <f>SUM(J6050:J6065)</f>
        <v>0</v>
      </c>
      <c r="K6066" s="533"/>
      <c r="L6066" s="533"/>
      <c r="M6066" s="533"/>
      <c r="N6066" s="533"/>
      <c r="O6066" s="533"/>
      <c r="P6066" s="533"/>
      <c r="Q6066" s="533"/>
      <c r="R6066" s="533"/>
      <c r="S6066" s="533"/>
      <c r="T6066" s="533"/>
      <c r="U6066" s="533"/>
      <c r="V6066" s="533"/>
      <c r="W6066" s="533"/>
      <c r="X6066" s="533"/>
      <c r="Y6066" s="533"/>
    </row>
    <row r="6067" spans="1:25" s="88" customFormat="1" hidden="1" x14ac:dyDescent="0.25">
      <c r="A6067" s="509"/>
      <c r="B6067" s="256"/>
      <c r="C6067" s="221"/>
      <c r="D6067" s="218"/>
      <c r="E6067" s="288"/>
      <c r="F6067" s="291"/>
      <c r="G6067" s="231" t="s">
        <v>5073</v>
      </c>
      <c r="H6067" s="602"/>
      <c r="I6067" s="623"/>
      <c r="J6067" s="603"/>
      <c r="K6067" s="533"/>
      <c r="L6067" s="533"/>
      <c r="M6067" s="533"/>
      <c r="N6067" s="533"/>
      <c r="O6067" s="533"/>
      <c r="P6067" s="533"/>
      <c r="Q6067" s="533"/>
      <c r="R6067" s="533"/>
      <c r="S6067" s="533"/>
      <c r="T6067" s="533"/>
      <c r="U6067" s="533"/>
      <c r="V6067" s="533"/>
      <c r="W6067" s="533"/>
      <c r="X6067" s="533"/>
      <c r="Y6067" s="533"/>
    </row>
    <row r="6068" spans="1:25" s="88" customFormat="1" hidden="1" x14ac:dyDescent="0.25">
      <c r="A6068" s="509"/>
      <c r="B6068" s="256"/>
      <c r="C6068" s="221"/>
      <c r="D6068" s="218"/>
      <c r="E6068" s="222"/>
      <c r="F6068" s="249" t="s">
        <v>234</v>
      </c>
      <c r="G6068" s="252" t="s">
        <v>235</v>
      </c>
      <c r="H6068" s="598">
        <f>SUM(H5989:H6048)</f>
        <v>0</v>
      </c>
      <c r="I6068" s="599"/>
      <c r="J6068" s="599">
        <f t="shared" ref="J6068:J6083" si="180">SUM(H6068:I6068)</f>
        <v>0</v>
      </c>
      <c r="K6068" s="533"/>
      <c r="L6068" s="533"/>
      <c r="M6068" s="533"/>
      <c r="N6068" s="533"/>
      <c r="O6068" s="533"/>
      <c r="P6068" s="533"/>
      <c r="Q6068" s="533"/>
      <c r="R6068" s="533"/>
      <c r="S6068" s="533"/>
      <c r="T6068" s="533"/>
      <c r="U6068" s="533"/>
      <c r="V6068" s="533"/>
      <c r="W6068" s="533"/>
      <c r="X6068" s="533"/>
      <c r="Y6068" s="533"/>
    </row>
    <row r="6069" spans="1:25" s="88" customFormat="1" hidden="1" x14ac:dyDescent="0.25">
      <c r="A6069" s="509"/>
      <c r="B6069" s="256"/>
      <c r="C6069" s="221"/>
      <c r="D6069" s="218"/>
      <c r="E6069" s="218"/>
      <c r="F6069" s="249" t="s">
        <v>236</v>
      </c>
      <c r="G6069" s="252" t="s">
        <v>237</v>
      </c>
      <c r="H6069" s="594"/>
      <c r="I6069" s="595"/>
      <c r="J6069" s="599">
        <f t="shared" si="180"/>
        <v>0</v>
      </c>
      <c r="K6069" s="533"/>
      <c r="L6069" s="533"/>
      <c r="M6069" s="533"/>
      <c r="N6069" s="533"/>
      <c r="O6069" s="533"/>
      <c r="P6069" s="533"/>
      <c r="Q6069" s="533"/>
      <c r="R6069" s="533"/>
      <c r="S6069" s="533"/>
      <c r="T6069" s="533"/>
      <c r="U6069" s="533"/>
      <c r="V6069" s="533"/>
      <c r="W6069" s="533"/>
      <c r="X6069" s="533"/>
      <c r="Y6069" s="533"/>
    </row>
    <row r="6070" spans="1:25" s="88" customFormat="1" hidden="1" x14ac:dyDescent="0.25">
      <c r="A6070" s="509"/>
      <c r="B6070" s="256"/>
      <c r="C6070" s="221"/>
      <c r="D6070" s="218"/>
      <c r="E6070" s="218"/>
      <c r="F6070" s="249" t="s">
        <v>238</v>
      </c>
      <c r="G6070" s="252" t="s">
        <v>239</v>
      </c>
      <c r="H6070" s="594"/>
      <c r="I6070" s="595"/>
      <c r="J6070" s="599">
        <f t="shared" si="180"/>
        <v>0</v>
      </c>
      <c r="K6070" s="533"/>
      <c r="L6070" s="533"/>
      <c r="M6070" s="533"/>
      <c r="N6070" s="533"/>
      <c r="O6070" s="533"/>
      <c r="P6070" s="533"/>
      <c r="Q6070" s="533"/>
      <c r="R6070" s="533"/>
      <c r="S6070" s="533"/>
      <c r="T6070" s="533"/>
      <c r="U6070" s="533"/>
      <c r="V6070" s="533"/>
      <c r="W6070" s="533"/>
      <c r="X6070" s="533"/>
      <c r="Y6070" s="533"/>
    </row>
    <row r="6071" spans="1:25" s="88" customFormat="1" hidden="1" x14ac:dyDescent="0.25">
      <c r="A6071" s="509"/>
      <c r="B6071" s="256"/>
      <c r="C6071" s="221"/>
      <c r="D6071" s="218"/>
      <c r="E6071" s="218"/>
      <c r="F6071" s="249" t="s">
        <v>240</v>
      </c>
      <c r="G6071" s="252" t="s">
        <v>241</v>
      </c>
      <c r="H6071" s="594"/>
      <c r="I6071" s="595"/>
      <c r="J6071" s="599">
        <f t="shared" si="180"/>
        <v>0</v>
      </c>
      <c r="K6071" s="533"/>
      <c r="L6071" s="533"/>
      <c r="M6071" s="533"/>
      <c r="N6071" s="533"/>
      <c r="O6071" s="533"/>
      <c r="P6071" s="533"/>
      <c r="Q6071" s="533"/>
      <c r="R6071" s="533"/>
      <c r="S6071" s="533"/>
      <c r="T6071" s="533"/>
      <c r="U6071" s="533"/>
      <c r="V6071" s="533"/>
      <c r="W6071" s="533"/>
      <c r="X6071" s="533"/>
      <c r="Y6071" s="533"/>
    </row>
    <row r="6072" spans="1:25" s="88" customFormat="1" hidden="1" x14ac:dyDescent="0.25">
      <c r="A6072" s="509"/>
      <c r="B6072" s="256"/>
      <c r="C6072" s="221"/>
      <c r="D6072" s="218"/>
      <c r="E6072" s="218"/>
      <c r="F6072" s="249" t="s">
        <v>242</v>
      </c>
      <c r="G6072" s="252" t="s">
        <v>243</v>
      </c>
      <c r="H6072" s="594"/>
      <c r="I6072" s="595"/>
      <c r="J6072" s="599">
        <f t="shared" si="180"/>
        <v>0</v>
      </c>
      <c r="K6072" s="533"/>
      <c r="L6072" s="533"/>
      <c r="M6072" s="533"/>
      <c r="N6072" s="533"/>
      <c r="O6072" s="533"/>
      <c r="P6072" s="533"/>
      <c r="Q6072" s="533"/>
      <c r="R6072" s="533"/>
      <c r="S6072" s="533"/>
      <c r="T6072" s="533"/>
      <c r="U6072" s="533"/>
      <c r="V6072" s="533"/>
      <c r="W6072" s="533"/>
      <c r="X6072" s="533"/>
      <c r="Y6072" s="533"/>
    </row>
    <row r="6073" spans="1:25" s="88" customFormat="1" hidden="1" x14ac:dyDescent="0.25">
      <c r="A6073" s="509"/>
      <c r="B6073" s="256"/>
      <c r="C6073" s="221"/>
      <c r="D6073" s="218"/>
      <c r="E6073" s="218"/>
      <c r="F6073" s="249" t="s">
        <v>244</v>
      </c>
      <c r="G6073" s="252" t="s">
        <v>245</v>
      </c>
      <c r="H6073" s="594"/>
      <c r="I6073" s="595"/>
      <c r="J6073" s="599">
        <f t="shared" si="180"/>
        <v>0</v>
      </c>
      <c r="K6073" s="533"/>
      <c r="L6073" s="533"/>
      <c r="M6073" s="533"/>
      <c r="N6073" s="533"/>
      <c r="O6073" s="533"/>
      <c r="P6073" s="533"/>
      <c r="Q6073" s="533"/>
      <c r="R6073" s="533"/>
      <c r="S6073" s="533"/>
      <c r="T6073" s="533"/>
      <c r="U6073" s="533"/>
      <c r="V6073" s="533"/>
      <c r="W6073" s="533"/>
      <c r="X6073" s="533"/>
      <c r="Y6073" s="533"/>
    </row>
    <row r="6074" spans="1:25" s="88" customFormat="1" hidden="1" x14ac:dyDescent="0.25">
      <c r="A6074" s="509"/>
      <c r="B6074" s="256"/>
      <c r="C6074" s="221"/>
      <c r="D6074" s="218"/>
      <c r="E6074" s="218"/>
      <c r="F6074" s="249" t="s">
        <v>246</v>
      </c>
      <c r="G6074" s="252" t="s">
        <v>247</v>
      </c>
      <c r="H6074" s="594"/>
      <c r="I6074" s="595"/>
      <c r="J6074" s="599">
        <f t="shared" si="180"/>
        <v>0</v>
      </c>
      <c r="K6074" s="533"/>
      <c r="L6074" s="533"/>
      <c r="M6074" s="533"/>
      <c r="N6074" s="533"/>
      <c r="O6074" s="533"/>
      <c r="P6074" s="533"/>
      <c r="Q6074" s="533"/>
      <c r="R6074" s="533"/>
      <c r="S6074" s="533"/>
      <c r="T6074" s="533"/>
      <c r="U6074" s="533"/>
      <c r="V6074" s="533"/>
      <c r="W6074" s="533"/>
      <c r="X6074" s="533"/>
      <c r="Y6074" s="533"/>
    </row>
    <row r="6075" spans="1:25" s="88" customFormat="1" hidden="1" x14ac:dyDescent="0.25">
      <c r="A6075" s="509"/>
      <c r="B6075" s="256"/>
      <c r="C6075" s="221"/>
      <c r="D6075" s="218"/>
      <c r="E6075" s="218"/>
      <c r="F6075" s="249" t="s">
        <v>248</v>
      </c>
      <c r="G6075" s="252" t="s">
        <v>249</v>
      </c>
      <c r="H6075" s="594"/>
      <c r="I6075" s="595"/>
      <c r="J6075" s="599">
        <f t="shared" si="180"/>
        <v>0</v>
      </c>
      <c r="K6075" s="533"/>
      <c r="L6075" s="533"/>
      <c r="M6075" s="533"/>
      <c r="N6075" s="533"/>
      <c r="O6075" s="533"/>
      <c r="P6075" s="533"/>
      <c r="Q6075" s="533"/>
      <c r="R6075" s="533"/>
      <c r="S6075" s="533"/>
      <c r="T6075" s="533"/>
      <c r="U6075" s="533"/>
      <c r="V6075" s="533"/>
      <c r="W6075" s="533"/>
      <c r="X6075" s="533"/>
      <c r="Y6075" s="533"/>
    </row>
    <row r="6076" spans="1:25" s="88" customFormat="1" hidden="1" x14ac:dyDescent="0.25">
      <c r="A6076" s="509"/>
      <c r="B6076" s="256"/>
      <c r="C6076" s="221"/>
      <c r="D6076" s="218"/>
      <c r="E6076" s="218"/>
      <c r="F6076" s="249" t="s">
        <v>250</v>
      </c>
      <c r="G6076" s="252" t="s">
        <v>57</v>
      </c>
      <c r="H6076" s="594"/>
      <c r="I6076" s="595"/>
      <c r="J6076" s="599">
        <f t="shared" si="180"/>
        <v>0</v>
      </c>
      <c r="K6076" s="533"/>
      <c r="L6076" s="533"/>
      <c r="M6076" s="533"/>
      <c r="N6076" s="533"/>
      <c r="O6076" s="533"/>
      <c r="P6076" s="533"/>
      <c r="Q6076" s="533"/>
      <c r="R6076" s="533"/>
      <c r="S6076" s="533"/>
      <c r="T6076" s="533"/>
      <c r="U6076" s="533"/>
      <c r="V6076" s="533"/>
      <c r="W6076" s="533"/>
      <c r="X6076" s="533"/>
      <c r="Y6076" s="533"/>
    </row>
    <row r="6077" spans="1:25" s="88" customFormat="1" hidden="1" x14ac:dyDescent="0.25">
      <c r="A6077" s="509"/>
      <c r="B6077" s="256"/>
      <c r="C6077" s="221"/>
      <c r="D6077" s="218"/>
      <c r="E6077" s="218"/>
      <c r="F6077" s="249" t="s">
        <v>251</v>
      </c>
      <c r="G6077" s="252" t="s">
        <v>252</v>
      </c>
      <c r="H6077" s="594"/>
      <c r="I6077" s="595"/>
      <c r="J6077" s="599">
        <f t="shared" si="180"/>
        <v>0</v>
      </c>
      <c r="K6077" s="533"/>
      <c r="L6077" s="533"/>
      <c r="M6077" s="533"/>
      <c r="N6077" s="533"/>
      <c r="O6077" s="533"/>
      <c r="P6077" s="533"/>
      <c r="Q6077" s="533"/>
      <c r="R6077" s="533"/>
      <c r="S6077" s="533"/>
      <c r="T6077" s="533"/>
      <c r="U6077" s="533"/>
      <c r="V6077" s="533"/>
      <c r="W6077" s="533"/>
      <c r="X6077" s="533"/>
      <c r="Y6077" s="533"/>
    </row>
    <row r="6078" spans="1:25" s="88" customFormat="1" hidden="1" x14ac:dyDescent="0.25">
      <c r="A6078" s="509"/>
      <c r="B6078" s="256"/>
      <c r="C6078" s="221"/>
      <c r="D6078" s="218"/>
      <c r="E6078" s="218"/>
      <c r="F6078" s="249" t="s">
        <v>253</v>
      </c>
      <c r="G6078" s="252" t="s">
        <v>254</v>
      </c>
      <c r="H6078" s="594"/>
      <c r="I6078" s="595"/>
      <c r="J6078" s="599">
        <f t="shared" si="180"/>
        <v>0</v>
      </c>
      <c r="K6078" s="533"/>
      <c r="L6078" s="533"/>
      <c r="M6078" s="533"/>
      <c r="N6078" s="533"/>
      <c r="O6078" s="533"/>
      <c r="P6078" s="533"/>
      <c r="Q6078" s="533"/>
      <c r="R6078" s="533"/>
      <c r="S6078" s="533"/>
      <c r="T6078" s="533"/>
      <c r="U6078" s="533"/>
      <c r="V6078" s="533"/>
      <c r="W6078" s="533"/>
      <c r="X6078" s="533"/>
      <c r="Y6078" s="533"/>
    </row>
    <row r="6079" spans="1:25" s="88" customFormat="1" ht="30" hidden="1" x14ac:dyDescent="0.25">
      <c r="A6079" s="509"/>
      <c r="B6079" s="256"/>
      <c r="C6079" s="221"/>
      <c r="D6079" s="218"/>
      <c r="E6079" s="218"/>
      <c r="F6079" s="249" t="s">
        <v>255</v>
      </c>
      <c r="G6079" s="252" t="s">
        <v>256</v>
      </c>
      <c r="H6079" s="594"/>
      <c r="I6079" s="595"/>
      <c r="J6079" s="599">
        <f t="shared" si="180"/>
        <v>0</v>
      </c>
      <c r="K6079" s="533"/>
      <c r="L6079" s="533"/>
      <c r="M6079" s="533"/>
      <c r="N6079" s="533"/>
      <c r="O6079" s="533"/>
      <c r="P6079" s="533"/>
      <c r="Q6079" s="533"/>
      <c r="R6079" s="533"/>
      <c r="S6079" s="533"/>
      <c r="T6079" s="533"/>
      <c r="U6079" s="533"/>
      <c r="V6079" s="533"/>
      <c r="W6079" s="533"/>
      <c r="X6079" s="533"/>
      <c r="Y6079" s="533"/>
    </row>
    <row r="6080" spans="1:25" s="88" customFormat="1" hidden="1" x14ac:dyDescent="0.25">
      <c r="A6080" s="509"/>
      <c r="B6080" s="256"/>
      <c r="C6080" s="221"/>
      <c r="D6080" s="218"/>
      <c r="E6080" s="218"/>
      <c r="F6080" s="249" t="s">
        <v>257</v>
      </c>
      <c r="G6080" s="252" t="s">
        <v>258</v>
      </c>
      <c r="H6080" s="594"/>
      <c r="I6080" s="595"/>
      <c r="J6080" s="599">
        <f t="shared" si="180"/>
        <v>0</v>
      </c>
      <c r="K6080" s="533"/>
      <c r="L6080" s="533"/>
      <c r="M6080" s="533"/>
      <c r="N6080" s="533"/>
      <c r="O6080" s="533"/>
      <c r="P6080" s="533"/>
      <c r="Q6080" s="533"/>
      <c r="R6080" s="533"/>
      <c r="S6080" s="533"/>
      <c r="T6080" s="533"/>
      <c r="U6080" s="533"/>
      <c r="V6080" s="533"/>
      <c r="W6080" s="533"/>
      <c r="X6080" s="533"/>
      <c r="Y6080" s="533"/>
    </row>
    <row r="6081" spans="1:25" s="88" customFormat="1" ht="30" hidden="1" x14ac:dyDescent="0.25">
      <c r="A6081" s="509"/>
      <c r="B6081" s="256"/>
      <c r="C6081" s="221"/>
      <c r="D6081" s="218"/>
      <c r="E6081" s="218"/>
      <c r="F6081" s="249" t="s">
        <v>259</v>
      </c>
      <c r="G6081" s="252" t="s">
        <v>260</v>
      </c>
      <c r="H6081" s="594"/>
      <c r="I6081" s="595"/>
      <c r="J6081" s="599">
        <f t="shared" si="180"/>
        <v>0</v>
      </c>
      <c r="K6081" s="533"/>
      <c r="L6081" s="533"/>
      <c r="M6081" s="533"/>
      <c r="N6081" s="533"/>
      <c r="O6081" s="533"/>
      <c r="P6081" s="533"/>
      <c r="Q6081" s="533"/>
      <c r="R6081" s="533"/>
      <c r="S6081" s="533"/>
      <c r="T6081" s="533"/>
      <c r="U6081" s="533"/>
      <c r="V6081" s="533"/>
      <c r="W6081" s="533"/>
      <c r="X6081" s="533"/>
      <c r="Y6081" s="533"/>
    </row>
    <row r="6082" spans="1:25" s="88" customFormat="1" hidden="1" x14ac:dyDescent="0.25">
      <c r="A6082" s="509"/>
      <c r="B6082" s="256"/>
      <c r="C6082" s="221"/>
      <c r="D6082" s="218"/>
      <c r="E6082" s="218"/>
      <c r="F6082" s="249" t="s">
        <v>261</v>
      </c>
      <c r="G6082" s="252" t="s">
        <v>262</v>
      </c>
      <c r="H6082" s="594"/>
      <c r="I6082" s="595"/>
      <c r="J6082" s="599">
        <f t="shared" si="180"/>
        <v>0</v>
      </c>
      <c r="K6082" s="533"/>
      <c r="L6082" s="533"/>
      <c r="M6082" s="533"/>
      <c r="N6082" s="533"/>
      <c r="O6082" s="533"/>
      <c r="P6082" s="533"/>
      <c r="Q6082" s="533"/>
      <c r="R6082" s="533"/>
      <c r="S6082" s="533"/>
      <c r="T6082" s="533"/>
      <c r="U6082" s="533"/>
      <c r="V6082" s="533"/>
      <c r="W6082" s="533"/>
      <c r="X6082" s="533"/>
      <c r="Y6082" s="533"/>
    </row>
    <row r="6083" spans="1:25" s="88" customFormat="1" ht="15.75" hidden="1" thickBot="1" x14ac:dyDescent="0.3">
      <c r="A6083" s="509"/>
      <c r="B6083" s="256"/>
      <c r="C6083" s="221"/>
      <c r="D6083" s="218"/>
      <c r="E6083" s="218"/>
      <c r="F6083" s="249" t="s">
        <v>263</v>
      </c>
      <c r="G6083" s="252" t="s">
        <v>264</v>
      </c>
      <c r="H6083" s="598"/>
      <c r="I6083" s="599"/>
      <c r="J6083" s="599">
        <f t="shared" si="180"/>
        <v>0</v>
      </c>
      <c r="K6083" s="533"/>
      <c r="L6083" s="533"/>
      <c r="M6083" s="533"/>
      <c r="N6083" s="533"/>
      <c r="O6083" s="533"/>
      <c r="P6083" s="533"/>
      <c r="Q6083" s="533"/>
      <c r="R6083" s="533"/>
      <c r="S6083" s="533"/>
      <c r="T6083" s="533"/>
      <c r="U6083" s="533"/>
      <c r="V6083" s="533"/>
      <c r="W6083" s="533"/>
      <c r="X6083" s="533"/>
      <c r="Y6083" s="533"/>
    </row>
    <row r="6084" spans="1:25" s="88" customFormat="1" ht="15.75" hidden="1" thickBot="1" x14ac:dyDescent="0.3">
      <c r="A6084" s="509"/>
      <c r="B6084" s="256"/>
      <c r="C6084" s="221"/>
      <c r="D6084" s="218"/>
      <c r="E6084" s="218"/>
      <c r="F6084" s="218"/>
      <c r="G6084" s="229" t="s">
        <v>5074</v>
      </c>
      <c r="H6084" s="600">
        <f>SUM(H6068:H6083)</f>
        <v>0</v>
      </c>
      <c r="I6084" s="601">
        <f>SUM(I6069:I6083)</f>
        <v>0</v>
      </c>
      <c r="J6084" s="601">
        <f>SUM(J6068:J6083)</f>
        <v>0</v>
      </c>
      <c r="K6084" s="533"/>
      <c r="L6084" s="533"/>
      <c r="M6084" s="533"/>
      <c r="N6084" s="533"/>
      <c r="O6084" s="533"/>
      <c r="P6084" s="533"/>
      <c r="Q6084" s="533"/>
      <c r="R6084" s="533"/>
      <c r="S6084" s="533"/>
      <c r="T6084" s="533"/>
      <c r="U6084" s="533"/>
      <c r="V6084" s="533"/>
      <c r="W6084" s="533"/>
      <c r="X6084" s="533"/>
      <c r="Y6084" s="533"/>
    </row>
    <row r="6085" spans="1:25" s="88" customFormat="1" hidden="1" x14ac:dyDescent="0.25">
      <c r="A6085" s="509"/>
      <c r="B6085" s="256"/>
      <c r="C6085" s="221"/>
      <c r="D6085" s="218"/>
      <c r="E6085" s="218"/>
      <c r="F6085" s="218"/>
      <c r="G6085" s="230"/>
      <c r="H6085" s="594"/>
      <c r="I6085" s="595"/>
      <c r="J6085" s="595"/>
      <c r="K6085" s="533"/>
      <c r="L6085" s="533"/>
      <c r="M6085" s="533"/>
      <c r="N6085" s="533"/>
      <c r="O6085" s="533"/>
      <c r="P6085" s="533"/>
      <c r="Q6085" s="533"/>
      <c r="R6085" s="533"/>
      <c r="S6085" s="533"/>
      <c r="T6085" s="533"/>
      <c r="U6085" s="533"/>
      <c r="V6085" s="533"/>
      <c r="W6085" s="533"/>
      <c r="X6085" s="533"/>
      <c r="Y6085" s="533"/>
    </row>
    <row r="6086" spans="1:25" hidden="1" x14ac:dyDescent="0.25"/>
    <row r="6087" spans="1:25" hidden="1" x14ac:dyDescent="0.25"/>
    <row r="6088" spans="1:25" hidden="1" x14ac:dyDescent="0.25"/>
    <row r="6089" spans="1:25" hidden="1" x14ac:dyDescent="0.25"/>
    <row r="6090" spans="1:25" hidden="1" x14ac:dyDescent="0.25"/>
    <row r="6091" spans="1:25" hidden="1" x14ac:dyDescent="0.25"/>
    <row r="6092" spans="1:25" hidden="1" x14ac:dyDescent="0.25"/>
    <row r="6093" spans="1:25" hidden="1" x14ac:dyDescent="0.25"/>
    <row r="6094" spans="1:25" hidden="1" x14ac:dyDescent="0.25"/>
    <row r="6095" spans="1:25" hidden="1" x14ac:dyDescent="0.25"/>
    <row r="6096" spans="1:25" hidden="1" x14ac:dyDescent="0.25"/>
    <row r="6097" spans="1:25" hidden="1" x14ac:dyDescent="0.25"/>
    <row r="6098" spans="1:25" hidden="1" x14ac:dyDescent="0.25"/>
    <row r="6099" spans="1:25" hidden="1" x14ac:dyDescent="0.25"/>
    <row r="6100" spans="1:25" hidden="1" x14ac:dyDescent="0.25"/>
    <row r="6101" spans="1:25" hidden="1" x14ac:dyDescent="0.25"/>
    <row r="6102" spans="1:25" hidden="1" x14ac:dyDescent="0.25"/>
    <row r="6103" spans="1:25" hidden="1" x14ac:dyDescent="0.25"/>
    <row r="6104" spans="1:25" s="88" customFormat="1" hidden="1" x14ac:dyDescent="0.25">
      <c r="A6104" s="509"/>
      <c r="B6104" s="256"/>
      <c r="C6104" s="221"/>
      <c r="D6104" s="218"/>
      <c r="E6104" s="218"/>
      <c r="F6104" s="218"/>
      <c r="G6104" s="286"/>
      <c r="H6104" s="604"/>
      <c r="I6104" s="605"/>
      <c r="J6104" s="605"/>
      <c r="K6104" s="533"/>
      <c r="L6104" s="533"/>
      <c r="M6104" s="533"/>
      <c r="N6104" s="533"/>
      <c r="O6104" s="533"/>
      <c r="P6104" s="533"/>
      <c r="Q6104" s="533"/>
      <c r="R6104" s="533"/>
      <c r="S6104" s="533"/>
      <c r="T6104" s="533"/>
      <c r="U6104" s="533"/>
      <c r="V6104" s="533"/>
      <c r="W6104" s="533"/>
      <c r="X6104" s="533"/>
      <c r="Y6104" s="533"/>
    </row>
    <row r="6105" spans="1:25" s="88" customFormat="1" hidden="1" x14ac:dyDescent="0.25">
      <c r="A6105" s="509"/>
      <c r="B6105" s="256"/>
      <c r="C6105" s="316"/>
      <c r="D6105" s="251"/>
      <c r="E6105" s="251"/>
      <c r="F6105" s="291"/>
      <c r="G6105" s="250" t="s">
        <v>5182</v>
      </c>
      <c r="H6105" s="606"/>
      <c r="I6105" s="624"/>
      <c r="J6105" s="607"/>
      <c r="K6105" s="533"/>
      <c r="L6105" s="533"/>
      <c r="M6105" s="533"/>
      <c r="N6105" s="533"/>
      <c r="O6105" s="533"/>
      <c r="P6105" s="533"/>
      <c r="Q6105" s="533"/>
      <c r="R6105" s="533"/>
      <c r="S6105" s="533"/>
      <c r="T6105" s="533"/>
      <c r="U6105" s="533"/>
      <c r="V6105" s="533"/>
      <c r="W6105" s="533"/>
      <c r="X6105" s="533"/>
      <c r="Y6105" s="533"/>
    </row>
    <row r="6106" spans="1:25" s="88" customFormat="1" ht="15.75" hidden="1" thickBot="1" x14ac:dyDescent="0.3">
      <c r="A6106" s="509"/>
      <c r="B6106" s="256"/>
      <c r="C6106" s="316"/>
      <c r="D6106" s="251"/>
      <c r="E6106" s="251"/>
      <c r="F6106" s="249" t="s">
        <v>234</v>
      </c>
      <c r="G6106" s="252" t="s">
        <v>235</v>
      </c>
      <c r="H6106" s="598">
        <f>SUM(H1975)</f>
        <v>395000</v>
      </c>
      <c r="I6106" s="599"/>
      <c r="J6106" s="599">
        <f t="shared" ref="J6106:J6121" si="181">SUM(H6106:I6106)</f>
        <v>395000</v>
      </c>
      <c r="K6106" s="533"/>
      <c r="L6106" s="533"/>
      <c r="M6106" s="533"/>
      <c r="N6106" s="533"/>
      <c r="O6106" s="533"/>
      <c r="P6106" s="533"/>
      <c r="Q6106" s="533"/>
      <c r="R6106" s="533"/>
      <c r="S6106" s="533"/>
      <c r="T6106" s="533"/>
      <c r="U6106" s="533"/>
      <c r="V6106" s="533"/>
      <c r="W6106" s="533"/>
      <c r="X6106" s="533"/>
      <c r="Y6106" s="533"/>
    </row>
    <row r="6107" spans="1:25" s="88" customFormat="1" hidden="1" x14ac:dyDescent="0.25">
      <c r="A6107" s="509"/>
      <c r="B6107" s="256"/>
      <c r="C6107" s="316"/>
      <c r="D6107" s="251"/>
      <c r="E6107" s="251"/>
      <c r="F6107" s="249" t="s">
        <v>236</v>
      </c>
      <c r="G6107" s="252" t="s">
        <v>237</v>
      </c>
      <c r="H6107" s="594"/>
      <c r="I6107" s="595"/>
      <c r="J6107" s="599">
        <f t="shared" si="181"/>
        <v>0</v>
      </c>
      <c r="K6107" s="533"/>
      <c r="L6107" s="533"/>
      <c r="M6107" s="533"/>
      <c r="N6107" s="533"/>
      <c r="O6107" s="533"/>
      <c r="P6107" s="533"/>
      <c r="Q6107" s="533"/>
      <c r="R6107" s="533"/>
      <c r="S6107" s="533"/>
      <c r="T6107" s="533"/>
      <c r="U6107" s="533"/>
      <c r="V6107" s="533"/>
      <c r="W6107" s="533"/>
      <c r="X6107" s="533"/>
      <c r="Y6107" s="533"/>
    </row>
    <row r="6108" spans="1:25" s="88" customFormat="1" hidden="1" x14ac:dyDescent="0.25">
      <c r="A6108" s="509"/>
      <c r="B6108" s="256"/>
      <c r="C6108" s="316"/>
      <c r="D6108" s="251"/>
      <c r="E6108" s="251"/>
      <c r="F6108" s="249" t="s">
        <v>238</v>
      </c>
      <c r="G6108" s="252" t="s">
        <v>239</v>
      </c>
      <c r="H6108" s="594"/>
      <c r="I6108" s="595"/>
      <c r="J6108" s="599">
        <f t="shared" si="181"/>
        <v>0</v>
      </c>
      <c r="K6108" s="533"/>
      <c r="L6108" s="533"/>
      <c r="M6108" s="533"/>
      <c r="N6108" s="533"/>
      <c r="O6108" s="533"/>
      <c r="P6108" s="533"/>
      <c r="Q6108" s="533"/>
      <c r="R6108" s="533"/>
      <c r="S6108" s="533"/>
      <c r="T6108" s="533"/>
      <c r="U6108" s="533"/>
      <c r="V6108" s="533"/>
      <c r="W6108" s="533"/>
      <c r="X6108" s="533"/>
      <c r="Y6108" s="533"/>
    </row>
    <row r="6109" spans="1:25" s="88" customFormat="1" hidden="1" x14ac:dyDescent="0.25">
      <c r="A6109" s="509"/>
      <c r="B6109" s="256"/>
      <c r="C6109" s="316"/>
      <c r="D6109" s="251"/>
      <c r="E6109" s="251"/>
      <c r="F6109" s="249" t="s">
        <v>240</v>
      </c>
      <c r="G6109" s="252" t="s">
        <v>241</v>
      </c>
      <c r="H6109" s="594"/>
      <c r="I6109" s="595"/>
      <c r="J6109" s="599">
        <f t="shared" si="181"/>
        <v>0</v>
      </c>
      <c r="K6109" s="533"/>
      <c r="L6109" s="533"/>
      <c r="M6109" s="533"/>
      <c r="N6109" s="533"/>
      <c r="O6109" s="533"/>
      <c r="P6109" s="533"/>
      <c r="Q6109" s="533"/>
      <c r="R6109" s="533"/>
      <c r="S6109" s="533"/>
      <c r="T6109" s="533"/>
      <c r="U6109" s="533"/>
      <c r="V6109" s="533"/>
      <c r="W6109" s="533"/>
      <c r="X6109" s="533"/>
      <c r="Y6109" s="533"/>
    </row>
    <row r="6110" spans="1:25" s="88" customFormat="1" hidden="1" x14ac:dyDescent="0.25">
      <c r="A6110" s="509"/>
      <c r="B6110" s="256"/>
      <c r="C6110" s="316"/>
      <c r="D6110" s="251"/>
      <c r="E6110" s="251"/>
      <c r="F6110" s="249" t="s">
        <v>242</v>
      </c>
      <c r="G6110" s="252" t="s">
        <v>243</v>
      </c>
      <c r="H6110" s="594"/>
      <c r="I6110" s="595"/>
      <c r="J6110" s="599">
        <f t="shared" si="181"/>
        <v>0</v>
      </c>
      <c r="K6110" s="533"/>
      <c r="L6110" s="533"/>
      <c r="M6110" s="533"/>
      <c r="N6110" s="533"/>
      <c r="O6110" s="533"/>
      <c r="P6110" s="533"/>
      <c r="Q6110" s="533"/>
      <c r="R6110" s="533"/>
      <c r="S6110" s="533"/>
      <c r="T6110" s="533"/>
      <c r="U6110" s="533"/>
      <c r="V6110" s="533"/>
      <c r="W6110" s="533"/>
      <c r="X6110" s="533"/>
      <c r="Y6110" s="533"/>
    </row>
    <row r="6111" spans="1:25" s="88" customFormat="1" hidden="1" x14ac:dyDescent="0.25">
      <c r="A6111" s="509"/>
      <c r="B6111" s="256"/>
      <c r="C6111" s="316"/>
      <c r="D6111" s="251"/>
      <c r="E6111" s="251"/>
      <c r="F6111" s="249" t="s">
        <v>244</v>
      </c>
      <c r="G6111" s="252" t="s">
        <v>245</v>
      </c>
      <c r="H6111" s="594"/>
      <c r="I6111" s="595"/>
      <c r="J6111" s="599">
        <f t="shared" si="181"/>
        <v>0</v>
      </c>
      <c r="K6111" s="533"/>
      <c r="L6111" s="533"/>
      <c r="M6111" s="533"/>
      <c r="N6111" s="533"/>
      <c r="O6111" s="533"/>
      <c r="P6111" s="533"/>
      <c r="Q6111" s="533"/>
      <c r="R6111" s="533"/>
      <c r="S6111" s="533"/>
      <c r="T6111" s="533"/>
      <c r="U6111" s="533"/>
      <c r="V6111" s="533"/>
      <c r="W6111" s="533"/>
      <c r="X6111" s="533"/>
      <c r="Y6111" s="533"/>
    </row>
    <row r="6112" spans="1:25" s="88" customFormat="1" hidden="1" x14ac:dyDescent="0.25">
      <c r="A6112" s="509"/>
      <c r="B6112" s="256"/>
      <c r="C6112" s="316"/>
      <c r="D6112" s="251"/>
      <c r="E6112" s="251"/>
      <c r="F6112" s="249" t="s">
        <v>246</v>
      </c>
      <c r="G6112" s="252" t="s">
        <v>247</v>
      </c>
      <c r="H6112" s="594"/>
      <c r="I6112" s="595"/>
      <c r="J6112" s="599">
        <f t="shared" si="181"/>
        <v>0</v>
      </c>
      <c r="K6112" s="533"/>
      <c r="L6112" s="533"/>
      <c r="M6112" s="533"/>
      <c r="N6112" s="533"/>
      <c r="O6112" s="533"/>
      <c r="P6112" s="533"/>
      <c r="Q6112" s="533"/>
      <c r="R6112" s="533"/>
      <c r="S6112" s="533"/>
      <c r="T6112" s="533"/>
      <c r="U6112" s="533"/>
      <c r="V6112" s="533"/>
      <c r="W6112" s="533"/>
      <c r="X6112" s="533"/>
      <c r="Y6112" s="533"/>
    </row>
    <row r="6113" spans="1:25" s="88" customFormat="1" hidden="1" x14ac:dyDescent="0.25">
      <c r="A6113" s="509"/>
      <c r="B6113" s="256"/>
      <c r="C6113" s="316"/>
      <c r="D6113" s="251"/>
      <c r="E6113" s="251"/>
      <c r="F6113" s="249" t="s">
        <v>248</v>
      </c>
      <c r="G6113" s="252" t="s">
        <v>249</v>
      </c>
      <c r="H6113" s="594"/>
      <c r="I6113" s="595"/>
      <c r="J6113" s="599">
        <f t="shared" si="181"/>
        <v>0</v>
      </c>
      <c r="K6113" s="533"/>
      <c r="L6113" s="533"/>
      <c r="M6113" s="533"/>
      <c r="N6113" s="533"/>
      <c r="O6113" s="533"/>
      <c r="P6113" s="533"/>
      <c r="Q6113" s="533"/>
      <c r="R6113" s="533"/>
      <c r="S6113" s="533"/>
      <c r="T6113" s="533"/>
      <c r="U6113" s="533"/>
      <c r="V6113" s="533"/>
      <c r="W6113" s="533"/>
      <c r="X6113" s="533"/>
      <c r="Y6113" s="533"/>
    </row>
    <row r="6114" spans="1:25" s="88" customFormat="1" hidden="1" x14ac:dyDescent="0.25">
      <c r="A6114" s="509"/>
      <c r="B6114" s="256"/>
      <c r="C6114" s="316"/>
      <c r="D6114" s="251"/>
      <c r="E6114" s="251"/>
      <c r="F6114" s="249" t="s">
        <v>250</v>
      </c>
      <c r="G6114" s="252" t="s">
        <v>57</v>
      </c>
      <c r="H6114" s="594"/>
      <c r="I6114" s="595"/>
      <c r="J6114" s="599">
        <f t="shared" si="181"/>
        <v>0</v>
      </c>
      <c r="K6114" s="533"/>
      <c r="L6114" s="533"/>
      <c r="M6114" s="533"/>
      <c r="N6114" s="533"/>
      <c r="O6114" s="533"/>
      <c r="P6114" s="533"/>
      <c r="Q6114" s="533"/>
      <c r="R6114" s="533"/>
      <c r="S6114" s="533"/>
      <c r="T6114" s="533"/>
      <c r="U6114" s="533"/>
      <c r="V6114" s="533"/>
      <c r="W6114" s="533"/>
      <c r="X6114" s="533"/>
      <c r="Y6114" s="533"/>
    </row>
    <row r="6115" spans="1:25" s="88" customFormat="1" hidden="1" x14ac:dyDescent="0.25">
      <c r="A6115" s="509"/>
      <c r="B6115" s="256"/>
      <c r="C6115" s="316"/>
      <c r="D6115" s="251"/>
      <c r="E6115" s="251"/>
      <c r="F6115" s="249" t="s">
        <v>251</v>
      </c>
      <c r="G6115" s="252" t="s">
        <v>252</v>
      </c>
      <c r="H6115" s="594"/>
      <c r="I6115" s="595"/>
      <c r="J6115" s="599">
        <f t="shared" si="181"/>
        <v>0</v>
      </c>
      <c r="K6115" s="533"/>
      <c r="L6115" s="533"/>
      <c r="M6115" s="533"/>
      <c r="N6115" s="533"/>
      <c r="O6115" s="533"/>
      <c r="P6115" s="533"/>
      <c r="Q6115" s="533"/>
      <c r="R6115" s="533"/>
      <c r="S6115" s="533"/>
      <c r="T6115" s="533"/>
      <c r="U6115" s="533"/>
      <c r="V6115" s="533"/>
      <c r="W6115" s="533"/>
      <c r="X6115" s="533"/>
      <c r="Y6115" s="533"/>
    </row>
    <row r="6116" spans="1:25" s="88" customFormat="1" hidden="1" x14ac:dyDescent="0.25">
      <c r="A6116" s="509"/>
      <c r="B6116" s="256"/>
      <c r="C6116" s="316"/>
      <c r="D6116" s="251"/>
      <c r="E6116" s="251"/>
      <c r="F6116" s="249" t="s">
        <v>253</v>
      </c>
      <c r="G6116" s="252" t="s">
        <v>254</v>
      </c>
      <c r="H6116" s="594"/>
      <c r="I6116" s="595"/>
      <c r="J6116" s="599">
        <f t="shared" si="181"/>
        <v>0</v>
      </c>
      <c r="K6116" s="533"/>
      <c r="L6116" s="533"/>
      <c r="M6116" s="533"/>
      <c r="N6116" s="533"/>
      <c r="O6116" s="533"/>
      <c r="P6116" s="533"/>
      <c r="Q6116" s="533"/>
      <c r="R6116" s="533"/>
      <c r="S6116" s="533"/>
      <c r="T6116" s="533"/>
      <c r="U6116" s="533"/>
      <c r="V6116" s="533"/>
      <c r="W6116" s="533"/>
      <c r="X6116" s="533"/>
      <c r="Y6116" s="533"/>
    </row>
    <row r="6117" spans="1:25" s="88" customFormat="1" ht="30" hidden="1" x14ac:dyDescent="0.25">
      <c r="A6117" s="509"/>
      <c r="B6117" s="256"/>
      <c r="C6117" s="316"/>
      <c r="D6117" s="251"/>
      <c r="E6117" s="251"/>
      <c r="F6117" s="249" t="s">
        <v>255</v>
      </c>
      <c r="G6117" s="252" t="s">
        <v>256</v>
      </c>
      <c r="H6117" s="594"/>
      <c r="I6117" s="595"/>
      <c r="J6117" s="599">
        <f t="shared" si="181"/>
        <v>0</v>
      </c>
      <c r="K6117" s="533"/>
      <c r="L6117" s="533"/>
      <c r="M6117" s="533"/>
      <c r="N6117" s="533"/>
      <c r="O6117" s="533"/>
      <c r="P6117" s="533"/>
      <c r="Q6117" s="533"/>
      <c r="R6117" s="533"/>
      <c r="S6117" s="533"/>
      <c r="T6117" s="533"/>
      <c r="U6117" s="533"/>
      <c r="V6117" s="533"/>
      <c r="W6117" s="533"/>
      <c r="X6117" s="533"/>
      <c r="Y6117" s="533"/>
    </row>
    <row r="6118" spans="1:25" s="88" customFormat="1" hidden="1" x14ac:dyDescent="0.25">
      <c r="A6118" s="509"/>
      <c r="B6118" s="256"/>
      <c r="C6118" s="316"/>
      <c r="D6118" s="251"/>
      <c r="E6118" s="251"/>
      <c r="F6118" s="249" t="s">
        <v>257</v>
      </c>
      <c r="G6118" s="252" t="s">
        <v>258</v>
      </c>
      <c r="H6118" s="594"/>
      <c r="I6118" s="595"/>
      <c r="J6118" s="599">
        <f t="shared" si="181"/>
        <v>0</v>
      </c>
      <c r="K6118" s="533"/>
      <c r="L6118" s="533"/>
      <c r="M6118" s="533"/>
      <c r="N6118" s="533"/>
      <c r="O6118" s="533"/>
      <c r="P6118" s="533"/>
      <c r="Q6118" s="533"/>
      <c r="R6118" s="533"/>
      <c r="S6118" s="533"/>
      <c r="T6118" s="533"/>
      <c r="U6118" s="533"/>
      <c r="V6118" s="533"/>
      <c r="W6118" s="533"/>
      <c r="X6118" s="533"/>
      <c r="Y6118" s="533"/>
    </row>
    <row r="6119" spans="1:25" s="88" customFormat="1" ht="30" hidden="1" x14ac:dyDescent="0.25">
      <c r="A6119" s="509"/>
      <c r="B6119" s="256"/>
      <c r="C6119" s="316"/>
      <c r="D6119" s="251"/>
      <c r="E6119" s="251"/>
      <c r="F6119" s="249" t="s">
        <v>259</v>
      </c>
      <c r="G6119" s="252" t="s">
        <v>260</v>
      </c>
      <c r="H6119" s="594"/>
      <c r="I6119" s="595"/>
      <c r="J6119" s="599">
        <f t="shared" si="181"/>
        <v>0</v>
      </c>
      <c r="K6119" s="533"/>
      <c r="L6119" s="533"/>
      <c r="M6119" s="533"/>
      <c r="N6119" s="533"/>
      <c r="O6119" s="533"/>
      <c r="P6119" s="533"/>
      <c r="Q6119" s="533"/>
      <c r="R6119" s="533"/>
      <c r="S6119" s="533"/>
      <c r="T6119" s="533"/>
      <c r="U6119" s="533"/>
      <c r="V6119" s="533"/>
      <c r="W6119" s="533"/>
      <c r="X6119" s="533"/>
      <c r="Y6119" s="533"/>
    </row>
    <row r="6120" spans="1:25" s="88" customFormat="1" hidden="1" x14ac:dyDescent="0.25">
      <c r="A6120" s="509"/>
      <c r="B6120" s="256"/>
      <c r="C6120" s="316"/>
      <c r="D6120" s="251"/>
      <c r="E6120" s="251"/>
      <c r="F6120" s="249" t="s">
        <v>261</v>
      </c>
      <c r="G6120" s="252" t="s">
        <v>262</v>
      </c>
      <c r="H6120" s="594"/>
      <c r="I6120" s="595"/>
      <c r="J6120" s="599">
        <f t="shared" si="181"/>
        <v>0</v>
      </c>
      <c r="K6120" s="533"/>
      <c r="L6120" s="533"/>
      <c r="M6120" s="533"/>
      <c r="N6120" s="533"/>
      <c r="O6120" s="533"/>
      <c r="P6120" s="533"/>
      <c r="Q6120" s="533"/>
      <c r="R6120" s="533"/>
      <c r="S6120" s="533"/>
      <c r="T6120" s="533"/>
      <c r="U6120" s="533"/>
      <c r="V6120" s="533"/>
      <c r="W6120" s="533"/>
      <c r="X6120" s="533"/>
      <c r="Y6120" s="533"/>
    </row>
    <row r="6121" spans="1:25" s="88" customFormat="1" ht="15.75" hidden="1" thickBot="1" x14ac:dyDescent="0.3">
      <c r="A6121" s="509"/>
      <c r="B6121" s="256"/>
      <c r="C6121" s="316"/>
      <c r="D6121" s="251"/>
      <c r="E6121" s="251"/>
      <c r="F6121" s="249" t="s">
        <v>263</v>
      </c>
      <c r="G6121" s="252" t="s">
        <v>264</v>
      </c>
      <c r="H6121" s="598"/>
      <c r="I6121" s="599"/>
      <c r="J6121" s="599">
        <f t="shared" si="181"/>
        <v>0</v>
      </c>
      <c r="K6121" s="533"/>
      <c r="L6121" s="533"/>
      <c r="M6121" s="533"/>
      <c r="N6121" s="533"/>
      <c r="O6121" s="533"/>
      <c r="P6121" s="533"/>
      <c r="Q6121" s="533"/>
      <c r="R6121" s="533"/>
      <c r="S6121" s="533"/>
      <c r="T6121" s="533"/>
      <c r="U6121" s="533"/>
      <c r="V6121" s="533"/>
      <c r="W6121" s="533"/>
      <c r="X6121" s="533"/>
      <c r="Y6121" s="533"/>
    </row>
    <row r="6122" spans="1:25" s="88" customFormat="1" ht="15.75" hidden="1" thickBot="1" x14ac:dyDescent="0.3">
      <c r="A6122" s="509"/>
      <c r="B6122" s="256"/>
      <c r="C6122" s="316"/>
      <c r="D6122" s="251"/>
      <c r="E6122" s="251"/>
      <c r="F6122" s="218"/>
      <c r="G6122" s="229" t="s">
        <v>5183</v>
      </c>
      <c r="H6122" s="600">
        <f>SUM(H6106:H6121)</f>
        <v>395000</v>
      </c>
      <c r="I6122" s="601">
        <f>SUM(I6107:I6121)</f>
        <v>0</v>
      </c>
      <c r="J6122" s="601">
        <f>SUM(J6106:J6121)</f>
        <v>395000</v>
      </c>
      <c r="K6122" s="533"/>
      <c r="L6122" s="533"/>
      <c r="M6122" s="533"/>
      <c r="N6122" s="533"/>
      <c r="O6122" s="533"/>
      <c r="P6122" s="533"/>
      <c r="Q6122" s="533"/>
      <c r="R6122" s="533"/>
      <c r="S6122" s="533"/>
      <c r="T6122" s="533"/>
      <c r="U6122" s="533"/>
      <c r="V6122" s="533"/>
      <c r="W6122" s="533"/>
      <c r="X6122" s="533"/>
      <c r="Y6122" s="533"/>
    </row>
    <row r="6123" spans="1:25" s="88" customFormat="1" x14ac:dyDescent="0.25">
      <c r="A6123" s="509"/>
      <c r="B6123" s="256"/>
      <c r="C6123" s="316"/>
      <c r="D6123" s="251"/>
      <c r="E6123" s="251"/>
      <c r="F6123" s="257"/>
      <c r="G6123" s="518"/>
      <c r="H6123" s="627"/>
      <c r="I6123" s="610"/>
      <c r="J6123" s="628"/>
      <c r="K6123" s="533"/>
      <c r="L6123" s="533"/>
      <c r="M6123" s="533"/>
      <c r="N6123" s="533"/>
      <c r="O6123" s="533"/>
      <c r="P6123" s="533"/>
      <c r="Q6123" s="533"/>
      <c r="R6123" s="533"/>
      <c r="S6123" s="533"/>
      <c r="T6123" s="533"/>
      <c r="U6123" s="533"/>
      <c r="V6123" s="533"/>
      <c r="W6123" s="533"/>
      <c r="X6123" s="533"/>
      <c r="Y6123" s="533"/>
    </row>
    <row r="6124" spans="1:25" s="88" customFormat="1" x14ac:dyDescent="0.25">
      <c r="A6124" s="509"/>
      <c r="B6124" s="638">
        <v>4</v>
      </c>
      <c r="C6124" s="220"/>
      <c r="D6124" s="216"/>
      <c r="E6124" s="216"/>
      <c r="F6124" s="216"/>
      <c r="G6124" s="284" t="s">
        <v>5159</v>
      </c>
      <c r="H6124" s="592"/>
      <c r="I6124" s="593"/>
      <c r="J6124" s="593"/>
      <c r="K6124" s="533"/>
      <c r="L6124" s="533"/>
      <c r="M6124" s="533"/>
      <c r="N6124" s="533"/>
      <c r="O6124" s="533"/>
      <c r="P6124" s="533"/>
      <c r="Q6124" s="533"/>
      <c r="R6124" s="533"/>
      <c r="S6124" s="533"/>
      <c r="T6124" s="533"/>
      <c r="U6124" s="533"/>
      <c r="V6124" s="533"/>
      <c r="W6124" s="533"/>
      <c r="X6124" s="533"/>
      <c r="Y6124" s="533"/>
    </row>
    <row r="6125" spans="1:25" s="88" customFormat="1" x14ac:dyDescent="0.25">
      <c r="A6125" s="509"/>
      <c r="B6125" s="256"/>
      <c r="C6125" s="228" t="s">
        <v>3584</v>
      </c>
      <c r="D6125" s="218"/>
      <c r="E6125" s="218"/>
      <c r="F6125" s="218"/>
      <c r="G6125" s="518" t="s">
        <v>4329</v>
      </c>
      <c r="H6125" s="594"/>
      <c r="I6125" s="595"/>
      <c r="J6125" s="595"/>
      <c r="K6125" s="533"/>
      <c r="L6125" s="533"/>
      <c r="M6125" s="533"/>
      <c r="N6125" s="533"/>
      <c r="O6125" s="533"/>
      <c r="P6125" s="533"/>
      <c r="Q6125" s="533"/>
      <c r="R6125" s="533"/>
      <c r="S6125" s="533"/>
      <c r="T6125" s="533"/>
      <c r="U6125" s="533"/>
      <c r="V6125" s="533"/>
      <c r="W6125" s="533"/>
      <c r="X6125" s="533"/>
      <c r="Y6125" s="533"/>
    </row>
    <row r="6126" spans="1:25" s="88" customFormat="1" x14ac:dyDescent="0.25">
      <c r="A6126" s="509"/>
      <c r="B6126" s="256"/>
      <c r="C6126" s="323" t="s">
        <v>4505</v>
      </c>
      <c r="D6126" s="285"/>
      <c r="E6126" s="285"/>
      <c r="F6126" s="222"/>
      <c r="G6126" s="287" t="s">
        <v>4124</v>
      </c>
      <c r="H6126" s="594"/>
      <c r="I6126" s="595"/>
      <c r="J6126" s="595"/>
      <c r="K6126" s="533"/>
      <c r="L6126" s="533"/>
      <c r="M6126" s="533"/>
      <c r="N6126" s="533"/>
      <c r="O6126" s="533"/>
      <c r="P6126" s="533"/>
      <c r="Q6126" s="533"/>
      <c r="R6126" s="533"/>
      <c r="S6126" s="533"/>
      <c r="T6126" s="533"/>
      <c r="U6126" s="533"/>
      <c r="V6126" s="533"/>
      <c r="W6126" s="533"/>
      <c r="X6126" s="533"/>
      <c r="Y6126" s="533"/>
    </row>
    <row r="6127" spans="1:25" s="88" customFormat="1" ht="21" customHeight="1" x14ac:dyDescent="0.25">
      <c r="A6127" s="509"/>
      <c r="B6127" s="256"/>
      <c r="C6127" s="228"/>
      <c r="D6127" s="312">
        <v>360</v>
      </c>
      <c r="E6127" s="312"/>
      <c r="F6127" s="312"/>
      <c r="G6127" s="314" t="s">
        <v>5161</v>
      </c>
      <c r="H6127" s="594"/>
      <c r="I6127" s="595"/>
      <c r="J6127" s="595"/>
      <c r="K6127" s="533"/>
      <c r="L6127" s="533"/>
      <c r="M6127" s="533"/>
      <c r="N6127" s="533"/>
      <c r="O6127" s="533"/>
      <c r="P6127" s="533"/>
      <c r="Q6127" s="533"/>
      <c r="R6127" s="533"/>
      <c r="S6127" s="533"/>
      <c r="T6127" s="533"/>
      <c r="U6127" s="533"/>
      <c r="V6127" s="533"/>
      <c r="W6127" s="533"/>
      <c r="X6127" s="533"/>
      <c r="Y6127" s="533"/>
    </row>
    <row r="6128" spans="1:25" s="88" customFormat="1" hidden="1" x14ac:dyDescent="0.25">
      <c r="A6128" s="509"/>
      <c r="B6128" s="256"/>
      <c r="C6128" s="221"/>
      <c r="D6128" s="218"/>
      <c r="E6128" s="218"/>
      <c r="F6128" s="527">
        <v>411</v>
      </c>
      <c r="G6128" s="520" t="s">
        <v>4189</v>
      </c>
      <c r="H6128" s="594"/>
      <c r="I6128" s="595"/>
      <c r="J6128" s="595">
        <f>SUM(H6128:I6128)</f>
        <v>0</v>
      </c>
      <c r="K6128" s="533"/>
      <c r="L6128" s="533"/>
      <c r="M6128" s="533"/>
      <c r="N6128" s="533"/>
      <c r="O6128" s="533"/>
      <c r="P6128" s="533"/>
      <c r="Q6128" s="533"/>
      <c r="R6128" s="533"/>
      <c r="S6128" s="533"/>
      <c r="T6128" s="533"/>
      <c r="U6128" s="533"/>
      <c r="V6128" s="533"/>
      <c r="W6128" s="533"/>
      <c r="X6128" s="533"/>
      <c r="Y6128" s="533"/>
    </row>
    <row r="6129" spans="1:25" s="88" customFormat="1" hidden="1" x14ac:dyDescent="0.25">
      <c r="A6129" s="509"/>
      <c r="B6129" s="256"/>
      <c r="C6129" s="221"/>
      <c r="D6129" s="218"/>
      <c r="E6129" s="218"/>
      <c r="F6129" s="527">
        <v>412</v>
      </c>
      <c r="G6129" s="516" t="s">
        <v>3784</v>
      </c>
      <c r="H6129" s="594"/>
      <c r="I6129" s="595"/>
      <c r="J6129" s="595">
        <f t="shared" ref="J6129:J6187" si="182">SUM(H6129:I6129)</f>
        <v>0</v>
      </c>
      <c r="K6129" s="533"/>
      <c r="L6129" s="533"/>
      <c r="M6129" s="533"/>
      <c r="N6129" s="533"/>
      <c r="O6129" s="533"/>
      <c r="P6129" s="533"/>
      <c r="Q6129" s="533"/>
      <c r="R6129" s="533"/>
      <c r="S6129" s="533"/>
      <c r="T6129" s="533"/>
      <c r="U6129" s="533"/>
      <c r="V6129" s="533"/>
      <c r="W6129" s="533"/>
      <c r="X6129" s="533"/>
      <c r="Y6129" s="533"/>
    </row>
    <row r="6130" spans="1:25" s="88" customFormat="1" hidden="1" x14ac:dyDescent="0.25">
      <c r="A6130" s="509"/>
      <c r="B6130" s="256"/>
      <c r="C6130" s="221"/>
      <c r="D6130" s="218"/>
      <c r="E6130" s="218"/>
      <c r="F6130" s="527">
        <v>413</v>
      </c>
      <c r="G6130" s="520" t="s">
        <v>4190</v>
      </c>
      <c r="H6130" s="594"/>
      <c r="I6130" s="595"/>
      <c r="J6130" s="595">
        <f t="shared" si="182"/>
        <v>0</v>
      </c>
      <c r="K6130" s="533"/>
      <c r="L6130" s="533"/>
      <c r="M6130" s="533"/>
      <c r="N6130" s="533"/>
      <c r="O6130" s="533"/>
      <c r="P6130" s="533"/>
      <c r="Q6130" s="533"/>
      <c r="R6130" s="533"/>
      <c r="S6130" s="533"/>
      <c r="T6130" s="533"/>
      <c r="U6130" s="533"/>
      <c r="V6130" s="533"/>
      <c r="W6130" s="533"/>
      <c r="X6130" s="533"/>
      <c r="Y6130" s="533"/>
    </row>
    <row r="6131" spans="1:25" s="88" customFormat="1" hidden="1" x14ac:dyDescent="0.25">
      <c r="A6131" s="509"/>
      <c r="B6131" s="256"/>
      <c r="C6131" s="221"/>
      <c r="D6131" s="218"/>
      <c r="E6131" s="218"/>
      <c r="F6131" s="527">
        <v>414</v>
      </c>
      <c r="G6131" s="520" t="s">
        <v>3787</v>
      </c>
      <c r="H6131" s="594"/>
      <c r="I6131" s="595"/>
      <c r="J6131" s="595">
        <f t="shared" si="182"/>
        <v>0</v>
      </c>
      <c r="K6131" s="533"/>
      <c r="L6131" s="533"/>
      <c r="M6131" s="533"/>
      <c r="N6131" s="533"/>
      <c r="O6131" s="533"/>
      <c r="P6131" s="533"/>
      <c r="Q6131" s="533"/>
      <c r="R6131" s="533"/>
      <c r="S6131" s="533"/>
      <c r="T6131" s="533"/>
      <c r="U6131" s="533"/>
      <c r="V6131" s="533"/>
      <c r="W6131" s="533"/>
      <c r="X6131" s="533"/>
      <c r="Y6131" s="533"/>
    </row>
    <row r="6132" spans="1:25" s="88" customFormat="1" hidden="1" x14ac:dyDescent="0.25">
      <c r="A6132" s="509"/>
      <c r="B6132" s="256"/>
      <c r="C6132" s="221"/>
      <c r="D6132" s="218"/>
      <c r="E6132" s="218"/>
      <c r="F6132" s="527">
        <v>415</v>
      </c>
      <c r="G6132" s="520" t="s">
        <v>4199</v>
      </c>
      <c r="H6132" s="594"/>
      <c r="I6132" s="595"/>
      <c r="J6132" s="595">
        <f t="shared" si="182"/>
        <v>0</v>
      </c>
      <c r="K6132" s="533"/>
      <c r="L6132" s="533"/>
      <c r="M6132" s="533"/>
      <c r="N6132" s="533"/>
      <c r="O6132" s="533"/>
      <c r="P6132" s="533"/>
      <c r="Q6132" s="533"/>
      <c r="R6132" s="533"/>
      <c r="S6132" s="533"/>
      <c r="T6132" s="533"/>
      <c r="U6132" s="533"/>
      <c r="V6132" s="533"/>
      <c r="W6132" s="533"/>
      <c r="X6132" s="533"/>
      <c r="Y6132" s="533"/>
    </row>
    <row r="6133" spans="1:25" s="88" customFormat="1" hidden="1" x14ac:dyDescent="0.25">
      <c r="A6133" s="509"/>
      <c r="B6133" s="256"/>
      <c r="C6133" s="221"/>
      <c r="D6133" s="218"/>
      <c r="E6133" s="218"/>
      <c r="F6133" s="527">
        <v>416</v>
      </c>
      <c r="G6133" s="520" t="s">
        <v>4200</v>
      </c>
      <c r="H6133" s="594"/>
      <c r="I6133" s="595"/>
      <c r="J6133" s="595">
        <f t="shared" si="182"/>
        <v>0</v>
      </c>
      <c r="K6133" s="533"/>
      <c r="L6133" s="533"/>
      <c r="M6133" s="533"/>
      <c r="N6133" s="533"/>
      <c r="O6133" s="533"/>
      <c r="P6133" s="533"/>
      <c r="Q6133" s="533"/>
      <c r="R6133" s="533"/>
      <c r="S6133" s="533"/>
      <c r="T6133" s="533"/>
      <c r="U6133" s="533"/>
      <c r="V6133" s="533"/>
      <c r="W6133" s="533"/>
      <c r="X6133" s="533"/>
      <c r="Y6133" s="533"/>
    </row>
    <row r="6134" spans="1:25" s="88" customFormat="1" hidden="1" x14ac:dyDescent="0.25">
      <c r="A6134" s="509"/>
      <c r="B6134" s="256"/>
      <c r="C6134" s="221"/>
      <c r="D6134" s="218"/>
      <c r="E6134" s="218"/>
      <c r="F6134" s="527">
        <v>417</v>
      </c>
      <c r="G6134" s="520" t="s">
        <v>4201</v>
      </c>
      <c r="H6134" s="594"/>
      <c r="I6134" s="595"/>
      <c r="J6134" s="595">
        <f t="shared" si="182"/>
        <v>0</v>
      </c>
      <c r="K6134" s="533"/>
      <c r="L6134" s="533"/>
      <c r="M6134" s="533"/>
      <c r="N6134" s="533"/>
      <c r="O6134" s="533"/>
      <c r="P6134" s="533"/>
      <c r="Q6134" s="533"/>
      <c r="R6134" s="533"/>
      <c r="S6134" s="533"/>
      <c r="T6134" s="533"/>
      <c r="U6134" s="533"/>
      <c r="V6134" s="533"/>
      <c r="W6134" s="533"/>
      <c r="X6134" s="533"/>
      <c r="Y6134" s="533"/>
    </row>
    <row r="6135" spans="1:25" s="88" customFormat="1" hidden="1" x14ac:dyDescent="0.25">
      <c r="A6135" s="509"/>
      <c r="B6135" s="256"/>
      <c r="C6135" s="221"/>
      <c r="D6135" s="218"/>
      <c r="E6135" s="218"/>
      <c r="F6135" s="527">
        <v>418</v>
      </c>
      <c r="G6135" s="520" t="s">
        <v>3793</v>
      </c>
      <c r="H6135" s="594"/>
      <c r="I6135" s="595"/>
      <c r="J6135" s="595">
        <f t="shared" si="182"/>
        <v>0</v>
      </c>
      <c r="K6135" s="533"/>
      <c r="L6135" s="533"/>
      <c r="M6135" s="533"/>
      <c r="N6135" s="533"/>
      <c r="O6135" s="533"/>
      <c r="P6135" s="533"/>
      <c r="Q6135" s="533"/>
      <c r="R6135" s="533"/>
      <c r="S6135" s="533"/>
      <c r="T6135" s="533"/>
      <c r="U6135" s="533"/>
      <c r="V6135" s="533"/>
      <c r="W6135" s="533"/>
      <c r="X6135" s="533"/>
      <c r="Y6135" s="533"/>
    </row>
    <row r="6136" spans="1:25" s="88" customFormat="1" x14ac:dyDescent="0.25">
      <c r="A6136" s="509"/>
      <c r="B6136" s="256"/>
      <c r="C6136" s="221"/>
      <c r="D6136" s="218"/>
      <c r="E6136" s="218">
        <v>63</v>
      </c>
      <c r="F6136" s="527">
        <v>421</v>
      </c>
      <c r="G6136" s="520" t="s">
        <v>3797</v>
      </c>
      <c r="H6136" s="594">
        <v>20000</v>
      </c>
      <c r="I6136" s="595"/>
      <c r="J6136" s="595">
        <f t="shared" si="182"/>
        <v>20000</v>
      </c>
      <c r="K6136" s="533"/>
      <c r="L6136" s="533"/>
      <c r="M6136" s="533"/>
      <c r="N6136" s="533"/>
      <c r="O6136" s="533"/>
      <c r="P6136" s="533"/>
      <c r="Q6136" s="533"/>
      <c r="R6136" s="533"/>
      <c r="S6136" s="533"/>
      <c r="T6136" s="533"/>
      <c r="U6136" s="533"/>
      <c r="V6136" s="533"/>
      <c r="W6136" s="533"/>
      <c r="X6136" s="533"/>
      <c r="Y6136" s="533"/>
    </row>
    <row r="6137" spans="1:25" s="88" customFormat="1" x14ac:dyDescent="0.25">
      <c r="A6137" s="509"/>
      <c r="B6137" s="256"/>
      <c r="C6137" s="221"/>
      <c r="D6137" s="218"/>
      <c r="E6137" s="218">
        <v>64</v>
      </c>
      <c r="F6137" s="527">
        <v>422</v>
      </c>
      <c r="G6137" s="520" t="s">
        <v>3798</v>
      </c>
      <c r="H6137" s="594">
        <v>50000</v>
      </c>
      <c r="I6137" s="595"/>
      <c r="J6137" s="595">
        <f t="shared" si="182"/>
        <v>50000</v>
      </c>
      <c r="K6137" s="533"/>
      <c r="L6137" s="533"/>
      <c r="M6137" s="533"/>
      <c r="N6137" s="533"/>
      <c r="O6137" s="533"/>
      <c r="P6137" s="533"/>
      <c r="Q6137" s="533"/>
      <c r="R6137" s="533"/>
      <c r="S6137" s="533"/>
      <c r="T6137" s="533"/>
      <c r="U6137" s="533"/>
      <c r="V6137" s="533"/>
      <c r="W6137" s="533"/>
      <c r="X6137" s="533"/>
      <c r="Y6137" s="533"/>
    </row>
    <row r="6138" spans="1:25" s="88" customFormat="1" x14ac:dyDescent="0.25">
      <c r="A6138" s="509"/>
      <c r="B6138" s="256"/>
      <c r="C6138" s="221"/>
      <c r="D6138" s="218"/>
      <c r="E6138" s="218">
        <v>65</v>
      </c>
      <c r="F6138" s="527">
        <v>423</v>
      </c>
      <c r="G6138" s="520" t="s">
        <v>3799</v>
      </c>
      <c r="H6138" s="594">
        <v>320000</v>
      </c>
      <c r="I6138" s="595"/>
      <c r="J6138" s="595">
        <f t="shared" si="182"/>
        <v>320000</v>
      </c>
      <c r="K6138" s="533"/>
      <c r="L6138" s="533"/>
      <c r="M6138" s="533"/>
      <c r="N6138" s="533"/>
      <c r="O6138" s="533"/>
      <c r="P6138" s="533"/>
      <c r="Q6138" s="533"/>
      <c r="R6138" s="533"/>
      <c r="S6138" s="533"/>
      <c r="T6138" s="533"/>
      <c r="U6138" s="533"/>
      <c r="V6138" s="533"/>
      <c r="W6138" s="533"/>
      <c r="X6138" s="533"/>
      <c r="Y6138" s="533"/>
    </row>
    <row r="6139" spans="1:25" s="88" customFormat="1" hidden="1" x14ac:dyDescent="0.25">
      <c r="A6139" s="509"/>
      <c r="B6139" s="256"/>
      <c r="C6139" s="221"/>
      <c r="D6139" s="218"/>
      <c r="E6139" s="218"/>
      <c r="F6139" s="527">
        <v>424</v>
      </c>
      <c r="G6139" s="520" t="s">
        <v>3801</v>
      </c>
      <c r="H6139" s="594"/>
      <c r="I6139" s="595"/>
      <c r="J6139" s="595">
        <f t="shared" si="182"/>
        <v>0</v>
      </c>
      <c r="K6139" s="533"/>
      <c r="L6139" s="533"/>
      <c r="M6139" s="533"/>
      <c r="N6139" s="533"/>
      <c r="O6139" s="533"/>
      <c r="P6139" s="533"/>
      <c r="Q6139" s="533"/>
      <c r="R6139" s="533"/>
      <c r="S6139" s="533"/>
      <c r="T6139" s="533"/>
      <c r="U6139" s="533"/>
      <c r="V6139" s="533"/>
      <c r="W6139" s="533"/>
      <c r="X6139" s="533"/>
      <c r="Y6139" s="533"/>
    </row>
    <row r="6140" spans="1:25" s="88" customFormat="1" hidden="1" x14ac:dyDescent="0.25">
      <c r="A6140" s="509"/>
      <c r="B6140" s="256"/>
      <c r="C6140" s="221"/>
      <c r="D6140" s="218"/>
      <c r="E6140" s="218"/>
      <c r="F6140" s="527">
        <v>425</v>
      </c>
      <c r="G6140" s="520" t="s">
        <v>4202</v>
      </c>
      <c r="H6140" s="594"/>
      <c r="I6140" s="595"/>
      <c r="J6140" s="595">
        <f t="shared" si="182"/>
        <v>0</v>
      </c>
      <c r="K6140" s="533"/>
      <c r="L6140" s="533"/>
      <c r="M6140" s="533"/>
      <c r="N6140" s="533"/>
      <c r="O6140" s="533"/>
      <c r="P6140" s="533"/>
      <c r="Q6140" s="533"/>
      <c r="R6140" s="533"/>
      <c r="S6140" s="533"/>
      <c r="T6140" s="533"/>
      <c r="U6140" s="533"/>
      <c r="V6140" s="533"/>
      <c r="W6140" s="533"/>
      <c r="X6140" s="533"/>
      <c r="Y6140" s="533"/>
    </row>
    <row r="6141" spans="1:25" s="88" customFormat="1" x14ac:dyDescent="0.25">
      <c r="A6141" s="509"/>
      <c r="B6141" s="256"/>
      <c r="C6141" s="221"/>
      <c r="D6141" s="218"/>
      <c r="E6141" s="218">
        <v>66</v>
      </c>
      <c r="F6141" s="527">
        <v>426</v>
      </c>
      <c r="G6141" s="520" t="s">
        <v>3805</v>
      </c>
      <c r="H6141" s="594">
        <v>300000</v>
      </c>
      <c r="I6141" s="595"/>
      <c r="J6141" s="595">
        <f t="shared" si="182"/>
        <v>300000</v>
      </c>
      <c r="K6141" s="533"/>
      <c r="L6141" s="533"/>
      <c r="M6141" s="533"/>
      <c r="N6141" s="533"/>
      <c r="O6141" s="533"/>
      <c r="P6141" s="533"/>
      <c r="Q6141" s="533"/>
      <c r="R6141" s="533"/>
      <c r="S6141" s="533"/>
      <c r="T6141" s="533"/>
      <c r="U6141" s="533"/>
      <c r="V6141" s="533"/>
      <c r="W6141" s="533"/>
      <c r="X6141" s="533"/>
      <c r="Y6141" s="533"/>
    </row>
    <row r="6142" spans="1:25" s="88" customFormat="1" hidden="1" x14ac:dyDescent="0.25">
      <c r="A6142" s="509"/>
      <c r="B6142" s="256"/>
      <c r="C6142" s="221"/>
      <c r="D6142" s="218"/>
      <c r="E6142" s="218"/>
      <c r="F6142" s="527">
        <v>431</v>
      </c>
      <c r="G6142" s="520" t="s">
        <v>4203</v>
      </c>
      <c r="H6142" s="594"/>
      <c r="I6142" s="595"/>
      <c r="J6142" s="595">
        <f t="shared" si="182"/>
        <v>0</v>
      </c>
      <c r="K6142" s="533"/>
      <c r="L6142" s="533"/>
      <c r="M6142" s="533"/>
      <c r="N6142" s="533"/>
      <c r="O6142" s="533"/>
      <c r="P6142" s="533"/>
      <c r="Q6142" s="533"/>
      <c r="R6142" s="533"/>
      <c r="S6142" s="533"/>
      <c r="T6142" s="533"/>
      <c r="U6142" s="533"/>
      <c r="V6142" s="533"/>
      <c r="W6142" s="533"/>
      <c r="X6142" s="533"/>
      <c r="Y6142" s="533"/>
    </row>
    <row r="6143" spans="1:25" s="88" customFormat="1" hidden="1" x14ac:dyDescent="0.25">
      <c r="A6143" s="509"/>
      <c r="B6143" s="256"/>
      <c r="C6143" s="221"/>
      <c r="D6143" s="218"/>
      <c r="E6143" s="218"/>
      <c r="F6143" s="527">
        <v>432</v>
      </c>
      <c r="G6143" s="520" t="s">
        <v>4204</v>
      </c>
      <c r="H6143" s="594"/>
      <c r="I6143" s="595"/>
      <c r="J6143" s="595">
        <f t="shared" si="182"/>
        <v>0</v>
      </c>
      <c r="K6143" s="533"/>
      <c r="L6143" s="533"/>
      <c r="M6143" s="533"/>
      <c r="N6143" s="533"/>
      <c r="O6143" s="533"/>
      <c r="P6143" s="533"/>
      <c r="Q6143" s="533"/>
      <c r="R6143" s="533"/>
      <c r="S6143" s="533"/>
      <c r="T6143" s="533"/>
      <c r="U6143" s="533"/>
      <c r="V6143" s="533"/>
      <c r="W6143" s="533"/>
      <c r="X6143" s="533"/>
      <c r="Y6143" s="533"/>
    </row>
    <row r="6144" spans="1:25" s="88" customFormat="1" hidden="1" x14ac:dyDescent="0.25">
      <c r="A6144" s="509"/>
      <c r="B6144" s="256"/>
      <c r="C6144" s="221"/>
      <c r="D6144" s="218"/>
      <c r="E6144" s="218"/>
      <c r="F6144" s="527">
        <v>433</v>
      </c>
      <c r="G6144" s="520" t="s">
        <v>4205</v>
      </c>
      <c r="H6144" s="594"/>
      <c r="I6144" s="595"/>
      <c r="J6144" s="595">
        <f t="shared" si="182"/>
        <v>0</v>
      </c>
      <c r="K6144" s="533"/>
      <c r="L6144" s="533"/>
      <c r="M6144" s="533"/>
      <c r="N6144" s="533"/>
      <c r="O6144" s="533"/>
      <c r="P6144" s="533"/>
      <c r="Q6144" s="533"/>
      <c r="R6144" s="533"/>
      <c r="S6144" s="533"/>
      <c r="T6144" s="533"/>
      <c r="U6144" s="533"/>
      <c r="V6144" s="533"/>
      <c r="W6144" s="533"/>
      <c r="X6144" s="533"/>
      <c r="Y6144" s="533"/>
    </row>
    <row r="6145" spans="1:25" s="88" customFormat="1" hidden="1" x14ac:dyDescent="0.25">
      <c r="A6145" s="509"/>
      <c r="B6145" s="256"/>
      <c r="C6145" s="221"/>
      <c r="D6145" s="218"/>
      <c r="E6145" s="218"/>
      <c r="F6145" s="527">
        <v>434</v>
      </c>
      <c r="G6145" s="520" t="s">
        <v>4206</v>
      </c>
      <c r="H6145" s="594"/>
      <c r="I6145" s="595"/>
      <c r="J6145" s="595">
        <f t="shared" si="182"/>
        <v>0</v>
      </c>
      <c r="K6145" s="533"/>
      <c r="L6145" s="533"/>
      <c r="M6145" s="533"/>
      <c r="N6145" s="533"/>
      <c r="O6145" s="533"/>
      <c r="P6145" s="533"/>
      <c r="Q6145" s="533"/>
      <c r="R6145" s="533"/>
      <c r="S6145" s="533"/>
      <c r="T6145" s="533"/>
      <c r="U6145" s="533"/>
      <c r="V6145" s="533"/>
      <c r="W6145" s="533"/>
      <c r="X6145" s="533"/>
      <c r="Y6145" s="533"/>
    </row>
    <row r="6146" spans="1:25" s="88" customFormat="1" hidden="1" x14ac:dyDescent="0.25">
      <c r="A6146" s="509"/>
      <c r="B6146" s="256"/>
      <c r="C6146" s="221"/>
      <c r="D6146" s="218"/>
      <c r="E6146" s="218"/>
      <c r="F6146" s="527">
        <v>435</v>
      </c>
      <c r="G6146" s="520" t="s">
        <v>3812</v>
      </c>
      <c r="H6146" s="594"/>
      <c r="I6146" s="595"/>
      <c r="J6146" s="595">
        <f t="shared" si="182"/>
        <v>0</v>
      </c>
      <c r="K6146" s="533"/>
      <c r="L6146" s="533"/>
      <c r="M6146" s="533"/>
      <c r="N6146" s="533"/>
      <c r="O6146" s="533"/>
      <c r="P6146" s="533"/>
      <c r="Q6146" s="533"/>
      <c r="R6146" s="533"/>
      <c r="S6146" s="533"/>
      <c r="T6146" s="533"/>
      <c r="U6146" s="533"/>
      <c r="V6146" s="533"/>
      <c r="W6146" s="533"/>
      <c r="X6146" s="533"/>
      <c r="Y6146" s="533"/>
    </row>
    <row r="6147" spans="1:25" s="88" customFormat="1" hidden="1" x14ac:dyDescent="0.25">
      <c r="A6147" s="509"/>
      <c r="B6147" s="256"/>
      <c r="C6147" s="221"/>
      <c r="D6147" s="218"/>
      <c r="E6147" s="218"/>
      <c r="F6147" s="527">
        <v>441</v>
      </c>
      <c r="G6147" s="520" t="s">
        <v>4207</v>
      </c>
      <c r="H6147" s="594"/>
      <c r="I6147" s="595"/>
      <c r="J6147" s="595">
        <f t="shared" si="182"/>
        <v>0</v>
      </c>
      <c r="K6147" s="533"/>
      <c r="L6147" s="533"/>
      <c r="M6147" s="533"/>
      <c r="N6147" s="533"/>
      <c r="O6147" s="533"/>
      <c r="P6147" s="533"/>
      <c r="Q6147" s="533"/>
      <c r="R6147" s="533"/>
      <c r="S6147" s="533"/>
      <c r="T6147" s="533"/>
      <c r="U6147" s="533"/>
      <c r="V6147" s="533"/>
      <c r="W6147" s="533"/>
      <c r="X6147" s="533"/>
      <c r="Y6147" s="533"/>
    </row>
    <row r="6148" spans="1:25" s="88" customFormat="1" hidden="1" x14ac:dyDescent="0.25">
      <c r="A6148" s="509"/>
      <c r="B6148" s="256"/>
      <c r="C6148" s="221"/>
      <c r="D6148" s="218"/>
      <c r="E6148" s="218"/>
      <c r="F6148" s="527">
        <v>442</v>
      </c>
      <c r="G6148" s="520" t="s">
        <v>4208</v>
      </c>
      <c r="H6148" s="594"/>
      <c r="I6148" s="595"/>
      <c r="J6148" s="595">
        <f t="shared" si="182"/>
        <v>0</v>
      </c>
      <c r="K6148" s="533"/>
      <c r="L6148" s="533"/>
      <c r="M6148" s="533"/>
      <c r="N6148" s="533"/>
      <c r="O6148" s="533"/>
      <c r="P6148" s="533"/>
      <c r="Q6148" s="533"/>
      <c r="R6148" s="533"/>
      <c r="S6148" s="533"/>
      <c r="T6148" s="533"/>
      <c r="U6148" s="533"/>
      <c r="V6148" s="533"/>
      <c r="W6148" s="533"/>
      <c r="X6148" s="533"/>
      <c r="Y6148" s="533"/>
    </row>
    <row r="6149" spans="1:25" s="88" customFormat="1" hidden="1" x14ac:dyDescent="0.25">
      <c r="A6149" s="509"/>
      <c r="B6149" s="256"/>
      <c r="C6149" s="221"/>
      <c r="D6149" s="218"/>
      <c r="E6149" s="218"/>
      <c r="F6149" s="527">
        <v>443</v>
      </c>
      <c r="G6149" s="520" t="s">
        <v>3817</v>
      </c>
      <c r="H6149" s="594"/>
      <c r="I6149" s="595"/>
      <c r="J6149" s="595">
        <f t="shared" si="182"/>
        <v>0</v>
      </c>
      <c r="K6149" s="533"/>
      <c r="L6149" s="533"/>
      <c r="M6149" s="533"/>
      <c r="N6149" s="533"/>
      <c r="O6149" s="533"/>
      <c r="P6149" s="533"/>
      <c r="Q6149" s="533"/>
      <c r="R6149" s="533"/>
      <c r="S6149" s="533"/>
      <c r="T6149" s="533"/>
      <c r="U6149" s="533"/>
      <c r="V6149" s="533"/>
      <c r="W6149" s="533"/>
      <c r="X6149" s="533"/>
      <c r="Y6149" s="533"/>
    </row>
    <row r="6150" spans="1:25" s="88" customFormat="1" hidden="1" x14ac:dyDescent="0.25">
      <c r="A6150" s="509"/>
      <c r="B6150" s="256"/>
      <c r="C6150" s="221"/>
      <c r="D6150" s="218"/>
      <c r="E6150" s="218"/>
      <c r="F6150" s="527">
        <v>444</v>
      </c>
      <c r="G6150" s="520" t="s">
        <v>3818</v>
      </c>
      <c r="H6150" s="594"/>
      <c r="I6150" s="595"/>
      <c r="J6150" s="595">
        <f t="shared" si="182"/>
        <v>0</v>
      </c>
      <c r="K6150" s="533"/>
      <c r="L6150" s="533"/>
      <c r="M6150" s="533"/>
      <c r="N6150" s="533"/>
      <c r="O6150" s="533"/>
      <c r="P6150" s="533"/>
      <c r="Q6150" s="533"/>
      <c r="R6150" s="533"/>
      <c r="S6150" s="533"/>
      <c r="T6150" s="533"/>
      <c r="U6150" s="533"/>
      <c r="V6150" s="533"/>
      <c r="W6150" s="533"/>
      <c r="X6150" s="533"/>
      <c r="Y6150" s="533"/>
    </row>
    <row r="6151" spans="1:25" s="88" customFormat="1" ht="30" hidden="1" x14ac:dyDescent="0.25">
      <c r="A6151" s="509"/>
      <c r="B6151" s="256"/>
      <c r="C6151" s="221"/>
      <c r="D6151" s="218"/>
      <c r="E6151" s="218"/>
      <c r="F6151" s="527">
        <v>4511</v>
      </c>
      <c r="G6151" s="223" t="s">
        <v>1692</v>
      </c>
      <c r="H6151" s="594"/>
      <c r="I6151" s="595"/>
      <c r="J6151" s="595">
        <f t="shared" si="182"/>
        <v>0</v>
      </c>
      <c r="K6151" s="533"/>
      <c r="L6151" s="533"/>
      <c r="M6151" s="533"/>
      <c r="N6151" s="533"/>
      <c r="O6151" s="533"/>
      <c r="P6151" s="533"/>
      <c r="Q6151" s="533"/>
      <c r="R6151" s="533"/>
      <c r="S6151" s="533"/>
      <c r="T6151" s="533"/>
      <c r="U6151" s="533"/>
      <c r="V6151" s="533"/>
      <c r="W6151" s="533"/>
      <c r="X6151" s="533"/>
      <c r="Y6151" s="533"/>
    </row>
    <row r="6152" spans="1:25" s="88" customFormat="1" ht="30" hidden="1" x14ac:dyDescent="0.25">
      <c r="A6152" s="509"/>
      <c r="B6152" s="256"/>
      <c r="C6152" s="221"/>
      <c r="D6152" s="218"/>
      <c r="E6152" s="218"/>
      <c r="F6152" s="527">
        <v>4512</v>
      </c>
      <c r="G6152" s="223" t="s">
        <v>1701</v>
      </c>
      <c r="H6152" s="594"/>
      <c r="I6152" s="595"/>
      <c r="J6152" s="595">
        <f t="shared" si="182"/>
        <v>0</v>
      </c>
      <c r="K6152" s="533"/>
      <c r="L6152" s="533"/>
      <c r="M6152" s="533"/>
      <c r="N6152" s="533"/>
      <c r="O6152" s="533"/>
      <c r="P6152" s="533"/>
      <c r="Q6152" s="533"/>
      <c r="R6152" s="533"/>
      <c r="S6152" s="533"/>
      <c r="T6152" s="533"/>
      <c r="U6152" s="533"/>
      <c r="V6152" s="533"/>
      <c r="W6152" s="533"/>
      <c r="X6152" s="533"/>
      <c r="Y6152" s="533"/>
    </row>
    <row r="6153" spans="1:25" s="88" customFormat="1" hidden="1" x14ac:dyDescent="0.25">
      <c r="A6153" s="509"/>
      <c r="B6153" s="256"/>
      <c r="C6153" s="221"/>
      <c r="D6153" s="218"/>
      <c r="E6153" s="218"/>
      <c r="F6153" s="527">
        <v>452</v>
      </c>
      <c r="G6153" s="520" t="s">
        <v>4209</v>
      </c>
      <c r="H6153" s="594"/>
      <c r="I6153" s="595"/>
      <c r="J6153" s="595">
        <f t="shared" si="182"/>
        <v>0</v>
      </c>
      <c r="K6153" s="533"/>
      <c r="L6153" s="533"/>
      <c r="M6153" s="533"/>
      <c r="N6153" s="533"/>
      <c r="O6153" s="533"/>
      <c r="P6153" s="533"/>
      <c r="Q6153" s="533"/>
      <c r="R6153" s="533"/>
      <c r="S6153" s="533"/>
      <c r="T6153" s="533"/>
      <c r="U6153" s="533"/>
      <c r="V6153" s="533"/>
      <c r="W6153" s="533"/>
      <c r="X6153" s="533"/>
      <c r="Y6153" s="533"/>
    </row>
    <row r="6154" spans="1:25" s="88" customFormat="1" hidden="1" x14ac:dyDescent="0.25">
      <c r="A6154" s="509"/>
      <c r="B6154" s="256"/>
      <c r="C6154" s="221"/>
      <c r="D6154" s="218"/>
      <c r="E6154" s="218"/>
      <c r="F6154" s="527">
        <v>453</v>
      </c>
      <c r="G6154" s="520" t="s">
        <v>4210</v>
      </c>
      <c r="H6154" s="594"/>
      <c r="I6154" s="595"/>
      <c r="J6154" s="595">
        <f t="shared" si="182"/>
        <v>0</v>
      </c>
      <c r="K6154" s="533"/>
      <c r="L6154" s="533"/>
      <c r="M6154" s="533"/>
      <c r="N6154" s="533"/>
      <c r="O6154" s="533"/>
      <c r="P6154" s="533"/>
      <c r="Q6154" s="533"/>
      <c r="R6154" s="533"/>
      <c r="S6154" s="533"/>
      <c r="T6154" s="533"/>
      <c r="U6154" s="533"/>
      <c r="V6154" s="533"/>
      <c r="W6154" s="533"/>
      <c r="X6154" s="533"/>
      <c r="Y6154" s="533"/>
    </row>
    <row r="6155" spans="1:25" s="88" customFormat="1" hidden="1" x14ac:dyDescent="0.25">
      <c r="A6155" s="509"/>
      <c r="B6155" s="256"/>
      <c r="C6155" s="221"/>
      <c r="D6155" s="218"/>
      <c r="E6155" s="218"/>
      <c r="F6155" s="527">
        <v>454</v>
      </c>
      <c r="G6155" s="520" t="s">
        <v>3823</v>
      </c>
      <c r="H6155" s="594"/>
      <c r="I6155" s="595"/>
      <c r="J6155" s="595">
        <f t="shared" si="182"/>
        <v>0</v>
      </c>
      <c r="K6155" s="533"/>
      <c r="L6155" s="533"/>
      <c r="M6155" s="533"/>
      <c r="N6155" s="533"/>
      <c r="O6155" s="533"/>
      <c r="P6155" s="533"/>
      <c r="Q6155" s="533"/>
      <c r="R6155" s="533"/>
      <c r="S6155" s="533"/>
      <c r="T6155" s="533"/>
      <c r="U6155" s="533"/>
      <c r="V6155" s="533"/>
      <c r="W6155" s="533"/>
      <c r="X6155" s="533"/>
      <c r="Y6155" s="533"/>
    </row>
    <row r="6156" spans="1:25" s="88" customFormat="1" hidden="1" x14ac:dyDescent="0.25">
      <c r="A6156" s="509"/>
      <c r="B6156" s="256"/>
      <c r="C6156" s="221"/>
      <c r="D6156" s="218"/>
      <c r="E6156" s="218"/>
      <c r="F6156" s="527">
        <v>461</v>
      </c>
      <c r="G6156" s="520" t="s">
        <v>4191</v>
      </c>
      <c r="H6156" s="594"/>
      <c r="I6156" s="595"/>
      <c r="J6156" s="595">
        <f t="shared" si="182"/>
        <v>0</v>
      </c>
      <c r="K6156" s="533"/>
      <c r="L6156" s="533"/>
      <c r="M6156" s="533"/>
      <c r="N6156" s="533"/>
      <c r="O6156" s="533"/>
      <c r="P6156" s="533"/>
      <c r="Q6156" s="533"/>
      <c r="R6156" s="533"/>
      <c r="S6156" s="533"/>
      <c r="T6156" s="533"/>
      <c r="U6156" s="533"/>
      <c r="V6156" s="533"/>
      <c r="W6156" s="533"/>
      <c r="X6156" s="533"/>
      <c r="Y6156" s="533"/>
    </row>
    <row r="6157" spans="1:25" s="88" customFormat="1" hidden="1" x14ac:dyDescent="0.25">
      <c r="A6157" s="509"/>
      <c r="B6157" s="256"/>
      <c r="C6157" s="221"/>
      <c r="D6157" s="218"/>
      <c r="E6157" s="218"/>
      <c r="F6157" s="527">
        <v>462</v>
      </c>
      <c r="G6157" s="520" t="s">
        <v>3826</v>
      </c>
      <c r="H6157" s="594"/>
      <c r="I6157" s="595"/>
      <c r="J6157" s="595">
        <f t="shared" si="182"/>
        <v>0</v>
      </c>
      <c r="K6157" s="533"/>
      <c r="L6157" s="533"/>
      <c r="M6157" s="533"/>
      <c r="N6157" s="533"/>
      <c r="O6157" s="533"/>
      <c r="P6157" s="533"/>
      <c r="Q6157" s="533"/>
      <c r="R6157" s="533"/>
      <c r="S6157" s="533"/>
      <c r="T6157" s="533"/>
      <c r="U6157" s="533"/>
      <c r="V6157" s="533"/>
      <c r="W6157" s="533"/>
      <c r="X6157" s="533"/>
      <c r="Y6157" s="533"/>
    </row>
    <row r="6158" spans="1:25" s="88" customFormat="1" hidden="1" x14ac:dyDescent="0.25">
      <c r="A6158" s="509"/>
      <c r="B6158" s="256"/>
      <c r="C6158" s="221"/>
      <c r="D6158" s="218"/>
      <c r="E6158" s="218"/>
      <c r="F6158" s="527">
        <v>4631</v>
      </c>
      <c r="G6158" s="520" t="s">
        <v>3827</v>
      </c>
      <c r="H6158" s="594"/>
      <c r="I6158" s="595"/>
      <c r="J6158" s="595">
        <f t="shared" si="182"/>
        <v>0</v>
      </c>
      <c r="K6158" s="533"/>
      <c r="L6158" s="533"/>
      <c r="M6158" s="533"/>
      <c r="N6158" s="533"/>
      <c r="O6158" s="533"/>
      <c r="P6158" s="533"/>
      <c r="Q6158" s="533"/>
      <c r="R6158" s="533"/>
      <c r="S6158" s="533"/>
      <c r="T6158" s="533"/>
      <c r="U6158" s="533"/>
      <c r="V6158" s="533"/>
      <c r="W6158" s="533"/>
      <c r="X6158" s="533"/>
      <c r="Y6158" s="533"/>
    </row>
    <row r="6159" spans="1:25" s="88" customFormat="1" hidden="1" x14ac:dyDescent="0.25">
      <c r="A6159" s="509"/>
      <c r="B6159" s="256"/>
      <c r="C6159" s="221"/>
      <c r="D6159" s="218"/>
      <c r="E6159" s="218"/>
      <c r="F6159" s="527">
        <v>4632</v>
      </c>
      <c r="G6159" s="520" t="s">
        <v>3828</v>
      </c>
      <c r="H6159" s="594"/>
      <c r="I6159" s="595"/>
      <c r="J6159" s="595">
        <f t="shared" si="182"/>
        <v>0</v>
      </c>
      <c r="K6159" s="533"/>
      <c r="L6159" s="533"/>
      <c r="M6159" s="533"/>
      <c r="N6159" s="533"/>
      <c r="O6159" s="533"/>
      <c r="P6159" s="533"/>
      <c r="Q6159" s="533"/>
      <c r="R6159" s="533"/>
      <c r="S6159" s="533"/>
      <c r="T6159" s="533"/>
      <c r="U6159" s="533"/>
      <c r="V6159" s="533"/>
      <c r="W6159" s="533"/>
      <c r="X6159" s="533"/>
      <c r="Y6159" s="533"/>
    </row>
    <row r="6160" spans="1:25" s="88" customFormat="1" hidden="1" x14ac:dyDescent="0.25">
      <c r="A6160" s="509"/>
      <c r="B6160" s="256"/>
      <c r="C6160" s="221"/>
      <c r="D6160" s="218"/>
      <c r="E6160" s="218"/>
      <c r="F6160" s="527">
        <v>464</v>
      </c>
      <c r="G6160" s="520" t="s">
        <v>3829</v>
      </c>
      <c r="H6160" s="594"/>
      <c r="I6160" s="595"/>
      <c r="J6160" s="595">
        <f t="shared" si="182"/>
        <v>0</v>
      </c>
      <c r="K6160" s="533"/>
      <c r="L6160" s="533"/>
      <c r="M6160" s="533"/>
      <c r="N6160" s="533"/>
      <c r="O6160" s="533"/>
      <c r="P6160" s="533"/>
      <c r="Q6160" s="533"/>
      <c r="R6160" s="533"/>
      <c r="S6160" s="533"/>
      <c r="T6160" s="533"/>
      <c r="U6160" s="533"/>
      <c r="V6160" s="533"/>
      <c r="W6160" s="533"/>
      <c r="X6160" s="533"/>
      <c r="Y6160" s="533"/>
    </row>
    <row r="6161" spans="1:25" s="88" customFormat="1" hidden="1" x14ac:dyDescent="0.25">
      <c r="A6161" s="509"/>
      <c r="B6161" s="256"/>
      <c r="C6161" s="221"/>
      <c r="D6161" s="218"/>
      <c r="E6161" s="218"/>
      <c r="F6161" s="527">
        <v>465</v>
      </c>
      <c r="G6161" s="520" t="s">
        <v>4192</v>
      </c>
      <c r="H6161" s="594"/>
      <c r="I6161" s="595"/>
      <c r="J6161" s="595">
        <f t="shared" si="182"/>
        <v>0</v>
      </c>
      <c r="K6161" s="533"/>
      <c r="L6161" s="533"/>
      <c r="M6161" s="533"/>
      <c r="N6161" s="533"/>
      <c r="O6161" s="533"/>
      <c r="P6161" s="533"/>
      <c r="Q6161" s="533"/>
      <c r="R6161" s="533"/>
      <c r="S6161" s="533"/>
      <c r="T6161" s="533"/>
      <c r="U6161" s="533"/>
      <c r="V6161" s="533"/>
      <c r="W6161" s="533"/>
      <c r="X6161" s="533"/>
      <c r="Y6161" s="533"/>
    </row>
    <row r="6162" spans="1:25" s="88" customFormat="1" hidden="1" x14ac:dyDescent="0.25">
      <c r="A6162" s="509"/>
      <c r="B6162" s="256"/>
      <c r="C6162" s="221"/>
      <c r="D6162" s="218"/>
      <c r="E6162" s="218"/>
      <c r="F6162" s="527">
        <v>472</v>
      </c>
      <c r="G6162" s="520" t="s">
        <v>3833</v>
      </c>
      <c r="H6162" s="594"/>
      <c r="I6162" s="595"/>
      <c r="J6162" s="595">
        <f t="shared" si="182"/>
        <v>0</v>
      </c>
      <c r="K6162" s="533"/>
      <c r="L6162" s="533"/>
      <c r="M6162" s="533"/>
      <c r="N6162" s="533"/>
      <c r="O6162" s="533"/>
      <c r="P6162" s="533"/>
      <c r="Q6162" s="533"/>
      <c r="R6162" s="533"/>
      <c r="S6162" s="533"/>
      <c r="T6162" s="533"/>
      <c r="U6162" s="533"/>
      <c r="V6162" s="533"/>
      <c r="W6162" s="533"/>
      <c r="X6162" s="533"/>
      <c r="Y6162" s="533"/>
    </row>
    <row r="6163" spans="1:25" s="88" customFormat="1" hidden="1" x14ac:dyDescent="0.25">
      <c r="A6163" s="509"/>
      <c r="B6163" s="256"/>
      <c r="C6163" s="221"/>
      <c r="D6163" s="218"/>
      <c r="E6163" s="218"/>
      <c r="F6163" s="527">
        <v>481</v>
      </c>
      <c r="G6163" s="520" t="s">
        <v>4211</v>
      </c>
      <c r="H6163" s="594"/>
      <c r="I6163" s="595"/>
      <c r="J6163" s="595">
        <f t="shared" si="182"/>
        <v>0</v>
      </c>
      <c r="K6163" s="533"/>
      <c r="L6163" s="533"/>
      <c r="M6163" s="533"/>
      <c r="N6163" s="533"/>
      <c r="O6163" s="533"/>
      <c r="P6163" s="533"/>
      <c r="Q6163" s="533"/>
      <c r="R6163" s="533"/>
      <c r="S6163" s="533"/>
      <c r="T6163" s="533"/>
      <c r="U6163" s="533"/>
      <c r="V6163" s="533"/>
      <c r="W6163" s="533"/>
      <c r="X6163" s="533"/>
      <c r="Y6163" s="533"/>
    </row>
    <row r="6164" spans="1:25" s="88" customFormat="1" hidden="1" x14ac:dyDescent="0.25">
      <c r="A6164" s="509"/>
      <c r="B6164" s="256"/>
      <c r="C6164" s="221"/>
      <c r="D6164" s="218"/>
      <c r="E6164" s="218"/>
      <c r="F6164" s="527">
        <v>482</v>
      </c>
      <c r="G6164" s="520" t="s">
        <v>4212</v>
      </c>
      <c r="H6164" s="594"/>
      <c r="I6164" s="595"/>
      <c r="J6164" s="595">
        <f t="shared" si="182"/>
        <v>0</v>
      </c>
      <c r="K6164" s="533"/>
      <c r="L6164" s="533"/>
      <c r="M6164" s="533"/>
      <c r="N6164" s="533"/>
      <c r="O6164" s="533"/>
      <c r="P6164" s="533"/>
      <c r="Q6164" s="533"/>
      <c r="R6164" s="533"/>
      <c r="S6164" s="533"/>
      <c r="T6164" s="533"/>
      <c r="U6164" s="533"/>
      <c r="V6164" s="533"/>
      <c r="W6164" s="533"/>
      <c r="X6164" s="533"/>
      <c r="Y6164" s="533"/>
    </row>
    <row r="6165" spans="1:25" s="88" customFormat="1" hidden="1" x14ac:dyDescent="0.25">
      <c r="A6165" s="509"/>
      <c r="B6165" s="256"/>
      <c r="C6165" s="221"/>
      <c r="D6165" s="218"/>
      <c r="E6165" s="218"/>
      <c r="F6165" s="527">
        <v>483</v>
      </c>
      <c r="G6165" s="524" t="s">
        <v>4213</v>
      </c>
      <c r="H6165" s="594"/>
      <c r="I6165" s="595"/>
      <c r="J6165" s="595">
        <f t="shared" si="182"/>
        <v>0</v>
      </c>
      <c r="K6165" s="533"/>
      <c r="L6165" s="533"/>
      <c r="M6165" s="533"/>
      <c r="N6165" s="533"/>
      <c r="O6165" s="533"/>
      <c r="P6165" s="533"/>
      <c r="Q6165" s="533"/>
      <c r="R6165" s="533"/>
      <c r="S6165" s="533"/>
      <c r="T6165" s="533"/>
      <c r="U6165" s="533"/>
      <c r="V6165" s="533"/>
      <c r="W6165" s="533"/>
      <c r="X6165" s="533"/>
      <c r="Y6165" s="533"/>
    </row>
    <row r="6166" spans="1:25" s="88" customFormat="1" ht="30" hidden="1" x14ac:dyDescent="0.25">
      <c r="A6166" s="509"/>
      <c r="B6166" s="256"/>
      <c r="C6166" s="221"/>
      <c r="D6166" s="218"/>
      <c r="E6166" s="218"/>
      <c r="F6166" s="527">
        <v>484</v>
      </c>
      <c r="G6166" s="520" t="s">
        <v>4214</v>
      </c>
      <c r="H6166" s="594"/>
      <c r="I6166" s="595"/>
      <c r="J6166" s="595">
        <f t="shared" si="182"/>
        <v>0</v>
      </c>
      <c r="K6166" s="533"/>
      <c r="L6166" s="533"/>
      <c r="M6166" s="533"/>
      <c r="N6166" s="533"/>
      <c r="O6166" s="533"/>
      <c r="P6166" s="533"/>
      <c r="Q6166" s="533"/>
      <c r="R6166" s="533"/>
      <c r="S6166" s="533"/>
      <c r="T6166" s="533"/>
      <c r="U6166" s="533"/>
      <c r="V6166" s="533"/>
      <c r="W6166" s="533"/>
      <c r="X6166" s="533"/>
      <c r="Y6166" s="533"/>
    </row>
    <row r="6167" spans="1:25" s="88" customFormat="1" ht="30" hidden="1" x14ac:dyDescent="0.25">
      <c r="A6167" s="509"/>
      <c r="B6167" s="256"/>
      <c r="C6167" s="221"/>
      <c r="D6167" s="218"/>
      <c r="E6167" s="218"/>
      <c r="F6167" s="527">
        <v>485</v>
      </c>
      <c r="G6167" s="520" t="s">
        <v>4215</v>
      </c>
      <c r="H6167" s="594"/>
      <c r="I6167" s="595"/>
      <c r="J6167" s="595">
        <f t="shared" si="182"/>
        <v>0</v>
      </c>
      <c r="K6167" s="533"/>
      <c r="L6167" s="533"/>
      <c r="M6167" s="533"/>
      <c r="N6167" s="533"/>
      <c r="O6167" s="533"/>
      <c r="P6167" s="533"/>
      <c r="Q6167" s="533"/>
      <c r="R6167" s="533"/>
      <c r="S6167" s="533"/>
      <c r="T6167" s="533"/>
      <c r="U6167" s="533"/>
      <c r="V6167" s="533"/>
      <c r="W6167" s="533"/>
      <c r="X6167" s="533"/>
      <c r="Y6167" s="533"/>
    </row>
    <row r="6168" spans="1:25" s="88" customFormat="1" ht="30" hidden="1" x14ac:dyDescent="0.25">
      <c r="A6168" s="509"/>
      <c r="B6168" s="256"/>
      <c r="C6168" s="221"/>
      <c r="D6168" s="218"/>
      <c r="E6168" s="218"/>
      <c r="F6168" s="527">
        <v>489</v>
      </c>
      <c r="G6168" s="520" t="s">
        <v>3841</v>
      </c>
      <c r="H6168" s="594"/>
      <c r="I6168" s="595"/>
      <c r="J6168" s="595">
        <f t="shared" si="182"/>
        <v>0</v>
      </c>
      <c r="K6168" s="533"/>
      <c r="L6168" s="533"/>
      <c r="M6168" s="533"/>
      <c r="N6168" s="533"/>
      <c r="O6168" s="533"/>
      <c r="P6168" s="533"/>
      <c r="Q6168" s="533"/>
      <c r="R6168" s="533"/>
      <c r="S6168" s="533"/>
      <c r="T6168" s="533"/>
      <c r="U6168" s="533"/>
      <c r="V6168" s="533"/>
      <c r="W6168" s="533"/>
      <c r="X6168" s="533"/>
      <c r="Y6168" s="533"/>
    </row>
    <row r="6169" spans="1:25" s="88" customFormat="1" hidden="1" x14ac:dyDescent="0.25">
      <c r="A6169" s="509"/>
      <c r="B6169" s="256"/>
      <c r="C6169" s="221"/>
      <c r="D6169" s="218"/>
      <c r="E6169" s="218"/>
      <c r="F6169" s="527">
        <v>494</v>
      </c>
      <c r="G6169" s="520" t="s">
        <v>4193</v>
      </c>
      <c r="H6169" s="594"/>
      <c r="I6169" s="595"/>
      <c r="J6169" s="595">
        <f t="shared" si="182"/>
        <v>0</v>
      </c>
      <c r="K6169" s="533"/>
      <c r="L6169" s="533"/>
      <c r="M6169" s="533"/>
      <c r="N6169" s="533"/>
      <c r="O6169" s="533"/>
      <c r="P6169" s="533"/>
      <c r="Q6169" s="533"/>
      <c r="R6169" s="533"/>
      <c r="S6169" s="533"/>
      <c r="T6169" s="533"/>
      <c r="U6169" s="533"/>
      <c r="V6169" s="533"/>
      <c r="W6169" s="533"/>
      <c r="X6169" s="533"/>
      <c r="Y6169" s="533"/>
    </row>
    <row r="6170" spans="1:25" s="88" customFormat="1" ht="30" hidden="1" x14ac:dyDescent="0.25">
      <c r="A6170" s="509"/>
      <c r="B6170" s="256"/>
      <c r="C6170" s="221"/>
      <c r="D6170" s="218"/>
      <c r="E6170" s="218"/>
      <c r="F6170" s="527">
        <v>495</v>
      </c>
      <c r="G6170" s="520" t="s">
        <v>4194</v>
      </c>
      <c r="H6170" s="594"/>
      <c r="I6170" s="595"/>
      <c r="J6170" s="595">
        <f t="shared" si="182"/>
        <v>0</v>
      </c>
      <c r="K6170" s="533"/>
      <c r="L6170" s="533"/>
      <c r="M6170" s="533"/>
      <c r="N6170" s="533"/>
      <c r="O6170" s="533"/>
      <c r="P6170" s="533"/>
      <c r="Q6170" s="533"/>
      <c r="R6170" s="533"/>
      <c r="S6170" s="533"/>
      <c r="T6170" s="533"/>
      <c r="U6170" s="533"/>
      <c r="V6170" s="533"/>
      <c r="W6170" s="533"/>
      <c r="X6170" s="533"/>
      <c r="Y6170" s="533"/>
    </row>
    <row r="6171" spans="1:25" s="88" customFormat="1" ht="30" hidden="1" x14ac:dyDescent="0.25">
      <c r="A6171" s="509"/>
      <c r="B6171" s="256"/>
      <c r="C6171" s="221"/>
      <c r="D6171" s="218"/>
      <c r="E6171" s="218"/>
      <c r="F6171" s="527">
        <v>496</v>
      </c>
      <c r="G6171" s="520" t="s">
        <v>4195</v>
      </c>
      <c r="H6171" s="594"/>
      <c r="I6171" s="595"/>
      <c r="J6171" s="595">
        <f t="shared" si="182"/>
        <v>0</v>
      </c>
      <c r="K6171" s="533"/>
      <c r="L6171" s="533"/>
      <c r="M6171" s="533"/>
      <c r="N6171" s="533"/>
      <c r="O6171" s="533"/>
      <c r="P6171" s="533"/>
      <c r="Q6171" s="533"/>
      <c r="R6171" s="533"/>
      <c r="S6171" s="533"/>
      <c r="T6171" s="533"/>
      <c r="U6171" s="533"/>
      <c r="V6171" s="533"/>
      <c r="W6171" s="533"/>
      <c r="X6171" s="533"/>
      <c r="Y6171" s="533"/>
    </row>
    <row r="6172" spans="1:25" s="88" customFormat="1" hidden="1" x14ac:dyDescent="0.25">
      <c r="A6172" s="509"/>
      <c r="B6172" s="256"/>
      <c r="C6172" s="221"/>
      <c r="D6172" s="218"/>
      <c r="E6172" s="218"/>
      <c r="F6172" s="527">
        <v>499</v>
      </c>
      <c r="G6172" s="520" t="s">
        <v>4196</v>
      </c>
      <c r="H6172" s="594"/>
      <c r="I6172" s="595"/>
      <c r="J6172" s="595">
        <f t="shared" si="182"/>
        <v>0</v>
      </c>
      <c r="K6172" s="533"/>
      <c r="L6172" s="533"/>
      <c r="M6172" s="533"/>
      <c r="N6172" s="533"/>
      <c r="O6172" s="533"/>
      <c r="P6172" s="533"/>
      <c r="Q6172" s="533"/>
      <c r="R6172" s="533"/>
      <c r="S6172" s="533"/>
      <c r="T6172" s="533"/>
      <c r="U6172" s="533"/>
      <c r="V6172" s="533"/>
      <c r="W6172" s="533"/>
      <c r="X6172" s="533"/>
      <c r="Y6172" s="533"/>
    </row>
    <row r="6173" spans="1:25" s="88" customFormat="1" hidden="1" x14ac:dyDescent="0.25">
      <c r="A6173" s="509"/>
      <c r="B6173" s="256"/>
      <c r="C6173" s="221"/>
      <c r="D6173" s="218"/>
      <c r="E6173" s="218"/>
      <c r="F6173" s="527">
        <v>511</v>
      </c>
      <c r="G6173" s="524" t="s">
        <v>4216</v>
      </c>
      <c r="H6173" s="594"/>
      <c r="I6173" s="595"/>
      <c r="J6173" s="595">
        <f t="shared" si="182"/>
        <v>0</v>
      </c>
      <c r="K6173" s="533"/>
      <c r="L6173" s="533"/>
      <c r="M6173" s="533"/>
      <c r="N6173" s="533"/>
      <c r="O6173" s="533"/>
      <c r="P6173" s="533"/>
      <c r="Q6173" s="533"/>
      <c r="R6173" s="533"/>
      <c r="S6173" s="533"/>
      <c r="T6173" s="533"/>
      <c r="U6173" s="533"/>
      <c r="V6173" s="533"/>
      <c r="W6173" s="533"/>
      <c r="X6173" s="533"/>
      <c r="Y6173" s="533"/>
    </row>
    <row r="6174" spans="1:25" s="88" customFormat="1" ht="15.75" thickBot="1" x14ac:dyDescent="0.3">
      <c r="A6174" s="509"/>
      <c r="B6174" s="256"/>
      <c r="C6174" s="221"/>
      <c r="D6174" s="218"/>
      <c r="E6174" s="218">
        <v>67</v>
      </c>
      <c r="F6174" s="527">
        <v>512</v>
      </c>
      <c r="G6174" s="524" t="s">
        <v>4217</v>
      </c>
      <c r="H6174" s="594">
        <v>1610000</v>
      </c>
      <c r="I6174" s="595"/>
      <c r="J6174" s="595">
        <f t="shared" si="182"/>
        <v>1610000</v>
      </c>
      <c r="K6174" s="533"/>
      <c r="L6174" s="533"/>
      <c r="M6174" s="533"/>
      <c r="N6174" s="533"/>
      <c r="O6174" s="533"/>
      <c r="P6174" s="533"/>
      <c r="Q6174" s="533"/>
      <c r="R6174" s="533"/>
      <c r="S6174" s="533"/>
      <c r="T6174" s="533"/>
      <c r="U6174" s="533"/>
      <c r="V6174" s="533"/>
      <c r="W6174" s="533"/>
      <c r="X6174" s="533"/>
      <c r="Y6174" s="533"/>
    </row>
    <row r="6175" spans="1:25" s="88" customFormat="1" hidden="1" x14ac:dyDescent="0.25">
      <c r="A6175" s="509"/>
      <c r="B6175" s="256"/>
      <c r="C6175" s="221"/>
      <c r="D6175" s="218"/>
      <c r="E6175" s="218"/>
      <c r="F6175" s="527">
        <v>513</v>
      </c>
      <c r="G6175" s="524" t="s">
        <v>4218</v>
      </c>
      <c r="H6175" s="594"/>
      <c r="I6175" s="595"/>
      <c r="J6175" s="595">
        <f t="shared" si="182"/>
        <v>0</v>
      </c>
      <c r="K6175" s="533"/>
      <c r="L6175" s="533"/>
      <c r="M6175" s="533"/>
      <c r="N6175" s="533"/>
      <c r="O6175" s="533"/>
      <c r="P6175" s="533"/>
      <c r="Q6175" s="533"/>
      <c r="R6175" s="533"/>
      <c r="S6175" s="533"/>
      <c r="T6175" s="533"/>
      <c r="U6175" s="533"/>
      <c r="V6175" s="533"/>
      <c r="W6175" s="533"/>
      <c r="X6175" s="533"/>
      <c r="Y6175" s="533"/>
    </row>
    <row r="6176" spans="1:25" s="88" customFormat="1" hidden="1" x14ac:dyDescent="0.25">
      <c r="A6176" s="509"/>
      <c r="B6176" s="256"/>
      <c r="C6176" s="221"/>
      <c r="D6176" s="218"/>
      <c r="E6176" s="218"/>
      <c r="F6176" s="527">
        <v>514</v>
      </c>
      <c r="G6176" s="520" t="s">
        <v>4219</v>
      </c>
      <c r="H6176" s="594"/>
      <c r="I6176" s="595"/>
      <c r="J6176" s="595">
        <f t="shared" si="182"/>
        <v>0</v>
      </c>
      <c r="K6176" s="533"/>
      <c r="L6176" s="533"/>
      <c r="M6176" s="533"/>
      <c r="N6176" s="533"/>
      <c r="O6176" s="533"/>
      <c r="P6176" s="533"/>
      <c r="Q6176" s="533"/>
      <c r="R6176" s="533"/>
      <c r="S6176" s="533"/>
      <c r="T6176" s="533"/>
      <c r="U6176" s="533"/>
      <c r="V6176" s="533"/>
      <c r="W6176" s="533"/>
      <c r="X6176" s="533"/>
      <c r="Y6176" s="533"/>
    </row>
    <row r="6177" spans="1:25" s="88" customFormat="1" hidden="1" x14ac:dyDescent="0.25">
      <c r="A6177" s="509"/>
      <c r="B6177" s="256"/>
      <c r="C6177" s="221"/>
      <c r="D6177" s="218"/>
      <c r="E6177" s="218"/>
      <c r="F6177" s="527">
        <v>515</v>
      </c>
      <c r="G6177" s="520" t="s">
        <v>3852</v>
      </c>
      <c r="H6177" s="594"/>
      <c r="I6177" s="595"/>
      <c r="J6177" s="595">
        <f t="shared" si="182"/>
        <v>0</v>
      </c>
      <c r="K6177" s="533"/>
      <c r="L6177" s="533"/>
      <c r="M6177" s="533"/>
      <c r="N6177" s="533"/>
      <c r="O6177" s="533"/>
      <c r="P6177" s="533"/>
      <c r="Q6177" s="533"/>
      <c r="R6177" s="533"/>
      <c r="S6177" s="533"/>
      <c r="T6177" s="533"/>
      <c r="U6177" s="533"/>
      <c r="V6177" s="533"/>
      <c r="W6177" s="533"/>
      <c r="X6177" s="533"/>
      <c r="Y6177" s="533"/>
    </row>
    <row r="6178" spans="1:25" s="88" customFormat="1" hidden="1" x14ac:dyDescent="0.25">
      <c r="A6178" s="509"/>
      <c r="B6178" s="256"/>
      <c r="C6178" s="221"/>
      <c r="D6178" s="218"/>
      <c r="E6178" s="218"/>
      <c r="F6178" s="527">
        <v>521</v>
      </c>
      <c r="G6178" s="520" t="s">
        <v>4220</v>
      </c>
      <c r="H6178" s="594"/>
      <c r="I6178" s="595"/>
      <c r="J6178" s="595">
        <f t="shared" si="182"/>
        <v>0</v>
      </c>
      <c r="K6178" s="533"/>
      <c r="L6178" s="533"/>
      <c r="M6178" s="533"/>
      <c r="N6178" s="533"/>
      <c r="O6178" s="533"/>
      <c r="P6178" s="533"/>
      <c r="Q6178" s="533"/>
      <c r="R6178" s="533"/>
      <c r="S6178" s="533"/>
      <c r="T6178" s="533"/>
      <c r="U6178" s="533"/>
      <c r="V6178" s="533"/>
      <c r="W6178" s="533"/>
      <c r="X6178" s="533"/>
      <c r="Y6178" s="533"/>
    </row>
    <row r="6179" spans="1:25" s="88" customFormat="1" hidden="1" x14ac:dyDescent="0.25">
      <c r="A6179" s="509"/>
      <c r="B6179" s="256"/>
      <c r="C6179" s="221"/>
      <c r="D6179" s="218"/>
      <c r="E6179" s="218"/>
      <c r="F6179" s="527">
        <v>522</v>
      </c>
      <c r="G6179" s="520" t="s">
        <v>4221</v>
      </c>
      <c r="H6179" s="594"/>
      <c r="I6179" s="595"/>
      <c r="J6179" s="595">
        <f t="shared" si="182"/>
        <v>0</v>
      </c>
      <c r="K6179" s="533"/>
      <c r="L6179" s="533"/>
      <c r="M6179" s="533"/>
      <c r="N6179" s="533"/>
      <c r="O6179" s="533"/>
      <c r="P6179" s="533"/>
      <c r="Q6179" s="533"/>
      <c r="R6179" s="533"/>
      <c r="S6179" s="533"/>
      <c r="T6179" s="533"/>
      <c r="U6179" s="533"/>
      <c r="V6179" s="533"/>
      <c r="W6179" s="533"/>
      <c r="X6179" s="533"/>
      <c r="Y6179" s="533"/>
    </row>
    <row r="6180" spans="1:25" s="88" customFormat="1" hidden="1" x14ac:dyDescent="0.25">
      <c r="A6180" s="509"/>
      <c r="B6180" s="256"/>
      <c r="C6180" s="221"/>
      <c r="D6180" s="218"/>
      <c r="E6180" s="218"/>
      <c r="F6180" s="527">
        <v>523</v>
      </c>
      <c r="G6180" s="520" t="s">
        <v>3857</v>
      </c>
      <c r="H6180" s="594"/>
      <c r="I6180" s="595"/>
      <c r="J6180" s="595">
        <f t="shared" si="182"/>
        <v>0</v>
      </c>
      <c r="K6180" s="533"/>
      <c r="L6180" s="533"/>
      <c r="M6180" s="533"/>
      <c r="N6180" s="533"/>
      <c r="O6180" s="533"/>
      <c r="P6180" s="533"/>
      <c r="Q6180" s="533"/>
      <c r="R6180" s="533"/>
      <c r="S6180" s="533"/>
      <c r="T6180" s="533"/>
      <c r="U6180" s="533"/>
      <c r="V6180" s="533"/>
      <c r="W6180" s="533"/>
      <c r="X6180" s="533"/>
      <c r="Y6180" s="533"/>
    </row>
    <row r="6181" spans="1:25" s="88" customFormat="1" hidden="1" x14ac:dyDescent="0.25">
      <c r="A6181" s="509"/>
      <c r="B6181" s="256"/>
      <c r="C6181" s="221"/>
      <c r="D6181" s="218"/>
      <c r="E6181" s="218"/>
      <c r="F6181" s="527">
        <v>531</v>
      </c>
      <c r="G6181" s="516" t="s">
        <v>4197</v>
      </c>
      <c r="H6181" s="594"/>
      <c r="I6181" s="595"/>
      <c r="J6181" s="595">
        <f t="shared" si="182"/>
        <v>0</v>
      </c>
      <c r="K6181" s="533"/>
      <c r="L6181" s="533"/>
      <c r="M6181" s="533"/>
      <c r="N6181" s="533"/>
      <c r="O6181" s="533"/>
      <c r="P6181" s="533"/>
      <c r="Q6181" s="533"/>
      <c r="R6181" s="533"/>
      <c r="S6181" s="533"/>
      <c r="T6181" s="533"/>
      <c r="U6181" s="533"/>
      <c r="V6181" s="533"/>
      <c r="W6181" s="533"/>
      <c r="X6181" s="533"/>
      <c r="Y6181" s="533"/>
    </row>
    <row r="6182" spans="1:25" s="88" customFormat="1" hidden="1" x14ac:dyDescent="0.25">
      <c r="A6182" s="509"/>
      <c r="B6182" s="256"/>
      <c r="C6182" s="221"/>
      <c r="D6182" s="218"/>
      <c r="E6182" s="218"/>
      <c r="F6182" s="527">
        <v>541</v>
      </c>
      <c r="G6182" s="520" t="s">
        <v>4222</v>
      </c>
      <c r="H6182" s="594"/>
      <c r="I6182" s="595"/>
      <c r="J6182" s="595">
        <f t="shared" si="182"/>
        <v>0</v>
      </c>
      <c r="K6182" s="533"/>
      <c r="L6182" s="533"/>
      <c r="M6182" s="533"/>
      <c r="N6182" s="533"/>
      <c r="O6182" s="533"/>
      <c r="P6182" s="533"/>
      <c r="Q6182" s="533"/>
      <c r="R6182" s="533"/>
      <c r="S6182" s="533"/>
      <c r="T6182" s="533"/>
      <c r="U6182" s="533"/>
      <c r="V6182" s="533"/>
      <c r="W6182" s="533"/>
      <c r="X6182" s="533"/>
      <c r="Y6182" s="533"/>
    </row>
    <row r="6183" spans="1:25" s="88" customFormat="1" hidden="1" x14ac:dyDescent="0.25">
      <c r="A6183" s="509"/>
      <c r="B6183" s="256"/>
      <c r="C6183" s="221"/>
      <c r="D6183" s="218"/>
      <c r="E6183" s="218"/>
      <c r="F6183" s="527">
        <v>542</v>
      </c>
      <c r="G6183" s="520" t="s">
        <v>4223</v>
      </c>
      <c r="H6183" s="594"/>
      <c r="I6183" s="595"/>
      <c r="J6183" s="595">
        <f t="shared" si="182"/>
        <v>0</v>
      </c>
      <c r="K6183" s="533"/>
      <c r="L6183" s="533"/>
      <c r="M6183" s="533"/>
      <c r="N6183" s="533"/>
      <c r="O6183" s="533"/>
      <c r="P6183" s="533"/>
      <c r="Q6183" s="533"/>
      <c r="R6183" s="533"/>
      <c r="S6183" s="533"/>
      <c r="T6183" s="533"/>
      <c r="U6183" s="533"/>
      <c r="V6183" s="533"/>
      <c r="W6183" s="533"/>
      <c r="X6183" s="533"/>
      <c r="Y6183" s="533"/>
    </row>
    <row r="6184" spans="1:25" s="88" customFormat="1" hidden="1" x14ac:dyDescent="0.25">
      <c r="A6184" s="509"/>
      <c r="B6184" s="256"/>
      <c r="C6184" s="221"/>
      <c r="D6184" s="218"/>
      <c r="E6184" s="218"/>
      <c r="F6184" s="527">
        <v>543</v>
      </c>
      <c r="G6184" s="520" t="s">
        <v>3862</v>
      </c>
      <c r="H6184" s="594"/>
      <c r="I6184" s="595"/>
      <c r="J6184" s="595">
        <f t="shared" si="182"/>
        <v>0</v>
      </c>
      <c r="K6184" s="533"/>
      <c r="L6184" s="533"/>
      <c r="M6184" s="533"/>
      <c r="N6184" s="533"/>
      <c r="O6184" s="533"/>
      <c r="P6184" s="533"/>
      <c r="Q6184" s="533"/>
      <c r="R6184" s="533"/>
      <c r="S6184" s="533"/>
      <c r="T6184" s="533"/>
      <c r="U6184" s="533"/>
      <c r="V6184" s="533"/>
      <c r="W6184" s="533"/>
      <c r="X6184" s="533"/>
      <c r="Y6184" s="533"/>
    </row>
    <row r="6185" spans="1:25" s="88" customFormat="1" ht="30" hidden="1" x14ac:dyDescent="0.25">
      <c r="A6185" s="509"/>
      <c r="B6185" s="256"/>
      <c r="C6185" s="221"/>
      <c r="D6185" s="218"/>
      <c r="E6185" s="218"/>
      <c r="F6185" s="527">
        <v>551</v>
      </c>
      <c r="G6185" s="520" t="s">
        <v>4198</v>
      </c>
      <c r="H6185" s="594"/>
      <c r="I6185" s="595"/>
      <c r="J6185" s="595">
        <f t="shared" si="182"/>
        <v>0</v>
      </c>
      <c r="K6185" s="533"/>
      <c r="L6185" s="533"/>
      <c r="M6185" s="533"/>
      <c r="N6185" s="533"/>
      <c r="O6185" s="533"/>
      <c r="P6185" s="533"/>
      <c r="Q6185" s="533"/>
      <c r="R6185" s="533"/>
      <c r="S6185" s="533"/>
      <c r="T6185" s="533"/>
      <c r="U6185" s="533"/>
      <c r="V6185" s="533"/>
      <c r="W6185" s="533"/>
      <c r="X6185" s="533"/>
      <c r="Y6185" s="533"/>
    </row>
    <row r="6186" spans="1:25" s="88" customFormat="1" hidden="1" x14ac:dyDescent="0.25">
      <c r="A6186" s="509"/>
      <c r="B6186" s="256"/>
      <c r="C6186" s="221"/>
      <c r="D6186" s="218"/>
      <c r="E6186" s="218"/>
      <c r="F6186" s="528">
        <v>611</v>
      </c>
      <c r="G6186" s="526" t="s">
        <v>3868</v>
      </c>
      <c r="H6186" s="594"/>
      <c r="I6186" s="595"/>
      <c r="J6186" s="595">
        <f t="shared" si="182"/>
        <v>0</v>
      </c>
      <c r="K6186" s="533"/>
      <c r="L6186" s="533"/>
      <c r="M6186" s="533"/>
      <c r="N6186" s="533"/>
      <c r="O6186" s="533"/>
      <c r="P6186" s="533"/>
      <c r="Q6186" s="533"/>
      <c r="R6186" s="533"/>
      <c r="S6186" s="533"/>
      <c r="T6186" s="533"/>
      <c r="U6186" s="533"/>
      <c r="V6186" s="533"/>
      <c r="W6186" s="533"/>
      <c r="X6186" s="533"/>
      <c r="Y6186" s="533"/>
    </row>
    <row r="6187" spans="1:25" s="88" customFormat="1" ht="15.75" hidden="1" thickBot="1" x14ac:dyDescent="0.3">
      <c r="A6187" s="509"/>
      <c r="B6187" s="256"/>
      <c r="C6187" s="221"/>
      <c r="D6187" s="218"/>
      <c r="E6187" s="218"/>
      <c r="F6187" s="528">
        <v>620</v>
      </c>
      <c r="G6187" s="526" t="s">
        <v>88</v>
      </c>
      <c r="H6187" s="594"/>
      <c r="I6187" s="595"/>
      <c r="J6187" s="595">
        <f t="shared" si="182"/>
        <v>0</v>
      </c>
      <c r="K6187" s="533"/>
      <c r="L6187" s="533"/>
      <c r="M6187" s="533"/>
      <c r="N6187" s="533"/>
      <c r="O6187" s="533"/>
      <c r="P6187" s="533"/>
      <c r="Q6187" s="533"/>
      <c r="R6187" s="533"/>
      <c r="S6187" s="533"/>
      <c r="T6187" s="533"/>
      <c r="U6187" s="533"/>
      <c r="V6187" s="533"/>
      <c r="W6187" s="533"/>
      <c r="X6187" s="533"/>
      <c r="Y6187" s="533"/>
    </row>
    <row r="6188" spans="1:25" s="88" customFormat="1" x14ac:dyDescent="0.25">
      <c r="A6188" s="509"/>
      <c r="B6188" s="256"/>
      <c r="C6188" s="221"/>
      <c r="D6188" s="218"/>
      <c r="E6188" s="517"/>
      <c r="F6188" s="528"/>
      <c r="G6188" s="327" t="s">
        <v>5160</v>
      </c>
      <c r="H6188" s="596"/>
      <c r="I6188" s="622"/>
      <c r="J6188" s="597"/>
      <c r="K6188" s="533"/>
      <c r="L6188" s="533"/>
      <c r="M6188" s="533"/>
      <c r="N6188" s="533"/>
      <c r="O6188" s="533"/>
      <c r="P6188" s="533"/>
      <c r="Q6188" s="533"/>
      <c r="R6188" s="533"/>
      <c r="S6188" s="533"/>
      <c r="T6188" s="533"/>
      <c r="U6188" s="533"/>
      <c r="V6188" s="533"/>
      <c r="W6188" s="533"/>
      <c r="X6188" s="533"/>
      <c r="Y6188" s="533"/>
    </row>
    <row r="6189" spans="1:25" s="88" customFormat="1" ht="15.75" thickBot="1" x14ac:dyDescent="0.3">
      <c r="A6189" s="509"/>
      <c r="B6189" s="256"/>
      <c r="C6189" s="221"/>
      <c r="D6189" s="218"/>
      <c r="E6189" s="222"/>
      <c r="F6189" s="642" t="s">
        <v>234</v>
      </c>
      <c r="G6189" s="643" t="s">
        <v>235</v>
      </c>
      <c r="H6189" s="598">
        <f>SUM(H6128:H6187)</f>
        <v>2300000</v>
      </c>
      <c r="I6189" s="599"/>
      <c r="J6189" s="599">
        <f t="shared" ref="J6189:J6204" si="183">SUM(H6189:I6189)</f>
        <v>2300000</v>
      </c>
      <c r="K6189" s="533"/>
      <c r="L6189" s="533"/>
      <c r="M6189" s="533"/>
      <c r="N6189" s="533"/>
      <c r="O6189" s="533"/>
      <c r="P6189" s="533"/>
      <c r="Q6189" s="533"/>
      <c r="R6189" s="533"/>
      <c r="S6189" s="533"/>
      <c r="T6189" s="533"/>
      <c r="U6189" s="533"/>
      <c r="V6189" s="533"/>
      <c r="W6189" s="533"/>
      <c r="X6189" s="533"/>
      <c r="Y6189" s="533"/>
    </row>
    <row r="6190" spans="1:25" s="88" customFormat="1" hidden="1" x14ac:dyDescent="0.25">
      <c r="A6190" s="509"/>
      <c r="B6190" s="256"/>
      <c r="C6190" s="221"/>
      <c r="D6190" s="218"/>
      <c r="E6190" s="218"/>
      <c r="F6190" s="642" t="s">
        <v>236</v>
      </c>
      <c r="G6190" s="643" t="s">
        <v>237</v>
      </c>
      <c r="H6190" s="594"/>
      <c r="I6190" s="595"/>
      <c r="J6190" s="599">
        <f t="shared" si="183"/>
        <v>0</v>
      </c>
      <c r="K6190" s="533"/>
      <c r="L6190" s="533"/>
      <c r="M6190" s="533"/>
      <c r="N6190" s="533"/>
      <c r="O6190" s="533"/>
      <c r="P6190" s="533"/>
      <c r="Q6190" s="533"/>
      <c r="R6190" s="533"/>
      <c r="S6190" s="533"/>
      <c r="T6190" s="533"/>
      <c r="U6190" s="533"/>
      <c r="V6190" s="533"/>
      <c r="W6190" s="533"/>
      <c r="X6190" s="533"/>
      <c r="Y6190" s="533"/>
    </row>
    <row r="6191" spans="1:25" s="88" customFormat="1" hidden="1" x14ac:dyDescent="0.25">
      <c r="A6191" s="509"/>
      <c r="B6191" s="256"/>
      <c r="C6191" s="221"/>
      <c r="D6191" s="218"/>
      <c r="E6191" s="218"/>
      <c r="F6191" s="642" t="s">
        <v>238</v>
      </c>
      <c r="G6191" s="643" t="s">
        <v>239</v>
      </c>
      <c r="H6191" s="594"/>
      <c r="I6191" s="595"/>
      <c r="J6191" s="599">
        <f t="shared" si="183"/>
        <v>0</v>
      </c>
      <c r="K6191" s="533"/>
      <c r="L6191" s="533"/>
      <c r="M6191" s="533"/>
      <c r="N6191" s="533"/>
      <c r="O6191" s="533"/>
      <c r="P6191" s="533"/>
      <c r="Q6191" s="533"/>
      <c r="R6191" s="533"/>
      <c r="S6191" s="533"/>
      <c r="T6191" s="533"/>
      <c r="U6191" s="533"/>
      <c r="V6191" s="533"/>
      <c r="W6191" s="533"/>
      <c r="X6191" s="533"/>
      <c r="Y6191" s="533"/>
    </row>
    <row r="6192" spans="1:25" s="88" customFormat="1" hidden="1" x14ac:dyDescent="0.25">
      <c r="A6192" s="509"/>
      <c r="B6192" s="256"/>
      <c r="C6192" s="221"/>
      <c r="D6192" s="218"/>
      <c r="E6192" s="218"/>
      <c r="F6192" s="642" t="s">
        <v>240</v>
      </c>
      <c r="G6192" s="643" t="s">
        <v>241</v>
      </c>
      <c r="H6192" s="594"/>
      <c r="I6192" s="595"/>
      <c r="J6192" s="599">
        <f t="shared" si="183"/>
        <v>0</v>
      </c>
      <c r="K6192" s="533"/>
      <c r="L6192" s="533"/>
      <c r="M6192" s="533"/>
      <c r="N6192" s="533"/>
      <c r="O6192" s="533"/>
      <c r="P6192" s="533"/>
      <c r="Q6192" s="533"/>
      <c r="R6192" s="533"/>
      <c r="S6192" s="533"/>
      <c r="T6192" s="533"/>
      <c r="U6192" s="533"/>
      <c r="V6192" s="533"/>
      <c r="W6192" s="533"/>
      <c r="X6192" s="533"/>
      <c r="Y6192" s="533"/>
    </row>
    <row r="6193" spans="1:25" s="88" customFormat="1" hidden="1" x14ac:dyDescent="0.25">
      <c r="A6193" s="509"/>
      <c r="B6193" s="256"/>
      <c r="C6193" s="221"/>
      <c r="D6193" s="218"/>
      <c r="E6193" s="218"/>
      <c r="F6193" s="642" t="s">
        <v>242</v>
      </c>
      <c r="G6193" s="643" t="s">
        <v>243</v>
      </c>
      <c r="H6193" s="594"/>
      <c r="I6193" s="595"/>
      <c r="J6193" s="599">
        <f t="shared" si="183"/>
        <v>0</v>
      </c>
      <c r="K6193" s="533"/>
      <c r="L6193" s="533"/>
      <c r="M6193" s="533"/>
      <c r="N6193" s="533"/>
      <c r="O6193" s="533"/>
      <c r="P6193" s="533"/>
      <c r="Q6193" s="533"/>
      <c r="R6193" s="533"/>
      <c r="S6193" s="533"/>
      <c r="T6193" s="533"/>
      <c r="U6193" s="533"/>
      <c r="V6193" s="533"/>
      <c r="W6193" s="533"/>
      <c r="X6193" s="533"/>
      <c r="Y6193" s="533"/>
    </row>
    <row r="6194" spans="1:25" s="88" customFormat="1" hidden="1" x14ac:dyDescent="0.25">
      <c r="A6194" s="509"/>
      <c r="B6194" s="256"/>
      <c r="C6194" s="221"/>
      <c r="D6194" s="218"/>
      <c r="E6194" s="218"/>
      <c r="F6194" s="642" t="s">
        <v>244</v>
      </c>
      <c r="G6194" s="643" t="s">
        <v>245</v>
      </c>
      <c r="H6194" s="594"/>
      <c r="I6194" s="595"/>
      <c r="J6194" s="599">
        <f t="shared" si="183"/>
        <v>0</v>
      </c>
      <c r="K6194" s="533"/>
      <c r="L6194" s="533"/>
      <c r="M6194" s="533"/>
      <c r="N6194" s="533"/>
      <c r="O6194" s="533"/>
      <c r="P6194" s="533"/>
      <c r="Q6194" s="533"/>
      <c r="R6194" s="533"/>
      <c r="S6194" s="533"/>
      <c r="T6194" s="533"/>
      <c r="U6194" s="533"/>
      <c r="V6194" s="533"/>
      <c r="W6194" s="533"/>
      <c r="X6194" s="533"/>
      <c r="Y6194" s="533"/>
    </row>
    <row r="6195" spans="1:25" s="88" customFormat="1" hidden="1" x14ac:dyDescent="0.25">
      <c r="A6195" s="509"/>
      <c r="B6195" s="256"/>
      <c r="C6195" s="221"/>
      <c r="D6195" s="218"/>
      <c r="E6195" s="218"/>
      <c r="F6195" s="642" t="s">
        <v>246</v>
      </c>
      <c r="G6195" s="643" t="s">
        <v>247</v>
      </c>
      <c r="H6195" s="594"/>
      <c r="I6195" s="595"/>
      <c r="J6195" s="599">
        <f t="shared" si="183"/>
        <v>0</v>
      </c>
      <c r="K6195" s="533"/>
      <c r="L6195" s="533"/>
      <c r="M6195" s="533"/>
      <c r="N6195" s="533"/>
      <c r="O6195" s="533"/>
      <c r="P6195" s="533"/>
      <c r="Q6195" s="533"/>
      <c r="R6195" s="533"/>
      <c r="S6195" s="533"/>
      <c r="T6195" s="533"/>
      <c r="U6195" s="533"/>
      <c r="V6195" s="533"/>
      <c r="W6195" s="533"/>
      <c r="X6195" s="533"/>
      <c r="Y6195" s="533"/>
    </row>
    <row r="6196" spans="1:25" s="88" customFormat="1" hidden="1" x14ac:dyDescent="0.25">
      <c r="A6196" s="509"/>
      <c r="B6196" s="256"/>
      <c r="C6196" s="221"/>
      <c r="D6196" s="218"/>
      <c r="E6196" s="218"/>
      <c r="F6196" s="642" t="s">
        <v>248</v>
      </c>
      <c r="G6196" s="643" t="s">
        <v>249</v>
      </c>
      <c r="H6196" s="594"/>
      <c r="I6196" s="595"/>
      <c r="J6196" s="599">
        <f t="shared" si="183"/>
        <v>0</v>
      </c>
      <c r="K6196" s="533"/>
      <c r="L6196" s="533"/>
      <c r="M6196" s="533"/>
      <c r="N6196" s="533"/>
      <c r="O6196" s="533"/>
      <c r="P6196" s="533"/>
      <c r="Q6196" s="533"/>
      <c r="R6196" s="533"/>
      <c r="S6196" s="533"/>
      <c r="T6196" s="533"/>
      <c r="U6196" s="533"/>
      <c r="V6196" s="533"/>
      <c r="W6196" s="533"/>
      <c r="X6196" s="533"/>
      <c r="Y6196" s="533"/>
    </row>
    <row r="6197" spans="1:25" hidden="1" x14ac:dyDescent="0.25">
      <c r="F6197" s="642" t="s">
        <v>250</v>
      </c>
      <c r="G6197" s="643" t="s">
        <v>57</v>
      </c>
      <c r="J6197" s="599">
        <f t="shared" si="183"/>
        <v>0</v>
      </c>
    </row>
    <row r="6198" spans="1:25" hidden="1" x14ac:dyDescent="0.25">
      <c r="F6198" s="642" t="s">
        <v>251</v>
      </c>
      <c r="G6198" s="643" t="s">
        <v>252</v>
      </c>
      <c r="J6198" s="599">
        <f t="shared" si="183"/>
        <v>0</v>
      </c>
    </row>
    <row r="6199" spans="1:25" hidden="1" x14ac:dyDescent="0.25">
      <c r="F6199" s="642" t="s">
        <v>253</v>
      </c>
      <c r="G6199" s="643" t="s">
        <v>254</v>
      </c>
      <c r="J6199" s="599">
        <f t="shared" si="183"/>
        <v>0</v>
      </c>
    </row>
    <row r="6200" spans="1:25" ht="30" hidden="1" x14ac:dyDescent="0.25">
      <c r="F6200" s="642" t="s">
        <v>255</v>
      </c>
      <c r="G6200" s="643" t="s">
        <v>256</v>
      </c>
      <c r="J6200" s="599">
        <f t="shared" si="183"/>
        <v>0</v>
      </c>
    </row>
    <row r="6201" spans="1:25" hidden="1" x14ac:dyDescent="0.25">
      <c r="F6201" s="642" t="s">
        <v>257</v>
      </c>
      <c r="G6201" s="643" t="s">
        <v>258</v>
      </c>
      <c r="J6201" s="599">
        <f t="shared" si="183"/>
        <v>0</v>
      </c>
    </row>
    <row r="6202" spans="1:25" ht="30" hidden="1" x14ac:dyDescent="0.25">
      <c r="F6202" s="642" t="s">
        <v>259</v>
      </c>
      <c r="G6202" s="643" t="s">
        <v>260</v>
      </c>
      <c r="J6202" s="599">
        <f t="shared" si="183"/>
        <v>0</v>
      </c>
    </row>
    <row r="6203" spans="1:25" hidden="1" x14ac:dyDescent="0.25">
      <c r="F6203" s="642" t="s">
        <v>261</v>
      </c>
      <c r="G6203" s="643" t="s">
        <v>262</v>
      </c>
      <c r="J6203" s="599">
        <f t="shared" si="183"/>
        <v>0</v>
      </c>
    </row>
    <row r="6204" spans="1:25" ht="15.75" hidden="1" thickBot="1" x14ac:dyDescent="0.3">
      <c r="F6204" s="642" t="s">
        <v>263</v>
      </c>
      <c r="G6204" s="643" t="s">
        <v>264</v>
      </c>
      <c r="H6204" s="598"/>
      <c r="I6204" s="599"/>
      <c r="J6204" s="599">
        <f t="shared" si="183"/>
        <v>0</v>
      </c>
    </row>
    <row r="6205" spans="1:25" ht="15.75" thickBot="1" x14ac:dyDescent="0.3">
      <c r="G6205" s="229" t="s">
        <v>5162</v>
      </c>
      <c r="H6205" s="600">
        <f>SUM(H6189:H6204)</f>
        <v>2300000</v>
      </c>
      <c r="I6205" s="601">
        <f>SUM(I6190:I6204)</f>
        <v>0</v>
      </c>
      <c r="J6205" s="601">
        <f>SUM(J6189:J6204)</f>
        <v>2300000</v>
      </c>
    </row>
    <row r="6206" spans="1:25" ht="28.5" hidden="1" x14ac:dyDescent="0.25">
      <c r="E6206" s="517"/>
      <c r="F6206" s="528"/>
      <c r="G6206" s="231" t="s">
        <v>4299</v>
      </c>
      <c r="H6206" s="602"/>
      <c r="I6206" s="623"/>
      <c r="J6206" s="603"/>
    </row>
    <row r="6207" spans="1:25" ht="14.25" customHeight="1" thickBot="1" x14ac:dyDescent="0.3">
      <c r="E6207" s="222"/>
      <c r="F6207" s="642" t="s">
        <v>234</v>
      </c>
      <c r="G6207" s="643" t="s">
        <v>235</v>
      </c>
      <c r="H6207" s="598">
        <f>SUM(H6128:H6187)</f>
        <v>2300000</v>
      </c>
      <c r="I6207" s="599"/>
      <c r="J6207" s="599">
        <f>SUM(H6207:I6207)</f>
        <v>2300000</v>
      </c>
    </row>
    <row r="6208" spans="1:25" hidden="1" x14ac:dyDescent="0.25">
      <c r="F6208" s="642" t="s">
        <v>236</v>
      </c>
      <c r="G6208" s="643" t="s">
        <v>237</v>
      </c>
      <c r="J6208" s="599">
        <f t="shared" ref="J6208:J6222" si="184">SUM(H6208:I6208)</f>
        <v>0</v>
      </c>
    </row>
    <row r="6209" spans="6:10" hidden="1" x14ac:dyDescent="0.25">
      <c r="F6209" s="642" t="s">
        <v>238</v>
      </c>
      <c r="G6209" s="643" t="s">
        <v>239</v>
      </c>
      <c r="J6209" s="599">
        <f t="shared" si="184"/>
        <v>0</v>
      </c>
    </row>
    <row r="6210" spans="6:10" hidden="1" x14ac:dyDescent="0.25">
      <c r="F6210" s="642" t="s">
        <v>240</v>
      </c>
      <c r="G6210" s="643" t="s">
        <v>241</v>
      </c>
      <c r="J6210" s="599">
        <f t="shared" si="184"/>
        <v>0</v>
      </c>
    </row>
    <row r="6211" spans="6:10" hidden="1" x14ac:dyDescent="0.25">
      <c r="F6211" s="642" t="s">
        <v>242</v>
      </c>
      <c r="G6211" s="643" t="s">
        <v>243</v>
      </c>
      <c r="J6211" s="599">
        <f t="shared" si="184"/>
        <v>0</v>
      </c>
    </row>
    <row r="6212" spans="6:10" hidden="1" x14ac:dyDescent="0.25">
      <c r="F6212" s="642" t="s">
        <v>244</v>
      </c>
      <c r="G6212" s="643" t="s">
        <v>245</v>
      </c>
      <c r="J6212" s="599">
        <f t="shared" si="184"/>
        <v>0</v>
      </c>
    </row>
    <row r="6213" spans="6:10" hidden="1" x14ac:dyDescent="0.25">
      <c r="F6213" s="642" t="s">
        <v>246</v>
      </c>
      <c r="G6213" s="643" t="s">
        <v>247</v>
      </c>
      <c r="J6213" s="599">
        <f t="shared" si="184"/>
        <v>0</v>
      </c>
    </row>
    <row r="6214" spans="6:10" hidden="1" x14ac:dyDescent="0.25">
      <c r="F6214" s="642" t="s">
        <v>248</v>
      </c>
      <c r="G6214" s="643" t="s">
        <v>249</v>
      </c>
      <c r="J6214" s="599">
        <f t="shared" si="184"/>
        <v>0</v>
      </c>
    </row>
    <row r="6215" spans="6:10" hidden="1" x14ac:dyDescent="0.25">
      <c r="F6215" s="642" t="s">
        <v>250</v>
      </c>
      <c r="G6215" s="643" t="s">
        <v>57</v>
      </c>
      <c r="J6215" s="599">
        <f t="shared" si="184"/>
        <v>0</v>
      </c>
    </row>
    <row r="6216" spans="6:10" hidden="1" x14ac:dyDescent="0.25">
      <c r="F6216" s="642" t="s">
        <v>251</v>
      </c>
      <c r="G6216" s="643" t="s">
        <v>252</v>
      </c>
      <c r="J6216" s="599">
        <f t="shared" si="184"/>
        <v>0</v>
      </c>
    </row>
    <row r="6217" spans="6:10" hidden="1" x14ac:dyDescent="0.25">
      <c r="F6217" s="642" t="s">
        <v>253</v>
      </c>
      <c r="G6217" s="643" t="s">
        <v>254</v>
      </c>
      <c r="J6217" s="599">
        <f t="shared" si="184"/>
        <v>0</v>
      </c>
    </row>
    <row r="6218" spans="6:10" ht="30" hidden="1" x14ac:dyDescent="0.25">
      <c r="F6218" s="642" t="s">
        <v>255</v>
      </c>
      <c r="G6218" s="643" t="s">
        <v>256</v>
      </c>
      <c r="J6218" s="599">
        <f t="shared" si="184"/>
        <v>0</v>
      </c>
    </row>
    <row r="6219" spans="6:10" hidden="1" x14ac:dyDescent="0.25">
      <c r="F6219" s="642" t="s">
        <v>257</v>
      </c>
      <c r="G6219" s="643" t="s">
        <v>258</v>
      </c>
      <c r="J6219" s="599">
        <f t="shared" si="184"/>
        <v>0</v>
      </c>
    </row>
    <row r="6220" spans="6:10" ht="30" hidden="1" x14ac:dyDescent="0.25">
      <c r="F6220" s="642" t="s">
        <v>259</v>
      </c>
      <c r="G6220" s="643" t="s">
        <v>260</v>
      </c>
      <c r="J6220" s="599">
        <f t="shared" si="184"/>
        <v>0</v>
      </c>
    </row>
    <row r="6221" spans="6:10" hidden="1" x14ac:dyDescent="0.25">
      <c r="F6221" s="642" t="s">
        <v>261</v>
      </c>
      <c r="G6221" s="643" t="s">
        <v>262</v>
      </c>
      <c r="J6221" s="599">
        <f t="shared" si="184"/>
        <v>0</v>
      </c>
    </row>
    <row r="6222" spans="6:10" ht="15.75" hidden="1" thickBot="1" x14ac:dyDescent="0.3">
      <c r="F6222" s="642" t="s">
        <v>263</v>
      </c>
      <c r="G6222" s="643" t="s">
        <v>264</v>
      </c>
      <c r="H6222" s="598"/>
      <c r="I6222" s="599"/>
      <c r="J6222" s="599">
        <f t="shared" si="184"/>
        <v>0</v>
      </c>
    </row>
    <row r="6223" spans="6:10" ht="15.75" thickBot="1" x14ac:dyDescent="0.3">
      <c r="G6223" s="229" t="s">
        <v>4351</v>
      </c>
      <c r="H6223" s="600">
        <f>SUM(H6207:H6222)</f>
        <v>2300000</v>
      </c>
      <c r="I6223" s="601">
        <f>SUM(I6208:I6222)</f>
        <v>0</v>
      </c>
      <c r="J6223" s="601">
        <f>SUM(J6207:J6222)</f>
        <v>2300000</v>
      </c>
    </row>
    <row r="6224" spans="6:10" hidden="1" x14ac:dyDescent="0.25"/>
    <row r="6225" spans="5:10" x14ac:dyDescent="0.25">
      <c r="E6225" s="517"/>
      <c r="F6225" s="528"/>
      <c r="G6225" s="250" t="s">
        <v>4269</v>
      </c>
      <c r="H6225" s="606"/>
      <c r="I6225" s="624"/>
      <c r="J6225" s="607"/>
    </row>
    <row r="6226" spans="5:10" ht="15.75" thickBot="1" x14ac:dyDescent="0.3">
      <c r="E6226" s="222"/>
      <c r="F6226" s="642" t="s">
        <v>234</v>
      </c>
      <c r="G6226" s="643" t="s">
        <v>235</v>
      </c>
      <c r="H6226" s="598">
        <f>SUM(H6207)</f>
        <v>2300000</v>
      </c>
      <c r="I6226" s="599"/>
      <c r="J6226" s="599">
        <f>SUM(H6226:I6226)</f>
        <v>2300000</v>
      </c>
    </row>
    <row r="6227" spans="5:10" hidden="1" x14ac:dyDescent="0.25">
      <c r="F6227" s="642" t="s">
        <v>236</v>
      </c>
      <c r="G6227" s="643" t="s">
        <v>237</v>
      </c>
      <c r="J6227" s="599">
        <f t="shared" ref="J6227:J6241" si="185">SUM(H6227:I6227)</f>
        <v>0</v>
      </c>
    </row>
    <row r="6228" spans="5:10" hidden="1" x14ac:dyDescent="0.25">
      <c r="F6228" s="642" t="s">
        <v>238</v>
      </c>
      <c r="G6228" s="643" t="s">
        <v>239</v>
      </c>
      <c r="J6228" s="599">
        <f t="shared" si="185"/>
        <v>0</v>
      </c>
    </row>
    <row r="6229" spans="5:10" hidden="1" x14ac:dyDescent="0.25">
      <c r="F6229" s="642" t="s">
        <v>240</v>
      </c>
      <c r="G6229" s="643" t="s">
        <v>241</v>
      </c>
      <c r="J6229" s="599">
        <f t="shared" si="185"/>
        <v>0</v>
      </c>
    </row>
    <row r="6230" spans="5:10" hidden="1" x14ac:dyDescent="0.25">
      <c r="F6230" s="642" t="s">
        <v>242</v>
      </c>
      <c r="G6230" s="643" t="s">
        <v>243</v>
      </c>
      <c r="J6230" s="599">
        <f t="shared" si="185"/>
        <v>0</v>
      </c>
    </row>
    <row r="6231" spans="5:10" hidden="1" x14ac:dyDescent="0.25">
      <c r="F6231" s="642" t="s">
        <v>244</v>
      </c>
      <c r="G6231" s="643" t="s">
        <v>245</v>
      </c>
      <c r="J6231" s="599">
        <f t="shared" si="185"/>
        <v>0</v>
      </c>
    </row>
    <row r="6232" spans="5:10" hidden="1" x14ac:dyDescent="0.25">
      <c r="F6232" s="642" t="s">
        <v>246</v>
      </c>
      <c r="G6232" s="643" t="s">
        <v>247</v>
      </c>
      <c r="J6232" s="599">
        <f t="shared" si="185"/>
        <v>0</v>
      </c>
    </row>
    <row r="6233" spans="5:10" hidden="1" x14ac:dyDescent="0.25">
      <c r="F6233" s="642" t="s">
        <v>248</v>
      </c>
      <c r="G6233" s="643" t="s">
        <v>249</v>
      </c>
      <c r="J6233" s="599">
        <f t="shared" si="185"/>
        <v>0</v>
      </c>
    </row>
    <row r="6234" spans="5:10" hidden="1" x14ac:dyDescent="0.25">
      <c r="F6234" s="642" t="s">
        <v>250</v>
      </c>
      <c r="G6234" s="643" t="s">
        <v>57</v>
      </c>
      <c r="J6234" s="599">
        <f t="shared" si="185"/>
        <v>0</v>
      </c>
    </row>
    <row r="6235" spans="5:10" hidden="1" x14ac:dyDescent="0.25">
      <c r="F6235" s="642" t="s">
        <v>251</v>
      </c>
      <c r="G6235" s="643" t="s">
        <v>252</v>
      </c>
      <c r="J6235" s="599">
        <f t="shared" si="185"/>
        <v>0</v>
      </c>
    </row>
    <row r="6236" spans="5:10" hidden="1" x14ac:dyDescent="0.25">
      <c r="F6236" s="642" t="s">
        <v>253</v>
      </c>
      <c r="G6236" s="643" t="s">
        <v>254</v>
      </c>
      <c r="J6236" s="599">
        <f t="shared" si="185"/>
        <v>0</v>
      </c>
    </row>
    <row r="6237" spans="5:10" ht="30" hidden="1" x14ac:dyDescent="0.25">
      <c r="F6237" s="642" t="s">
        <v>255</v>
      </c>
      <c r="G6237" s="643" t="s">
        <v>256</v>
      </c>
      <c r="J6237" s="599">
        <f t="shared" si="185"/>
        <v>0</v>
      </c>
    </row>
    <row r="6238" spans="5:10" hidden="1" x14ac:dyDescent="0.25">
      <c r="F6238" s="642" t="s">
        <v>257</v>
      </c>
      <c r="G6238" s="643" t="s">
        <v>258</v>
      </c>
      <c r="J6238" s="599">
        <f t="shared" si="185"/>
        <v>0</v>
      </c>
    </row>
    <row r="6239" spans="5:10" ht="30" hidden="1" x14ac:dyDescent="0.25">
      <c r="F6239" s="642" t="s">
        <v>259</v>
      </c>
      <c r="G6239" s="643" t="s">
        <v>260</v>
      </c>
      <c r="J6239" s="599">
        <f t="shared" si="185"/>
        <v>0</v>
      </c>
    </row>
    <row r="6240" spans="5:10" hidden="1" x14ac:dyDescent="0.25">
      <c r="F6240" s="642" t="s">
        <v>261</v>
      </c>
      <c r="G6240" s="643" t="s">
        <v>262</v>
      </c>
      <c r="J6240" s="599">
        <f t="shared" si="185"/>
        <v>0</v>
      </c>
    </row>
    <row r="6241" spans="3:10" ht="15.75" hidden="1" thickBot="1" x14ac:dyDescent="0.3">
      <c r="F6241" s="642" t="s">
        <v>263</v>
      </c>
      <c r="G6241" s="643" t="s">
        <v>264</v>
      </c>
      <c r="H6241" s="598"/>
      <c r="I6241" s="599"/>
      <c r="J6241" s="599">
        <f t="shared" si="185"/>
        <v>0</v>
      </c>
    </row>
    <row r="6242" spans="3:10" ht="15.75" thickBot="1" x14ac:dyDescent="0.3">
      <c r="G6242" s="229" t="s">
        <v>4270</v>
      </c>
      <c r="H6242" s="600">
        <f>SUM(H6226:H6241)</f>
        <v>2300000</v>
      </c>
      <c r="I6242" s="601">
        <f>SUM(I6227:I6241)</f>
        <v>0</v>
      </c>
      <c r="J6242" s="601">
        <f>SUM(J6226:J6241)</f>
        <v>2300000</v>
      </c>
    </row>
    <row r="6243" spans="3:10" hidden="1" x14ac:dyDescent="0.25"/>
    <row r="6244" spans="3:10" x14ac:dyDescent="0.25">
      <c r="C6244" s="316"/>
      <c r="D6244" s="251"/>
      <c r="E6244" s="251"/>
      <c r="F6244" s="528"/>
      <c r="G6244" s="250" t="s">
        <v>4300</v>
      </c>
      <c r="H6244" s="606"/>
      <c r="I6244" s="624"/>
      <c r="J6244" s="607"/>
    </row>
    <row r="6245" spans="3:10" ht="15.75" thickBot="1" x14ac:dyDescent="0.3">
      <c r="C6245" s="316"/>
      <c r="D6245" s="251"/>
      <c r="E6245" s="251"/>
      <c r="F6245" s="642" t="s">
        <v>234</v>
      </c>
      <c r="G6245" s="643" t="s">
        <v>235</v>
      </c>
      <c r="H6245" s="598">
        <f>SUM(H6207)</f>
        <v>2300000</v>
      </c>
      <c r="I6245" s="599"/>
      <c r="J6245" s="599">
        <f>SUM(H6245:I6245)</f>
        <v>2300000</v>
      </c>
    </row>
    <row r="6246" spans="3:10" hidden="1" x14ac:dyDescent="0.25">
      <c r="C6246" s="316"/>
      <c r="D6246" s="251"/>
      <c r="E6246" s="251"/>
      <c r="F6246" s="642" t="s">
        <v>236</v>
      </c>
      <c r="G6246" s="643" t="s">
        <v>237</v>
      </c>
      <c r="J6246" s="599">
        <f t="shared" ref="J6246:J6260" si="186">SUM(H6246:I6246)</f>
        <v>0</v>
      </c>
    </row>
    <row r="6247" spans="3:10" hidden="1" x14ac:dyDescent="0.25">
      <c r="C6247" s="316"/>
      <c r="D6247" s="251"/>
      <c r="E6247" s="251"/>
      <c r="F6247" s="642" t="s">
        <v>238</v>
      </c>
      <c r="G6247" s="643" t="s">
        <v>239</v>
      </c>
      <c r="J6247" s="599">
        <f t="shared" si="186"/>
        <v>0</v>
      </c>
    </row>
    <row r="6248" spans="3:10" hidden="1" x14ac:dyDescent="0.25">
      <c r="C6248" s="316"/>
      <c r="D6248" s="251"/>
      <c r="E6248" s="251"/>
      <c r="F6248" s="642" t="s">
        <v>240</v>
      </c>
      <c r="G6248" s="643" t="s">
        <v>241</v>
      </c>
      <c r="J6248" s="599">
        <f t="shared" si="186"/>
        <v>0</v>
      </c>
    </row>
    <row r="6249" spans="3:10" hidden="1" x14ac:dyDescent="0.25">
      <c r="C6249" s="316"/>
      <c r="D6249" s="251"/>
      <c r="E6249" s="251"/>
      <c r="F6249" s="642" t="s">
        <v>242</v>
      </c>
      <c r="G6249" s="643" t="s">
        <v>243</v>
      </c>
      <c r="J6249" s="599">
        <f t="shared" si="186"/>
        <v>0</v>
      </c>
    </row>
    <row r="6250" spans="3:10" hidden="1" x14ac:dyDescent="0.25">
      <c r="C6250" s="316"/>
      <c r="D6250" s="251"/>
      <c r="E6250" s="251"/>
      <c r="F6250" s="642" t="s">
        <v>244</v>
      </c>
      <c r="G6250" s="643" t="s">
        <v>245</v>
      </c>
      <c r="J6250" s="599">
        <f t="shared" si="186"/>
        <v>0</v>
      </c>
    </row>
    <row r="6251" spans="3:10" hidden="1" x14ac:dyDescent="0.25">
      <c r="C6251" s="316"/>
      <c r="D6251" s="251"/>
      <c r="E6251" s="251"/>
      <c r="F6251" s="642" t="s">
        <v>246</v>
      </c>
      <c r="G6251" s="643" t="s">
        <v>247</v>
      </c>
      <c r="J6251" s="599">
        <f t="shared" si="186"/>
        <v>0</v>
      </c>
    </row>
    <row r="6252" spans="3:10" hidden="1" x14ac:dyDescent="0.25">
      <c r="C6252" s="316"/>
      <c r="D6252" s="251"/>
      <c r="E6252" s="251"/>
      <c r="F6252" s="642" t="s">
        <v>248</v>
      </c>
      <c r="G6252" s="643" t="s">
        <v>249</v>
      </c>
      <c r="J6252" s="599">
        <f t="shared" si="186"/>
        <v>0</v>
      </c>
    </row>
    <row r="6253" spans="3:10" hidden="1" x14ac:dyDescent="0.25">
      <c r="C6253" s="316"/>
      <c r="D6253" s="251"/>
      <c r="E6253" s="251"/>
      <c r="F6253" s="642" t="s">
        <v>250</v>
      </c>
      <c r="G6253" s="643" t="s">
        <v>57</v>
      </c>
      <c r="J6253" s="599">
        <f t="shared" si="186"/>
        <v>0</v>
      </c>
    </row>
    <row r="6254" spans="3:10" hidden="1" x14ac:dyDescent="0.25">
      <c r="C6254" s="316"/>
      <c r="D6254" s="251"/>
      <c r="E6254" s="251"/>
      <c r="F6254" s="642" t="s">
        <v>251</v>
      </c>
      <c r="G6254" s="643" t="s">
        <v>252</v>
      </c>
      <c r="J6254" s="599">
        <f t="shared" si="186"/>
        <v>0</v>
      </c>
    </row>
    <row r="6255" spans="3:10" hidden="1" x14ac:dyDescent="0.25">
      <c r="C6255" s="316"/>
      <c r="D6255" s="251"/>
      <c r="E6255" s="251"/>
      <c r="F6255" s="642" t="s">
        <v>253</v>
      </c>
      <c r="G6255" s="643" t="s">
        <v>254</v>
      </c>
      <c r="J6255" s="599">
        <f t="shared" si="186"/>
        <v>0</v>
      </c>
    </row>
    <row r="6256" spans="3:10" ht="30" hidden="1" x14ac:dyDescent="0.25">
      <c r="C6256" s="316"/>
      <c r="D6256" s="251"/>
      <c r="E6256" s="251"/>
      <c r="F6256" s="642" t="s">
        <v>255</v>
      </c>
      <c r="G6256" s="643" t="s">
        <v>256</v>
      </c>
      <c r="J6256" s="599">
        <f t="shared" si="186"/>
        <v>0</v>
      </c>
    </row>
    <row r="6257" spans="3:10" hidden="1" x14ac:dyDescent="0.25">
      <c r="C6257" s="316"/>
      <c r="D6257" s="251"/>
      <c r="E6257" s="251"/>
      <c r="F6257" s="642" t="s">
        <v>257</v>
      </c>
      <c r="G6257" s="643" t="s">
        <v>258</v>
      </c>
      <c r="J6257" s="599">
        <f t="shared" si="186"/>
        <v>0</v>
      </c>
    </row>
    <row r="6258" spans="3:10" ht="30" hidden="1" x14ac:dyDescent="0.25">
      <c r="C6258" s="316"/>
      <c r="D6258" s="251"/>
      <c r="E6258" s="251"/>
      <c r="F6258" s="642" t="s">
        <v>259</v>
      </c>
      <c r="G6258" s="643" t="s">
        <v>260</v>
      </c>
      <c r="J6258" s="599">
        <f t="shared" si="186"/>
        <v>0</v>
      </c>
    </row>
    <row r="6259" spans="3:10" hidden="1" x14ac:dyDescent="0.25">
      <c r="C6259" s="316"/>
      <c r="D6259" s="251"/>
      <c r="E6259" s="251"/>
      <c r="F6259" s="642" t="s">
        <v>261</v>
      </c>
      <c r="G6259" s="643" t="s">
        <v>262</v>
      </c>
      <c r="J6259" s="599">
        <f t="shared" si="186"/>
        <v>0</v>
      </c>
    </row>
    <row r="6260" spans="3:10" ht="15.75" hidden="1" thickBot="1" x14ac:dyDescent="0.3">
      <c r="C6260" s="316"/>
      <c r="D6260" s="251"/>
      <c r="E6260" s="251"/>
      <c r="F6260" s="642" t="s">
        <v>263</v>
      </c>
      <c r="G6260" s="643" t="s">
        <v>264</v>
      </c>
      <c r="H6260" s="598"/>
      <c r="I6260" s="599"/>
      <c r="J6260" s="599">
        <f t="shared" si="186"/>
        <v>0</v>
      </c>
    </row>
    <row r="6261" spans="3:10" ht="15.75" thickBot="1" x14ac:dyDescent="0.3">
      <c r="C6261" s="316"/>
      <c r="D6261" s="251"/>
      <c r="E6261" s="251"/>
      <c r="G6261" s="229" t="s">
        <v>4301</v>
      </c>
      <c r="H6261" s="600">
        <f>SUM(H6245:H6260)</f>
        <v>2300000</v>
      </c>
      <c r="I6261" s="601">
        <f>SUM(I6246:I6260)</f>
        <v>0</v>
      </c>
      <c r="J6261" s="601">
        <f>SUM(J6245:J6260)</f>
        <v>2300000</v>
      </c>
    </row>
    <row r="6262" spans="3:10" hidden="1" x14ac:dyDescent="0.25">
      <c r="C6262" s="84"/>
      <c r="D6262" s="84"/>
      <c r="E6262" s="84"/>
      <c r="F6262" s="84"/>
      <c r="G6262" s="84"/>
      <c r="H6262" s="84"/>
      <c r="I6262" s="84"/>
      <c r="J6262" s="84"/>
    </row>
    <row r="6263" spans="3:10" hidden="1" x14ac:dyDescent="0.25">
      <c r="C6263" s="84"/>
      <c r="D6263" s="84"/>
      <c r="E6263" s="84"/>
      <c r="F6263" s="84"/>
      <c r="G6263" s="84"/>
      <c r="H6263" s="84"/>
      <c r="I6263" s="84"/>
      <c r="J6263" s="84"/>
    </row>
    <row r="6264" spans="3:10" hidden="1" x14ac:dyDescent="0.25">
      <c r="C6264" s="84"/>
      <c r="D6264" s="84"/>
      <c r="E6264" s="84"/>
      <c r="F6264" s="84"/>
      <c r="G6264" s="84"/>
      <c r="H6264" s="84"/>
      <c r="I6264" s="84"/>
      <c r="J6264" s="84"/>
    </row>
    <row r="6265" spans="3:10" hidden="1" x14ac:dyDescent="0.25">
      <c r="C6265" s="84"/>
      <c r="D6265" s="84"/>
      <c r="E6265" s="84"/>
      <c r="F6265" s="84"/>
      <c r="G6265" s="84"/>
      <c r="H6265" s="84"/>
      <c r="I6265" s="84"/>
      <c r="J6265" s="84"/>
    </row>
    <row r="6266" spans="3:10" hidden="1" x14ac:dyDescent="0.25">
      <c r="C6266" s="84"/>
      <c r="D6266" s="84"/>
      <c r="E6266" s="84"/>
      <c r="F6266" s="84"/>
      <c r="G6266" s="84"/>
      <c r="H6266" s="84"/>
      <c r="I6266" s="84"/>
      <c r="J6266" s="84"/>
    </row>
    <row r="6267" spans="3:10" hidden="1" x14ac:dyDescent="0.25">
      <c r="C6267" s="84"/>
      <c r="D6267" s="84"/>
      <c r="E6267" s="84"/>
      <c r="F6267" s="84"/>
      <c r="G6267" s="84"/>
      <c r="H6267" s="84"/>
      <c r="I6267" s="84"/>
      <c r="J6267" s="84"/>
    </row>
    <row r="6268" spans="3:10" hidden="1" x14ac:dyDescent="0.25">
      <c r="C6268" s="84"/>
      <c r="D6268" s="84"/>
      <c r="E6268" s="84"/>
      <c r="F6268" s="84"/>
      <c r="G6268" s="84"/>
      <c r="H6268" s="84"/>
      <c r="I6268" s="84"/>
      <c r="J6268" s="84"/>
    </row>
    <row r="6269" spans="3:10" hidden="1" x14ac:dyDescent="0.25">
      <c r="C6269" s="84"/>
      <c r="D6269" s="84"/>
      <c r="E6269" s="84"/>
      <c r="F6269" s="84"/>
      <c r="G6269" s="84"/>
      <c r="H6269" s="84"/>
      <c r="I6269" s="84"/>
      <c r="J6269" s="84"/>
    </row>
    <row r="6270" spans="3:10" hidden="1" x14ac:dyDescent="0.25">
      <c r="C6270" s="84"/>
      <c r="D6270" s="84"/>
      <c r="E6270" s="84"/>
      <c r="F6270" s="84"/>
      <c r="G6270" s="84"/>
      <c r="H6270" s="84"/>
      <c r="I6270" s="84"/>
      <c r="J6270" s="84"/>
    </row>
    <row r="6271" spans="3:10" hidden="1" x14ac:dyDescent="0.25">
      <c r="C6271" s="84"/>
      <c r="D6271" s="84"/>
      <c r="E6271" s="84"/>
      <c r="F6271" s="84"/>
      <c r="G6271" s="84"/>
      <c r="H6271" s="84"/>
      <c r="I6271" s="84"/>
      <c r="J6271" s="84"/>
    </row>
    <row r="6272" spans="3:10" hidden="1" x14ac:dyDescent="0.25">
      <c r="C6272" s="84"/>
      <c r="D6272" s="84"/>
      <c r="E6272" s="84"/>
      <c r="F6272" s="84"/>
      <c r="G6272" s="84"/>
      <c r="H6272" s="84"/>
      <c r="I6272" s="84"/>
      <c r="J6272" s="84"/>
    </row>
    <row r="6273" spans="3:10" hidden="1" x14ac:dyDescent="0.25">
      <c r="C6273" s="84"/>
      <c r="D6273" s="84"/>
      <c r="E6273" s="84"/>
      <c r="F6273" s="84"/>
      <c r="G6273" s="84"/>
      <c r="H6273" s="84"/>
      <c r="I6273" s="84"/>
      <c r="J6273" s="84"/>
    </row>
    <row r="6274" spans="3:10" hidden="1" x14ac:dyDescent="0.25">
      <c r="C6274" s="84"/>
      <c r="D6274" s="84"/>
      <c r="E6274" s="84"/>
      <c r="F6274" s="84"/>
      <c r="G6274" s="84"/>
      <c r="H6274" s="84"/>
      <c r="I6274" s="84"/>
      <c r="J6274" s="84"/>
    </row>
    <row r="6275" spans="3:10" hidden="1" x14ac:dyDescent="0.25">
      <c r="C6275" s="84"/>
      <c r="D6275" s="84"/>
      <c r="E6275" s="84"/>
      <c r="F6275" s="84"/>
      <c r="G6275" s="84"/>
      <c r="H6275" s="84"/>
      <c r="I6275" s="84"/>
      <c r="J6275" s="84"/>
    </row>
    <row r="6276" spans="3:10" hidden="1" x14ac:dyDescent="0.25">
      <c r="C6276" s="84"/>
      <c r="D6276" s="84"/>
      <c r="E6276" s="84"/>
      <c r="F6276" s="84"/>
      <c r="G6276" s="84"/>
      <c r="H6276" s="84"/>
      <c r="I6276" s="84"/>
      <c r="J6276" s="84"/>
    </row>
    <row r="6277" spans="3:10" hidden="1" x14ac:dyDescent="0.25">
      <c r="C6277" s="84"/>
      <c r="D6277" s="84"/>
      <c r="E6277" s="84"/>
      <c r="F6277" s="84"/>
      <c r="G6277" s="84"/>
      <c r="H6277" s="84"/>
      <c r="I6277" s="84"/>
      <c r="J6277" s="84"/>
    </row>
    <row r="6278" spans="3:10" hidden="1" collapsed="1" x14ac:dyDescent="0.25">
      <c r="C6278" s="84"/>
      <c r="D6278" s="84"/>
      <c r="E6278" s="84"/>
      <c r="F6278" s="84"/>
      <c r="G6278" s="84"/>
      <c r="H6278" s="84"/>
      <c r="I6278" s="84"/>
      <c r="J6278" s="84"/>
    </row>
    <row r="6279" spans="3:10" hidden="1" x14ac:dyDescent="0.25">
      <c r="C6279" s="84"/>
      <c r="D6279" s="84"/>
      <c r="E6279" s="84"/>
      <c r="F6279" s="84"/>
      <c r="G6279" s="84"/>
      <c r="H6279" s="84"/>
      <c r="I6279" s="84"/>
      <c r="J6279" s="84"/>
    </row>
    <row r="6280" spans="3:10" hidden="1" x14ac:dyDescent="0.25">
      <c r="C6280" s="84"/>
      <c r="D6280" s="84"/>
      <c r="E6280" s="84"/>
      <c r="F6280" s="84"/>
      <c r="G6280" s="84"/>
      <c r="H6280" s="84"/>
      <c r="I6280" s="84"/>
      <c r="J6280" s="84"/>
    </row>
    <row r="6281" spans="3:10" hidden="1" x14ac:dyDescent="0.25">
      <c r="C6281" s="84"/>
      <c r="D6281" s="84"/>
      <c r="E6281" s="84"/>
      <c r="F6281" s="84"/>
      <c r="G6281" s="84"/>
      <c r="H6281" s="84"/>
      <c r="I6281" s="84"/>
      <c r="J6281" s="84"/>
    </row>
    <row r="6282" spans="3:10" hidden="1" x14ac:dyDescent="0.25">
      <c r="C6282" s="84"/>
      <c r="D6282" s="84"/>
      <c r="E6282" s="84"/>
      <c r="F6282" s="84"/>
      <c r="G6282" s="84"/>
      <c r="H6282" s="84"/>
      <c r="I6282" s="84"/>
      <c r="J6282" s="84"/>
    </row>
    <row r="6283" spans="3:10" hidden="1" x14ac:dyDescent="0.25">
      <c r="C6283" s="84"/>
      <c r="D6283" s="84"/>
      <c r="E6283" s="84"/>
      <c r="F6283" s="84"/>
      <c r="G6283" s="84"/>
      <c r="H6283" s="84"/>
      <c r="I6283" s="84"/>
      <c r="J6283" s="84"/>
    </row>
    <row r="6284" spans="3:10" hidden="1" x14ac:dyDescent="0.25">
      <c r="C6284" s="84"/>
      <c r="D6284" s="84"/>
      <c r="E6284" s="84"/>
      <c r="F6284" s="84"/>
      <c r="G6284" s="84"/>
      <c r="H6284" s="84"/>
      <c r="I6284" s="84"/>
      <c r="J6284" s="84"/>
    </row>
    <row r="6285" spans="3:10" hidden="1" x14ac:dyDescent="0.25">
      <c r="C6285" s="84"/>
      <c r="D6285" s="84"/>
      <c r="E6285" s="84"/>
      <c r="F6285" s="84"/>
      <c r="G6285" s="84"/>
      <c r="H6285" s="84"/>
      <c r="I6285" s="84"/>
      <c r="J6285" s="84"/>
    </row>
    <row r="6286" spans="3:10" hidden="1" x14ac:dyDescent="0.25">
      <c r="C6286" s="84"/>
      <c r="D6286" s="84"/>
      <c r="E6286" s="84"/>
      <c r="F6286" s="84"/>
      <c r="G6286" s="84"/>
      <c r="H6286" s="84"/>
      <c r="I6286" s="84"/>
      <c r="J6286" s="84"/>
    </row>
    <row r="6287" spans="3:10" hidden="1" x14ac:dyDescent="0.25">
      <c r="C6287" s="84"/>
      <c r="D6287" s="84"/>
      <c r="E6287" s="84"/>
      <c r="F6287" s="84"/>
      <c r="G6287" s="84"/>
      <c r="H6287" s="84"/>
      <c r="I6287" s="84"/>
      <c r="J6287" s="84"/>
    </row>
    <row r="6288" spans="3:10" hidden="1" x14ac:dyDescent="0.25">
      <c r="C6288" s="84"/>
      <c r="D6288" s="84"/>
      <c r="E6288" s="84"/>
      <c r="F6288" s="84"/>
      <c r="G6288" s="84"/>
      <c r="H6288" s="84"/>
      <c r="I6288" s="84"/>
      <c r="J6288" s="84"/>
    </row>
    <row r="6289" spans="3:10" hidden="1" x14ac:dyDescent="0.25">
      <c r="C6289" s="84"/>
      <c r="D6289" s="84"/>
      <c r="E6289" s="84"/>
      <c r="F6289" s="84"/>
      <c r="G6289" s="84"/>
      <c r="H6289" s="84"/>
      <c r="I6289" s="84"/>
      <c r="J6289" s="84"/>
    </row>
    <row r="6290" spans="3:10" hidden="1" x14ac:dyDescent="0.25">
      <c r="C6290" s="84"/>
      <c r="D6290" s="84"/>
      <c r="E6290" s="84"/>
      <c r="F6290" s="84"/>
      <c r="G6290" s="84"/>
      <c r="H6290" s="84"/>
      <c r="I6290" s="84"/>
      <c r="J6290" s="84"/>
    </row>
    <row r="6291" spans="3:10" hidden="1" x14ac:dyDescent="0.25">
      <c r="C6291" s="84"/>
      <c r="D6291" s="84"/>
      <c r="E6291" s="84"/>
      <c r="F6291" s="84"/>
      <c r="G6291" s="84"/>
      <c r="H6291" s="84"/>
      <c r="I6291" s="84"/>
      <c r="J6291" s="84"/>
    </row>
    <row r="6292" spans="3:10" hidden="1" x14ac:dyDescent="0.25">
      <c r="C6292" s="84"/>
      <c r="D6292" s="84"/>
      <c r="E6292" s="84"/>
      <c r="F6292" s="84"/>
      <c r="G6292" s="84"/>
      <c r="H6292" s="84"/>
      <c r="I6292" s="84"/>
      <c r="J6292" s="84"/>
    </row>
    <row r="6293" spans="3:10" hidden="1" x14ac:dyDescent="0.25">
      <c r="C6293" s="84"/>
      <c r="D6293" s="84"/>
      <c r="E6293" s="84"/>
      <c r="F6293" s="84"/>
      <c r="G6293" s="84"/>
      <c r="H6293" s="84"/>
      <c r="I6293" s="84"/>
      <c r="J6293" s="84"/>
    </row>
    <row r="6294" spans="3:10" hidden="1" x14ac:dyDescent="0.25">
      <c r="C6294" s="84"/>
      <c r="D6294" s="84"/>
      <c r="E6294" s="84"/>
      <c r="F6294" s="84"/>
      <c r="G6294" s="84"/>
      <c r="H6294" s="84"/>
      <c r="I6294" s="84"/>
      <c r="J6294" s="84"/>
    </row>
    <row r="6295" spans="3:10" hidden="1" collapsed="1" x14ac:dyDescent="0.25">
      <c r="C6295" s="84"/>
      <c r="D6295" s="84"/>
      <c r="E6295" s="84"/>
      <c r="F6295" s="84"/>
      <c r="G6295" s="84"/>
      <c r="H6295" s="84"/>
      <c r="I6295" s="84"/>
      <c r="J6295" s="84"/>
    </row>
    <row r="6296" spans="3:10" hidden="1" x14ac:dyDescent="0.25">
      <c r="C6296" s="84"/>
      <c r="D6296" s="84"/>
      <c r="E6296" s="84"/>
      <c r="F6296" s="84"/>
      <c r="G6296" s="84"/>
      <c r="H6296" s="84"/>
      <c r="I6296" s="84"/>
      <c r="J6296" s="84"/>
    </row>
    <row r="6297" spans="3:10" hidden="1" x14ac:dyDescent="0.25">
      <c r="C6297" s="84"/>
      <c r="D6297" s="84"/>
      <c r="E6297" s="84"/>
      <c r="F6297" s="84"/>
      <c r="G6297" s="84"/>
      <c r="H6297" s="84"/>
      <c r="I6297" s="84"/>
      <c r="J6297" s="84"/>
    </row>
    <row r="6298" spans="3:10" hidden="1" x14ac:dyDescent="0.25">
      <c r="C6298" s="84"/>
      <c r="D6298" s="84"/>
      <c r="E6298" s="84"/>
      <c r="F6298" s="84"/>
      <c r="G6298" s="84"/>
      <c r="H6298" s="84"/>
      <c r="I6298" s="84"/>
      <c r="J6298" s="84"/>
    </row>
    <row r="6299" spans="3:10" hidden="1" x14ac:dyDescent="0.25">
      <c r="C6299" s="84"/>
      <c r="D6299" s="84"/>
      <c r="E6299" s="84"/>
      <c r="F6299" s="84"/>
      <c r="G6299" s="84"/>
      <c r="H6299" s="84"/>
      <c r="I6299" s="84"/>
      <c r="J6299" s="84"/>
    </row>
    <row r="6300" spans="3:10" hidden="1" x14ac:dyDescent="0.25">
      <c r="C6300" s="84"/>
      <c r="D6300" s="84"/>
      <c r="E6300" s="84"/>
      <c r="F6300" s="84"/>
      <c r="G6300" s="84"/>
      <c r="H6300" s="84"/>
      <c r="I6300" s="84"/>
      <c r="J6300" s="84"/>
    </row>
    <row r="6301" spans="3:10" hidden="1" x14ac:dyDescent="0.25">
      <c r="C6301" s="84"/>
      <c r="D6301" s="84"/>
      <c r="E6301" s="84"/>
      <c r="F6301" s="84"/>
      <c r="G6301" s="84"/>
      <c r="H6301" s="84"/>
      <c r="I6301" s="84"/>
      <c r="J6301" s="84"/>
    </row>
    <row r="6302" spans="3:10" hidden="1" x14ac:dyDescent="0.25">
      <c r="C6302" s="84"/>
      <c r="D6302" s="84"/>
      <c r="E6302" s="84"/>
      <c r="F6302" s="84"/>
      <c r="G6302" s="84"/>
      <c r="H6302" s="84"/>
      <c r="I6302" s="84"/>
      <c r="J6302" s="84"/>
    </row>
    <row r="6303" spans="3:10" hidden="1" x14ac:dyDescent="0.25">
      <c r="C6303" s="84"/>
      <c r="D6303" s="84"/>
      <c r="E6303" s="84"/>
      <c r="F6303" s="84"/>
      <c r="G6303" s="84"/>
      <c r="H6303" s="84"/>
      <c r="I6303" s="84"/>
      <c r="J6303" s="84"/>
    </row>
    <row r="6304" spans="3:10" hidden="1" x14ac:dyDescent="0.25">
      <c r="C6304" s="84"/>
      <c r="D6304" s="84"/>
      <c r="E6304" s="84"/>
      <c r="F6304" s="84"/>
      <c r="G6304" s="84"/>
      <c r="H6304" s="84"/>
      <c r="I6304" s="84"/>
      <c r="J6304" s="84"/>
    </row>
    <row r="6305" spans="3:10" hidden="1" x14ac:dyDescent="0.25">
      <c r="C6305" s="84"/>
      <c r="D6305" s="84"/>
      <c r="E6305" s="84"/>
      <c r="F6305" s="84"/>
      <c r="G6305" s="84"/>
      <c r="H6305" s="84"/>
      <c r="I6305" s="84"/>
      <c r="J6305" s="84"/>
    </row>
    <row r="6306" spans="3:10" hidden="1" x14ac:dyDescent="0.25">
      <c r="C6306" s="84"/>
      <c r="D6306" s="84"/>
      <c r="E6306" s="84"/>
      <c r="F6306" s="84"/>
      <c r="G6306" s="84"/>
      <c r="H6306" s="84"/>
      <c r="I6306" s="84"/>
      <c r="J6306" s="84"/>
    </row>
    <row r="6307" spans="3:10" hidden="1" x14ac:dyDescent="0.25">
      <c r="C6307" s="84"/>
      <c r="D6307" s="84"/>
      <c r="E6307" s="84"/>
      <c r="F6307" s="84"/>
      <c r="G6307" s="84"/>
      <c r="H6307" s="84"/>
      <c r="I6307" s="84"/>
      <c r="J6307" s="84"/>
    </row>
    <row r="6308" spans="3:10" hidden="1" x14ac:dyDescent="0.25">
      <c r="C6308" s="84"/>
      <c r="D6308" s="84"/>
      <c r="E6308" s="84"/>
      <c r="F6308" s="84"/>
      <c r="G6308" s="84"/>
      <c r="H6308" s="84"/>
      <c r="I6308" s="84"/>
      <c r="J6308" s="84"/>
    </row>
    <row r="6309" spans="3:10" hidden="1" x14ac:dyDescent="0.25">
      <c r="C6309" s="84"/>
      <c r="D6309" s="84"/>
      <c r="E6309" s="84"/>
      <c r="F6309" s="84"/>
      <c r="G6309" s="84"/>
      <c r="H6309" s="84"/>
      <c r="I6309" s="84"/>
      <c r="J6309" s="84"/>
    </row>
    <row r="6310" spans="3:10" hidden="1" x14ac:dyDescent="0.25">
      <c r="C6310" s="84"/>
      <c r="D6310" s="84"/>
      <c r="E6310" s="84"/>
      <c r="F6310" s="84"/>
      <c r="G6310" s="84"/>
      <c r="H6310" s="84"/>
      <c r="I6310" s="84"/>
      <c r="J6310" s="84"/>
    </row>
    <row r="6311" spans="3:10" hidden="1" x14ac:dyDescent="0.25">
      <c r="C6311" s="84"/>
      <c r="D6311" s="84"/>
      <c r="E6311" s="84"/>
      <c r="F6311" s="84"/>
      <c r="G6311" s="84"/>
      <c r="H6311" s="84"/>
      <c r="I6311" s="84"/>
      <c r="J6311" s="84"/>
    </row>
    <row r="6312" spans="3:10" hidden="1" x14ac:dyDescent="0.25">
      <c r="C6312" s="84"/>
      <c r="D6312" s="84"/>
      <c r="E6312" s="84"/>
      <c r="F6312" s="84"/>
      <c r="G6312" s="84"/>
      <c r="H6312" s="84"/>
      <c r="I6312" s="84"/>
      <c r="J6312" s="84"/>
    </row>
    <row r="6313" spans="3:10" hidden="1" x14ac:dyDescent="0.25">
      <c r="C6313" s="84"/>
      <c r="D6313" s="84"/>
      <c r="E6313" s="84"/>
      <c r="F6313" s="84"/>
      <c r="G6313" s="84"/>
      <c r="H6313" s="84"/>
      <c r="I6313" s="84"/>
      <c r="J6313" s="84"/>
    </row>
    <row r="6314" spans="3:10" hidden="1" x14ac:dyDescent="0.25">
      <c r="C6314" s="84"/>
      <c r="D6314" s="84"/>
      <c r="E6314" s="84"/>
      <c r="F6314" s="84"/>
      <c r="G6314" s="84"/>
      <c r="H6314" s="84"/>
      <c r="I6314" s="84"/>
      <c r="J6314" s="84"/>
    </row>
    <row r="6315" spans="3:10" hidden="1" x14ac:dyDescent="0.25">
      <c r="C6315" s="84"/>
      <c r="D6315" s="84"/>
      <c r="E6315" s="84"/>
      <c r="F6315" s="84"/>
      <c r="G6315" s="84"/>
      <c r="H6315" s="84"/>
      <c r="I6315" s="84"/>
      <c r="J6315" s="84"/>
    </row>
    <row r="6316" spans="3:10" hidden="1" x14ac:dyDescent="0.25">
      <c r="C6316" s="84"/>
      <c r="D6316" s="84"/>
      <c r="E6316" s="84"/>
      <c r="F6316" s="84"/>
      <c r="G6316" s="84"/>
      <c r="H6316" s="84"/>
      <c r="I6316" s="84"/>
      <c r="J6316" s="84"/>
    </row>
    <row r="6317" spans="3:10" hidden="1" x14ac:dyDescent="0.25">
      <c r="C6317" s="84"/>
      <c r="D6317" s="84"/>
      <c r="E6317" s="84"/>
      <c r="F6317" s="84"/>
      <c r="G6317" s="84"/>
      <c r="H6317" s="84"/>
      <c r="I6317" s="84"/>
      <c r="J6317" s="84"/>
    </row>
    <row r="6318" spans="3:10" hidden="1" x14ac:dyDescent="0.25">
      <c r="C6318" s="84"/>
      <c r="D6318" s="84"/>
      <c r="E6318" s="84"/>
      <c r="F6318" s="84"/>
      <c r="G6318" s="84"/>
      <c r="H6318" s="84"/>
      <c r="I6318" s="84"/>
      <c r="J6318" s="84"/>
    </row>
    <row r="6319" spans="3:10" hidden="1" x14ac:dyDescent="0.25">
      <c r="C6319" s="84"/>
      <c r="D6319" s="84"/>
      <c r="E6319" s="84"/>
      <c r="F6319" s="84"/>
      <c r="G6319" s="84"/>
      <c r="H6319" s="84"/>
      <c r="I6319" s="84"/>
      <c r="J6319" s="84"/>
    </row>
    <row r="6320" spans="3:10" hidden="1" x14ac:dyDescent="0.25">
      <c r="C6320" s="84"/>
      <c r="D6320" s="84"/>
      <c r="E6320" s="84"/>
      <c r="F6320" s="84"/>
      <c r="G6320" s="84"/>
      <c r="H6320" s="84"/>
      <c r="I6320" s="84"/>
      <c r="J6320" s="84"/>
    </row>
    <row r="6321" spans="3:10" hidden="1" x14ac:dyDescent="0.25">
      <c r="C6321" s="84"/>
      <c r="D6321" s="84"/>
      <c r="E6321" s="84"/>
      <c r="F6321" s="84"/>
      <c r="G6321" s="84"/>
      <c r="H6321" s="84"/>
      <c r="I6321" s="84"/>
      <c r="J6321" s="84"/>
    </row>
    <row r="6322" spans="3:10" hidden="1" x14ac:dyDescent="0.25">
      <c r="C6322" s="84"/>
      <c r="D6322" s="84"/>
      <c r="E6322" s="84"/>
      <c r="F6322" s="84"/>
      <c r="G6322" s="84"/>
      <c r="H6322" s="84"/>
      <c r="I6322" s="84"/>
      <c r="J6322" s="84"/>
    </row>
    <row r="6323" spans="3:10" ht="16.5" hidden="1" customHeight="1" x14ac:dyDescent="0.25">
      <c r="C6323" s="84"/>
      <c r="D6323" s="84"/>
      <c r="E6323" s="84"/>
      <c r="F6323" s="84"/>
      <c r="G6323" s="84"/>
      <c r="H6323" s="84"/>
      <c r="I6323" s="84"/>
      <c r="J6323" s="84"/>
    </row>
    <row r="6324" spans="3:10" hidden="1" x14ac:dyDescent="0.25">
      <c r="C6324" s="84"/>
      <c r="D6324" s="84"/>
      <c r="E6324" s="84"/>
      <c r="F6324" s="84"/>
      <c r="G6324" s="84"/>
      <c r="H6324" s="84"/>
      <c r="I6324" s="84"/>
      <c r="J6324" s="84"/>
    </row>
    <row r="6325" spans="3:10" hidden="1" x14ac:dyDescent="0.25">
      <c r="C6325" s="84"/>
      <c r="D6325" s="84"/>
      <c r="E6325" s="84"/>
      <c r="F6325" s="84"/>
      <c r="G6325" s="84"/>
      <c r="H6325" s="84"/>
      <c r="I6325" s="84"/>
      <c r="J6325" s="84"/>
    </row>
    <row r="6326" spans="3:10" hidden="1" x14ac:dyDescent="0.25">
      <c r="C6326" s="84"/>
      <c r="D6326" s="84"/>
      <c r="E6326" s="84"/>
      <c r="F6326" s="84"/>
      <c r="G6326" s="84"/>
      <c r="H6326" s="84"/>
      <c r="I6326" s="84"/>
      <c r="J6326" s="84"/>
    </row>
    <row r="6327" spans="3:10" hidden="1" x14ac:dyDescent="0.25">
      <c r="C6327" s="84"/>
      <c r="D6327" s="84"/>
      <c r="E6327" s="84"/>
      <c r="F6327" s="84"/>
      <c r="G6327" s="84"/>
      <c r="H6327" s="84"/>
      <c r="I6327" s="84"/>
      <c r="J6327" s="84"/>
    </row>
    <row r="6328" spans="3:10" hidden="1" x14ac:dyDescent="0.25">
      <c r="C6328" s="84"/>
      <c r="D6328" s="84"/>
      <c r="E6328" s="84"/>
      <c r="F6328" s="84"/>
      <c r="G6328" s="84"/>
      <c r="H6328" s="84"/>
      <c r="I6328" s="84"/>
      <c r="J6328" s="84"/>
    </row>
    <row r="6329" spans="3:10" hidden="1" x14ac:dyDescent="0.25">
      <c r="C6329" s="84"/>
      <c r="D6329" s="84"/>
      <c r="E6329" s="84"/>
      <c r="F6329" s="84"/>
      <c r="G6329" s="84"/>
      <c r="H6329" s="84"/>
      <c r="I6329" s="84"/>
      <c r="J6329" s="84"/>
    </row>
    <row r="6330" spans="3:10" hidden="1" x14ac:dyDescent="0.25">
      <c r="C6330" s="84"/>
      <c r="D6330" s="84"/>
      <c r="E6330" s="84"/>
      <c r="F6330" s="84"/>
      <c r="G6330" s="84"/>
      <c r="H6330" s="84"/>
      <c r="I6330" s="84"/>
      <c r="J6330" s="84"/>
    </row>
    <row r="6331" spans="3:10" hidden="1" x14ac:dyDescent="0.25">
      <c r="C6331" s="84"/>
      <c r="D6331" s="84"/>
      <c r="E6331" s="84"/>
      <c r="F6331" s="84"/>
      <c r="G6331" s="84"/>
      <c r="H6331" s="84"/>
      <c r="I6331" s="84"/>
      <c r="J6331" s="84"/>
    </row>
    <row r="6332" spans="3:10" hidden="1" x14ac:dyDescent="0.25">
      <c r="C6332" s="84"/>
      <c r="D6332" s="84"/>
      <c r="E6332" s="84"/>
      <c r="F6332" s="84"/>
      <c r="G6332" s="84"/>
      <c r="H6332" s="84"/>
      <c r="I6332" s="84"/>
      <c r="J6332" s="84"/>
    </row>
    <row r="6333" spans="3:10" hidden="1" x14ac:dyDescent="0.25">
      <c r="C6333" s="84"/>
      <c r="D6333" s="84"/>
      <c r="E6333" s="84"/>
      <c r="F6333" s="84"/>
      <c r="G6333" s="84"/>
      <c r="H6333" s="84"/>
      <c r="I6333" s="84"/>
      <c r="J6333" s="84"/>
    </row>
    <row r="6334" spans="3:10" hidden="1" x14ac:dyDescent="0.25">
      <c r="C6334" s="84"/>
      <c r="D6334" s="84"/>
      <c r="E6334" s="84"/>
      <c r="F6334" s="84"/>
      <c r="G6334" s="84"/>
      <c r="H6334" s="84"/>
      <c r="I6334" s="84"/>
      <c r="J6334" s="84"/>
    </row>
    <row r="6335" spans="3:10" hidden="1" x14ac:dyDescent="0.25">
      <c r="C6335" s="84"/>
      <c r="D6335" s="84"/>
      <c r="E6335" s="84"/>
      <c r="F6335" s="84"/>
      <c r="G6335" s="84"/>
      <c r="H6335" s="84"/>
      <c r="I6335" s="84"/>
      <c r="J6335" s="84"/>
    </row>
    <row r="6336" spans="3:10" hidden="1" x14ac:dyDescent="0.25">
      <c r="C6336" s="84"/>
      <c r="D6336" s="84"/>
      <c r="E6336" s="84"/>
      <c r="F6336" s="84"/>
      <c r="G6336" s="84"/>
      <c r="H6336" s="84"/>
      <c r="I6336" s="84"/>
      <c r="J6336" s="84"/>
    </row>
    <row r="6337" spans="3:10" hidden="1" x14ac:dyDescent="0.25">
      <c r="C6337" s="84"/>
      <c r="D6337" s="84"/>
      <c r="E6337" s="84"/>
      <c r="F6337" s="84"/>
      <c r="G6337" s="84"/>
      <c r="H6337" s="84"/>
      <c r="I6337" s="84"/>
      <c r="J6337" s="84"/>
    </row>
    <row r="6338" spans="3:10" hidden="1" x14ac:dyDescent="0.25">
      <c r="C6338" s="84"/>
      <c r="D6338" s="84"/>
      <c r="E6338" s="84"/>
      <c r="F6338" s="84"/>
      <c r="G6338" s="84"/>
      <c r="H6338" s="84"/>
      <c r="I6338" s="84"/>
      <c r="J6338" s="84"/>
    </row>
    <row r="6339" spans="3:10" hidden="1" x14ac:dyDescent="0.25">
      <c r="C6339" s="84"/>
      <c r="D6339" s="84"/>
      <c r="E6339" s="84"/>
      <c r="F6339" s="84"/>
      <c r="G6339" s="84"/>
      <c r="H6339" s="84"/>
      <c r="I6339" s="84"/>
      <c r="J6339" s="84"/>
    </row>
    <row r="6340" spans="3:10" hidden="1" x14ac:dyDescent="0.25">
      <c r="C6340" s="84"/>
      <c r="D6340" s="84"/>
      <c r="E6340" s="84"/>
      <c r="F6340" s="84"/>
      <c r="G6340" s="84"/>
      <c r="H6340" s="84"/>
      <c r="I6340" s="84"/>
      <c r="J6340" s="84"/>
    </row>
    <row r="6341" spans="3:10" hidden="1" x14ac:dyDescent="0.25">
      <c r="C6341" s="84"/>
      <c r="D6341" s="84"/>
      <c r="E6341" s="84"/>
      <c r="F6341" s="84"/>
      <c r="G6341" s="84"/>
      <c r="H6341" s="84"/>
      <c r="I6341" s="84"/>
      <c r="J6341" s="84"/>
    </row>
    <row r="6342" spans="3:10" hidden="1" x14ac:dyDescent="0.25">
      <c r="C6342" s="84"/>
      <c r="D6342" s="84"/>
      <c r="E6342" s="84"/>
      <c r="F6342" s="84"/>
      <c r="G6342" s="84"/>
      <c r="H6342" s="84"/>
      <c r="I6342" s="84"/>
      <c r="J6342" s="84"/>
    </row>
    <row r="6343" spans="3:10" hidden="1" x14ac:dyDescent="0.25">
      <c r="C6343" s="84"/>
      <c r="D6343" s="84"/>
      <c r="E6343" s="84"/>
      <c r="F6343" s="84"/>
      <c r="G6343" s="84"/>
      <c r="H6343" s="84"/>
      <c r="I6343" s="84"/>
      <c r="J6343" s="84"/>
    </row>
    <row r="6344" spans="3:10" hidden="1" x14ac:dyDescent="0.25">
      <c r="C6344" s="84"/>
      <c r="D6344" s="84"/>
      <c r="E6344" s="84"/>
      <c r="F6344" s="84"/>
      <c r="G6344" s="84"/>
      <c r="H6344" s="84"/>
      <c r="I6344" s="84"/>
      <c r="J6344" s="84"/>
    </row>
    <row r="6345" spans="3:10" hidden="1" x14ac:dyDescent="0.25">
      <c r="C6345" s="84"/>
      <c r="D6345" s="84"/>
      <c r="E6345" s="84"/>
      <c r="F6345" s="84"/>
      <c r="G6345" s="84"/>
      <c r="H6345" s="84"/>
      <c r="I6345" s="84"/>
      <c r="J6345" s="84"/>
    </row>
    <row r="6346" spans="3:10" hidden="1" x14ac:dyDescent="0.25">
      <c r="C6346" s="84"/>
      <c r="D6346" s="84"/>
      <c r="E6346" s="84"/>
      <c r="F6346" s="84"/>
      <c r="G6346" s="84"/>
      <c r="H6346" s="84"/>
      <c r="I6346" s="84"/>
      <c r="J6346" s="84"/>
    </row>
    <row r="6347" spans="3:10" hidden="1" x14ac:dyDescent="0.25">
      <c r="C6347" s="84"/>
      <c r="D6347" s="84"/>
      <c r="E6347" s="84"/>
      <c r="F6347" s="84"/>
      <c r="G6347" s="84"/>
      <c r="H6347" s="84"/>
      <c r="I6347" s="84"/>
      <c r="J6347" s="84"/>
    </row>
    <row r="6348" spans="3:10" hidden="1" x14ac:dyDescent="0.25">
      <c r="C6348" s="84"/>
      <c r="D6348" s="84"/>
      <c r="E6348" s="84"/>
      <c r="F6348" s="84"/>
      <c r="G6348" s="84"/>
      <c r="H6348" s="84"/>
      <c r="I6348" s="84"/>
      <c r="J6348" s="84"/>
    </row>
    <row r="6349" spans="3:10" hidden="1" x14ac:dyDescent="0.25">
      <c r="C6349" s="84"/>
      <c r="D6349" s="84"/>
      <c r="E6349" s="84"/>
      <c r="F6349" s="84"/>
      <c r="G6349" s="84"/>
      <c r="H6349" s="84"/>
      <c r="I6349" s="84"/>
      <c r="J6349" s="84"/>
    </row>
    <row r="6350" spans="3:10" hidden="1" x14ac:dyDescent="0.25">
      <c r="C6350" s="84"/>
      <c r="D6350" s="84"/>
      <c r="E6350" s="84"/>
      <c r="F6350" s="84"/>
      <c r="G6350" s="84"/>
      <c r="H6350" s="84"/>
      <c r="I6350" s="84"/>
      <c r="J6350" s="84"/>
    </row>
    <row r="6351" spans="3:10" hidden="1" x14ac:dyDescent="0.25">
      <c r="C6351" s="84"/>
      <c r="D6351" s="84"/>
      <c r="E6351" s="84"/>
      <c r="F6351" s="84"/>
      <c r="G6351" s="84"/>
      <c r="H6351" s="84"/>
      <c r="I6351" s="84"/>
      <c r="J6351" s="84"/>
    </row>
    <row r="6352" spans="3:10" hidden="1" x14ac:dyDescent="0.25">
      <c r="C6352" s="84"/>
      <c r="D6352" s="84"/>
      <c r="E6352" s="84"/>
      <c r="F6352" s="84"/>
      <c r="G6352" s="84"/>
      <c r="H6352" s="84"/>
      <c r="I6352" s="84"/>
      <c r="J6352" s="84"/>
    </row>
    <row r="6353" spans="3:10" hidden="1" x14ac:dyDescent="0.25">
      <c r="C6353" s="84"/>
      <c r="D6353" s="84"/>
      <c r="E6353" s="84"/>
      <c r="F6353" s="84"/>
      <c r="G6353" s="84"/>
      <c r="H6353" s="84"/>
      <c r="I6353" s="84"/>
      <c r="J6353" s="84"/>
    </row>
    <row r="6354" spans="3:10" hidden="1" x14ac:dyDescent="0.25">
      <c r="C6354" s="84"/>
      <c r="D6354" s="84"/>
      <c r="E6354" s="84"/>
      <c r="F6354" s="84"/>
      <c r="G6354" s="84"/>
      <c r="H6354" s="84"/>
      <c r="I6354" s="84"/>
      <c r="J6354" s="84"/>
    </row>
    <row r="6355" spans="3:10" hidden="1" x14ac:dyDescent="0.25">
      <c r="C6355" s="84"/>
      <c r="D6355" s="84"/>
      <c r="E6355" s="84"/>
      <c r="F6355" s="84"/>
      <c r="G6355" s="84"/>
      <c r="H6355" s="84"/>
      <c r="I6355" s="84"/>
      <c r="J6355" s="84"/>
    </row>
    <row r="6356" spans="3:10" hidden="1" x14ac:dyDescent="0.25">
      <c r="C6356" s="84"/>
      <c r="D6356" s="84"/>
      <c r="E6356" s="84"/>
      <c r="F6356" s="84"/>
      <c r="G6356" s="84"/>
      <c r="H6356" s="84"/>
      <c r="I6356" s="84"/>
      <c r="J6356" s="84"/>
    </row>
    <row r="6357" spans="3:10" hidden="1" x14ac:dyDescent="0.25">
      <c r="C6357" s="84"/>
      <c r="D6357" s="84"/>
      <c r="E6357" s="84"/>
      <c r="F6357" s="84"/>
      <c r="G6357" s="84"/>
      <c r="H6357" s="84"/>
      <c r="I6357" s="84"/>
      <c r="J6357" s="84"/>
    </row>
    <row r="6358" spans="3:10" hidden="1" x14ac:dyDescent="0.25">
      <c r="C6358" s="84"/>
      <c r="D6358" s="84"/>
      <c r="E6358" s="84"/>
      <c r="F6358" s="84"/>
      <c r="G6358" s="84"/>
      <c r="H6358" s="84"/>
      <c r="I6358" s="84"/>
      <c r="J6358" s="84"/>
    </row>
    <row r="6359" spans="3:10" hidden="1" x14ac:dyDescent="0.25">
      <c r="C6359" s="84"/>
      <c r="D6359" s="84"/>
      <c r="E6359" s="84"/>
      <c r="F6359" s="84"/>
      <c r="G6359" s="84"/>
      <c r="H6359" s="84"/>
      <c r="I6359" s="84"/>
      <c r="J6359" s="84"/>
    </row>
    <row r="6360" spans="3:10" hidden="1" x14ac:dyDescent="0.25">
      <c r="C6360" s="84"/>
      <c r="D6360" s="84"/>
      <c r="E6360" s="84"/>
      <c r="F6360" s="84"/>
      <c r="G6360" s="84"/>
      <c r="H6360" s="84"/>
      <c r="I6360" s="84"/>
      <c r="J6360" s="84"/>
    </row>
    <row r="6361" spans="3:10" hidden="1" x14ac:dyDescent="0.25">
      <c r="C6361" s="84"/>
      <c r="D6361" s="84"/>
      <c r="E6361" s="84"/>
      <c r="F6361" s="84"/>
      <c r="G6361" s="84"/>
      <c r="H6361" s="84"/>
      <c r="I6361" s="84"/>
      <c r="J6361" s="84"/>
    </row>
    <row r="6362" spans="3:10" hidden="1" x14ac:dyDescent="0.25">
      <c r="C6362" s="84"/>
      <c r="D6362" s="84"/>
      <c r="E6362" s="84"/>
      <c r="F6362" s="84"/>
      <c r="G6362" s="84"/>
      <c r="H6362" s="84"/>
      <c r="I6362" s="84"/>
      <c r="J6362" s="84"/>
    </row>
    <row r="6363" spans="3:10" hidden="1" x14ac:dyDescent="0.25">
      <c r="C6363" s="84"/>
      <c r="D6363" s="84"/>
      <c r="E6363" s="84"/>
      <c r="F6363" s="84"/>
      <c r="G6363" s="84"/>
      <c r="H6363" s="84"/>
      <c r="I6363" s="84"/>
      <c r="J6363" s="84"/>
    </row>
    <row r="6364" spans="3:10" hidden="1" x14ac:dyDescent="0.25">
      <c r="C6364" s="84"/>
      <c r="D6364" s="84"/>
      <c r="E6364" s="84"/>
      <c r="F6364" s="84"/>
      <c r="G6364" s="84"/>
      <c r="H6364" s="84"/>
      <c r="I6364" s="84"/>
      <c r="J6364" s="84"/>
    </row>
    <row r="6365" spans="3:10" hidden="1" x14ac:dyDescent="0.25">
      <c r="C6365" s="84"/>
      <c r="D6365" s="84"/>
      <c r="E6365" s="84"/>
      <c r="F6365" s="84"/>
      <c r="G6365" s="84"/>
      <c r="H6365" s="84"/>
      <c r="I6365" s="84"/>
      <c r="J6365" s="84"/>
    </row>
    <row r="6366" spans="3:10" hidden="1" x14ac:dyDescent="0.25">
      <c r="C6366" s="84"/>
      <c r="D6366" s="84"/>
      <c r="E6366" s="84"/>
      <c r="F6366" s="84"/>
      <c r="G6366" s="84"/>
      <c r="H6366" s="84"/>
      <c r="I6366" s="84"/>
      <c r="J6366" s="84"/>
    </row>
    <row r="6367" spans="3:10" hidden="1" x14ac:dyDescent="0.25">
      <c r="C6367" s="84"/>
      <c r="D6367" s="84"/>
      <c r="E6367" s="84"/>
      <c r="F6367" s="84"/>
      <c r="G6367" s="84"/>
      <c r="H6367" s="84"/>
      <c r="I6367" s="84"/>
      <c r="J6367" s="84"/>
    </row>
    <row r="6368" spans="3:10" hidden="1" x14ac:dyDescent="0.25">
      <c r="C6368" s="84"/>
      <c r="D6368" s="84"/>
      <c r="E6368" s="84"/>
      <c r="F6368" s="84"/>
      <c r="G6368" s="84"/>
      <c r="H6368" s="84"/>
      <c r="I6368" s="84"/>
      <c r="J6368" s="84"/>
    </row>
    <row r="6369" spans="3:10" hidden="1" x14ac:dyDescent="0.25">
      <c r="C6369" s="84"/>
      <c r="D6369" s="84"/>
      <c r="E6369" s="84"/>
      <c r="F6369" s="84"/>
      <c r="G6369" s="84"/>
      <c r="H6369" s="84"/>
      <c r="I6369" s="84"/>
      <c r="J6369" s="84"/>
    </row>
    <row r="6370" spans="3:10" hidden="1" x14ac:dyDescent="0.25">
      <c r="C6370" s="84"/>
      <c r="D6370" s="84"/>
      <c r="E6370" s="84"/>
      <c r="F6370" s="84"/>
      <c r="G6370" s="84"/>
      <c r="H6370" s="84"/>
      <c r="I6370" s="84"/>
      <c r="J6370" s="84"/>
    </row>
    <row r="6371" spans="3:10" hidden="1" x14ac:dyDescent="0.25">
      <c r="C6371" s="84"/>
      <c r="D6371" s="84"/>
      <c r="E6371" s="84"/>
      <c r="F6371" s="84"/>
      <c r="G6371" s="84"/>
      <c r="H6371" s="84"/>
      <c r="I6371" s="84"/>
      <c r="J6371" s="84"/>
    </row>
    <row r="6372" spans="3:10" hidden="1" x14ac:dyDescent="0.25">
      <c r="C6372" s="84"/>
      <c r="D6372" s="84"/>
      <c r="E6372" s="84"/>
      <c r="F6372" s="84"/>
      <c r="G6372" s="84"/>
      <c r="H6372" s="84"/>
      <c r="I6372" s="84"/>
      <c r="J6372" s="84"/>
    </row>
    <row r="6373" spans="3:10" hidden="1" x14ac:dyDescent="0.25">
      <c r="C6373" s="84"/>
      <c r="D6373" s="84"/>
      <c r="E6373" s="84"/>
      <c r="F6373" s="84"/>
      <c r="G6373" s="84"/>
      <c r="H6373" s="84"/>
      <c r="I6373" s="84"/>
      <c r="J6373" s="84"/>
    </row>
    <row r="6374" spans="3:10" hidden="1" x14ac:dyDescent="0.25">
      <c r="C6374" s="84"/>
      <c r="D6374" s="84"/>
      <c r="E6374" s="84"/>
      <c r="F6374" s="84"/>
      <c r="G6374" s="84"/>
      <c r="H6374" s="84"/>
      <c r="I6374" s="84"/>
      <c r="J6374" s="84"/>
    </row>
    <row r="6375" spans="3:10" hidden="1" x14ac:dyDescent="0.25">
      <c r="C6375" s="84"/>
      <c r="D6375" s="84"/>
      <c r="E6375" s="84"/>
      <c r="F6375" s="84"/>
      <c r="G6375" s="84"/>
      <c r="H6375" s="84"/>
      <c r="I6375" s="84"/>
      <c r="J6375" s="84"/>
    </row>
    <row r="6376" spans="3:10" hidden="1" x14ac:dyDescent="0.25">
      <c r="C6376" s="84"/>
      <c r="D6376" s="84"/>
      <c r="E6376" s="84"/>
      <c r="F6376" s="84"/>
      <c r="G6376" s="84"/>
      <c r="H6376" s="84"/>
      <c r="I6376" s="84"/>
      <c r="J6376" s="84"/>
    </row>
    <row r="6377" spans="3:10" hidden="1" x14ac:dyDescent="0.25">
      <c r="C6377" s="84"/>
      <c r="D6377" s="84"/>
      <c r="E6377" s="84"/>
      <c r="F6377" s="84"/>
      <c r="G6377" s="84"/>
      <c r="H6377" s="84"/>
      <c r="I6377" s="84"/>
      <c r="J6377" s="84"/>
    </row>
    <row r="6378" spans="3:10" hidden="1" x14ac:dyDescent="0.25">
      <c r="C6378" s="84"/>
      <c r="D6378" s="84"/>
      <c r="E6378" s="84"/>
      <c r="F6378" s="84"/>
      <c r="G6378" s="84"/>
      <c r="H6378" s="84"/>
      <c r="I6378" s="84"/>
      <c r="J6378" s="84"/>
    </row>
    <row r="6379" spans="3:10" hidden="1" x14ac:dyDescent="0.25">
      <c r="C6379" s="84"/>
      <c r="D6379" s="84"/>
      <c r="E6379" s="84"/>
      <c r="F6379" s="84"/>
      <c r="G6379" s="84"/>
      <c r="H6379" s="84"/>
      <c r="I6379" s="84"/>
      <c r="J6379" s="84"/>
    </row>
    <row r="6380" spans="3:10" hidden="1" x14ac:dyDescent="0.25">
      <c r="C6380" s="84"/>
      <c r="D6380" s="84"/>
      <c r="E6380" s="84"/>
      <c r="F6380" s="84"/>
      <c r="G6380" s="84"/>
      <c r="H6380" s="84"/>
      <c r="I6380" s="84"/>
      <c r="J6380" s="84"/>
    </row>
    <row r="6381" spans="3:10" hidden="1" x14ac:dyDescent="0.25">
      <c r="C6381" s="84"/>
      <c r="D6381" s="84"/>
      <c r="E6381" s="84"/>
      <c r="F6381" s="84"/>
      <c r="G6381" s="84"/>
      <c r="H6381" s="84"/>
      <c r="I6381" s="84"/>
      <c r="J6381" s="84"/>
    </row>
    <row r="6382" spans="3:10" hidden="1" x14ac:dyDescent="0.25">
      <c r="C6382" s="84"/>
      <c r="D6382" s="84"/>
      <c r="E6382" s="84"/>
      <c r="F6382" s="84"/>
      <c r="G6382" s="84"/>
      <c r="H6382" s="84"/>
      <c r="I6382" s="84"/>
      <c r="J6382" s="84"/>
    </row>
    <row r="6383" spans="3:10" hidden="1" x14ac:dyDescent="0.25">
      <c r="C6383" s="84"/>
      <c r="D6383" s="84"/>
      <c r="E6383" s="84"/>
      <c r="F6383" s="84"/>
      <c r="G6383" s="84"/>
      <c r="H6383" s="84"/>
      <c r="I6383" s="84"/>
      <c r="J6383" s="84"/>
    </row>
    <row r="6384" spans="3:10" hidden="1" x14ac:dyDescent="0.25">
      <c r="C6384" s="84"/>
      <c r="D6384" s="84"/>
      <c r="E6384" s="84"/>
      <c r="F6384" s="84"/>
      <c r="G6384" s="84"/>
      <c r="H6384" s="84"/>
      <c r="I6384" s="84"/>
      <c r="J6384" s="84"/>
    </row>
    <row r="6385" spans="1:25" hidden="1" x14ac:dyDescent="0.25">
      <c r="C6385" s="84"/>
      <c r="D6385" s="84"/>
      <c r="E6385" s="84"/>
      <c r="F6385" s="84"/>
      <c r="G6385" s="84"/>
      <c r="H6385" s="84"/>
      <c r="I6385" s="84"/>
      <c r="J6385" s="84"/>
    </row>
    <row r="6386" spans="1:25" hidden="1" x14ac:dyDescent="0.25">
      <c r="C6386" s="84"/>
      <c r="D6386" s="84"/>
      <c r="E6386" s="84"/>
      <c r="F6386" s="84"/>
      <c r="G6386" s="84"/>
      <c r="H6386" s="84"/>
      <c r="I6386" s="84"/>
      <c r="J6386" s="84"/>
    </row>
    <row r="6387" spans="1:25" hidden="1" x14ac:dyDescent="0.25">
      <c r="C6387" s="84"/>
      <c r="D6387" s="84"/>
      <c r="E6387" s="84"/>
      <c r="F6387" s="84"/>
      <c r="G6387" s="84"/>
      <c r="H6387" s="84"/>
      <c r="I6387" s="84"/>
      <c r="J6387" s="84"/>
    </row>
    <row r="6388" spans="1:25" hidden="1" x14ac:dyDescent="0.25">
      <c r="C6388" s="84"/>
      <c r="D6388" s="84"/>
      <c r="E6388" s="84"/>
      <c r="F6388" s="84"/>
      <c r="G6388" s="84"/>
      <c r="H6388" s="84"/>
      <c r="I6388" s="84"/>
      <c r="J6388" s="84"/>
    </row>
    <row r="6389" spans="1:25" hidden="1" x14ac:dyDescent="0.25">
      <c r="C6389" s="84"/>
      <c r="D6389" s="84"/>
      <c r="E6389" s="84"/>
      <c r="F6389" s="84"/>
      <c r="G6389" s="84"/>
      <c r="H6389" s="84"/>
      <c r="I6389" s="84"/>
      <c r="J6389" s="84"/>
    </row>
    <row r="6390" spans="1:25" hidden="1" x14ac:dyDescent="0.25">
      <c r="C6390" s="84"/>
      <c r="D6390" s="84"/>
      <c r="E6390" s="84"/>
      <c r="F6390" s="84"/>
      <c r="G6390" s="84"/>
      <c r="H6390" s="84"/>
      <c r="I6390" s="84"/>
      <c r="J6390" s="84"/>
    </row>
    <row r="6391" spans="1:25" hidden="1" x14ac:dyDescent="0.25">
      <c r="C6391" s="84"/>
      <c r="D6391" s="84"/>
      <c r="E6391" s="84"/>
      <c r="F6391" s="84"/>
      <c r="G6391" s="84"/>
      <c r="H6391" s="84"/>
      <c r="I6391" s="84"/>
      <c r="J6391" s="84"/>
    </row>
    <row r="6392" spans="1:25" hidden="1" x14ac:dyDescent="0.25">
      <c r="C6392" s="84"/>
      <c r="D6392" s="84"/>
      <c r="E6392" s="84"/>
      <c r="F6392" s="84"/>
      <c r="G6392" s="84"/>
      <c r="H6392" s="84"/>
      <c r="I6392" s="84"/>
      <c r="J6392" s="84"/>
    </row>
    <row r="6393" spans="1:25" hidden="1" x14ac:dyDescent="0.25">
      <c r="C6393" s="84"/>
      <c r="D6393" s="84"/>
      <c r="E6393" s="84"/>
      <c r="F6393" s="84"/>
      <c r="G6393" s="84"/>
      <c r="H6393" s="84"/>
      <c r="I6393" s="84"/>
      <c r="J6393" s="84"/>
    </row>
    <row r="6394" spans="1:25" hidden="1" x14ac:dyDescent="0.25">
      <c r="C6394" s="84"/>
      <c r="D6394" s="84"/>
      <c r="E6394" s="84"/>
      <c r="F6394" s="84"/>
      <c r="G6394" s="84"/>
      <c r="H6394" s="84"/>
      <c r="I6394" s="84"/>
      <c r="J6394" s="84"/>
    </row>
    <row r="6395" spans="1:25" hidden="1" x14ac:dyDescent="0.25">
      <c r="C6395" s="84"/>
      <c r="D6395" s="84"/>
      <c r="E6395" s="84"/>
      <c r="F6395" s="84"/>
      <c r="G6395" s="84"/>
      <c r="H6395" s="84"/>
      <c r="I6395" s="84"/>
      <c r="J6395" s="84"/>
    </row>
    <row r="6396" spans="1:25" hidden="1" x14ac:dyDescent="0.25">
      <c r="C6396" s="84"/>
      <c r="D6396" s="84"/>
      <c r="E6396" s="84"/>
      <c r="F6396" s="84"/>
      <c r="G6396" s="84"/>
      <c r="H6396" s="84"/>
      <c r="I6396" s="84"/>
      <c r="J6396" s="84"/>
    </row>
    <row r="6397" spans="1:25" s="339" customFormat="1" hidden="1" x14ac:dyDescent="0.25">
      <c r="A6397" s="305"/>
      <c r="B6397" s="305"/>
      <c r="K6397" s="537"/>
      <c r="L6397" s="537"/>
      <c r="M6397" s="537"/>
      <c r="N6397" s="537"/>
      <c r="O6397" s="537"/>
      <c r="P6397" s="537"/>
      <c r="Q6397" s="537"/>
      <c r="R6397" s="537"/>
      <c r="S6397" s="537"/>
      <c r="T6397" s="537"/>
      <c r="U6397" s="537"/>
      <c r="V6397" s="537"/>
      <c r="W6397" s="537"/>
      <c r="X6397" s="537"/>
      <c r="Y6397" s="537"/>
    </row>
    <row r="6398" spans="1:25" hidden="1" x14ac:dyDescent="0.25">
      <c r="C6398" s="84"/>
      <c r="D6398" s="84"/>
      <c r="E6398" s="84"/>
      <c r="F6398" s="84"/>
      <c r="G6398" s="84"/>
      <c r="H6398" s="84"/>
      <c r="I6398" s="84"/>
      <c r="J6398" s="84"/>
    </row>
    <row r="6399" spans="1:25" hidden="1" x14ac:dyDescent="0.25">
      <c r="C6399" s="84"/>
      <c r="D6399" s="84"/>
      <c r="E6399" s="84"/>
      <c r="F6399" s="84"/>
      <c r="G6399" s="84"/>
      <c r="H6399" s="84"/>
      <c r="I6399" s="84"/>
      <c r="J6399" s="84"/>
    </row>
    <row r="6400" spans="1:25" hidden="1" x14ac:dyDescent="0.25">
      <c r="C6400" s="84"/>
      <c r="D6400" s="84"/>
      <c r="E6400" s="84"/>
      <c r="F6400" s="84"/>
      <c r="G6400" s="84"/>
      <c r="H6400" s="84"/>
      <c r="I6400" s="84"/>
      <c r="J6400" s="84"/>
    </row>
    <row r="6401" spans="3:14" hidden="1" x14ac:dyDescent="0.25">
      <c r="C6401" s="84"/>
      <c r="D6401" s="84"/>
      <c r="E6401" s="84"/>
      <c r="F6401" s="84"/>
      <c r="G6401" s="84"/>
      <c r="H6401" s="84"/>
      <c r="I6401" s="84"/>
      <c r="J6401" s="84"/>
    </row>
    <row r="6402" spans="3:14" hidden="1" x14ac:dyDescent="0.25">
      <c r="C6402" s="84"/>
      <c r="D6402" s="84"/>
      <c r="E6402" s="84"/>
      <c r="F6402" s="84"/>
      <c r="G6402" s="84"/>
      <c r="H6402" s="84"/>
      <c r="I6402" s="84"/>
      <c r="J6402" s="84"/>
    </row>
    <row r="6403" spans="3:14" hidden="1" x14ac:dyDescent="0.25">
      <c r="C6403" s="84"/>
      <c r="D6403" s="84"/>
      <c r="E6403" s="84"/>
      <c r="F6403" s="84"/>
      <c r="G6403" s="84"/>
      <c r="H6403" s="84"/>
      <c r="I6403" s="84"/>
      <c r="J6403" s="84"/>
      <c r="L6403" s="222"/>
      <c r="M6403" s="222"/>
      <c r="N6403" s="273"/>
    </row>
    <row r="6404" spans="3:14" hidden="1" x14ac:dyDescent="0.25">
      <c r="C6404" s="84"/>
      <c r="D6404" s="84"/>
      <c r="E6404" s="84"/>
      <c r="F6404" s="84"/>
      <c r="G6404" s="84"/>
      <c r="H6404" s="84"/>
      <c r="I6404" s="84"/>
      <c r="J6404" s="84"/>
    </row>
    <row r="6405" spans="3:14" hidden="1" x14ac:dyDescent="0.25">
      <c r="C6405" s="84"/>
      <c r="D6405" s="84"/>
      <c r="E6405" s="84"/>
      <c r="F6405" s="84"/>
      <c r="G6405" s="84"/>
      <c r="H6405" s="84"/>
      <c r="I6405" s="84"/>
      <c r="J6405" s="84"/>
    </row>
    <row r="6406" spans="3:14" hidden="1" x14ac:dyDescent="0.25">
      <c r="C6406" s="84"/>
      <c r="D6406" s="84"/>
      <c r="E6406" s="84"/>
      <c r="F6406" s="84"/>
      <c r="G6406" s="84"/>
      <c r="H6406" s="84"/>
      <c r="I6406" s="84"/>
      <c r="J6406" s="84"/>
    </row>
    <row r="6407" spans="3:14" hidden="1" x14ac:dyDescent="0.25">
      <c r="C6407" s="84"/>
      <c r="D6407" s="84"/>
      <c r="E6407" s="84"/>
      <c r="F6407" s="84"/>
      <c r="G6407" s="84"/>
      <c r="H6407" s="84"/>
      <c r="I6407" s="84"/>
      <c r="J6407" s="84"/>
    </row>
    <row r="6408" spans="3:14" hidden="1" x14ac:dyDescent="0.25">
      <c r="C6408" s="84"/>
      <c r="D6408" s="84"/>
      <c r="E6408" s="84"/>
      <c r="F6408" s="84"/>
      <c r="G6408" s="84"/>
      <c r="H6408" s="84"/>
      <c r="I6408" s="84"/>
      <c r="J6408" s="84"/>
    </row>
    <row r="6409" spans="3:14" hidden="1" x14ac:dyDescent="0.25">
      <c r="C6409" s="84"/>
      <c r="D6409" s="84"/>
      <c r="E6409" s="84"/>
      <c r="F6409" s="84"/>
      <c r="G6409" s="84"/>
      <c r="H6409" s="84"/>
      <c r="I6409" s="84"/>
      <c r="J6409" s="84"/>
    </row>
    <row r="6410" spans="3:14" hidden="1" x14ac:dyDescent="0.25">
      <c r="C6410" s="84"/>
      <c r="D6410" s="84"/>
      <c r="E6410" s="84"/>
      <c r="F6410" s="84"/>
      <c r="G6410" s="84"/>
      <c r="H6410" s="84"/>
      <c r="I6410" s="84"/>
      <c r="J6410" s="84"/>
    </row>
    <row r="6411" spans="3:14" hidden="1" x14ac:dyDescent="0.25">
      <c r="C6411" s="84"/>
      <c r="D6411" s="84"/>
      <c r="E6411" s="84"/>
      <c r="F6411" s="84"/>
      <c r="G6411" s="84"/>
      <c r="H6411" s="84"/>
      <c r="I6411" s="84"/>
      <c r="J6411" s="84"/>
    </row>
    <row r="6412" spans="3:14" hidden="1" x14ac:dyDescent="0.25">
      <c r="C6412" s="84"/>
      <c r="D6412" s="84"/>
      <c r="E6412" s="84"/>
      <c r="F6412" s="84"/>
      <c r="G6412" s="84"/>
      <c r="H6412" s="84"/>
      <c r="I6412" s="84"/>
      <c r="J6412" s="84"/>
    </row>
    <row r="6413" spans="3:14" hidden="1" x14ac:dyDescent="0.25">
      <c r="C6413" s="84"/>
      <c r="D6413" s="84"/>
      <c r="E6413" s="84"/>
      <c r="F6413" s="84"/>
      <c r="G6413" s="84"/>
      <c r="H6413" s="84"/>
      <c r="I6413" s="84"/>
      <c r="J6413" s="84"/>
    </row>
    <row r="6414" spans="3:14" hidden="1" x14ac:dyDescent="0.25">
      <c r="C6414" s="84"/>
      <c r="D6414" s="84"/>
      <c r="E6414" s="84"/>
      <c r="F6414" s="84"/>
      <c r="G6414" s="84"/>
      <c r="H6414" s="84"/>
      <c r="I6414" s="84"/>
      <c r="J6414" s="84"/>
    </row>
    <row r="6415" spans="3:14" hidden="1" x14ac:dyDescent="0.25">
      <c r="C6415" s="84"/>
      <c r="D6415" s="84"/>
      <c r="E6415" s="84"/>
      <c r="F6415" s="84"/>
      <c r="G6415" s="84"/>
      <c r="H6415" s="84"/>
      <c r="I6415" s="84"/>
      <c r="J6415" s="84"/>
    </row>
    <row r="6416" spans="3:14" hidden="1" x14ac:dyDescent="0.25">
      <c r="C6416" s="84"/>
      <c r="D6416" s="84"/>
      <c r="E6416" s="84"/>
      <c r="F6416" s="84"/>
      <c r="G6416" s="84"/>
      <c r="H6416" s="84"/>
      <c r="I6416" s="84"/>
      <c r="J6416" s="84"/>
    </row>
    <row r="6417" spans="3:10" hidden="1" x14ac:dyDescent="0.25">
      <c r="C6417" s="84"/>
      <c r="D6417" s="84"/>
      <c r="E6417" s="84"/>
      <c r="F6417" s="84"/>
      <c r="G6417" s="84"/>
      <c r="H6417" s="84"/>
      <c r="I6417" s="84"/>
      <c r="J6417" s="84"/>
    </row>
    <row r="6418" spans="3:10" hidden="1" x14ac:dyDescent="0.25">
      <c r="C6418" s="84"/>
      <c r="D6418" s="84"/>
      <c r="E6418" s="84"/>
      <c r="F6418" s="84"/>
      <c r="G6418" s="84"/>
      <c r="H6418" s="84"/>
      <c r="I6418" s="84"/>
      <c r="J6418" s="84"/>
    </row>
    <row r="6419" spans="3:10" hidden="1" x14ac:dyDescent="0.25">
      <c r="C6419" s="84"/>
      <c r="D6419" s="84"/>
      <c r="E6419" s="84"/>
      <c r="F6419" s="84"/>
      <c r="G6419" s="84"/>
      <c r="H6419" s="84"/>
      <c r="I6419" s="84"/>
      <c r="J6419" s="84"/>
    </row>
    <row r="6420" spans="3:10" hidden="1" x14ac:dyDescent="0.25">
      <c r="C6420" s="84"/>
      <c r="D6420" s="84"/>
      <c r="E6420" s="84"/>
      <c r="F6420" s="84"/>
      <c r="G6420" s="84"/>
      <c r="H6420" s="84"/>
      <c r="I6420" s="84"/>
      <c r="J6420" s="84"/>
    </row>
    <row r="6421" spans="3:10" hidden="1" x14ac:dyDescent="0.25">
      <c r="C6421" s="84"/>
      <c r="D6421" s="84"/>
      <c r="E6421" s="84"/>
      <c r="F6421" s="84"/>
      <c r="G6421" s="84"/>
      <c r="H6421" s="84"/>
      <c r="I6421" s="84"/>
      <c r="J6421" s="84"/>
    </row>
    <row r="6422" spans="3:10" hidden="1" x14ac:dyDescent="0.25">
      <c r="C6422" s="84"/>
      <c r="D6422" s="84"/>
      <c r="E6422" s="84"/>
      <c r="F6422" s="84"/>
      <c r="G6422" s="84"/>
      <c r="H6422" s="84"/>
      <c r="I6422" s="84"/>
      <c r="J6422" s="84"/>
    </row>
    <row r="6423" spans="3:10" hidden="1" x14ac:dyDescent="0.25">
      <c r="C6423" s="84"/>
      <c r="D6423" s="84"/>
      <c r="E6423" s="84"/>
      <c r="F6423" s="84"/>
      <c r="G6423" s="84"/>
      <c r="H6423" s="84"/>
      <c r="I6423" s="84"/>
      <c r="J6423" s="84"/>
    </row>
    <row r="6424" spans="3:10" hidden="1" x14ac:dyDescent="0.25">
      <c r="C6424" s="84"/>
      <c r="D6424" s="84"/>
      <c r="E6424" s="84"/>
      <c r="F6424" s="84"/>
      <c r="G6424" s="84"/>
      <c r="H6424" s="84"/>
      <c r="I6424" s="84"/>
      <c r="J6424" s="84"/>
    </row>
    <row r="6425" spans="3:10" hidden="1" x14ac:dyDescent="0.25">
      <c r="C6425" s="84"/>
      <c r="D6425" s="84"/>
      <c r="E6425" s="84"/>
      <c r="F6425" s="84"/>
      <c r="G6425" s="84"/>
      <c r="H6425" s="84"/>
      <c r="I6425" s="84"/>
      <c r="J6425" s="84"/>
    </row>
    <row r="6426" spans="3:10" hidden="1" x14ac:dyDescent="0.25">
      <c r="C6426" s="84"/>
      <c r="D6426" s="84"/>
      <c r="E6426" s="84"/>
      <c r="F6426" s="84"/>
      <c r="G6426" s="84"/>
      <c r="H6426" s="84"/>
      <c r="I6426" s="84"/>
      <c r="J6426" s="84"/>
    </row>
    <row r="6427" spans="3:10" hidden="1" x14ac:dyDescent="0.25">
      <c r="C6427" s="84"/>
      <c r="D6427" s="84"/>
      <c r="E6427" s="84"/>
      <c r="F6427" s="84"/>
      <c r="G6427" s="84"/>
      <c r="H6427" s="84"/>
      <c r="I6427" s="84"/>
      <c r="J6427" s="84"/>
    </row>
    <row r="6428" spans="3:10" hidden="1" x14ac:dyDescent="0.25">
      <c r="C6428" s="84"/>
      <c r="D6428" s="84"/>
      <c r="E6428" s="84"/>
      <c r="F6428" s="84"/>
      <c r="G6428" s="84"/>
      <c r="H6428" s="84"/>
      <c r="I6428" s="84"/>
      <c r="J6428" s="84"/>
    </row>
    <row r="6429" spans="3:10" hidden="1" x14ac:dyDescent="0.25">
      <c r="C6429" s="84"/>
      <c r="D6429" s="84"/>
      <c r="E6429" s="84"/>
      <c r="F6429" s="84"/>
      <c r="G6429" s="84"/>
      <c r="H6429" s="84"/>
      <c r="I6429" s="84"/>
      <c r="J6429" s="84"/>
    </row>
    <row r="6430" spans="3:10" hidden="1" x14ac:dyDescent="0.25">
      <c r="C6430" s="84"/>
      <c r="D6430" s="84"/>
      <c r="E6430" s="84"/>
      <c r="F6430" s="84"/>
      <c r="G6430" s="84"/>
      <c r="H6430" s="84"/>
      <c r="I6430" s="84"/>
      <c r="J6430" s="84"/>
    </row>
    <row r="6431" spans="3:10" hidden="1" x14ac:dyDescent="0.25">
      <c r="C6431" s="84"/>
      <c r="D6431" s="84"/>
      <c r="E6431" s="84"/>
      <c r="F6431" s="84"/>
      <c r="G6431" s="84"/>
      <c r="H6431" s="84"/>
      <c r="I6431" s="84"/>
      <c r="J6431" s="84"/>
    </row>
    <row r="6432" spans="3:10" hidden="1" x14ac:dyDescent="0.25">
      <c r="C6432" s="84"/>
      <c r="D6432" s="84"/>
      <c r="E6432" s="84"/>
      <c r="F6432" s="84"/>
      <c r="G6432" s="84"/>
      <c r="H6432" s="84"/>
      <c r="I6432" s="84"/>
      <c r="J6432" s="84"/>
    </row>
    <row r="6433" spans="3:10" hidden="1" x14ac:dyDescent="0.25">
      <c r="C6433" s="84"/>
      <c r="D6433" s="84"/>
      <c r="E6433" s="84"/>
      <c r="F6433" s="84"/>
      <c r="G6433" s="84"/>
      <c r="H6433" s="84"/>
      <c r="I6433" s="84"/>
      <c r="J6433" s="84"/>
    </row>
    <row r="6434" spans="3:10" hidden="1" x14ac:dyDescent="0.25">
      <c r="C6434" s="84"/>
      <c r="D6434" s="84"/>
      <c r="E6434" s="84"/>
      <c r="F6434" s="84"/>
      <c r="G6434" s="84"/>
      <c r="H6434" s="84"/>
      <c r="I6434" s="84"/>
      <c r="J6434" s="84"/>
    </row>
    <row r="6435" spans="3:10" hidden="1" x14ac:dyDescent="0.25">
      <c r="C6435" s="84"/>
      <c r="D6435" s="84"/>
      <c r="E6435" s="84"/>
      <c r="F6435" s="84"/>
      <c r="G6435" s="84"/>
      <c r="H6435" s="84"/>
      <c r="I6435" s="84"/>
      <c r="J6435" s="84"/>
    </row>
    <row r="6436" spans="3:10" hidden="1" x14ac:dyDescent="0.25">
      <c r="C6436" s="84"/>
      <c r="D6436" s="84"/>
      <c r="E6436" s="84"/>
      <c r="F6436" s="84"/>
      <c r="G6436" s="84"/>
      <c r="H6436" s="84"/>
      <c r="I6436" s="84"/>
      <c r="J6436" s="84"/>
    </row>
    <row r="6437" spans="3:10" hidden="1" x14ac:dyDescent="0.25">
      <c r="C6437" s="84"/>
      <c r="D6437" s="84"/>
      <c r="E6437" s="84"/>
      <c r="F6437" s="84"/>
      <c r="G6437" s="84"/>
      <c r="H6437" s="84"/>
      <c r="I6437" s="84"/>
      <c r="J6437" s="84"/>
    </row>
    <row r="6438" spans="3:10" hidden="1" x14ac:dyDescent="0.25">
      <c r="C6438" s="84"/>
      <c r="D6438" s="84"/>
      <c r="E6438" s="84"/>
      <c r="F6438" s="84"/>
      <c r="G6438" s="84"/>
      <c r="H6438" s="84"/>
      <c r="I6438" s="84"/>
      <c r="J6438" s="84"/>
    </row>
    <row r="6439" spans="3:10" hidden="1" x14ac:dyDescent="0.25">
      <c r="C6439" s="84"/>
      <c r="D6439" s="84"/>
      <c r="E6439" s="84"/>
      <c r="F6439" s="84"/>
      <c r="G6439" s="84"/>
      <c r="H6439" s="84"/>
      <c r="I6439" s="84"/>
      <c r="J6439" s="84"/>
    </row>
    <row r="6440" spans="3:10" hidden="1" x14ac:dyDescent="0.25">
      <c r="C6440" s="84"/>
      <c r="D6440" s="84"/>
      <c r="E6440" s="84"/>
      <c r="F6440" s="84"/>
      <c r="G6440" s="84"/>
      <c r="H6440" s="84"/>
      <c r="I6440" s="84"/>
      <c r="J6440" s="84"/>
    </row>
    <row r="6441" spans="3:10" hidden="1" x14ac:dyDescent="0.25">
      <c r="C6441" s="84"/>
      <c r="D6441" s="84"/>
      <c r="E6441" s="84"/>
      <c r="F6441" s="84"/>
      <c r="G6441" s="84"/>
      <c r="H6441" s="84"/>
      <c r="I6441" s="84"/>
      <c r="J6441" s="84"/>
    </row>
    <row r="6442" spans="3:10" hidden="1" x14ac:dyDescent="0.25">
      <c r="C6442" s="84"/>
      <c r="D6442" s="84"/>
      <c r="E6442" s="84"/>
      <c r="F6442" s="84"/>
      <c r="G6442" s="84"/>
      <c r="H6442" s="84"/>
      <c r="I6442" s="84"/>
      <c r="J6442" s="84"/>
    </row>
    <row r="6443" spans="3:10" hidden="1" x14ac:dyDescent="0.25">
      <c r="C6443" s="84"/>
      <c r="D6443" s="84"/>
      <c r="E6443" s="84"/>
      <c r="F6443" s="84"/>
      <c r="G6443" s="84"/>
      <c r="H6443" s="84"/>
      <c r="I6443" s="84"/>
      <c r="J6443" s="84"/>
    </row>
    <row r="6444" spans="3:10" hidden="1" x14ac:dyDescent="0.25">
      <c r="C6444" s="84"/>
      <c r="D6444" s="84"/>
      <c r="E6444" s="84"/>
      <c r="F6444" s="84"/>
      <c r="G6444" s="84"/>
      <c r="H6444" s="84"/>
      <c r="I6444" s="84"/>
      <c r="J6444" s="84"/>
    </row>
    <row r="6445" spans="3:10" hidden="1" x14ac:dyDescent="0.25">
      <c r="C6445" s="84"/>
      <c r="D6445" s="84"/>
      <c r="E6445" s="84"/>
      <c r="F6445" s="84"/>
      <c r="G6445" s="84"/>
      <c r="H6445" s="84"/>
      <c r="I6445" s="84"/>
      <c r="J6445" s="84"/>
    </row>
    <row r="6446" spans="3:10" hidden="1" x14ac:dyDescent="0.25">
      <c r="C6446" s="84"/>
      <c r="D6446" s="84"/>
      <c r="E6446" s="84"/>
      <c r="F6446" s="84"/>
      <c r="G6446" s="84"/>
      <c r="H6446" s="84"/>
      <c r="I6446" s="84"/>
      <c r="J6446" s="84"/>
    </row>
    <row r="6447" spans="3:10" hidden="1" x14ac:dyDescent="0.25">
      <c r="C6447" s="84"/>
      <c r="D6447" s="84"/>
      <c r="E6447" s="84"/>
      <c r="F6447" s="84"/>
      <c r="G6447" s="84"/>
      <c r="H6447" s="84"/>
      <c r="I6447" s="84"/>
      <c r="J6447" s="84"/>
    </row>
    <row r="6448" spans="3:10" hidden="1" x14ac:dyDescent="0.25">
      <c r="C6448" s="84"/>
      <c r="D6448" s="84"/>
      <c r="E6448" s="84"/>
      <c r="F6448" s="84"/>
      <c r="G6448" s="84"/>
      <c r="H6448" s="84"/>
      <c r="I6448" s="84"/>
      <c r="J6448" s="84"/>
    </row>
    <row r="6449" spans="3:10" hidden="1" x14ac:dyDescent="0.25">
      <c r="C6449" s="84"/>
      <c r="D6449" s="84"/>
      <c r="E6449" s="84"/>
      <c r="F6449" s="84"/>
      <c r="G6449" s="84"/>
      <c r="H6449" s="84"/>
      <c r="I6449" s="84"/>
      <c r="J6449" s="84"/>
    </row>
    <row r="6450" spans="3:10" hidden="1" x14ac:dyDescent="0.25">
      <c r="C6450" s="84"/>
      <c r="D6450" s="84"/>
      <c r="E6450" s="84"/>
      <c r="F6450" s="84"/>
      <c r="G6450" s="84"/>
      <c r="H6450" s="84"/>
      <c r="I6450" s="84"/>
      <c r="J6450" s="84"/>
    </row>
    <row r="6451" spans="3:10" hidden="1" x14ac:dyDescent="0.25">
      <c r="C6451" s="84"/>
      <c r="D6451" s="84"/>
      <c r="E6451" s="84"/>
      <c r="F6451" s="84"/>
      <c r="G6451" s="84"/>
      <c r="H6451" s="84"/>
      <c r="I6451" s="84"/>
      <c r="J6451" s="84"/>
    </row>
    <row r="6452" spans="3:10" hidden="1" x14ac:dyDescent="0.25">
      <c r="C6452" s="84"/>
      <c r="D6452" s="84"/>
      <c r="E6452" s="84"/>
      <c r="F6452" s="84"/>
      <c r="G6452" s="84"/>
      <c r="H6452" s="84"/>
      <c r="I6452" s="84"/>
      <c r="J6452" s="84"/>
    </row>
    <row r="6453" spans="3:10" hidden="1" x14ac:dyDescent="0.25">
      <c r="C6453" s="84"/>
      <c r="D6453" s="84"/>
      <c r="E6453" s="84"/>
      <c r="F6453" s="84"/>
      <c r="G6453" s="84"/>
      <c r="H6453" s="84"/>
      <c r="I6453" s="84"/>
      <c r="J6453" s="84"/>
    </row>
    <row r="6454" spans="3:10" hidden="1" x14ac:dyDescent="0.25">
      <c r="C6454" s="84"/>
      <c r="D6454" s="84"/>
      <c r="E6454" s="84"/>
      <c r="F6454" s="84"/>
      <c r="G6454" s="84"/>
      <c r="H6454" s="84"/>
      <c r="I6454" s="84"/>
      <c r="J6454" s="84"/>
    </row>
    <row r="6455" spans="3:10" hidden="1" x14ac:dyDescent="0.25">
      <c r="C6455" s="84"/>
      <c r="D6455" s="84"/>
      <c r="E6455" s="84"/>
      <c r="F6455" s="84"/>
      <c r="G6455" s="84"/>
      <c r="H6455" s="84"/>
      <c r="I6455" s="84"/>
      <c r="J6455" s="84"/>
    </row>
    <row r="6456" spans="3:10" hidden="1" x14ac:dyDescent="0.25">
      <c r="C6456" s="84"/>
      <c r="D6456" s="84"/>
      <c r="E6456" s="84"/>
      <c r="F6456" s="84"/>
      <c r="G6456" s="84"/>
      <c r="H6456" s="84"/>
      <c r="I6456" s="84"/>
      <c r="J6456" s="84"/>
    </row>
    <row r="6457" spans="3:10" hidden="1" x14ac:dyDescent="0.25">
      <c r="C6457" s="84"/>
      <c r="D6457" s="84"/>
      <c r="E6457" s="84"/>
      <c r="F6457" s="84"/>
      <c r="G6457" s="84"/>
      <c r="H6457" s="84"/>
      <c r="I6457" s="84"/>
      <c r="J6457" s="84"/>
    </row>
    <row r="6458" spans="3:10" hidden="1" x14ac:dyDescent="0.25">
      <c r="C6458" s="84"/>
      <c r="D6458" s="84"/>
      <c r="E6458" s="84"/>
      <c r="F6458" s="84"/>
      <c r="G6458" s="84"/>
      <c r="H6458" s="84"/>
      <c r="I6458" s="84"/>
      <c r="J6458" s="84"/>
    </row>
    <row r="6459" spans="3:10" hidden="1" x14ac:dyDescent="0.25">
      <c r="C6459" s="84"/>
      <c r="D6459" s="84"/>
      <c r="E6459" s="84"/>
      <c r="F6459" s="84"/>
      <c r="G6459" s="84"/>
      <c r="H6459" s="84"/>
      <c r="I6459" s="84"/>
      <c r="J6459" s="84"/>
    </row>
    <row r="6460" spans="3:10" hidden="1" x14ac:dyDescent="0.25">
      <c r="C6460" s="84"/>
      <c r="D6460" s="84"/>
      <c r="E6460" s="84"/>
      <c r="F6460" s="84"/>
      <c r="G6460" s="84"/>
      <c r="H6460" s="84"/>
      <c r="I6460" s="84"/>
      <c r="J6460" s="84"/>
    </row>
    <row r="6461" spans="3:10" hidden="1" x14ac:dyDescent="0.25">
      <c r="C6461" s="84"/>
      <c r="D6461" s="84"/>
      <c r="E6461" s="84"/>
      <c r="F6461" s="84"/>
      <c r="G6461" s="84"/>
      <c r="H6461" s="84"/>
      <c r="I6461" s="84"/>
      <c r="J6461" s="84"/>
    </row>
    <row r="6462" spans="3:10" hidden="1" x14ac:dyDescent="0.25">
      <c r="C6462" s="84"/>
      <c r="D6462" s="84"/>
      <c r="E6462" s="84"/>
      <c r="F6462" s="84"/>
      <c r="G6462" s="84"/>
      <c r="H6462" s="84"/>
      <c r="I6462" s="84"/>
      <c r="J6462" s="84"/>
    </row>
    <row r="6463" spans="3:10" hidden="1" x14ac:dyDescent="0.25">
      <c r="C6463" s="84"/>
      <c r="D6463" s="84"/>
      <c r="E6463" s="84"/>
      <c r="F6463" s="84"/>
      <c r="G6463" s="84"/>
      <c r="H6463" s="84"/>
      <c r="I6463" s="84"/>
      <c r="J6463" s="84"/>
    </row>
    <row r="6464" spans="3:10" hidden="1" x14ac:dyDescent="0.25">
      <c r="C6464" s="84"/>
      <c r="D6464" s="84"/>
      <c r="E6464" s="84"/>
      <c r="F6464" s="84"/>
      <c r="G6464" s="84"/>
      <c r="H6464" s="84"/>
      <c r="I6464" s="84"/>
      <c r="J6464" s="84"/>
    </row>
    <row r="6465" spans="3:10" hidden="1" x14ac:dyDescent="0.25">
      <c r="C6465" s="84"/>
      <c r="D6465" s="84"/>
      <c r="E6465" s="84"/>
      <c r="F6465" s="84"/>
      <c r="G6465" s="84"/>
      <c r="H6465" s="84"/>
      <c r="I6465" s="84"/>
      <c r="J6465" s="84"/>
    </row>
    <row r="6466" spans="3:10" hidden="1" x14ac:dyDescent="0.25">
      <c r="C6466" s="84"/>
      <c r="D6466" s="84"/>
      <c r="E6466" s="84"/>
      <c r="F6466" s="84"/>
      <c r="G6466" s="84"/>
      <c r="H6466" s="84"/>
      <c r="I6466" s="84"/>
      <c r="J6466" s="84"/>
    </row>
    <row r="6467" spans="3:10" hidden="1" x14ac:dyDescent="0.25">
      <c r="C6467" s="84"/>
      <c r="D6467" s="84"/>
      <c r="E6467" s="84"/>
      <c r="F6467" s="84"/>
      <c r="G6467" s="84"/>
      <c r="H6467" s="84"/>
      <c r="I6467" s="84"/>
      <c r="J6467" s="84"/>
    </row>
    <row r="6468" spans="3:10" hidden="1" x14ac:dyDescent="0.25">
      <c r="C6468" s="84"/>
      <c r="D6468" s="84"/>
      <c r="E6468" s="84"/>
      <c r="F6468" s="84"/>
      <c r="G6468" s="84"/>
      <c r="H6468" s="84"/>
      <c r="I6468" s="84"/>
      <c r="J6468" s="84"/>
    </row>
    <row r="6469" spans="3:10" hidden="1" x14ac:dyDescent="0.25">
      <c r="C6469" s="84"/>
      <c r="D6469" s="84"/>
      <c r="E6469" s="84"/>
      <c r="F6469" s="84"/>
      <c r="G6469" s="84"/>
      <c r="H6469" s="84"/>
      <c r="I6469" s="84"/>
      <c r="J6469" s="84"/>
    </row>
    <row r="6470" spans="3:10" hidden="1" x14ac:dyDescent="0.25">
      <c r="C6470" s="84"/>
      <c r="D6470" s="84"/>
      <c r="E6470" s="84"/>
      <c r="F6470" s="84"/>
      <c r="G6470" s="84"/>
      <c r="H6470" s="84"/>
      <c r="I6470" s="84"/>
      <c r="J6470" s="84"/>
    </row>
    <row r="6471" spans="3:10" hidden="1" x14ac:dyDescent="0.25">
      <c r="C6471" s="84"/>
      <c r="D6471" s="84"/>
      <c r="E6471" s="84"/>
      <c r="F6471" s="84"/>
      <c r="G6471" s="84"/>
      <c r="H6471" s="84"/>
      <c r="I6471" s="84"/>
      <c r="J6471" s="84"/>
    </row>
    <row r="6472" spans="3:10" hidden="1" x14ac:dyDescent="0.25">
      <c r="C6472" s="84"/>
      <c r="D6472" s="84"/>
      <c r="E6472" s="84"/>
      <c r="F6472" s="84"/>
      <c r="G6472" s="84"/>
      <c r="H6472" s="84"/>
      <c r="I6472" s="84"/>
      <c r="J6472" s="84"/>
    </row>
    <row r="6473" spans="3:10" hidden="1" x14ac:dyDescent="0.25">
      <c r="C6473" s="84"/>
      <c r="D6473" s="84"/>
      <c r="E6473" s="84"/>
      <c r="F6473" s="84"/>
      <c r="G6473" s="84"/>
      <c r="H6473" s="84"/>
      <c r="I6473" s="84"/>
      <c r="J6473" s="84"/>
    </row>
    <row r="6474" spans="3:10" hidden="1" x14ac:dyDescent="0.25">
      <c r="C6474" s="84"/>
      <c r="D6474" s="84"/>
      <c r="E6474" s="84"/>
      <c r="F6474" s="84"/>
      <c r="G6474" s="84"/>
      <c r="H6474" s="84"/>
      <c r="I6474" s="84"/>
      <c r="J6474" s="84"/>
    </row>
    <row r="6475" spans="3:10" hidden="1" x14ac:dyDescent="0.25">
      <c r="C6475" s="84"/>
      <c r="D6475" s="84"/>
      <c r="E6475" s="84"/>
      <c r="F6475" s="84"/>
      <c r="G6475" s="84"/>
      <c r="H6475" s="84"/>
      <c r="I6475" s="84"/>
      <c r="J6475" s="84"/>
    </row>
    <row r="6476" spans="3:10" hidden="1" x14ac:dyDescent="0.25">
      <c r="C6476" s="84"/>
      <c r="D6476" s="84"/>
      <c r="E6476" s="84"/>
      <c r="F6476" s="84"/>
      <c r="G6476" s="84"/>
      <c r="H6476" s="84"/>
      <c r="I6476" s="84"/>
      <c r="J6476" s="84"/>
    </row>
    <row r="6477" spans="3:10" hidden="1" x14ac:dyDescent="0.25">
      <c r="C6477" s="84"/>
      <c r="D6477" s="84"/>
      <c r="E6477" s="84"/>
      <c r="F6477" s="84"/>
      <c r="G6477" s="84"/>
      <c r="H6477" s="84"/>
      <c r="I6477" s="84"/>
      <c r="J6477" s="84"/>
    </row>
    <row r="6478" spans="3:10" hidden="1" x14ac:dyDescent="0.25">
      <c r="C6478" s="84"/>
      <c r="D6478" s="84"/>
      <c r="E6478" s="84"/>
      <c r="F6478" s="84"/>
      <c r="G6478" s="84"/>
      <c r="H6478" s="84"/>
      <c r="I6478" s="84"/>
      <c r="J6478" s="84"/>
    </row>
    <row r="6479" spans="3:10" hidden="1" x14ac:dyDescent="0.25">
      <c r="C6479" s="84"/>
      <c r="D6479" s="84"/>
      <c r="E6479" s="84"/>
      <c r="F6479" s="84"/>
      <c r="G6479" s="84"/>
      <c r="H6479" s="84"/>
      <c r="I6479" s="84"/>
      <c r="J6479" s="84"/>
    </row>
    <row r="6480" spans="3:10" hidden="1" x14ac:dyDescent="0.25">
      <c r="C6480" s="84"/>
      <c r="D6480" s="84"/>
      <c r="E6480" s="84"/>
      <c r="F6480" s="84"/>
      <c r="G6480" s="84"/>
      <c r="H6480" s="84"/>
      <c r="I6480" s="84"/>
      <c r="J6480" s="84"/>
    </row>
    <row r="6481" spans="3:10" hidden="1" x14ac:dyDescent="0.25">
      <c r="C6481" s="84"/>
      <c r="D6481" s="84"/>
      <c r="E6481" s="84"/>
      <c r="F6481" s="84"/>
      <c r="G6481" s="84"/>
      <c r="H6481" s="84"/>
      <c r="I6481" s="84"/>
      <c r="J6481" s="84"/>
    </row>
    <row r="6482" spans="3:10" hidden="1" x14ac:dyDescent="0.25">
      <c r="C6482" s="84"/>
      <c r="D6482" s="84"/>
      <c r="E6482" s="84"/>
      <c r="F6482" s="84"/>
      <c r="G6482" s="84"/>
      <c r="H6482" s="84"/>
      <c r="I6482" s="84"/>
      <c r="J6482" s="84"/>
    </row>
    <row r="6483" spans="3:10" hidden="1" x14ac:dyDescent="0.25">
      <c r="C6483" s="84"/>
      <c r="D6483" s="84"/>
      <c r="E6483" s="84"/>
      <c r="F6483" s="84"/>
      <c r="G6483" s="84"/>
      <c r="H6483" s="84"/>
      <c r="I6483" s="84"/>
      <c r="J6483" s="84"/>
    </row>
    <row r="6484" spans="3:10" hidden="1" x14ac:dyDescent="0.25">
      <c r="C6484" s="84"/>
      <c r="D6484" s="84"/>
      <c r="E6484" s="84"/>
      <c r="F6484" s="84"/>
      <c r="G6484" s="84"/>
      <c r="H6484" s="84"/>
      <c r="I6484" s="84"/>
      <c r="J6484" s="84"/>
    </row>
    <row r="6485" spans="3:10" hidden="1" x14ac:dyDescent="0.25">
      <c r="C6485" s="84"/>
      <c r="D6485" s="84"/>
      <c r="E6485" s="84"/>
      <c r="F6485" s="84"/>
      <c r="G6485" s="84"/>
      <c r="H6485" s="84"/>
      <c r="I6485" s="84"/>
      <c r="J6485" s="84"/>
    </row>
    <row r="6486" spans="3:10" hidden="1" x14ac:dyDescent="0.25">
      <c r="C6486" s="84"/>
      <c r="D6486" s="84"/>
      <c r="E6486" s="84"/>
      <c r="F6486" s="84"/>
      <c r="G6486" s="84"/>
      <c r="H6486" s="84"/>
      <c r="I6486" s="84"/>
      <c r="J6486" s="84"/>
    </row>
    <row r="6487" spans="3:10" hidden="1" x14ac:dyDescent="0.25">
      <c r="C6487" s="84"/>
      <c r="D6487" s="84"/>
      <c r="E6487" s="84"/>
      <c r="F6487" s="84"/>
      <c r="G6487" s="84"/>
      <c r="H6487" s="84"/>
      <c r="I6487" s="84"/>
      <c r="J6487" s="84"/>
    </row>
    <row r="6488" spans="3:10" hidden="1" x14ac:dyDescent="0.25">
      <c r="C6488" s="84"/>
      <c r="D6488" s="84"/>
      <c r="E6488" s="84"/>
      <c r="F6488" s="84"/>
      <c r="G6488" s="84"/>
      <c r="H6488" s="84"/>
      <c r="I6488" s="84"/>
      <c r="J6488" s="84"/>
    </row>
    <row r="6489" spans="3:10" hidden="1" x14ac:dyDescent="0.25">
      <c r="C6489" s="84"/>
      <c r="D6489" s="84"/>
      <c r="E6489" s="84"/>
      <c r="F6489" s="84"/>
      <c r="G6489" s="84"/>
      <c r="H6489" s="84"/>
      <c r="I6489" s="84"/>
      <c r="J6489" s="84"/>
    </row>
    <row r="6490" spans="3:10" hidden="1" x14ac:dyDescent="0.25">
      <c r="C6490" s="84"/>
      <c r="D6490" s="84"/>
      <c r="E6490" s="84"/>
      <c r="F6490" s="84"/>
      <c r="G6490" s="84"/>
      <c r="H6490" s="84"/>
      <c r="I6490" s="84"/>
      <c r="J6490" s="84"/>
    </row>
    <row r="6491" spans="3:10" hidden="1" x14ac:dyDescent="0.25">
      <c r="C6491" s="84"/>
      <c r="D6491" s="84"/>
      <c r="E6491" s="84"/>
      <c r="F6491" s="84"/>
      <c r="G6491" s="84"/>
      <c r="H6491" s="84"/>
      <c r="I6491" s="84"/>
      <c r="J6491" s="84"/>
    </row>
    <row r="6492" spans="3:10" hidden="1" x14ac:dyDescent="0.25">
      <c r="C6492" s="84"/>
      <c r="D6492" s="84"/>
      <c r="E6492" s="84"/>
      <c r="F6492" s="84"/>
      <c r="G6492" s="84"/>
      <c r="H6492" s="84"/>
      <c r="I6492" s="84"/>
      <c r="J6492" s="84"/>
    </row>
    <row r="6493" spans="3:10" hidden="1" x14ac:dyDescent="0.25">
      <c r="C6493" s="84"/>
      <c r="D6493" s="84"/>
      <c r="E6493" s="84"/>
      <c r="F6493" s="84"/>
      <c r="G6493" s="84"/>
      <c r="H6493" s="84"/>
      <c r="I6493" s="84"/>
      <c r="J6493" s="84"/>
    </row>
    <row r="6494" spans="3:10" hidden="1" x14ac:dyDescent="0.25">
      <c r="C6494" s="84"/>
      <c r="D6494" s="84"/>
      <c r="E6494" s="84"/>
      <c r="F6494" s="84"/>
      <c r="G6494" s="84"/>
      <c r="H6494" s="84"/>
      <c r="I6494" s="84"/>
      <c r="J6494" s="84"/>
    </row>
    <row r="6495" spans="3:10" hidden="1" x14ac:dyDescent="0.25">
      <c r="C6495" s="84"/>
      <c r="D6495" s="84"/>
      <c r="E6495" s="84"/>
      <c r="F6495" s="84"/>
      <c r="G6495" s="84"/>
      <c r="H6495" s="84"/>
      <c r="I6495" s="84"/>
      <c r="J6495" s="84"/>
    </row>
    <row r="6496" spans="3:10" hidden="1" x14ac:dyDescent="0.25">
      <c r="C6496" s="84"/>
      <c r="D6496" s="84"/>
      <c r="E6496" s="84"/>
      <c r="F6496" s="84"/>
      <c r="G6496" s="84"/>
      <c r="H6496" s="84"/>
      <c r="I6496" s="84"/>
      <c r="J6496" s="84"/>
    </row>
    <row r="6497" spans="3:10" hidden="1" x14ac:dyDescent="0.25">
      <c r="C6497" s="84"/>
      <c r="D6497" s="84"/>
      <c r="E6497" s="84"/>
      <c r="F6497" s="84"/>
      <c r="G6497" s="84"/>
      <c r="H6497" s="84"/>
      <c r="I6497" s="84"/>
      <c r="J6497" s="84"/>
    </row>
    <row r="6498" spans="3:10" hidden="1" x14ac:dyDescent="0.25">
      <c r="C6498" s="84"/>
      <c r="D6498" s="84"/>
      <c r="E6498" s="84"/>
      <c r="F6498" s="84"/>
      <c r="G6498" s="84"/>
      <c r="H6498" s="84"/>
      <c r="I6498" s="84"/>
      <c r="J6498" s="84"/>
    </row>
    <row r="6499" spans="3:10" hidden="1" x14ac:dyDescent="0.25">
      <c r="C6499" s="84"/>
      <c r="D6499" s="84"/>
      <c r="E6499" s="84"/>
      <c r="F6499" s="84"/>
      <c r="G6499" s="84"/>
      <c r="H6499" s="84"/>
      <c r="I6499" s="84"/>
      <c r="J6499" s="84"/>
    </row>
    <row r="6500" spans="3:10" hidden="1" x14ac:dyDescent="0.25">
      <c r="C6500" s="84"/>
      <c r="D6500" s="84"/>
      <c r="E6500" s="84"/>
      <c r="F6500" s="84"/>
      <c r="G6500" s="84"/>
      <c r="H6500" s="84"/>
      <c r="I6500" s="84"/>
      <c r="J6500" s="84"/>
    </row>
    <row r="6501" spans="3:10" hidden="1" x14ac:dyDescent="0.25">
      <c r="C6501" s="84"/>
      <c r="D6501" s="84"/>
      <c r="E6501" s="84"/>
      <c r="F6501" s="84"/>
      <c r="G6501" s="84"/>
      <c r="H6501" s="84"/>
      <c r="I6501" s="84"/>
      <c r="J6501" s="84"/>
    </row>
    <row r="6502" spans="3:10" hidden="1" x14ac:dyDescent="0.25">
      <c r="C6502" s="84"/>
      <c r="D6502" s="84"/>
      <c r="E6502" s="84"/>
      <c r="F6502" s="84"/>
      <c r="G6502" s="84"/>
      <c r="H6502" s="84"/>
      <c r="I6502" s="84"/>
      <c r="J6502" s="84"/>
    </row>
    <row r="6503" spans="3:10" hidden="1" x14ac:dyDescent="0.25">
      <c r="C6503" s="84"/>
      <c r="D6503" s="84"/>
      <c r="E6503" s="84"/>
      <c r="F6503" s="84"/>
      <c r="G6503" s="84"/>
      <c r="H6503" s="84"/>
      <c r="I6503" s="84"/>
      <c r="J6503" s="84"/>
    </row>
    <row r="6504" spans="3:10" hidden="1" x14ac:dyDescent="0.25">
      <c r="C6504" s="84"/>
      <c r="D6504" s="84"/>
      <c r="E6504" s="84"/>
      <c r="F6504" s="84"/>
      <c r="G6504" s="84"/>
      <c r="H6504" s="84"/>
      <c r="I6504" s="84"/>
      <c r="J6504" s="84"/>
    </row>
    <row r="6505" spans="3:10" hidden="1" x14ac:dyDescent="0.25">
      <c r="C6505" s="84"/>
      <c r="D6505" s="84"/>
      <c r="E6505" s="84"/>
      <c r="F6505" s="84"/>
      <c r="G6505" s="84"/>
      <c r="H6505" s="84"/>
      <c r="I6505" s="84"/>
      <c r="J6505" s="84"/>
    </row>
    <row r="6506" spans="3:10" hidden="1" x14ac:dyDescent="0.25">
      <c r="C6506" s="84"/>
      <c r="D6506" s="84"/>
      <c r="E6506" s="84"/>
      <c r="F6506" s="84"/>
      <c r="G6506" s="84"/>
      <c r="H6506" s="84"/>
      <c r="I6506" s="84"/>
      <c r="J6506" s="84"/>
    </row>
    <row r="6507" spans="3:10" hidden="1" x14ac:dyDescent="0.25">
      <c r="C6507" s="84"/>
      <c r="D6507" s="84"/>
      <c r="E6507" s="84"/>
      <c r="F6507" s="84"/>
      <c r="G6507" s="84"/>
      <c r="H6507" s="84"/>
      <c r="I6507" s="84"/>
      <c r="J6507" s="84"/>
    </row>
    <row r="6508" spans="3:10" hidden="1" x14ac:dyDescent="0.25">
      <c r="C6508" s="84"/>
      <c r="D6508" s="84"/>
      <c r="E6508" s="84"/>
      <c r="F6508" s="84"/>
      <c r="G6508" s="84"/>
      <c r="H6508" s="84"/>
      <c r="I6508" s="84"/>
      <c r="J6508" s="84"/>
    </row>
    <row r="6509" spans="3:10" hidden="1" x14ac:dyDescent="0.25">
      <c r="C6509" s="84"/>
      <c r="D6509" s="84"/>
      <c r="E6509" s="84"/>
      <c r="F6509" s="84"/>
      <c r="G6509" s="84"/>
      <c r="H6509" s="84"/>
      <c r="I6509" s="84"/>
      <c r="J6509" s="84"/>
    </row>
    <row r="6510" spans="3:10" hidden="1" x14ac:dyDescent="0.25">
      <c r="C6510" s="84"/>
      <c r="D6510" s="84"/>
      <c r="E6510" s="84"/>
      <c r="F6510" s="84"/>
      <c r="G6510" s="84"/>
      <c r="H6510" s="84"/>
      <c r="I6510" s="84"/>
      <c r="J6510" s="84"/>
    </row>
    <row r="6511" spans="3:10" hidden="1" x14ac:dyDescent="0.25">
      <c r="C6511" s="84"/>
      <c r="D6511" s="84"/>
      <c r="E6511" s="84"/>
      <c r="F6511" s="84"/>
      <c r="G6511" s="84"/>
      <c r="H6511" s="84"/>
      <c r="I6511" s="84"/>
      <c r="J6511" s="84"/>
    </row>
    <row r="6512" spans="3:10" hidden="1" x14ac:dyDescent="0.25">
      <c r="C6512" s="84"/>
      <c r="D6512" s="84"/>
      <c r="E6512" s="84"/>
      <c r="F6512" s="84"/>
      <c r="G6512" s="84"/>
      <c r="H6512" s="84"/>
      <c r="I6512" s="84"/>
      <c r="J6512" s="84"/>
    </row>
    <row r="6513" spans="3:14" hidden="1" x14ac:dyDescent="0.25">
      <c r="C6513" s="84"/>
      <c r="D6513" s="84"/>
      <c r="E6513" s="84"/>
      <c r="F6513" s="84"/>
      <c r="G6513" s="84"/>
      <c r="H6513" s="84"/>
      <c r="I6513" s="84"/>
      <c r="J6513" s="84"/>
    </row>
    <row r="6514" spans="3:14" hidden="1" x14ac:dyDescent="0.25">
      <c r="C6514" s="84"/>
      <c r="D6514" s="84"/>
      <c r="E6514" s="84"/>
      <c r="F6514" s="84"/>
      <c r="G6514" s="84"/>
      <c r="H6514" s="84"/>
      <c r="I6514" s="84"/>
      <c r="J6514" s="84"/>
    </row>
    <row r="6515" spans="3:14" hidden="1" x14ac:dyDescent="0.25">
      <c r="C6515" s="84"/>
      <c r="D6515" s="84"/>
      <c r="E6515" s="84"/>
      <c r="F6515" s="84"/>
      <c r="G6515" s="84"/>
      <c r="H6515" s="84"/>
      <c r="I6515" s="84"/>
      <c r="J6515" s="84"/>
    </row>
    <row r="6516" spans="3:14" hidden="1" x14ac:dyDescent="0.25">
      <c r="C6516" s="84"/>
      <c r="D6516" s="84"/>
      <c r="E6516" s="84"/>
      <c r="F6516" s="84"/>
      <c r="G6516" s="84"/>
      <c r="H6516" s="84"/>
      <c r="I6516" s="84"/>
      <c r="J6516" s="84"/>
    </row>
    <row r="6517" spans="3:14" hidden="1" x14ac:dyDescent="0.25">
      <c r="C6517" s="84"/>
      <c r="D6517" s="84"/>
      <c r="E6517" s="84"/>
      <c r="F6517" s="84"/>
      <c r="G6517" s="84"/>
      <c r="H6517" s="84"/>
      <c r="I6517" s="84"/>
      <c r="J6517" s="84"/>
      <c r="K6517" s="222"/>
      <c r="L6517" s="222"/>
      <c r="M6517" s="222"/>
      <c r="N6517" s="538"/>
    </row>
    <row r="6518" spans="3:14" hidden="1" x14ac:dyDescent="0.25">
      <c r="C6518" s="84"/>
      <c r="D6518" s="84"/>
      <c r="E6518" s="84"/>
      <c r="F6518" s="84"/>
      <c r="G6518" s="84"/>
      <c r="H6518" s="84"/>
      <c r="I6518" s="84"/>
      <c r="J6518" s="84"/>
      <c r="K6518" s="248"/>
      <c r="L6518" s="222"/>
      <c r="M6518" s="248"/>
      <c r="N6518" s="267"/>
    </row>
    <row r="6519" spans="3:14" hidden="1" x14ac:dyDescent="0.25">
      <c r="C6519" s="84"/>
      <c r="D6519" s="84"/>
      <c r="E6519" s="84"/>
      <c r="F6519" s="84"/>
      <c r="G6519" s="84"/>
      <c r="H6519" s="84"/>
      <c r="I6519" s="84"/>
      <c r="J6519" s="84"/>
      <c r="K6519" s="248"/>
      <c r="L6519" s="222"/>
      <c r="M6519" s="248"/>
      <c r="N6519" s="267"/>
    </row>
    <row r="6520" spans="3:14" hidden="1" x14ac:dyDescent="0.25">
      <c r="C6520" s="84"/>
      <c r="D6520" s="84"/>
      <c r="E6520" s="84"/>
      <c r="F6520" s="84"/>
      <c r="G6520" s="84"/>
      <c r="H6520" s="84"/>
      <c r="I6520" s="84"/>
      <c r="J6520" s="84"/>
      <c r="K6520" s="265"/>
      <c r="L6520" s="222"/>
      <c r="M6520" s="248"/>
      <c r="N6520" s="268"/>
    </row>
    <row r="6521" spans="3:14" hidden="1" x14ac:dyDescent="0.25">
      <c r="C6521" s="84"/>
      <c r="D6521" s="84"/>
      <c r="E6521" s="84"/>
      <c r="F6521" s="84"/>
      <c r="G6521" s="84"/>
      <c r="H6521" s="84"/>
      <c r="I6521" s="84"/>
      <c r="J6521" s="84"/>
      <c r="K6521" s="248"/>
      <c r="L6521" s="222"/>
      <c r="M6521" s="248"/>
      <c r="N6521" s="269"/>
    </row>
    <row r="6522" spans="3:14" hidden="1" x14ac:dyDescent="0.25">
      <c r="C6522" s="84"/>
      <c r="D6522" s="84"/>
      <c r="E6522" s="84"/>
      <c r="F6522" s="84"/>
      <c r="G6522" s="84"/>
      <c r="H6522" s="84"/>
      <c r="I6522" s="84"/>
      <c r="J6522" s="84"/>
      <c r="K6522" s="248"/>
      <c r="L6522" s="222"/>
      <c r="M6522" s="248"/>
      <c r="N6522" s="267"/>
    </row>
    <row r="6523" spans="3:14" hidden="1" x14ac:dyDescent="0.25">
      <c r="C6523" s="84"/>
      <c r="D6523" s="84"/>
      <c r="E6523" s="84"/>
      <c r="F6523" s="84"/>
      <c r="G6523" s="84"/>
      <c r="H6523" s="84"/>
      <c r="I6523" s="84"/>
      <c r="J6523" s="84"/>
      <c r="K6523" s="222"/>
      <c r="L6523" s="222"/>
      <c r="M6523" s="222"/>
      <c r="N6523" s="538"/>
    </row>
    <row r="6524" spans="3:14" hidden="1" x14ac:dyDescent="0.25">
      <c r="C6524" s="84"/>
      <c r="D6524" s="84"/>
      <c r="E6524" s="84"/>
      <c r="F6524" s="84"/>
      <c r="G6524" s="84"/>
      <c r="H6524" s="84"/>
      <c r="I6524" s="84"/>
      <c r="J6524" s="84"/>
      <c r="K6524" s="265"/>
      <c r="L6524" s="248"/>
      <c r="M6524" s="248"/>
      <c r="N6524" s="268"/>
    </row>
    <row r="6525" spans="3:14" hidden="1" x14ac:dyDescent="0.25">
      <c r="C6525" s="84"/>
      <c r="D6525" s="84"/>
      <c r="E6525" s="84"/>
      <c r="F6525" s="84"/>
      <c r="G6525" s="84"/>
      <c r="H6525" s="84"/>
      <c r="I6525" s="84"/>
      <c r="J6525" s="84"/>
      <c r="K6525" s="248"/>
      <c r="L6525" s="248"/>
      <c r="M6525" s="248"/>
      <c r="N6525" s="270"/>
    </row>
    <row r="6526" spans="3:14" hidden="1" x14ac:dyDescent="0.25">
      <c r="C6526" s="84"/>
      <c r="D6526" s="84"/>
      <c r="E6526" s="84"/>
      <c r="F6526" s="84"/>
      <c r="G6526" s="84"/>
      <c r="H6526" s="84"/>
      <c r="I6526" s="84"/>
      <c r="J6526" s="84"/>
      <c r="K6526" s="248"/>
      <c r="L6526" s="248"/>
      <c r="M6526" s="248"/>
      <c r="N6526" s="270"/>
    </row>
    <row r="6527" spans="3:14" hidden="1" x14ac:dyDescent="0.25">
      <c r="C6527" s="84"/>
      <c r="D6527" s="84"/>
      <c r="E6527" s="84"/>
      <c r="F6527" s="84"/>
      <c r="G6527" s="84"/>
      <c r="H6527" s="84"/>
      <c r="I6527" s="84"/>
      <c r="J6527" s="84"/>
      <c r="K6527" s="248"/>
      <c r="L6527" s="248"/>
      <c r="M6527" s="248"/>
      <c r="N6527" s="270"/>
    </row>
    <row r="6528" spans="3:14" hidden="1" x14ac:dyDescent="0.25">
      <c r="C6528" s="84"/>
      <c r="D6528" s="84"/>
      <c r="E6528" s="84"/>
      <c r="F6528" s="84"/>
      <c r="G6528" s="84"/>
      <c r="H6528" s="84"/>
      <c r="I6528" s="84"/>
      <c r="J6528" s="84"/>
      <c r="K6528" s="248"/>
      <c r="L6528" s="248"/>
      <c r="M6528" s="248"/>
      <c r="N6528" s="270"/>
    </row>
    <row r="6529" spans="3:14" hidden="1" x14ac:dyDescent="0.25">
      <c r="C6529" s="84"/>
      <c r="D6529" s="84"/>
      <c r="E6529" s="84"/>
      <c r="F6529" s="84"/>
      <c r="G6529" s="84"/>
      <c r="H6529" s="84"/>
      <c r="I6529" s="84"/>
      <c r="J6529" s="84"/>
      <c r="K6529" s="248"/>
      <c r="L6529" s="248"/>
      <c r="M6529" s="248"/>
      <c r="N6529" s="270"/>
    </row>
    <row r="6530" spans="3:14" hidden="1" x14ac:dyDescent="0.25">
      <c r="C6530" s="84"/>
      <c r="D6530" s="84"/>
      <c r="E6530" s="84"/>
      <c r="F6530" s="84"/>
      <c r="G6530" s="84"/>
      <c r="H6530" s="84"/>
      <c r="I6530" s="84"/>
      <c r="J6530" s="84"/>
      <c r="K6530" s="222"/>
      <c r="L6530" s="222"/>
      <c r="M6530" s="222"/>
      <c r="N6530" s="538"/>
    </row>
    <row r="6531" spans="3:14" hidden="1" x14ac:dyDescent="0.25">
      <c r="C6531" s="84"/>
      <c r="D6531" s="84"/>
      <c r="E6531" s="84"/>
      <c r="F6531" s="84"/>
      <c r="G6531" s="84"/>
      <c r="H6531" s="84"/>
      <c r="I6531" s="84"/>
      <c r="J6531" s="84"/>
      <c r="K6531" s="222"/>
      <c r="L6531" s="222"/>
      <c r="M6531" s="222"/>
      <c r="N6531" s="538"/>
    </row>
    <row r="6532" spans="3:14" hidden="1" x14ac:dyDescent="0.25">
      <c r="C6532" s="84"/>
      <c r="D6532" s="84"/>
      <c r="E6532" s="84"/>
      <c r="F6532" s="84"/>
      <c r="G6532" s="84"/>
      <c r="H6532" s="84"/>
      <c r="I6532" s="84"/>
      <c r="J6532" s="84"/>
    </row>
    <row r="6533" spans="3:14" hidden="1" x14ac:dyDescent="0.25">
      <c r="C6533" s="84"/>
      <c r="D6533" s="84"/>
      <c r="E6533" s="84"/>
      <c r="F6533" s="84"/>
      <c r="G6533" s="84"/>
      <c r="H6533" s="84"/>
      <c r="I6533" s="84"/>
      <c r="J6533" s="84"/>
    </row>
    <row r="6534" spans="3:14" hidden="1" x14ac:dyDescent="0.25">
      <c r="C6534" s="84"/>
      <c r="D6534" s="84"/>
      <c r="E6534" s="84"/>
      <c r="F6534" s="84"/>
      <c r="G6534" s="84"/>
      <c r="H6534" s="84"/>
      <c r="I6534" s="84"/>
      <c r="J6534" s="84"/>
    </row>
    <row r="6535" spans="3:14" hidden="1" x14ac:dyDescent="0.25">
      <c r="C6535" s="84"/>
      <c r="D6535" s="84"/>
      <c r="E6535" s="84"/>
      <c r="F6535" s="84"/>
      <c r="G6535" s="84"/>
      <c r="H6535" s="84"/>
      <c r="I6535" s="84"/>
      <c r="J6535" s="84"/>
    </row>
    <row r="6536" spans="3:14" hidden="1" x14ac:dyDescent="0.25">
      <c r="C6536" s="84"/>
      <c r="D6536" s="84"/>
      <c r="E6536" s="84"/>
      <c r="F6536" s="84"/>
      <c r="G6536" s="84"/>
      <c r="H6536" s="84"/>
      <c r="I6536" s="84"/>
      <c r="J6536" s="84"/>
    </row>
    <row r="6537" spans="3:14" hidden="1" x14ac:dyDescent="0.25">
      <c r="C6537" s="84"/>
      <c r="D6537" s="84"/>
      <c r="E6537" s="84"/>
      <c r="F6537" s="84"/>
      <c r="G6537" s="84"/>
      <c r="H6537" s="84"/>
      <c r="I6537" s="84"/>
      <c r="J6537" s="84"/>
    </row>
    <row r="6538" spans="3:14" hidden="1" x14ac:dyDescent="0.25">
      <c r="C6538" s="84"/>
      <c r="D6538" s="84"/>
      <c r="E6538" s="84"/>
      <c r="F6538" s="84"/>
      <c r="G6538" s="84"/>
      <c r="H6538" s="84"/>
      <c r="I6538" s="84"/>
      <c r="J6538" s="84"/>
    </row>
    <row r="6539" spans="3:14" hidden="1" x14ac:dyDescent="0.25">
      <c r="C6539" s="84"/>
      <c r="D6539" s="84"/>
      <c r="E6539" s="84"/>
      <c r="F6539" s="84"/>
      <c r="G6539" s="84"/>
      <c r="H6539" s="84"/>
      <c r="I6539" s="84"/>
      <c r="J6539" s="84"/>
    </row>
    <row r="6540" spans="3:14" hidden="1" x14ac:dyDescent="0.25">
      <c r="C6540" s="84"/>
      <c r="D6540" s="84"/>
      <c r="E6540" s="84"/>
      <c r="F6540" s="84"/>
      <c r="G6540" s="84"/>
      <c r="H6540" s="84"/>
      <c r="I6540" s="84"/>
      <c r="J6540" s="84"/>
    </row>
    <row r="6541" spans="3:14" hidden="1" x14ac:dyDescent="0.25">
      <c r="C6541" s="84"/>
      <c r="D6541" s="84"/>
      <c r="E6541" s="84"/>
      <c r="F6541" s="84"/>
      <c r="G6541" s="84"/>
      <c r="H6541" s="84"/>
      <c r="I6541" s="84"/>
      <c r="J6541" s="84"/>
    </row>
    <row r="6542" spans="3:14" hidden="1" x14ac:dyDescent="0.25">
      <c r="C6542" s="84"/>
      <c r="D6542" s="84"/>
      <c r="E6542" s="84"/>
      <c r="F6542" s="84"/>
      <c r="G6542" s="84"/>
      <c r="H6542" s="84"/>
      <c r="I6542" s="84"/>
      <c r="J6542" s="84"/>
    </row>
    <row r="6543" spans="3:14" hidden="1" x14ac:dyDescent="0.25">
      <c r="C6543" s="84"/>
      <c r="D6543" s="84"/>
      <c r="E6543" s="84"/>
      <c r="F6543" s="84"/>
      <c r="G6543" s="84"/>
      <c r="H6543" s="84"/>
      <c r="I6543" s="84"/>
      <c r="J6543" s="84"/>
    </row>
    <row r="6544" spans="3:14" hidden="1" x14ac:dyDescent="0.25">
      <c r="C6544" s="84"/>
      <c r="D6544" s="84"/>
      <c r="E6544" s="84"/>
      <c r="F6544" s="84"/>
      <c r="G6544" s="84"/>
      <c r="H6544" s="84"/>
      <c r="I6544" s="84"/>
      <c r="J6544" s="84"/>
    </row>
    <row r="6545" spans="3:10" hidden="1" x14ac:dyDescent="0.25">
      <c r="C6545" s="84"/>
      <c r="D6545" s="84"/>
      <c r="E6545" s="84"/>
      <c r="F6545" s="84"/>
      <c r="G6545" s="84"/>
      <c r="H6545" s="84"/>
      <c r="I6545" s="84"/>
      <c r="J6545" s="84"/>
    </row>
    <row r="6546" spans="3:10" hidden="1" x14ac:dyDescent="0.25">
      <c r="C6546" s="84"/>
      <c r="D6546" s="84"/>
      <c r="E6546" s="84"/>
      <c r="F6546" s="84"/>
      <c r="G6546" s="84"/>
      <c r="H6546" s="84"/>
      <c r="I6546" s="84"/>
      <c r="J6546" s="84"/>
    </row>
    <row r="6547" spans="3:10" hidden="1" x14ac:dyDescent="0.25">
      <c r="C6547" s="84"/>
      <c r="D6547" s="84"/>
      <c r="E6547" s="84"/>
      <c r="F6547" s="84"/>
      <c r="G6547" s="84"/>
      <c r="H6547" s="84"/>
      <c r="I6547" s="84"/>
      <c r="J6547" s="84"/>
    </row>
    <row r="6548" spans="3:10" hidden="1" x14ac:dyDescent="0.25">
      <c r="C6548" s="84"/>
      <c r="D6548" s="84"/>
      <c r="E6548" s="84"/>
      <c r="F6548" s="84"/>
      <c r="G6548" s="84"/>
      <c r="H6548" s="84"/>
      <c r="I6548" s="84"/>
      <c r="J6548" s="84"/>
    </row>
    <row r="6549" spans="3:10" hidden="1" x14ac:dyDescent="0.25">
      <c r="C6549" s="84"/>
      <c r="D6549" s="84"/>
      <c r="E6549" s="84"/>
      <c r="F6549" s="84"/>
      <c r="G6549" s="84"/>
      <c r="H6549" s="84"/>
      <c r="I6549" s="84"/>
      <c r="J6549" s="84"/>
    </row>
    <row r="6550" spans="3:10" hidden="1" x14ac:dyDescent="0.25">
      <c r="C6550" s="84"/>
      <c r="D6550" s="84"/>
      <c r="E6550" s="84"/>
      <c r="F6550" s="84"/>
      <c r="G6550" s="84"/>
      <c r="H6550" s="84"/>
      <c r="I6550" s="84"/>
      <c r="J6550" s="84"/>
    </row>
    <row r="6551" spans="3:10" hidden="1" x14ac:dyDescent="0.25">
      <c r="C6551" s="84"/>
      <c r="D6551" s="84"/>
      <c r="E6551" s="84"/>
      <c r="F6551" s="84"/>
      <c r="G6551" s="84"/>
      <c r="H6551" s="84"/>
      <c r="I6551" s="84"/>
      <c r="J6551" s="84"/>
    </row>
    <row r="6552" spans="3:10" hidden="1" x14ac:dyDescent="0.25">
      <c r="C6552" s="84"/>
      <c r="D6552" s="84"/>
      <c r="E6552" s="84"/>
      <c r="F6552" s="84"/>
      <c r="G6552" s="84"/>
      <c r="H6552" s="84"/>
      <c r="I6552" s="84"/>
      <c r="J6552" s="84"/>
    </row>
    <row r="6553" spans="3:10" hidden="1" x14ac:dyDescent="0.25">
      <c r="C6553" s="84"/>
      <c r="D6553" s="84"/>
      <c r="E6553" s="84"/>
      <c r="F6553" s="84"/>
      <c r="G6553" s="84"/>
      <c r="H6553" s="84"/>
      <c r="I6553" s="84"/>
      <c r="J6553" s="84"/>
    </row>
    <row r="6554" spans="3:10" hidden="1" x14ac:dyDescent="0.25">
      <c r="C6554" s="84"/>
      <c r="D6554" s="84"/>
      <c r="E6554" s="84"/>
      <c r="F6554" s="84"/>
      <c r="G6554" s="84"/>
      <c r="H6554" s="84"/>
      <c r="I6554" s="84"/>
      <c r="J6554" s="84"/>
    </row>
    <row r="6555" spans="3:10" hidden="1" x14ac:dyDescent="0.25">
      <c r="C6555" s="84"/>
      <c r="D6555" s="84"/>
      <c r="E6555" s="84"/>
      <c r="F6555" s="84"/>
      <c r="G6555" s="84"/>
      <c r="H6555" s="84"/>
      <c r="I6555" s="84"/>
      <c r="J6555" s="84"/>
    </row>
    <row r="6556" spans="3:10" hidden="1" x14ac:dyDescent="0.25">
      <c r="C6556" s="84"/>
      <c r="D6556" s="84"/>
      <c r="E6556" s="84"/>
      <c r="F6556" s="84"/>
      <c r="G6556" s="84"/>
      <c r="H6556" s="84"/>
      <c r="I6556" s="84"/>
      <c r="J6556" s="84"/>
    </row>
    <row r="6557" spans="3:10" hidden="1" x14ac:dyDescent="0.25">
      <c r="C6557" s="84"/>
      <c r="D6557" s="84"/>
      <c r="E6557" s="84"/>
      <c r="F6557" s="84"/>
      <c r="G6557" s="84"/>
      <c r="H6557" s="84"/>
      <c r="I6557" s="84"/>
      <c r="J6557" s="84"/>
    </row>
    <row r="6558" spans="3:10" hidden="1" x14ac:dyDescent="0.25">
      <c r="C6558" s="84"/>
      <c r="D6558" s="84"/>
      <c r="E6558" s="84"/>
      <c r="F6558" s="84"/>
      <c r="G6558" s="84"/>
      <c r="H6558" s="84"/>
      <c r="I6558" s="84"/>
      <c r="J6558" s="84"/>
    </row>
    <row r="6559" spans="3:10" hidden="1" x14ac:dyDescent="0.25">
      <c r="C6559" s="84"/>
      <c r="D6559" s="84"/>
      <c r="E6559" s="84"/>
      <c r="F6559" s="84"/>
      <c r="G6559" s="84"/>
      <c r="H6559" s="84"/>
      <c r="I6559" s="84"/>
      <c r="J6559" s="84"/>
    </row>
    <row r="6560" spans="3:10" hidden="1" x14ac:dyDescent="0.25">
      <c r="C6560" s="84"/>
      <c r="D6560" s="84"/>
      <c r="E6560" s="84"/>
      <c r="F6560" s="84"/>
      <c r="G6560" s="84"/>
      <c r="H6560" s="84"/>
      <c r="I6560" s="84"/>
      <c r="J6560" s="84"/>
    </row>
    <row r="6561" spans="2:10" hidden="1" x14ac:dyDescent="0.25">
      <c r="C6561" s="84"/>
      <c r="D6561" s="84"/>
      <c r="E6561" s="84"/>
      <c r="F6561" s="84"/>
      <c r="G6561" s="84"/>
      <c r="H6561" s="84"/>
      <c r="I6561" s="84"/>
      <c r="J6561" s="84"/>
    </row>
    <row r="6562" spans="2:10" hidden="1" x14ac:dyDescent="0.25">
      <c r="C6562" s="84"/>
      <c r="D6562" s="84"/>
      <c r="E6562" s="84"/>
      <c r="F6562" s="84"/>
      <c r="G6562" s="84"/>
      <c r="H6562" s="84"/>
      <c r="I6562" s="84"/>
      <c r="J6562" s="84"/>
    </row>
    <row r="6563" spans="2:10" hidden="1" x14ac:dyDescent="0.25">
      <c r="C6563" s="84"/>
      <c r="D6563" s="84"/>
      <c r="E6563" s="84"/>
      <c r="F6563" s="84"/>
      <c r="G6563" s="84"/>
      <c r="H6563" s="84"/>
      <c r="I6563" s="84"/>
      <c r="J6563" s="84"/>
    </row>
    <row r="6564" spans="2:10" hidden="1" x14ac:dyDescent="0.25">
      <c r="C6564" s="84"/>
      <c r="D6564" s="84"/>
      <c r="E6564" s="84"/>
      <c r="F6564" s="84"/>
      <c r="G6564" s="84"/>
      <c r="H6564" s="84"/>
      <c r="I6564" s="84"/>
      <c r="J6564" s="84"/>
    </row>
    <row r="6565" spans="2:10" hidden="1" x14ac:dyDescent="0.25">
      <c r="C6565" s="84"/>
      <c r="D6565" s="84"/>
      <c r="E6565" s="84"/>
      <c r="F6565" s="84"/>
      <c r="G6565" s="84"/>
      <c r="H6565" s="84"/>
      <c r="I6565" s="84"/>
      <c r="J6565" s="84"/>
    </row>
    <row r="6566" spans="2:10" hidden="1" x14ac:dyDescent="0.25">
      <c r="C6566" s="84"/>
      <c r="D6566" s="84"/>
      <c r="E6566" s="84"/>
      <c r="F6566" s="84"/>
      <c r="G6566" s="84"/>
      <c r="H6566" s="84"/>
      <c r="I6566" s="84"/>
      <c r="J6566" s="84"/>
    </row>
    <row r="6567" spans="2:10" hidden="1" x14ac:dyDescent="0.25">
      <c r="C6567" s="84"/>
      <c r="D6567" s="84"/>
      <c r="E6567" s="84"/>
      <c r="F6567" s="84"/>
      <c r="G6567" s="84"/>
      <c r="H6567" s="84"/>
      <c r="I6567" s="84"/>
      <c r="J6567" s="84"/>
    </row>
    <row r="6568" spans="2:10" hidden="1" x14ac:dyDescent="0.25">
      <c r="C6568" s="84"/>
      <c r="D6568" s="84"/>
      <c r="E6568" s="84"/>
      <c r="F6568" s="84"/>
      <c r="G6568" s="84"/>
      <c r="H6568" s="84"/>
      <c r="I6568" s="84"/>
      <c r="J6568" s="84"/>
    </row>
    <row r="6569" spans="2:10" hidden="1" x14ac:dyDescent="0.25">
      <c r="C6569" s="84"/>
      <c r="D6569" s="84"/>
      <c r="E6569" s="84"/>
      <c r="F6569" s="84"/>
      <c r="G6569" s="84"/>
      <c r="H6569" s="84"/>
      <c r="I6569" s="84"/>
      <c r="J6569" s="84"/>
    </row>
    <row r="6570" spans="2:10" hidden="1" x14ac:dyDescent="0.25">
      <c r="C6570" s="84"/>
      <c r="D6570" s="84"/>
      <c r="E6570" s="84"/>
      <c r="F6570" s="84"/>
      <c r="G6570" s="84"/>
      <c r="H6570" s="84"/>
      <c r="I6570" s="84"/>
      <c r="J6570" s="84"/>
    </row>
    <row r="6571" spans="2:10" hidden="1" x14ac:dyDescent="0.25">
      <c r="C6571" s="84"/>
      <c r="D6571" s="84"/>
      <c r="E6571" s="84"/>
      <c r="F6571" s="84"/>
      <c r="G6571" s="84"/>
      <c r="H6571" s="84"/>
      <c r="I6571" s="84"/>
      <c r="J6571" s="84"/>
    </row>
    <row r="6572" spans="2:10" hidden="1" x14ac:dyDescent="0.25">
      <c r="C6572" s="84"/>
      <c r="D6572" s="84"/>
      <c r="E6572" s="84"/>
      <c r="F6572" s="84"/>
      <c r="G6572" s="84"/>
      <c r="H6572" s="84"/>
      <c r="I6572" s="84"/>
      <c r="J6572" s="84"/>
    </row>
    <row r="6573" spans="2:10" hidden="1" x14ac:dyDescent="0.25">
      <c r="C6573" s="84"/>
      <c r="D6573" s="84"/>
      <c r="E6573" s="84"/>
      <c r="F6573" s="84"/>
      <c r="G6573" s="84"/>
      <c r="H6573" s="84"/>
      <c r="I6573" s="84"/>
      <c r="J6573" s="84"/>
    </row>
    <row r="6574" spans="2:10" hidden="1" x14ac:dyDescent="0.25">
      <c r="B6574" s="265"/>
      <c r="C6574" s="84"/>
      <c r="D6574" s="84"/>
      <c r="E6574" s="84"/>
      <c r="F6574" s="84"/>
      <c r="G6574" s="84"/>
      <c r="H6574" s="84"/>
      <c r="I6574" s="84"/>
      <c r="J6574" s="84"/>
    </row>
    <row r="6575" spans="2:10" hidden="1" x14ac:dyDescent="0.25">
      <c r="B6575" s="248"/>
      <c r="C6575" s="84"/>
      <c r="D6575" s="84"/>
      <c r="E6575" s="84"/>
      <c r="F6575" s="84"/>
      <c r="G6575" s="84"/>
      <c r="H6575" s="84"/>
      <c r="I6575" s="84"/>
      <c r="J6575" s="84"/>
    </row>
    <row r="6576" spans="2:10" hidden="1" x14ac:dyDescent="0.25">
      <c r="C6576" s="84"/>
      <c r="D6576" s="84"/>
      <c r="E6576" s="84"/>
      <c r="F6576" s="84"/>
      <c r="G6576" s="84"/>
      <c r="H6576" s="84"/>
      <c r="I6576" s="84"/>
      <c r="J6576" s="84"/>
    </row>
    <row r="6577" spans="3:10" hidden="1" x14ac:dyDescent="0.25">
      <c r="C6577" s="84"/>
      <c r="D6577" s="84"/>
      <c r="E6577" s="84"/>
      <c r="F6577" s="84"/>
      <c r="G6577" s="84"/>
      <c r="H6577" s="84"/>
      <c r="I6577" s="84"/>
      <c r="J6577" s="84"/>
    </row>
    <row r="6578" spans="3:10" hidden="1" x14ac:dyDescent="0.25">
      <c r="C6578" s="84"/>
      <c r="D6578" s="84"/>
      <c r="E6578" s="84"/>
      <c r="F6578" s="84"/>
      <c r="G6578" s="84"/>
      <c r="H6578" s="84"/>
      <c r="I6578" s="84"/>
      <c r="J6578" s="84"/>
    </row>
    <row r="6579" spans="3:10" hidden="1" x14ac:dyDescent="0.25">
      <c r="C6579" s="84"/>
      <c r="D6579" s="84"/>
      <c r="E6579" s="84"/>
      <c r="F6579" s="84"/>
      <c r="G6579" s="84"/>
      <c r="H6579" s="84"/>
      <c r="I6579" s="84"/>
      <c r="J6579" s="84"/>
    </row>
    <row r="6580" spans="3:10" hidden="1" x14ac:dyDescent="0.25">
      <c r="C6580" s="84"/>
      <c r="D6580" s="84"/>
      <c r="E6580" s="84"/>
      <c r="F6580" s="84"/>
      <c r="G6580" s="84"/>
      <c r="H6580" s="84"/>
      <c r="I6580" s="84"/>
      <c r="J6580" s="84"/>
    </row>
    <row r="6581" spans="3:10" hidden="1" x14ac:dyDescent="0.25">
      <c r="C6581" s="84"/>
      <c r="D6581" s="84"/>
      <c r="E6581" s="84"/>
      <c r="F6581" s="84"/>
      <c r="G6581" s="84"/>
      <c r="H6581" s="84"/>
      <c r="I6581" s="84"/>
      <c r="J6581" s="84"/>
    </row>
    <row r="6582" spans="3:10" hidden="1" x14ac:dyDescent="0.25">
      <c r="C6582" s="84"/>
      <c r="D6582" s="84"/>
      <c r="E6582" s="84"/>
      <c r="F6582" s="84"/>
      <c r="G6582" s="84"/>
      <c r="H6582" s="84"/>
      <c r="I6582" s="84"/>
      <c r="J6582" s="84"/>
    </row>
    <row r="6583" spans="3:10" hidden="1" x14ac:dyDescent="0.25">
      <c r="C6583" s="84"/>
      <c r="D6583" s="84"/>
      <c r="E6583" s="84"/>
      <c r="F6583" s="84"/>
      <c r="G6583" s="84"/>
      <c r="H6583" s="84"/>
      <c r="I6583" s="84"/>
      <c r="J6583" s="84"/>
    </row>
    <row r="6584" spans="3:10" hidden="1" x14ac:dyDescent="0.25">
      <c r="C6584" s="84"/>
      <c r="D6584" s="84"/>
      <c r="E6584" s="84"/>
      <c r="F6584" s="84"/>
      <c r="G6584" s="84"/>
      <c r="H6584" s="84"/>
      <c r="I6584" s="84"/>
      <c r="J6584" s="84"/>
    </row>
    <row r="6585" spans="3:10" hidden="1" x14ac:dyDescent="0.25">
      <c r="C6585" s="84"/>
      <c r="D6585" s="84"/>
      <c r="E6585" s="84"/>
      <c r="F6585" s="84"/>
      <c r="G6585" s="84"/>
      <c r="H6585" s="84"/>
      <c r="I6585" s="84"/>
      <c r="J6585" s="84"/>
    </row>
    <row r="6586" spans="3:10" hidden="1" x14ac:dyDescent="0.25">
      <c r="C6586" s="84"/>
      <c r="D6586" s="84"/>
      <c r="E6586" s="84"/>
      <c r="F6586" s="84"/>
      <c r="G6586" s="84"/>
      <c r="H6586" s="84"/>
      <c r="I6586" s="84"/>
      <c r="J6586" s="84"/>
    </row>
    <row r="6587" spans="3:10" hidden="1" x14ac:dyDescent="0.25">
      <c r="C6587" s="84"/>
      <c r="D6587" s="84"/>
      <c r="E6587" s="84"/>
      <c r="F6587" s="84"/>
      <c r="G6587" s="84"/>
      <c r="H6587" s="84"/>
      <c r="I6587" s="84"/>
      <c r="J6587" s="84"/>
    </row>
    <row r="6588" spans="3:10" hidden="1" x14ac:dyDescent="0.25">
      <c r="C6588" s="84"/>
      <c r="D6588" s="84"/>
      <c r="E6588" s="84"/>
      <c r="F6588" s="84"/>
      <c r="G6588" s="84"/>
      <c r="H6588" s="84"/>
      <c r="I6588" s="84"/>
      <c r="J6588" s="84"/>
    </row>
    <row r="6589" spans="3:10" hidden="1" x14ac:dyDescent="0.25">
      <c r="C6589" s="84"/>
      <c r="D6589" s="84"/>
      <c r="E6589" s="84"/>
      <c r="F6589" s="84"/>
      <c r="G6589" s="84"/>
      <c r="H6589" s="84"/>
      <c r="I6589" s="84"/>
      <c r="J6589" s="84"/>
    </row>
    <row r="6590" spans="3:10" hidden="1" x14ac:dyDescent="0.25">
      <c r="C6590" s="84"/>
      <c r="D6590" s="84"/>
      <c r="E6590" s="84"/>
      <c r="F6590" s="84"/>
      <c r="G6590" s="84"/>
      <c r="H6590" s="84"/>
      <c r="I6590" s="84"/>
      <c r="J6590" s="84"/>
    </row>
    <row r="6591" spans="3:10" hidden="1" x14ac:dyDescent="0.25">
      <c r="C6591" s="84"/>
      <c r="D6591" s="84"/>
      <c r="E6591" s="84"/>
      <c r="F6591" s="84"/>
      <c r="G6591" s="84"/>
      <c r="H6591" s="84"/>
      <c r="I6591" s="84"/>
      <c r="J6591" s="84"/>
    </row>
    <row r="6592" spans="3:10" hidden="1" x14ac:dyDescent="0.25"/>
    <row r="6593" spans="1:25" s="88" customFormat="1" hidden="1" x14ac:dyDescent="0.25">
      <c r="A6593" s="261"/>
      <c r="B6593" s="256"/>
      <c r="C6593" s="316"/>
      <c r="D6593" s="251"/>
      <c r="E6593" s="251"/>
      <c r="F6593" s="264"/>
      <c r="G6593" s="250" t="s">
        <v>4228</v>
      </c>
      <c r="H6593" s="606"/>
      <c r="I6593" s="624"/>
      <c r="J6593" s="607"/>
      <c r="K6593" s="533"/>
      <c r="L6593" s="533"/>
      <c r="M6593" s="533"/>
      <c r="N6593" s="533"/>
      <c r="O6593" s="533"/>
      <c r="P6593" s="533"/>
      <c r="Q6593" s="533"/>
      <c r="R6593" s="533"/>
      <c r="S6593" s="533"/>
      <c r="T6593" s="533"/>
      <c r="U6593" s="533"/>
      <c r="V6593" s="533"/>
      <c r="W6593" s="533"/>
      <c r="X6593" s="533"/>
      <c r="Y6593" s="533"/>
    </row>
    <row r="6594" spans="1:25" s="88" customFormat="1" ht="15.75" hidden="1" thickBot="1" x14ac:dyDescent="0.3">
      <c r="A6594" s="261"/>
      <c r="B6594" s="256"/>
      <c r="C6594" s="316"/>
      <c r="D6594" s="251"/>
      <c r="E6594" s="251"/>
      <c r="F6594" s="249" t="s">
        <v>234</v>
      </c>
      <c r="G6594" s="252" t="s">
        <v>235</v>
      </c>
      <c r="H6594" s="598">
        <f>SUM(H2329,H4766,H4448,H4229,H1753,H1040)</f>
        <v>111474000</v>
      </c>
      <c r="I6594" s="599"/>
      <c r="J6594" s="599">
        <f>SUM(H6594:I6594)</f>
        <v>111474000</v>
      </c>
      <c r="K6594" s="533"/>
      <c r="L6594" s="533"/>
      <c r="M6594" s="533"/>
      <c r="N6594" s="533"/>
      <c r="O6594" s="533"/>
      <c r="P6594" s="533"/>
      <c r="Q6594" s="533"/>
      <c r="R6594" s="533"/>
      <c r="S6594" s="533"/>
      <c r="T6594" s="533"/>
      <c r="U6594" s="533"/>
      <c r="V6594" s="533"/>
      <c r="W6594" s="533"/>
      <c r="X6594" s="533"/>
      <c r="Y6594" s="533"/>
    </row>
    <row r="6595" spans="1:25" s="88" customFormat="1" hidden="1" x14ac:dyDescent="0.25">
      <c r="A6595" s="261"/>
      <c r="B6595" s="256"/>
      <c r="C6595" s="316"/>
      <c r="D6595" s="251"/>
      <c r="E6595" s="251"/>
      <c r="F6595" s="249" t="s">
        <v>236</v>
      </c>
      <c r="G6595" s="252" t="s">
        <v>237</v>
      </c>
      <c r="H6595" s="594"/>
      <c r="I6595" s="595"/>
      <c r="J6595" s="599">
        <f t="shared" ref="J6595:J6609" si="187">SUM(H6595:I6595)</f>
        <v>0</v>
      </c>
      <c r="K6595" s="533"/>
      <c r="L6595" s="533"/>
      <c r="M6595" s="533"/>
      <c r="N6595" s="533"/>
      <c r="O6595" s="533"/>
      <c r="P6595" s="533"/>
      <c r="Q6595" s="533"/>
      <c r="R6595" s="533"/>
      <c r="S6595" s="533"/>
      <c r="T6595" s="533"/>
      <c r="U6595" s="533"/>
      <c r="V6595" s="533"/>
      <c r="W6595" s="533"/>
      <c r="X6595" s="533"/>
      <c r="Y6595" s="533"/>
    </row>
    <row r="6596" spans="1:25" s="88" customFormat="1" hidden="1" x14ac:dyDescent="0.25">
      <c r="A6596" s="261"/>
      <c r="B6596" s="256"/>
      <c r="C6596" s="316"/>
      <c r="D6596" s="251"/>
      <c r="E6596" s="251"/>
      <c r="F6596" s="249" t="s">
        <v>238</v>
      </c>
      <c r="G6596" s="252" t="s">
        <v>239</v>
      </c>
      <c r="H6596" s="594"/>
      <c r="I6596" s="595"/>
      <c r="J6596" s="599">
        <f t="shared" si="187"/>
        <v>0</v>
      </c>
      <c r="K6596" s="533"/>
      <c r="L6596" s="533"/>
      <c r="M6596" s="533"/>
      <c r="N6596" s="533"/>
      <c r="O6596" s="533"/>
      <c r="P6596" s="533"/>
      <c r="Q6596" s="533"/>
      <c r="R6596" s="533"/>
      <c r="S6596" s="533"/>
      <c r="T6596" s="533"/>
      <c r="U6596" s="533"/>
      <c r="V6596" s="533"/>
      <c r="W6596" s="533"/>
      <c r="X6596" s="533"/>
      <c r="Y6596" s="533"/>
    </row>
    <row r="6597" spans="1:25" s="88" customFormat="1" hidden="1" x14ac:dyDescent="0.25">
      <c r="A6597" s="261"/>
      <c r="B6597" s="256"/>
      <c r="C6597" s="316"/>
      <c r="D6597" s="251"/>
      <c r="E6597" s="251"/>
      <c r="F6597" s="249" t="s">
        <v>240</v>
      </c>
      <c r="G6597" s="252" t="s">
        <v>241</v>
      </c>
      <c r="H6597" s="594"/>
      <c r="I6597" s="595"/>
      <c r="J6597" s="599">
        <f t="shared" si="187"/>
        <v>0</v>
      </c>
      <c r="K6597" s="533"/>
      <c r="L6597" s="533"/>
      <c r="M6597" s="533"/>
      <c r="N6597" s="533"/>
      <c r="O6597" s="533"/>
      <c r="P6597" s="533"/>
      <c r="Q6597" s="533"/>
      <c r="R6597" s="533"/>
      <c r="S6597" s="533"/>
      <c r="T6597" s="533"/>
      <c r="U6597" s="533"/>
      <c r="V6597" s="533"/>
      <c r="W6597" s="533"/>
      <c r="X6597" s="533"/>
      <c r="Y6597" s="533"/>
    </row>
    <row r="6598" spans="1:25" s="88" customFormat="1" hidden="1" x14ac:dyDescent="0.25">
      <c r="A6598" s="261"/>
      <c r="B6598" s="256"/>
      <c r="C6598" s="316"/>
      <c r="D6598" s="251"/>
      <c r="E6598" s="251"/>
      <c r="F6598" s="249" t="s">
        <v>242</v>
      </c>
      <c r="G6598" s="252" t="s">
        <v>243</v>
      </c>
      <c r="H6598" s="594"/>
      <c r="I6598" s="595"/>
      <c r="J6598" s="599">
        <f t="shared" si="187"/>
        <v>0</v>
      </c>
      <c r="K6598" s="533"/>
      <c r="L6598" s="533"/>
      <c r="M6598" s="533"/>
      <c r="N6598" s="533"/>
      <c r="O6598" s="533"/>
      <c r="P6598" s="533"/>
      <c r="Q6598" s="533"/>
      <c r="R6598" s="533"/>
      <c r="S6598" s="533"/>
      <c r="T6598" s="533"/>
      <c r="U6598" s="533"/>
      <c r="V6598" s="533"/>
      <c r="W6598" s="533"/>
      <c r="X6598" s="533"/>
      <c r="Y6598" s="533"/>
    </row>
    <row r="6599" spans="1:25" s="88" customFormat="1" hidden="1" x14ac:dyDescent="0.25">
      <c r="A6599" s="261"/>
      <c r="B6599" s="256"/>
      <c r="C6599" s="316"/>
      <c r="D6599" s="251"/>
      <c r="E6599" s="251"/>
      <c r="F6599" s="249" t="s">
        <v>244</v>
      </c>
      <c r="G6599" s="252" t="s">
        <v>245</v>
      </c>
      <c r="H6599" s="594"/>
      <c r="I6599" s="595"/>
      <c r="J6599" s="599">
        <f t="shared" si="187"/>
        <v>0</v>
      </c>
      <c r="K6599" s="533"/>
      <c r="L6599" s="533"/>
      <c r="M6599" s="533"/>
      <c r="N6599" s="533"/>
      <c r="O6599" s="533"/>
      <c r="P6599" s="533"/>
      <c r="Q6599" s="533"/>
      <c r="R6599" s="533"/>
      <c r="S6599" s="533"/>
      <c r="T6599" s="533"/>
      <c r="U6599" s="533"/>
      <c r="V6599" s="533"/>
      <c r="W6599" s="533"/>
      <c r="X6599" s="533"/>
      <c r="Y6599" s="533"/>
    </row>
    <row r="6600" spans="1:25" s="88" customFormat="1" hidden="1" x14ac:dyDescent="0.25">
      <c r="A6600" s="261"/>
      <c r="B6600" s="256"/>
      <c r="C6600" s="316"/>
      <c r="D6600" s="251"/>
      <c r="E6600" s="251"/>
      <c r="F6600" s="249" t="s">
        <v>246</v>
      </c>
      <c r="G6600" s="252" t="s">
        <v>247</v>
      </c>
      <c r="H6600" s="594"/>
      <c r="I6600" s="595"/>
      <c r="J6600" s="599">
        <f t="shared" si="187"/>
        <v>0</v>
      </c>
      <c r="K6600" s="533"/>
      <c r="L6600" s="533"/>
      <c r="M6600" s="533"/>
      <c r="N6600" s="533"/>
      <c r="O6600" s="533"/>
      <c r="P6600" s="533"/>
      <c r="Q6600" s="533"/>
      <c r="R6600" s="533"/>
      <c r="S6600" s="533"/>
      <c r="T6600" s="533"/>
      <c r="U6600" s="533"/>
      <c r="V6600" s="533"/>
      <c r="W6600" s="533"/>
      <c r="X6600" s="533"/>
      <c r="Y6600" s="533"/>
    </row>
    <row r="6601" spans="1:25" s="88" customFormat="1" hidden="1" x14ac:dyDescent="0.25">
      <c r="A6601" s="261"/>
      <c r="B6601" s="256"/>
      <c r="C6601" s="316"/>
      <c r="D6601" s="251"/>
      <c r="E6601" s="251"/>
      <c r="F6601" s="249" t="s">
        <v>248</v>
      </c>
      <c r="G6601" s="252" t="s">
        <v>249</v>
      </c>
      <c r="H6601" s="594"/>
      <c r="I6601" s="595"/>
      <c r="J6601" s="599">
        <f t="shared" si="187"/>
        <v>0</v>
      </c>
      <c r="K6601" s="533"/>
      <c r="L6601" s="533"/>
      <c r="M6601" s="533"/>
      <c r="N6601" s="533"/>
      <c r="O6601" s="533"/>
      <c r="P6601" s="533"/>
      <c r="Q6601" s="533"/>
      <c r="R6601" s="533"/>
      <c r="S6601" s="533"/>
      <c r="T6601" s="533"/>
      <c r="U6601" s="533"/>
      <c r="V6601" s="533"/>
      <c r="W6601" s="533"/>
      <c r="X6601" s="533"/>
      <c r="Y6601" s="533"/>
    </row>
    <row r="6602" spans="1:25" s="88" customFormat="1" hidden="1" x14ac:dyDescent="0.25">
      <c r="A6602" s="261"/>
      <c r="B6602" s="256"/>
      <c r="C6602" s="316"/>
      <c r="D6602" s="251"/>
      <c r="E6602" s="251"/>
      <c r="F6602" s="249" t="s">
        <v>250</v>
      </c>
      <c r="G6602" s="252" t="s">
        <v>57</v>
      </c>
      <c r="H6602" s="594"/>
      <c r="I6602" s="595"/>
      <c r="J6602" s="599">
        <f t="shared" si="187"/>
        <v>0</v>
      </c>
      <c r="K6602" s="533"/>
      <c r="L6602" s="533"/>
      <c r="M6602" s="533"/>
      <c r="N6602" s="533"/>
      <c r="O6602" s="533"/>
      <c r="P6602" s="533"/>
      <c r="Q6602" s="533"/>
      <c r="R6602" s="533"/>
      <c r="S6602" s="533"/>
      <c r="T6602" s="533"/>
      <c r="U6602" s="533"/>
      <c r="V6602" s="533"/>
      <c r="W6602" s="533"/>
      <c r="X6602" s="533"/>
      <c r="Y6602" s="533"/>
    </row>
    <row r="6603" spans="1:25" s="88" customFormat="1" hidden="1" x14ac:dyDescent="0.25">
      <c r="A6603" s="261"/>
      <c r="B6603" s="256"/>
      <c r="C6603" s="316"/>
      <c r="D6603" s="251"/>
      <c r="E6603" s="251"/>
      <c r="F6603" s="249" t="s">
        <v>251</v>
      </c>
      <c r="G6603" s="252" t="s">
        <v>252</v>
      </c>
      <c r="H6603" s="594"/>
      <c r="I6603" s="595"/>
      <c r="J6603" s="599">
        <f t="shared" si="187"/>
        <v>0</v>
      </c>
      <c r="K6603" s="533"/>
      <c r="L6603" s="533"/>
      <c r="M6603" s="533"/>
      <c r="N6603" s="533"/>
      <c r="O6603" s="533"/>
      <c r="P6603" s="533"/>
      <c r="Q6603" s="533"/>
      <c r="R6603" s="533"/>
      <c r="S6603" s="533"/>
      <c r="T6603" s="533"/>
      <c r="U6603" s="533"/>
      <c r="V6603" s="533"/>
      <c r="W6603" s="533"/>
      <c r="X6603" s="533"/>
      <c r="Y6603" s="533"/>
    </row>
    <row r="6604" spans="1:25" s="88" customFormat="1" hidden="1" x14ac:dyDescent="0.25">
      <c r="A6604" s="261"/>
      <c r="B6604" s="256"/>
      <c r="C6604" s="316"/>
      <c r="D6604" s="251"/>
      <c r="E6604" s="251"/>
      <c r="F6604" s="249" t="s">
        <v>253</v>
      </c>
      <c r="G6604" s="252" t="s">
        <v>254</v>
      </c>
      <c r="H6604" s="594"/>
      <c r="I6604" s="595"/>
      <c r="J6604" s="599">
        <f t="shared" si="187"/>
        <v>0</v>
      </c>
      <c r="K6604" s="533"/>
      <c r="L6604" s="533"/>
      <c r="M6604" s="533"/>
      <c r="N6604" s="533"/>
      <c r="O6604" s="533"/>
      <c r="P6604" s="533"/>
      <c r="Q6604" s="533"/>
      <c r="R6604" s="533"/>
      <c r="S6604" s="533"/>
      <c r="T6604" s="533"/>
      <c r="U6604" s="533"/>
      <c r="V6604" s="533"/>
      <c r="W6604" s="533"/>
      <c r="X6604" s="533"/>
      <c r="Y6604" s="533"/>
    </row>
    <row r="6605" spans="1:25" s="88" customFormat="1" ht="30" hidden="1" x14ac:dyDescent="0.25">
      <c r="A6605" s="261"/>
      <c r="B6605" s="256"/>
      <c r="C6605" s="316"/>
      <c r="D6605" s="251"/>
      <c r="E6605" s="251"/>
      <c r="F6605" s="249" t="s">
        <v>255</v>
      </c>
      <c r="G6605" s="252" t="s">
        <v>256</v>
      </c>
      <c r="H6605" s="594"/>
      <c r="I6605" s="595"/>
      <c r="J6605" s="599">
        <f t="shared" si="187"/>
        <v>0</v>
      </c>
      <c r="K6605" s="533"/>
      <c r="L6605" s="533"/>
      <c r="M6605" s="533"/>
      <c r="N6605" s="533"/>
      <c r="O6605" s="533"/>
      <c r="P6605" s="533"/>
      <c r="Q6605" s="533"/>
      <c r="R6605" s="533"/>
      <c r="S6605" s="533"/>
      <c r="T6605" s="533"/>
      <c r="U6605" s="533"/>
      <c r="V6605" s="533"/>
      <c r="W6605" s="533"/>
      <c r="X6605" s="533"/>
      <c r="Y6605" s="533"/>
    </row>
    <row r="6606" spans="1:25" s="88" customFormat="1" hidden="1" x14ac:dyDescent="0.25">
      <c r="A6606" s="261"/>
      <c r="B6606" s="256"/>
      <c r="C6606" s="316"/>
      <c r="D6606" s="251"/>
      <c r="E6606" s="251"/>
      <c r="F6606" s="249" t="s">
        <v>257</v>
      </c>
      <c r="G6606" s="252" t="s">
        <v>258</v>
      </c>
      <c r="H6606" s="594"/>
      <c r="I6606" s="595"/>
      <c r="J6606" s="599">
        <f t="shared" si="187"/>
        <v>0</v>
      </c>
      <c r="K6606" s="533"/>
      <c r="L6606" s="533"/>
      <c r="M6606" s="533"/>
      <c r="N6606" s="533"/>
      <c r="O6606" s="533"/>
      <c r="P6606" s="533"/>
      <c r="Q6606" s="533"/>
      <c r="R6606" s="533"/>
      <c r="S6606" s="533"/>
      <c r="T6606" s="533"/>
      <c r="U6606" s="533"/>
      <c r="V6606" s="533"/>
      <c r="W6606" s="533"/>
      <c r="X6606" s="533"/>
      <c r="Y6606" s="533"/>
    </row>
    <row r="6607" spans="1:25" s="88" customFormat="1" ht="30" hidden="1" x14ac:dyDescent="0.25">
      <c r="A6607" s="261"/>
      <c r="B6607" s="256"/>
      <c r="C6607" s="316"/>
      <c r="D6607" s="251"/>
      <c r="E6607" s="251"/>
      <c r="F6607" s="249" t="s">
        <v>259</v>
      </c>
      <c r="G6607" s="252" t="s">
        <v>260</v>
      </c>
      <c r="H6607" s="594"/>
      <c r="I6607" s="595"/>
      <c r="J6607" s="599">
        <f t="shared" si="187"/>
        <v>0</v>
      </c>
      <c r="K6607" s="533"/>
      <c r="L6607" s="533"/>
      <c r="M6607" s="533"/>
      <c r="N6607" s="533"/>
      <c r="O6607" s="533"/>
      <c r="P6607" s="533"/>
      <c r="Q6607" s="533"/>
      <c r="R6607" s="533"/>
      <c r="S6607" s="533"/>
      <c r="T6607" s="533"/>
      <c r="U6607" s="533"/>
      <c r="V6607" s="533"/>
      <c r="W6607" s="533"/>
      <c r="X6607" s="533"/>
      <c r="Y6607" s="533"/>
    </row>
    <row r="6608" spans="1:25" s="88" customFormat="1" hidden="1" x14ac:dyDescent="0.25">
      <c r="A6608" s="261"/>
      <c r="B6608" s="256"/>
      <c r="C6608" s="316"/>
      <c r="D6608" s="251"/>
      <c r="E6608" s="251"/>
      <c r="F6608" s="249" t="s">
        <v>261</v>
      </c>
      <c r="G6608" s="252" t="s">
        <v>262</v>
      </c>
      <c r="H6608" s="594"/>
      <c r="I6608" s="595"/>
      <c r="J6608" s="599">
        <f t="shared" si="187"/>
        <v>0</v>
      </c>
      <c r="K6608" s="533"/>
      <c r="L6608" s="533"/>
      <c r="M6608" s="533"/>
      <c r="N6608" s="533"/>
      <c r="O6608" s="533"/>
      <c r="P6608" s="533"/>
      <c r="Q6608" s="533"/>
      <c r="R6608" s="533"/>
      <c r="S6608" s="533"/>
      <c r="T6608" s="533"/>
      <c r="U6608" s="533"/>
      <c r="V6608" s="533"/>
      <c r="W6608" s="533"/>
      <c r="X6608" s="533"/>
      <c r="Y6608" s="533"/>
    </row>
    <row r="6609" spans="1:25" s="88" customFormat="1" ht="15.75" hidden="1" thickBot="1" x14ac:dyDescent="0.3">
      <c r="A6609" s="261"/>
      <c r="B6609" s="256"/>
      <c r="C6609" s="316"/>
      <c r="D6609" s="251"/>
      <c r="E6609" s="251"/>
      <c r="F6609" s="249" t="s">
        <v>263</v>
      </c>
      <c r="G6609" s="252" t="s">
        <v>264</v>
      </c>
      <c r="H6609" s="598"/>
      <c r="I6609" s="599"/>
      <c r="J6609" s="599">
        <f t="shared" si="187"/>
        <v>0</v>
      </c>
      <c r="K6609" s="533"/>
      <c r="L6609" s="533"/>
      <c r="M6609" s="533"/>
      <c r="N6609" s="533"/>
      <c r="O6609" s="533"/>
      <c r="P6609" s="533"/>
      <c r="Q6609" s="533"/>
      <c r="R6609" s="533"/>
      <c r="S6609" s="533"/>
      <c r="T6609" s="533"/>
      <c r="U6609" s="533"/>
      <c r="V6609" s="533"/>
      <c r="W6609" s="533"/>
      <c r="X6609" s="533"/>
      <c r="Y6609" s="533"/>
    </row>
    <row r="6610" spans="1:25" s="88" customFormat="1" ht="15.75" hidden="1" thickBot="1" x14ac:dyDescent="0.3">
      <c r="A6610" s="261"/>
      <c r="B6610" s="256"/>
      <c r="C6610" s="316"/>
      <c r="D6610" s="251"/>
      <c r="E6610" s="251"/>
      <c r="F6610" s="218"/>
      <c r="G6610" s="229" t="s">
        <v>4229</v>
      </c>
      <c r="H6610" s="600">
        <f>SUM(H6594:H6609)</f>
        <v>111474000</v>
      </c>
      <c r="I6610" s="601">
        <f>SUM(I6595:I6609)</f>
        <v>0</v>
      </c>
      <c r="J6610" s="601">
        <f>SUM(J6594:J6609)</f>
        <v>111474000</v>
      </c>
      <c r="K6610" s="533"/>
      <c r="L6610" s="533"/>
      <c r="M6610" s="533"/>
      <c r="N6610" s="533"/>
      <c r="O6610" s="533"/>
      <c r="P6610" s="533"/>
      <c r="Q6610" s="533"/>
      <c r="R6610" s="533"/>
      <c r="S6610" s="533"/>
      <c r="T6610" s="533"/>
      <c r="U6610" s="533"/>
      <c r="V6610" s="533"/>
      <c r="W6610" s="533"/>
      <c r="X6610" s="533"/>
      <c r="Y6610" s="533"/>
    </row>
    <row r="6611" spans="1:25" hidden="1" x14ac:dyDescent="0.25"/>
    <row r="6612" spans="1:25" s="88" customFormat="1" x14ac:dyDescent="0.25">
      <c r="C6612" s="318"/>
      <c r="G6612" s="275"/>
      <c r="H6612" s="615"/>
      <c r="I6612" s="616"/>
      <c r="J6612" s="616"/>
      <c r="K6612" s="533"/>
      <c r="L6612" s="533"/>
      <c r="M6612" s="533"/>
      <c r="N6612" s="533"/>
      <c r="O6612" s="533"/>
      <c r="P6612" s="533"/>
      <c r="Q6612" s="533"/>
      <c r="R6612" s="533"/>
      <c r="S6612" s="533"/>
      <c r="T6612" s="533"/>
      <c r="U6612" s="533"/>
      <c r="V6612" s="533"/>
      <c r="W6612" s="533"/>
      <c r="X6612" s="533"/>
      <c r="Y6612" s="533"/>
    </row>
    <row r="6613" spans="1:25" s="88" customFormat="1" hidden="1" x14ac:dyDescent="0.25">
      <c r="A6613" s="279"/>
      <c r="B6613" s="280"/>
      <c r="C6613" s="322"/>
      <c r="D6613" s="281"/>
      <c r="E6613" s="282"/>
      <c r="F6613" s="282"/>
      <c r="G6613" s="283" t="s">
        <v>4290</v>
      </c>
      <c r="H6613" s="629"/>
      <c r="I6613" s="630"/>
      <c r="J6613" s="617"/>
      <c r="K6613" s="533"/>
      <c r="L6613" s="533"/>
      <c r="M6613" s="533"/>
      <c r="N6613" s="533"/>
      <c r="O6613" s="533"/>
      <c r="P6613" s="533"/>
      <c r="Q6613" s="533"/>
      <c r="R6613" s="533"/>
      <c r="S6613" s="533"/>
      <c r="T6613" s="533"/>
      <c r="U6613" s="533"/>
      <c r="V6613" s="533"/>
      <c r="W6613" s="533"/>
      <c r="X6613" s="533"/>
      <c r="Y6613" s="533"/>
    </row>
    <row r="6614" spans="1:25" hidden="1" x14ac:dyDescent="0.25">
      <c r="C6614" s="228" t="s">
        <v>3608</v>
      </c>
      <c r="G6614" s="294" t="s">
        <v>4188</v>
      </c>
    </row>
    <row r="6615" spans="1:25" ht="28.5" hidden="1" x14ac:dyDescent="0.25">
      <c r="C6615" s="323" t="s">
        <v>4154</v>
      </c>
      <c r="G6615" s="294" t="s">
        <v>4155</v>
      </c>
    </row>
    <row r="6616" spans="1:25" hidden="1" x14ac:dyDescent="0.25">
      <c r="C6616" s="228"/>
      <c r="D6616" s="312">
        <v>160</v>
      </c>
      <c r="E6616" s="312"/>
      <c r="F6616" s="312"/>
      <c r="G6616" s="314" t="s">
        <v>3929</v>
      </c>
    </row>
    <row r="6617" spans="1:25" hidden="1" x14ac:dyDescent="0.25">
      <c r="F6617" s="218">
        <v>4631</v>
      </c>
      <c r="G6617" s="230" t="s">
        <v>3827</v>
      </c>
    </row>
    <row r="6618" spans="1:25" ht="15.75" hidden="1" thickBot="1" x14ac:dyDescent="0.3">
      <c r="F6618" s="218">
        <v>4632</v>
      </c>
      <c r="G6618" s="230" t="s">
        <v>3828</v>
      </c>
    </row>
    <row r="6619" spans="1:25" hidden="1" x14ac:dyDescent="0.25">
      <c r="E6619" s="293"/>
      <c r="F6619" s="301"/>
      <c r="G6619" s="327" t="s">
        <v>4411</v>
      </c>
      <c r="H6619" s="596"/>
      <c r="I6619" s="622"/>
      <c r="J6619" s="597"/>
    </row>
    <row r="6620" spans="1:25" ht="15.75" hidden="1" thickBot="1" x14ac:dyDescent="0.3">
      <c r="E6620" s="222"/>
      <c r="F6620" s="249" t="s">
        <v>234</v>
      </c>
      <c r="G6620" s="252" t="s">
        <v>235</v>
      </c>
      <c r="H6620" s="598">
        <f>SUM(H6617:H6618)</f>
        <v>0</v>
      </c>
      <c r="I6620" s="599"/>
      <c r="J6620" s="599">
        <f t="shared" ref="J6620:J6635" si="188">SUM(H6620:I6620)</f>
        <v>0</v>
      </c>
    </row>
    <row r="6621" spans="1:25" hidden="1" x14ac:dyDescent="0.25">
      <c r="F6621" s="249" t="s">
        <v>236</v>
      </c>
      <c r="G6621" s="252" t="s">
        <v>237</v>
      </c>
      <c r="J6621" s="599">
        <f t="shared" si="188"/>
        <v>0</v>
      </c>
    </row>
    <row r="6622" spans="1:25" hidden="1" x14ac:dyDescent="0.25">
      <c r="F6622" s="249" t="s">
        <v>238</v>
      </c>
      <c r="G6622" s="252" t="s">
        <v>239</v>
      </c>
      <c r="J6622" s="599">
        <f t="shared" si="188"/>
        <v>0</v>
      </c>
    </row>
    <row r="6623" spans="1:25" hidden="1" x14ac:dyDescent="0.25">
      <c r="F6623" s="249" t="s">
        <v>240</v>
      </c>
      <c r="G6623" s="252" t="s">
        <v>241</v>
      </c>
      <c r="J6623" s="599">
        <f t="shared" si="188"/>
        <v>0</v>
      </c>
    </row>
    <row r="6624" spans="1:25" hidden="1" x14ac:dyDescent="0.25">
      <c r="F6624" s="249" t="s">
        <v>242</v>
      </c>
      <c r="G6624" s="252" t="s">
        <v>243</v>
      </c>
      <c r="J6624" s="599">
        <f t="shared" si="188"/>
        <v>0</v>
      </c>
    </row>
    <row r="6625" spans="6:10" hidden="1" x14ac:dyDescent="0.25">
      <c r="F6625" s="249" t="s">
        <v>244</v>
      </c>
      <c r="G6625" s="252" t="s">
        <v>245</v>
      </c>
      <c r="J6625" s="599">
        <f t="shared" si="188"/>
        <v>0</v>
      </c>
    </row>
    <row r="6626" spans="6:10" hidden="1" x14ac:dyDescent="0.25">
      <c r="F6626" s="249" t="s">
        <v>246</v>
      </c>
      <c r="G6626" s="252" t="s">
        <v>247</v>
      </c>
      <c r="J6626" s="599">
        <f t="shared" si="188"/>
        <v>0</v>
      </c>
    </row>
    <row r="6627" spans="6:10" hidden="1" x14ac:dyDescent="0.25">
      <c r="F6627" s="249" t="s">
        <v>248</v>
      </c>
      <c r="G6627" s="252" t="s">
        <v>249</v>
      </c>
      <c r="J6627" s="599">
        <f t="shared" si="188"/>
        <v>0</v>
      </c>
    </row>
    <row r="6628" spans="6:10" hidden="1" x14ac:dyDescent="0.25">
      <c r="F6628" s="249" t="s">
        <v>250</v>
      </c>
      <c r="G6628" s="252" t="s">
        <v>57</v>
      </c>
      <c r="J6628" s="599">
        <f t="shared" si="188"/>
        <v>0</v>
      </c>
    </row>
    <row r="6629" spans="6:10" hidden="1" x14ac:dyDescent="0.25">
      <c r="F6629" s="249" t="s">
        <v>251</v>
      </c>
      <c r="G6629" s="252" t="s">
        <v>252</v>
      </c>
      <c r="J6629" s="599">
        <f t="shared" si="188"/>
        <v>0</v>
      </c>
    </row>
    <row r="6630" spans="6:10" hidden="1" x14ac:dyDescent="0.25">
      <c r="F6630" s="249" t="s">
        <v>253</v>
      </c>
      <c r="G6630" s="252" t="s">
        <v>254</v>
      </c>
      <c r="J6630" s="599">
        <f t="shared" si="188"/>
        <v>0</v>
      </c>
    </row>
    <row r="6631" spans="6:10" ht="30" hidden="1" x14ac:dyDescent="0.25">
      <c r="F6631" s="249" t="s">
        <v>255</v>
      </c>
      <c r="G6631" s="252" t="s">
        <v>256</v>
      </c>
      <c r="J6631" s="599">
        <f t="shared" si="188"/>
        <v>0</v>
      </c>
    </row>
    <row r="6632" spans="6:10" hidden="1" x14ac:dyDescent="0.25">
      <c r="F6632" s="249" t="s">
        <v>257</v>
      </c>
      <c r="G6632" s="252" t="s">
        <v>258</v>
      </c>
      <c r="J6632" s="599">
        <f t="shared" si="188"/>
        <v>0</v>
      </c>
    </row>
    <row r="6633" spans="6:10" ht="30" hidden="1" x14ac:dyDescent="0.25">
      <c r="F6633" s="249" t="s">
        <v>259</v>
      </c>
      <c r="G6633" s="252" t="s">
        <v>260</v>
      </c>
      <c r="J6633" s="599">
        <f t="shared" si="188"/>
        <v>0</v>
      </c>
    </row>
    <row r="6634" spans="6:10" hidden="1" x14ac:dyDescent="0.25">
      <c r="F6634" s="249" t="s">
        <v>261</v>
      </c>
      <c r="G6634" s="252" t="s">
        <v>262</v>
      </c>
      <c r="J6634" s="599">
        <f t="shared" si="188"/>
        <v>0</v>
      </c>
    </row>
    <row r="6635" spans="6:10" ht="15.75" hidden="1" thickBot="1" x14ac:dyDescent="0.3">
      <c r="F6635" s="249" t="s">
        <v>263</v>
      </c>
      <c r="G6635" s="252" t="s">
        <v>264</v>
      </c>
      <c r="H6635" s="598"/>
      <c r="I6635" s="599"/>
      <c r="J6635" s="599">
        <f t="shared" si="188"/>
        <v>0</v>
      </c>
    </row>
    <row r="6636" spans="6:10" ht="15.75" hidden="1" thickBot="1" x14ac:dyDescent="0.3">
      <c r="G6636" s="229" t="s">
        <v>4412</v>
      </c>
      <c r="H6636" s="600">
        <f>SUM(H6620:H6635)</f>
        <v>0</v>
      </c>
      <c r="I6636" s="601">
        <f>SUM(I6621:I6635)</f>
        <v>0</v>
      </c>
      <c r="J6636" s="601">
        <f>SUM(J6620:J6635)</f>
        <v>0</v>
      </c>
    </row>
    <row r="6637" spans="6:10" ht="28.5" hidden="1" x14ac:dyDescent="0.25">
      <c r="F6637" s="264"/>
      <c r="G6637" s="231" t="s">
        <v>4231</v>
      </c>
      <c r="H6637" s="602"/>
      <c r="I6637" s="623"/>
      <c r="J6637" s="603"/>
    </row>
    <row r="6638" spans="6:10" ht="15.75" hidden="1" thickBot="1" x14ac:dyDescent="0.3">
      <c r="F6638" s="249" t="s">
        <v>234</v>
      </c>
      <c r="G6638" s="252" t="s">
        <v>235</v>
      </c>
      <c r="H6638" s="598">
        <f>SUM(H6617:H6618)</f>
        <v>0</v>
      </c>
      <c r="I6638" s="599"/>
      <c r="J6638" s="599">
        <f>SUM(H6638:I6638)</f>
        <v>0</v>
      </c>
    </row>
    <row r="6639" spans="6:10" hidden="1" x14ac:dyDescent="0.25">
      <c r="F6639" s="249" t="s">
        <v>236</v>
      </c>
      <c r="G6639" s="252" t="s">
        <v>237</v>
      </c>
      <c r="J6639" s="599">
        <f t="shared" ref="J6639:J6653" si="189">SUM(H6639:I6639)</f>
        <v>0</v>
      </c>
    </row>
    <row r="6640" spans="6:10" hidden="1" x14ac:dyDescent="0.25">
      <c r="F6640" s="249" t="s">
        <v>238</v>
      </c>
      <c r="G6640" s="252" t="s">
        <v>239</v>
      </c>
      <c r="J6640" s="599">
        <f t="shared" si="189"/>
        <v>0</v>
      </c>
    </row>
    <row r="6641" spans="5:10" hidden="1" x14ac:dyDescent="0.25">
      <c r="F6641" s="249" t="s">
        <v>240</v>
      </c>
      <c r="G6641" s="252" t="s">
        <v>241</v>
      </c>
      <c r="J6641" s="599">
        <f t="shared" si="189"/>
        <v>0</v>
      </c>
    </row>
    <row r="6642" spans="5:10" hidden="1" x14ac:dyDescent="0.25">
      <c r="F6642" s="249" t="s">
        <v>242</v>
      </c>
      <c r="G6642" s="252" t="s">
        <v>243</v>
      </c>
      <c r="J6642" s="599">
        <f t="shared" si="189"/>
        <v>0</v>
      </c>
    </row>
    <row r="6643" spans="5:10" hidden="1" x14ac:dyDescent="0.25">
      <c r="F6643" s="249" t="s">
        <v>244</v>
      </c>
      <c r="G6643" s="252" t="s">
        <v>245</v>
      </c>
      <c r="J6643" s="599">
        <f t="shared" si="189"/>
        <v>0</v>
      </c>
    </row>
    <row r="6644" spans="5:10" hidden="1" x14ac:dyDescent="0.25">
      <c r="F6644" s="249" t="s">
        <v>246</v>
      </c>
      <c r="G6644" s="252" t="s">
        <v>247</v>
      </c>
      <c r="J6644" s="599">
        <f t="shared" si="189"/>
        <v>0</v>
      </c>
    </row>
    <row r="6645" spans="5:10" hidden="1" x14ac:dyDescent="0.25">
      <c r="F6645" s="249" t="s">
        <v>248</v>
      </c>
      <c r="G6645" s="252" t="s">
        <v>249</v>
      </c>
      <c r="J6645" s="599">
        <f t="shared" si="189"/>
        <v>0</v>
      </c>
    </row>
    <row r="6646" spans="5:10" hidden="1" x14ac:dyDescent="0.25">
      <c r="F6646" s="249" t="s">
        <v>250</v>
      </c>
      <c r="G6646" s="252" t="s">
        <v>57</v>
      </c>
      <c r="J6646" s="599">
        <f t="shared" si="189"/>
        <v>0</v>
      </c>
    </row>
    <row r="6647" spans="5:10" hidden="1" x14ac:dyDescent="0.25">
      <c r="F6647" s="249" t="s">
        <v>251</v>
      </c>
      <c r="G6647" s="252" t="s">
        <v>252</v>
      </c>
      <c r="J6647" s="599">
        <f t="shared" si="189"/>
        <v>0</v>
      </c>
    </row>
    <row r="6648" spans="5:10" hidden="1" x14ac:dyDescent="0.25">
      <c r="F6648" s="249" t="s">
        <v>253</v>
      </c>
      <c r="G6648" s="252" t="s">
        <v>254</v>
      </c>
      <c r="J6648" s="599">
        <f t="shared" si="189"/>
        <v>0</v>
      </c>
    </row>
    <row r="6649" spans="5:10" ht="30" hidden="1" x14ac:dyDescent="0.25">
      <c r="F6649" s="249" t="s">
        <v>255</v>
      </c>
      <c r="G6649" s="252" t="s">
        <v>256</v>
      </c>
      <c r="J6649" s="599">
        <f t="shared" si="189"/>
        <v>0</v>
      </c>
    </row>
    <row r="6650" spans="5:10" hidden="1" x14ac:dyDescent="0.25">
      <c r="F6650" s="249" t="s">
        <v>257</v>
      </c>
      <c r="G6650" s="252" t="s">
        <v>258</v>
      </c>
      <c r="J6650" s="599">
        <f t="shared" si="189"/>
        <v>0</v>
      </c>
    </row>
    <row r="6651" spans="5:10" ht="30" hidden="1" x14ac:dyDescent="0.25">
      <c r="F6651" s="249" t="s">
        <v>259</v>
      </c>
      <c r="G6651" s="252" t="s">
        <v>260</v>
      </c>
      <c r="J6651" s="599">
        <f t="shared" si="189"/>
        <v>0</v>
      </c>
    </row>
    <row r="6652" spans="5:10" hidden="1" x14ac:dyDescent="0.25">
      <c r="F6652" s="249" t="s">
        <v>261</v>
      </c>
      <c r="G6652" s="252" t="s">
        <v>262</v>
      </c>
      <c r="J6652" s="599">
        <f t="shared" si="189"/>
        <v>0</v>
      </c>
    </row>
    <row r="6653" spans="5:10" ht="15.75" hidden="1" thickBot="1" x14ac:dyDescent="0.3">
      <c r="F6653" s="249" t="s">
        <v>263</v>
      </c>
      <c r="G6653" s="252" t="s">
        <v>264</v>
      </c>
      <c r="H6653" s="598"/>
      <c r="I6653" s="599"/>
      <c r="J6653" s="599">
        <f t="shared" si="189"/>
        <v>0</v>
      </c>
    </row>
    <row r="6654" spans="5:10" ht="15.75" hidden="1" thickBot="1" x14ac:dyDescent="0.3">
      <c r="G6654" s="229" t="s">
        <v>4230</v>
      </c>
      <c r="H6654" s="600">
        <f>SUM(H6638:H6653)</f>
        <v>0</v>
      </c>
      <c r="I6654" s="601">
        <f>SUM(I6639:I6653)</f>
        <v>0</v>
      </c>
      <c r="J6654" s="601">
        <f>SUM(J6638:J6653)</f>
        <v>0</v>
      </c>
    </row>
    <row r="6655" spans="5:10" hidden="1" x14ac:dyDescent="0.25"/>
    <row r="6656" spans="5:10" hidden="1" x14ac:dyDescent="0.25">
      <c r="E6656" s="293"/>
      <c r="F6656" s="301"/>
      <c r="G6656" s="250" t="s">
        <v>4225</v>
      </c>
      <c r="H6656" s="606"/>
      <c r="I6656" s="624"/>
      <c r="J6656" s="607"/>
    </row>
    <row r="6657" spans="5:10" ht="15.75" hidden="1" thickBot="1" x14ac:dyDescent="0.3">
      <c r="E6657" s="222"/>
      <c r="F6657" s="249" t="s">
        <v>234</v>
      </c>
      <c r="G6657" s="252" t="s">
        <v>235</v>
      </c>
      <c r="H6657" s="598">
        <f>SUM(H6638)</f>
        <v>0</v>
      </c>
      <c r="I6657" s="599"/>
      <c r="J6657" s="599">
        <f>SUM(H6657:I6657)</f>
        <v>0</v>
      </c>
    </row>
    <row r="6658" spans="5:10" hidden="1" x14ac:dyDescent="0.25">
      <c r="F6658" s="249" t="s">
        <v>236</v>
      </c>
      <c r="G6658" s="252" t="s">
        <v>237</v>
      </c>
      <c r="J6658" s="599">
        <f t="shared" ref="J6658:J6672" si="190">SUM(H6658:I6658)</f>
        <v>0</v>
      </c>
    </row>
    <row r="6659" spans="5:10" hidden="1" x14ac:dyDescent="0.25">
      <c r="F6659" s="249" t="s">
        <v>238</v>
      </c>
      <c r="G6659" s="252" t="s">
        <v>239</v>
      </c>
      <c r="J6659" s="599">
        <f t="shared" si="190"/>
        <v>0</v>
      </c>
    </row>
    <row r="6660" spans="5:10" hidden="1" x14ac:dyDescent="0.25">
      <c r="F6660" s="249" t="s">
        <v>240</v>
      </c>
      <c r="G6660" s="252" t="s">
        <v>241</v>
      </c>
      <c r="J6660" s="599">
        <f t="shared" si="190"/>
        <v>0</v>
      </c>
    </row>
    <row r="6661" spans="5:10" hidden="1" x14ac:dyDescent="0.25">
      <c r="F6661" s="249" t="s">
        <v>242</v>
      </c>
      <c r="G6661" s="252" t="s">
        <v>243</v>
      </c>
      <c r="J6661" s="599">
        <f t="shared" si="190"/>
        <v>0</v>
      </c>
    </row>
    <row r="6662" spans="5:10" hidden="1" x14ac:dyDescent="0.25">
      <c r="F6662" s="249" t="s">
        <v>244</v>
      </c>
      <c r="G6662" s="252" t="s">
        <v>245</v>
      </c>
      <c r="J6662" s="599">
        <f t="shared" si="190"/>
        <v>0</v>
      </c>
    </row>
    <row r="6663" spans="5:10" hidden="1" x14ac:dyDescent="0.25">
      <c r="F6663" s="249" t="s">
        <v>246</v>
      </c>
      <c r="G6663" s="252" t="s">
        <v>247</v>
      </c>
      <c r="J6663" s="599">
        <f t="shared" si="190"/>
        <v>0</v>
      </c>
    </row>
    <row r="6664" spans="5:10" hidden="1" x14ac:dyDescent="0.25">
      <c r="F6664" s="249" t="s">
        <v>248</v>
      </c>
      <c r="G6664" s="252" t="s">
        <v>249</v>
      </c>
      <c r="J6664" s="599">
        <f t="shared" si="190"/>
        <v>0</v>
      </c>
    </row>
    <row r="6665" spans="5:10" hidden="1" x14ac:dyDescent="0.25">
      <c r="F6665" s="249" t="s">
        <v>250</v>
      </c>
      <c r="G6665" s="252" t="s">
        <v>57</v>
      </c>
      <c r="J6665" s="599">
        <f t="shared" si="190"/>
        <v>0</v>
      </c>
    </row>
    <row r="6666" spans="5:10" hidden="1" x14ac:dyDescent="0.25">
      <c r="F6666" s="249" t="s">
        <v>251</v>
      </c>
      <c r="G6666" s="252" t="s">
        <v>252</v>
      </c>
      <c r="J6666" s="599">
        <f t="shared" si="190"/>
        <v>0</v>
      </c>
    </row>
    <row r="6667" spans="5:10" hidden="1" x14ac:dyDescent="0.25">
      <c r="F6667" s="249" t="s">
        <v>253</v>
      </c>
      <c r="G6667" s="252" t="s">
        <v>254</v>
      </c>
      <c r="J6667" s="599">
        <f t="shared" si="190"/>
        <v>0</v>
      </c>
    </row>
    <row r="6668" spans="5:10" ht="30" hidden="1" x14ac:dyDescent="0.25">
      <c r="F6668" s="249" t="s">
        <v>255</v>
      </c>
      <c r="G6668" s="252" t="s">
        <v>256</v>
      </c>
      <c r="J6668" s="599">
        <f t="shared" si="190"/>
        <v>0</v>
      </c>
    </row>
    <row r="6669" spans="5:10" hidden="1" x14ac:dyDescent="0.25">
      <c r="F6669" s="249" t="s">
        <v>257</v>
      </c>
      <c r="G6669" s="252" t="s">
        <v>258</v>
      </c>
      <c r="J6669" s="599">
        <f t="shared" si="190"/>
        <v>0</v>
      </c>
    </row>
    <row r="6670" spans="5:10" ht="30" hidden="1" x14ac:dyDescent="0.25">
      <c r="F6670" s="249" t="s">
        <v>259</v>
      </c>
      <c r="G6670" s="252" t="s">
        <v>260</v>
      </c>
      <c r="J6670" s="599">
        <f t="shared" si="190"/>
        <v>0</v>
      </c>
    </row>
    <row r="6671" spans="5:10" hidden="1" x14ac:dyDescent="0.25">
      <c r="F6671" s="249" t="s">
        <v>261</v>
      </c>
      <c r="G6671" s="252" t="s">
        <v>262</v>
      </c>
      <c r="J6671" s="599">
        <f t="shared" si="190"/>
        <v>0</v>
      </c>
    </row>
    <row r="6672" spans="5:10" ht="15.75" hidden="1" thickBot="1" x14ac:dyDescent="0.3">
      <c r="F6672" s="249" t="s">
        <v>263</v>
      </c>
      <c r="G6672" s="252" t="s">
        <v>264</v>
      </c>
      <c r="H6672" s="598"/>
      <c r="I6672" s="599"/>
      <c r="J6672" s="599">
        <f t="shared" si="190"/>
        <v>0</v>
      </c>
    </row>
    <row r="6673" spans="1:25" ht="15.75" hidden="1" thickBot="1" x14ac:dyDescent="0.3">
      <c r="G6673" s="229" t="s">
        <v>4226</v>
      </c>
      <c r="H6673" s="600">
        <f>SUM(H6657:H6672)</f>
        <v>0</v>
      </c>
      <c r="I6673" s="601">
        <f>SUM(I6658:I6672)</f>
        <v>0</v>
      </c>
      <c r="J6673" s="601">
        <f>SUM(J6657:J6672)</f>
        <v>0</v>
      </c>
    </row>
    <row r="6674" spans="1:25" hidden="1" x14ac:dyDescent="0.25"/>
    <row r="6675" spans="1:25" s="88" customFormat="1" hidden="1" x14ac:dyDescent="0.25">
      <c r="A6675" s="261"/>
      <c r="B6675" s="256"/>
      <c r="C6675" s="316"/>
      <c r="D6675" s="251"/>
      <c r="E6675" s="251"/>
      <c r="F6675" s="264"/>
      <c r="G6675" s="250" t="s">
        <v>4293</v>
      </c>
      <c r="H6675" s="606"/>
      <c r="I6675" s="624"/>
      <c r="J6675" s="607"/>
      <c r="K6675" s="533"/>
      <c r="L6675" s="533"/>
      <c r="M6675" s="533"/>
      <c r="N6675" s="533"/>
      <c r="O6675" s="533"/>
      <c r="P6675" s="533"/>
      <c r="Q6675" s="533"/>
      <c r="R6675" s="533"/>
      <c r="S6675" s="533"/>
      <c r="T6675" s="533"/>
      <c r="U6675" s="533"/>
      <c r="V6675" s="533"/>
      <c r="W6675" s="533"/>
      <c r="X6675" s="533"/>
      <c r="Y6675" s="533"/>
    </row>
    <row r="6676" spans="1:25" s="88" customFormat="1" ht="15.75" hidden="1" thickBot="1" x14ac:dyDescent="0.3">
      <c r="A6676" s="261"/>
      <c r="B6676" s="256"/>
      <c r="C6676" s="316"/>
      <c r="D6676" s="251"/>
      <c r="E6676" s="251"/>
      <c r="F6676" s="249" t="s">
        <v>234</v>
      </c>
      <c r="G6676" s="252" t="s">
        <v>235</v>
      </c>
      <c r="H6676" s="598">
        <f>SUM(H6657)</f>
        <v>0</v>
      </c>
      <c r="I6676" s="599"/>
      <c r="J6676" s="599">
        <f>SUM(H6676:I6676)</f>
        <v>0</v>
      </c>
      <c r="K6676" s="533"/>
      <c r="L6676" s="533"/>
      <c r="M6676" s="533"/>
      <c r="N6676" s="533"/>
      <c r="O6676" s="533"/>
      <c r="P6676" s="533"/>
      <c r="Q6676" s="533"/>
      <c r="R6676" s="533"/>
      <c r="S6676" s="533"/>
      <c r="T6676" s="533"/>
      <c r="U6676" s="533"/>
      <c r="V6676" s="533"/>
      <c r="W6676" s="533"/>
      <c r="X6676" s="533"/>
      <c r="Y6676" s="533"/>
    </row>
    <row r="6677" spans="1:25" s="88" customFormat="1" hidden="1" x14ac:dyDescent="0.25">
      <c r="A6677" s="261"/>
      <c r="B6677" s="256"/>
      <c r="C6677" s="316"/>
      <c r="D6677" s="251"/>
      <c r="E6677" s="251"/>
      <c r="F6677" s="249" t="s">
        <v>236</v>
      </c>
      <c r="G6677" s="252" t="s">
        <v>237</v>
      </c>
      <c r="H6677" s="594"/>
      <c r="I6677" s="595"/>
      <c r="J6677" s="599">
        <f t="shared" ref="J6677:J6691" si="191">SUM(H6677:I6677)</f>
        <v>0</v>
      </c>
      <c r="K6677" s="533"/>
      <c r="L6677" s="533"/>
      <c r="M6677" s="533"/>
      <c r="N6677" s="533"/>
      <c r="O6677" s="533"/>
      <c r="P6677" s="533"/>
      <c r="Q6677" s="533"/>
      <c r="R6677" s="533"/>
      <c r="S6677" s="533"/>
      <c r="T6677" s="533"/>
      <c r="U6677" s="533"/>
      <c r="V6677" s="533"/>
      <c r="W6677" s="533"/>
      <c r="X6677" s="533"/>
      <c r="Y6677" s="533"/>
    </row>
    <row r="6678" spans="1:25" s="88" customFormat="1" hidden="1" x14ac:dyDescent="0.25">
      <c r="A6678" s="261"/>
      <c r="B6678" s="256"/>
      <c r="C6678" s="316"/>
      <c r="D6678" s="251"/>
      <c r="E6678" s="251"/>
      <c r="F6678" s="249" t="s">
        <v>238</v>
      </c>
      <c r="G6678" s="252" t="s">
        <v>239</v>
      </c>
      <c r="H6678" s="594"/>
      <c r="I6678" s="595"/>
      <c r="J6678" s="599">
        <f t="shared" si="191"/>
        <v>0</v>
      </c>
      <c r="K6678" s="533"/>
      <c r="L6678" s="533"/>
      <c r="M6678" s="533"/>
      <c r="N6678" s="533"/>
      <c r="O6678" s="533"/>
      <c r="P6678" s="533"/>
      <c r="Q6678" s="533"/>
      <c r="R6678" s="533"/>
      <c r="S6678" s="533"/>
      <c r="T6678" s="533"/>
      <c r="U6678" s="533"/>
      <c r="V6678" s="533"/>
      <c r="W6678" s="533"/>
      <c r="X6678" s="533"/>
      <c r="Y6678" s="533"/>
    </row>
    <row r="6679" spans="1:25" s="88" customFormat="1" hidden="1" x14ac:dyDescent="0.25">
      <c r="A6679" s="261"/>
      <c r="B6679" s="256"/>
      <c r="C6679" s="316"/>
      <c r="D6679" s="251"/>
      <c r="E6679" s="251"/>
      <c r="F6679" s="249" t="s">
        <v>240</v>
      </c>
      <c r="G6679" s="252" t="s">
        <v>241</v>
      </c>
      <c r="H6679" s="594"/>
      <c r="I6679" s="595"/>
      <c r="J6679" s="599">
        <f t="shared" si="191"/>
        <v>0</v>
      </c>
      <c r="K6679" s="533"/>
      <c r="L6679" s="533"/>
      <c r="M6679" s="533"/>
      <c r="N6679" s="533"/>
      <c r="O6679" s="533"/>
      <c r="P6679" s="533"/>
      <c r="Q6679" s="533"/>
      <c r="R6679" s="533"/>
      <c r="S6679" s="533"/>
      <c r="T6679" s="533"/>
      <c r="U6679" s="533"/>
      <c r="V6679" s="533"/>
      <c r="W6679" s="533"/>
      <c r="X6679" s="533"/>
      <c r="Y6679" s="533"/>
    </row>
    <row r="6680" spans="1:25" s="88" customFormat="1" hidden="1" x14ac:dyDescent="0.25">
      <c r="A6680" s="261"/>
      <c r="B6680" s="256"/>
      <c r="C6680" s="316"/>
      <c r="D6680" s="251"/>
      <c r="E6680" s="251"/>
      <c r="F6680" s="249" t="s">
        <v>242</v>
      </c>
      <c r="G6680" s="252" t="s">
        <v>243</v>
      </c>
      <c r="H6680" s="594"/>
      <c r="I6680" s="595"/>
      <c r="J6680" s="599">
        <f t="shared" si="191"/>
        <v>0</v>
      </c>
      <c r="K6680" s="533"/>
      <c r="L6680" s="533"/>
      <c r="M6680" s="533"/>
      <c r="N6680" s="533"/>
      <c r="O6680" s="533"/>
      <c r="P6680" s="533"/>
      <c r="Q6680" s="533"/>
      <c r="R6680" s="533"/>
      <c r="S6680" s="533"/>
      <c r="T6680" s="533"/>
      <c r="U6680" s="533"/>
      <c r="V6680" s="533"/>
      <c r="W6680" s="533"/>
      <c r="X6680" s="533"/>
      <c r="Y6680" s="533"/>
    </row>
    <row r="6681" spans="1:25" s="88" customFormat="1" hidden="1" x14ac:dyDescent="0.25">
      <c r="A6681" s="261"/>
      <c r="B6681" s="256"/>
      <c r="C6681" s="316"/>
      <c r="D6681" s="251"/>
      <c r="E6681" s="251"/>
      <c r="F6681" s="249" t="s">
        <v>244</v>
      </c>
      <c r="G6681" s="252" t="s">
        <v>245</v>
      </c>
      <c r="H6681" s="594"/>
      <c r="I6681" s="595"/>
      <c r="J6681" s="599">
        <f t="shared" si="191"/>
        <v>0</v>
      </c>
      <c r="K6681" s="533"/>
      <c r="L6681" s="533"/>
      <c r="M6681" s="533"/>
      <c r="N6681" s="533"/>
      <c r="O6681" s="533"/>
      <c r="P6681" s="533"/>
      <c r="Q6681" s="533"/>
      <c r="R6681" s="533"/>
      <c r="S6681" s="533"/>
      <c r="T6681" s="533"/>
      <c r="U6681" s="533"/>
      <c r="V6681" s="533"/>
      <c r="W6681" s="533"/>
      <c r="X6681" s="533"/>
      <c r="Y6681" s="533"/>
    </row>
    <row r="6682" spans="1:25" s="88" customFormat="1" hidden="1" x14ac:dyDescent="0.25">
      <c r="A6682" s="261"/>
      <c r="B6682" s="256"/>
      <c r="C6682" s="316"/>
      <c r="D6682" s="251"/>
      <c r="E6682" s="251"/>
      <c r="F6682" s="249" t="s">
        <v>246</v>
      </c>
      <c r="G6682" s="252" t="s">
        <v>247</v>
      </c>
      <c r="H6682" s="594"/>
      <c r="I6682" s="595"/>
      <c r="J6682" s="599">
        <f t="shared" si="191"/>
        <v>0</v>
      </c>
      <c r="K6682" s="533"/>
      <c r="L6682" s="533"/>
      <c r="M6682" s="533"/>
      <c r="N6682" s="533"/>
      <c r="O6682" s="533"/>
      <c r="P6682" s="533"/>
      <c r="Q6682" s="533"/>
      <c r="R6682" s="533"/>
      <c r="S6682" s="533"/>
      <c r="T6682" s="533"/>
      <c r="U6682" s="533"/>
      <c r="V6682" s="533"/>
      <c r="W6682" s="533"/>
      <c r="X6682" s="533"/>
      <c r="Y6682" s="533"/>
    </row>
    <row r="6683" spans="1:25" s="88" customFormat="1" hidden="1" x14ac:dyDescent="0.25">
      <c r="A6683" s="261"/>
      <c r="B6683" s="256"/>
      <c r="C6683" s="316"/>
      <c r="D6683" s="251"/>
      <c r="E6683" s="251"/>
      <c r="F6683" s="249" t="s">
        <v>248</v>
      </c>
      <c r="G6683" s="252" t="s">
        <v>249</v>
      </c>
      <c r="H6683" s="594"/>
      <c r="I6683" s="595"/>
      <c r="J6683" s="599">
        <f t="shared" si="191"/>
        <v>0</v>
      </c>
      <c r="K6683" s="533"/>
      <c r="L6683" s="533"/>
      <c r="M6683" s="533"/>
      <c r="N6683" s="533"/>
      <c r="O6683" s="533"/>
      <c r="P6683" s="533"/>
      <c r="Q6683" s="533"/>
      <c r="R6683" s="533"/>
      <c r="S6683" s="533"/>
      <c r="T6683" s="533"/>
      <c r="U6683" s="533"/>
      <c r="V6683" s="533"/>
      <c r="W6683" s="533"/>
      <c r="X6683" s="533"/>
      <c r="Y6683" s="533"/>
    </row>
    <row r="6684" spans="1:25" s="88" customFormat="1" hidden="1" x14ac:dyDescent="0.25">
      <c r="A6684" s="261"/>
      <c r="B6684" s="256"/>
      <c r="C6684" s="316"/>
      <c r="D6684" s="251"/>
      <c r="E6684" s="251"/>
      <c r="F6684" s="249" t="s">
        <v>250</v>
      </c>
      <c r="G6684" s="252" t="s">
        <v>57</v>
      </c>
      <c r="H6684" s="594"/>
      <c r="I6684" s="595"/>
      <c r="J6684" s="599">
        <f t="shared" si="191"/>
        <v>0</v>
      </c>
      <c r="K6684" s="533"/>
      <c r="L6684" s="533"/>
      <c r="M6684" s="533"/>
      <c r="N6684" s="533"/>
      <c r="O6684" s="533"/>
      <c r="P6684" s="533"/>
      <c r="Q6684" s="533"/>
      <c r="R6684" s="533"/>
      <c r="S6684" s="533"/>
      <c r="T6684" s="533"/>
      <c r="U6684" s="533"/>
      <c r="V6684" s="533"/>
      <c r="W6684" s="533"/>
      <c r="X6684" s="533"/>
      <c r="Y6684" s="533"/>
    </row>
    <row r="6685" spans="1:25" s="88" customFormat="1" hidden="1" x14ac:dyDescent="0.25">
      <c r="A6685" s="261"/>
      <c r="B6685" s="256"/>
      <c r="C6685" s="316"/>
      <c r="D6685" s="251"/>
      <c r="E6685" s="251"/>
      <c r="F6685" s="249" t="s">
        <v>251</v>
      </c>
      <c r="G6685" s="252" t="s">
        <v>252</v>
      </c>
      <c r="H6685" s="594"/>
      <c r="I6685" s="595"/>
      <c r="J6685" s="599">
        <f t="shared" si="191"/>
        <v>0</v>
      </c>
      <c r="K6685" s="533"/>
      <c r="L6685" s="533"/>
      <c r="M6685" s="533"/>
      <c r="N6685" s="533"/>
      <c r="O6685" s="533"/>
      <c r="P6685" s="533"/>
      <c r="Q6685" s="533"/>
      <c r="R6685" s="533"/>
      <c r="S6685" s="533"/>
      <c r="T6685" s="533"/>
      <c r="U6685" s="533"/>
      <c r="V6685" s="533"/>
      <c r="W6685" s="533"/>
      <c r="X6685" s="533"/>
      <c r="Y6685" s="533"/>
    </row>
    <row r="6686" spans="1:25" s="88" customFormat="1" hidden="1" x14ac:dyDescent="0.25">
      <c r="A6686" s="261"/>
      <c r="B6686" s="256"/>
      <c r="C6686" s="316"/>
      <c r="D6686" s="251"/>
      <c r="E6686" s="251"/>
      <c r="F6686" s="249" t="s">
        <v>253</v>
      </c>
      <c r="G6686" s="252" t="s">
        <v>254</v>
      </c>
      <c r="H6686" s="594"/>
      <c r="I6686" s="595"/>
      <c r="J6686" s="599">
        <f t="shared" si="191"/>
        <v>0</v>
      </c>
      <c r="K6686" s="533"/>
      <c r="L6686" s="533"/>
      <c r="M6686" s="533"/>
      <c r="N6686" s="533"/>
      <c r="O6686" s="533"/>
      <c r="P6686" s="533"/>
      <c r="Q6686" s="533"/>
      <c r="R6686" s="533"/>
      <c r="S6686" s="533"/>
      <c r="T6686" s="533"/>
      <c r="U6686" s="533"/>
      <c r="V6686" s="533"/>
      <c r="W6686" s="533"/>
      <c r="X6686" s="533"/>
      <c r="Y6686" s="533"/>
    </row>
    <row r="6687" spans="1:25" s="88" customFormat="1" ht="30" hidden="1" x14ac:dyDescent="0.25">
      <c r="A6687" s="261"/>
      <c r="B6687" s="256"/>
      <c r="C6687" s="316"/>
      <c r="D6687" s="251"/>
      <c r="E6687" s="251"/>
      <c r="F6687" s="249" t="s">
        <v>255</v>
      </c>
      <c r="G6687" s="252" t="s">
        <v>256</v>
      </c>
      <c r="H6687" s="594"/>
      <c r="I6687" s="595"/>
      <c r="J6687" s="599">
        <f t="shared" si="191"/>
        <v>0</v>
      </c>
      <c r="K6687" s="533"/>
      <c r="L6687" s="533"/>
      <c r="M6687" s="533"/>
      <c r="N6687" s="533"/>
      <c r="O6687" s="533"/>
      <c r="P6687" s="533"/>
      <c r="Q6687" s="533"/>
      <c r="R6687" s="533"/>
      <c r="S6687" s="533"/>
      <c r="T6687" s="533"/>
      <c r="U6687" s="533"/>
      <c r="V6687" s="533"/>
      <c r="W6687" s="533"/>
      <c r="X6687" s="533"/>
      <c r="Y6687" s="533"/>
    </row>
    <row r="6688" spans="1:25" s="88" customFormat="1" hidden="1" x14ac:dyDescent="0.25">
      <c r="A6688" s="261"/>
      <c r="B6688" s="256"/>
      <c r="C6688" s="316"/>
      <c r="D6688" s="251"/>
      <c r="E6688" s="251"/>
      <c r="F6688" s="249" t="s">
        <v>257</v>
      </c>
      <c r="G6688" s="252" t="s">
        <v>258</v>
      </c>
      <c r="H6688" s="594"/>
      <c r="I6688" s="595"/>
      <c r="J6688" s="599">
        <f t="shared" si="191"/>
        <v>0</v>
      </c>
      <c r="K6688" s="533"/>
      <c r="L6688" s="533"/>
      <c r="M6688" s="533"/>
      <c r="N6688" s="533"/>
      <c r="O6688" s="533"/>
      <c r="P6688" s="533"/>
      <c r="Q6688" s="533"/>
      <c r="R6688" s="533"/>
      <c r="S6688" s="533"/>
      <c r="T6688" s="533"/>
      <c r="U6688" s="533"/>
      <c r="V6688" s="533"/>
      <c r="W6688" s="533"/>
      <c r="X6688" s="533"/>
      <c r="Y6688" s="533"/>
    </row>
    <row r="6689" spans="1:25" s="88" customFormat="1" ht="30" hidden="1" x14ac:dyDescent="0.25">
      <c r="A6689" s="261"/>
      <c r="B6689" s="256"/>
      <c r="C6689" s="316"/>
      <c r="D6689" s="251"/>
      <c r="E6689" s="251"/>
      <c r="F6689" s="249" t="s">
        <v>259</v>
      </c>
      <c r="G6689" s="252" t="s">
        <v>260</v>
      </c>
      <c r="H6689" s="594"/>
      <c r="I6689" s="595"/>
      <c r="J6689" s="599">
        <f t="shared" si="191"/>
        <v>0</v>
      </c>
      <c r="K6689" s="533"/>
      <c r="L6689" s="533"/>
      <c r="M6689" s="533"/>
      <c r="N6689" s="533"/>
      <c r="O6689" s="533"/>
      <c r="P6689" s="533"/>
      <c r="Q6689" s="533"/>
      <c r="R6689" s="533"/>
      <c r="S6689" s="533"/>
      <c r="T6689" s="533"/>
      <c r="U6689" s="533"/>
      <c r="V6689" s="533"/>
      <c r="W6689" s="533"/>
      <c r="X6689" s="533"/>
      <c r="Y6689" s="533"/>
    </row>
    <row r="6690" spans="1:25" s="88" customFormat="1" hidden="1" x14ac:dyDescent="0.25">
      <c r="A6690" s="261"/>
      <c r="B6690" s="256"/>
      <c r="C6690" s="316"/>
      <c r="D6690" s="251"/>
      <c r="E6690" s="251"/>
      <c r="F6690" s="249" t="s">
        <v>261</v>
      </c>
      <c r="G6690" s="252" t="s">
        <v>262</v>
      </c>
      <c r="H6690" s="594"/>
      <c r="I6690" s="595"/>
      <c r="J6690" s="599">
        <f t="shared" si="191"/>
        <v>0</v>
      </c>
      <c r="K6690" s="533"/>
      <c r="L6690" s="533"/>
      <c r="M6690" s="533"/>
      <c r="N6690" s="533"/>
      <c r="O6690" s="533"/>
      <c r="P6690" s="533"/>
      <c r="Q6690" s="533"/>
      <c r="R6690" s="533"/>
      <c r="S6690" s="533"/>
      <c r="T6690" s="533"/>
      <c r="U6690" s="533"/>
      <c r="V6690" s="533"/>
      <c r="W6690" s="533"/>
      <c r="X6690" s="533"/>
      <c r="Y6690" s="533"/>
    </row>
    <row r="6691" spans="1:25" s="88" customFormat="1" ht="15.75" hidden="1" thickBot="1" x14ac:dyDescent="0.3">
      <c r="A6691" s="261"/>
      <c r="B6691" s="256"/>
      <c r="C6691" s="316"/>
      <c r="D6691" s="251"/>
      <c r="E6691" s="251"/>
      <c r="F6691" s="249" t="s">
        <v>263</v>
      </c>
      <c r="G6691" s="252" t="s">
        <v>264</v>
      </c>
      <c r="H6691" s="598"/>
      <c r="I6691" s="599"/>
      <c r="J6691" s="599">
        <f t="shared" si="191"/>
        <v>0</v>
      </c>
      <c r="K6691" s="533"/>
      <c r="L6691" s="533"/>
      <c r="M6691" s="533"/>
      <c r="N6691" s="533"/>
      <c r="O6691" s="533"/>
      <c r="P6691" s="533"/>
      <c r="Q6691" s="533"/>
      <c r="R6691" s="533"/>
      <c r="S6691" s="533"/>
      <c r="T6691" s="533"/>
      <c r="U6691" s="533"/>
      <c r="V6691" s="533"/>
      <c r="W6691" s="533"/>
      <c r="X6691" s="533"/>
      <c r="Y6691" s="533"/>
    </row>
    <row r="6692" spans="1:25" s="88" customFormat="1" ht="15.75" hidden="1" thickBot="1" x14ac:dyDescent="0.3">
      <c r="A6692" s="261"/>
      <c r="B6692" s="256"/>
      <c r="C6692" s="316"/>
      <c r="D6692" s="251"/>
      <c r="E6692" s="251"/>
      <c r="F6692" s="218"/>
      <c r="G6692" s="229" t="s">
        <v>4295</v>
      </c>
      <c r="H6692" s="600">
        <f>SUM(H6676:H6691)</f>
        <v>0</v>
      </c>
      <c r="I6692" s="601">
        <f>SUM(I6677:I6691)</f>
        <v>0</v>
      </c>
      <c r="J6692" s="601">
        <f>SUM(J6676:J6691)</f>
        <v>0</v>
      </c>
      <c r="K6692" s="533"/>
      <c r="L6692" s="533"/>
      <c r="M6692" s="533"/>
      <c r="N6692" s="533"/>
      <c r="O6692" s="533"/>
      <c r="P6692" s="533"/>
      <c r="Q6692" s="533"/>
      <c r="R6692" s="533"/>
      <c r="S6692" s="533"/>
      <c r="T6692" s="533"/>
      <c r="U6692" s="533"/>
      <c r="V6692" s="533"/>
      <c r="W6692" s="533"/>
      <c r="X6692" s="533"/>
      <c r="Y6692" s="533"/>
    </row>
    <row r="6693" spans="1:25" hidden="1" x14ac:dyDescent="0.25"/>
    <row r="6694" spans="1:25" hidden="1" x14ac:dyDescent="0.25"/>
    <row r="6695" spans="1:25" x14ac:dyDescent="0.25">
      <c r="A6695" s="244"/>
      <c r="B6695" s="244">
        <v>5</v>
      </c>
      <c r="C6695" s="220"/>
      <c r="D6695" s="216"/>
      <c r="E6695" s="216"/>
      <c r="F6695" s="216"/>
      <c r="G6695" s="284" t="s">
        <v>4298</v>
      </c>
      <c r="H6695" s="592"/>
      <c r="I6695" s="593"/>
      <c r="J6695" s="593"/>
    </row>
    <row r="6696" spans="1:25" x14ac:dyDescent="0.25">
      <c r="C6696" s="228" t="s">
        <v>3608</v>
      </c>
      <c r="G6696" s="294" t="s">
        <v>4188</v>
      </c>
    </row>
    <row r="6697" spans="1:25" x14ac:dyDescent="0.25">
      <c r="C6697" s="323" t="s">
        <v>4156</v>
      </c>
      <c r="D6697" s="285"/>
      <c r="E6697" s="285"/>
      <c r="F6697" s="222"/>
      <c r="G6697" s="287" t="s">
        <v>3671</v>
      </c>
    </row>
    <row r="6698" spans="1:25" x14ac:dyDescent="0.25">
      <c r="C6698" s="228"/>
      <c r="D6698" s="312">
        <v>160</v>
      </c>
      <c r="E6698" s="312"/>
      <c r="F6698" s="312"/>
      <c r="G6698" s="314" t="s">
        <v>3929</v>
      </c>
    </row>
    <row r="6699" spans="1:25" hidden="1" x14ac:dyDescent="0.25">
      <c r="F6699" s="290">
        <v>411</v>
      </c>
      <c r="G6699" s="295" t="s">
        <v>4189</v>
      </c>
      <c r="J6699" s="595">
        <f>SUM(H6699:I6699)</f>
        <v>0</v>
      </c>
    </row>
    <row r="6700" spans="1:25" hidden="1" x14ac:dyDescent="0.25">
      <c r="F6700" s="290">
        <v>412</v>
      </c>
      <c r="G6700" s="292" t="s">
        <v>3784</v>
      </c>
      <c r="J6700" s="595">
        <f t="shared" ref="J6700:J6758" si="192">SUM(H6700:I6700)</f>
        <v>0</v>
      </c>
    </row>
    <row r="6701" spans="1:25" hidden="1" x14ac:dyDescent="0.25">
      <c r="F6701" s="290">
        <v>413</v>
      </c>
      <c r="G6701" s="295" t="s">
        <v>4190</v>
      </c>
      <c r="J6701" s="595">
        <f t="shared" si="192"/>
        <v>0</v>
      </c>
    </row>
    <row r="6702" spans="1:25" hidden="1" x14ac:dyDescent="0.25">
      <c r="F6702" s="290">
        <v>414</v>
      </c>
      <c r="G6702" s="295" t="s">
        <v>3787</v>
      </c>
      <c r="J6702" s="595">
        <f t="shared" si="192"/>
        <v>0</v>
      </c>
    </row>
    <row r="6703" spans="1:25" hidden="1" x14ac:dyDescent="0.25">
      <c r="F6703" s="290">
        <v>415</v>
      </c>
      <c r="G6703" s="295" t="s">
        <v>4199</v>
      </c>
      <c r="J6703" s="595">
        <f t="shared" si="192"/>
        <v>0</v>
      </c>
    </row>
    <row r="6704" spans="1:25" hidden="1" x14ac:dyDescent="0.25">
      <c r="F6704" s="290">
        <v>416</v>
      </c>
      <c r="G6704" s="295" t="s">
        <v>4200</v>
      </c>
      <c r="J6704" s="595">
        <f t="shared" si="192"/>
        <v>0</v>
      </c>
    </row>
    <row r="6705" spans="5:10" hidden="1" x14ac:dyDescent="0.25">
      <c r="F6705" s="290">
        <v>417</v>
      </c>
      <c r="G6705" s="295" t="s">
        <v>4201</v>
      </c>
      <c r="J6705" s="595">
        <f t="shared" si="192"/>
        <v>0</v>
      </c>
    </row>
    <row r="6706" spans="5:10" hidden="1" x14ac:dyDescent="0.25">
      <c r="F6706" s="290">
        <v>418</v>
      </c>
      <c r="G6706" s="295" t="s">
        <v>3793</v>
      </c>
      <c r="J6706" s="595">
        <f t="shared" si="192"/>
        <v>0</v>
      </c>
    </row>
    <row r="6707" spans="5:10" ht="15.75" thickBot="1" x14ac:dyDescent="0.3">
      <c r="E6707" s="218">
        <v>68</v>
      </c>
      <c r="F6707" s="290">
        <v>421</v>
      </c>
      <c r="G6707" s="295" t="s">
        <v>3797</v>
      </c>
      <c r="H6707" s="594">
        <v>100000</v>
      </c>
      <c r="J6707" s="595">
        <f t="shared" si="192"/>
        <v>100000</v>
      </c>
    </row>
    <row r="6708" spans="5:10" hidden="1" x14ac:dyDescent="0.25">
      <c r="F6708" s="290">
        <v>422</v>
      </c>
      <c r="G6708" s="295" t="s">
        <v>3798</v>
      </c>
      <c r="J6708" s="595">
        <f t="shared" si="192"/>
        <v>0</v>
      </c>
    </row>
    <row r="6709" spans="5:10" hidden="1" x14ac:dyDescent="0.25">
      <c r="F6709" s="290">
        <v>423</v>
      </c>
      <c r="G6709" s="295" t="s">
        <v>3799</v>
      </c>
      <c r="J6709" s="595">
        <f t="shared" si="192"/>
        <v>0</v>
      </c>
    </row>
    <row r="6710" spans="5:10" hidden="1" x14ac:dyDescent="0.25">
      <c r="F6710" s="290">
        <v>424</v>
      </c>
      <c r="G6710" s="295" t="s">
        <v>3801</v>
      </c>
      <c r="J6710" s="595">
        <f t="shared" si="192"/>
        <v>0</v>
      </c>
    </row>
    <row r="6711" spans="5:10" hidden="1" x14ac:dyDescent="0.25">
      <c r="F6711" s="290">
        <v>425</v>
      </c>
      <c r="G6711" s="295" t="s">
        <v>4202</v>
      </c>
      <c r="J6711" s="595">
        <f t="shared" si="192"/>
        <v>0</v>
      </c>
    </row>
    <row r="6712" spans="5:10" hidden="1" x14ac:dyDescent="0.25">
      <c r="F6712" s="290">
        <v>426</v>
      </c>
      <c r="G6712" s="295" t="s">
        <v>3805</v>
      </c>
      <c r="J6712" s="595">
        <f t="shared" si="192"/>
        <v>0</v>
      </c>
    </row>
    <row r="6713" spans="5:10" hidden="1" x14ac:dyDescent="0.25">
      <c r="F6713" s="290">
        <v>431</v>
      </c>
      <c r="G6713" s="295" t="s">
        <v>4203</v>
      </c>
      <c r="J6713" s="595">
        <f t="shared" si="192"/>
        <v>0</v>
      </c>
    </row>
    <row r="6714" spans="5:10" hidden="1" x14ac:dyDescent="0.25">
      <c r="F6714" s="290">
        <v>432</v>
      </c>
      <c r="G6714" s="295" t="s">
        <v>4204</v>
      </c>
      <c r="J6714" s="595">
        <f t="shared" si="192"/>
        <v>0</v>
      </c>
    </row>
    <row r="6715" spans="5:10" hidden="1" x14ac:dyDescent="0.25">
      <c r="F6715" s="290">
        <v>433</v>
      </c>
      <c r="G6715" s="295" t="s">
        <v>4205</v>
      </c>
      <c r="J6715" s="595">
        <f t="shared" si="192"/>
        <v>0</v>
      </c>
    </row>
    <row r="6716" spans="5:10" hidden="1" x14ac:dyDescent="0.25">
      <c r="F6716" s="290">
        <v>434</v>
      </c>
      <c r="G6716" s="295" t="s">
        <v>4206</v>
      </c>
      <c r="J6716" s="595">
        <f t="shared" si="192"/>
        <v>0</v>
      </c>
    </row>
    <row r="6717" spans="5:10" hidden="1" x14ac:dyDescent="0.25">
      <c r="F6717" s="290">
        <v>435</v>
      </c>
      <c r="G6717" s="295" t="s">
        <v>3812</v>
      </c>
      <c r="J6717" s="595">
        <f t="shared" si="192"/>
        <v>0</v>
      </c>
    </row>
    <row r="6718" spans="5:10" hidden="1" x14ac:dyDescent="0.25">
      <c r="F6718" s="290">
        <v>441</v>
      </c>
      <c r="G6718" s="295" t="s">
        <v>4207</v>
      </c>
      <c r="J6718" s="595">
        <f t="shared" si="192"/>
        <v>0</v>
      </c>
    </row>
    <row r="6719" spans="5:10" hidden="1" x14ac:dyDescent="0.25">
      <c r="F6719" s="290">
        <v>442</v>
      </c>
      <c r="G6719" s="295" t="s">
        <v>4208</v>
      </c>
      <c r="J6719" s="595">
        <f t="shared" si="192"/>
        <v>0</v>
      </c>
    </row>
    <row r="6720" spans="5:10" hidden="1" x14ac:dyDescent="0.25">
      <c r="F6720" s="290">
        <v>443</v>
      </c>
      <c r="G6720" s="295" t="s">
        <v>3817</v>
      </c>
      <c r="J6720" s="595">
        <f t="shared" si="192"/>
        <v>0</v>
      </c>
    </row>
    <row r="6721" spans="6:10" hidden="1" x14ac:dyDescent="0.25">
      <c r="F6721" s="290">
        <v>444</v>
      </c>
      <c r="G6721" s="295" t="s">
        <v>3818</v>
      </c>
      <c r="J6721" s="595">
        <f t="shared" si="192"/>
        <v>0</v>
      </c>
    </row>
    <row r="6722" spans="6:10" ht="30" hidden="1" x14ac:dyDescent="0.25">
      <c r="F6722" s="290">
        <v>4511</v>
      </c>
      <c r="G6722" s="223" t="s">
        <v>1692</v>
      </c>
      <c r="J6722" s="595">
        <f t="shared" si="192"/>
        <v>0</v>
      </c>
    </row>
    <row r="6723" spans="6:10" ht="30" hidden="1" x14ac:dyDescent="0.25">
      <c r="F6723" s="290">
        <v>4512</v>
      </c>
      <c r="G6723" s="223" t="s">
        <v>1701</v>
      </c>
      <c r="J6723" s="595">
        <f t="shared" si="192"/>
        <v>0</v>
      </c>
    </row>
    <row r="6724" spans="6:10" hidden="1" x14ac:dyDescent="0.25">
      <c r="F6724" s="290">
        <v>452</v>
      </c>
      <c r="G6724" s="295" t="s">
        <v>4209</v>
      </c>
      <c r="J6724" s="595">
        <f t="shared" si="192"/>
        <v>0</v>
      </c>
    </row>
    <row r="6725" spans="6:10" hidden="1" x14ac:dyDescent="0.25">
      <c r="F6725" s="290">
        <v>453</v>
      </c>
      <c r="G6725" s="295" t="s">
        <v>4210</v>
      </c>
      <c r="J6725" s="595">
        <f t="shared" si="192"/>
        <v>0</v>
      </c>
    </row>
    <row r="6726" spans="6:10" hidden="1" x14ac:dyDescent="0.25">
      <c r="F6726" s="290">
        <v>454</v>
      </c>
      <c r="G6726" s="295" t="s">
        <v>3823</v>
      </c>
      <c r="J6726" s="595">
        <f t="shared" si="192"/>
        <v>0</v>
      </c>
    </row>
    <row r="6727" spans="6:10" hidden="1" x14ac:dyDescent="0.25">
      <c r="F6727" s="290">
        <v>461</v>
      </c>
      <c r="G6727" s="295" t="s">
        <v>4191</v>
      </c>
      <c r="J6727" s="595">
        <f t="shared" si="192"/>
        <v>0</v>
      </c>
    </row>
    <row r="6728" spans="6:10" hidden="1" x14ac:dyDescent="0.25">
      <c r="F6728" s="290">
        <v>462</v>
      </c>
      <c r="G6728" s="295" t="s">
        <v>3826</v>
      </c>
      <c r="J6728" s="595">
        <f t="shared" si="192"/>
        <v>0</v>
      </c>
    </row>
    <row r="6729" spans="6:10" hidden="1" x14ac:dyDescent="0.25">
      <c r="F6729" s="290">
        <v>4631</v>
      </c>
      <c r="G6729" s="295" t="s">
        <v>3827</v>
      </c>
      <c r="J6729" s="595">
        <f t="shared" si="192"/>
        <v>0</v>
      </c>
    </row>
    <row r="6730" spans="6:10" hidden="1" x14ac:dyDescent="0.25">
      <c r="F6730" s="290">
        <v>4632</v>
      </c>
      <c r="G6730" s="295" t="s">
        <v>3828</v>
      </c>
      <c r="J6730" s="595">
        <f t="shared" si="192"/>
        <v>0</v>
      </c>
    </row>
    <row r="6731" spans="6:10" hidden="1" x14ac:dyDescent="0.25">
      <c r="F6731" s="290">
        <v>464</v>
      </c>
      <c r="G6731" s="295" t="s">
        <v>3829</v>
      </c>
      <c r="J6731" s="595">
        <f t="shared" si="192"/>
        <v>0</v>
      </c>
    </row>
    <row r="6732" spans="6:10" hidden="1" x14ac:dyDescent="0.25">
      <c r="F6732" s="290">
        <v>465</v>
      </c>
      <c r="G6732" s="295" t="s">
        <v>4192</v>
      </c>
      <c r="J6732" s="595">
        <f t="shared" si="192"/>
        <v>0</v>
      </c>
    </row>
    <row r="6733" spans="6:10" hidden="1" x14ac:dyDescent="0.25">
      <c r="F6733" s="290">
        <v>472</v>
      </c>
      <c r="G6733" s="295" t="s">
        <v>3833</v>
      </c>
      <c r="J6733" s="595">
        <f t="shared" si="192"/>
        <v>0</v>
      </c>
    </row>
    <row r="6734" spans="6:10" hidden="1" x14ac:dyDescent="0.25">
      <c r="F6734" s="290">
        <v>481</v>
      </c>
      <c r="G6734" s="295" t="s">
        <v>4211</v>
      </c>
      <c r="J6734" s="595">
        <f t="shared" si="192"/>
        <v>0</v>
      </c>
    </row>
    <row r="6735" spans="6:10" hidden="1" x14ac:dyDescent="0.25">
      <c r="F6735" s="290">
        <v>482</v>
      </c>
      <c r="G6735" s="295" t="s">
        <v>4212</v>
      </c>
      <c r="J6735" s="595">
        <f t="shared" si="192"/>
        <v>0</v>
      </c>
    </row>
    <row r="6736" spans="6:10" hidden="1" x14ac:dyDescent="0.25">
      <c r="F6736" s="290">
        <v>483</v>
      </c>
      <c r="G6736" s="298" t="s">
        <v>4213</v>
      </c>
      <c r="J6736" s="595">
        <f t="shared" si="192"/>
        <v>0</v>
      </c>
    </row>
    <row r="6737" spans="6:10" ht="30" hidden="1" x14ac:dyDescent="0.25">
      <c r="F6737" s="290">
        <v>484</v>
      </c>
      <c r="G6737" s="295" t="s">
        <v>4214</v>
      </c>
      <c r="J6737" s="595">
        <f t="shared" si="192"/>
        <v>0</v>
      </c>
    </row>
    <row r="6738" spans="6:10" ht="30" hidden="1" x14ac:dyDescent="0.25">
      <c r="F6738" s="290">
        <v>485</v>
      </c>
      <c r="G6738" s="295" t="s">
        <v>4215</v>
      </c>
      <c r="J6738" s="595">
        <f t="shared" si="192"/>
        <v>0</v>
      </c>
    </row>
    <row r="6739" spans="6:10" ht="30" hidden="1" x14ac:dyDescent="0.25">
      <c r="F6739" s="290">
        <v>489</v>
      </c>
      <c r="G6739" s="295" t="s">
        <v>3841</v>
      </c>
      <c r="J6739" s="595">
        <f t="shared" si="192"/>
        <v>0</v>
      </c>
    </row>
    <row r="6740" spans="6:10" hidden="1" x14ac:dyDescent="0.25">
      <c r="F6740" s="290">
        <v>494</v>
      </c>
      <c r="G6740" s="295" t="s">
        <v>4193</v>
      </c>
      <c r="J6740" s="595">
        <f t="shared" si="192"/>
        <v>0</v>
      </c>
    </row>
    <row r="6741" spans="6:10" ht="30" hidden="1" x14ac:dyDescent="0.25">
      <c r="F6741" s="290">
        <v>495</v>
      </c>
      <c r="G6741" s="295" t="s">
        <v>4194</v>
      </c>
      <c r="J6741" s="595">
        <f t="shared" si="192"/>
        <v>0</v>
      </c>
    </row>
    <row r="6742" spans="6:10" ht="30" hidden="1" x14ac:dyDescent="0.25">
      <c r="F6742" s="290">
        <v>496</v>
      </c>
      <c r="G6742" s="295" t="s">
        <v>4195</v>
      </c>
      <c r="J6742" s="595">
        <f t="shared" si="192"/>
        <v>0</v>
      </c>
    </row>
    <row r="6743" spans="6:10" hidden="1" x14ac:dyDescent="0.25">
      <c r="F6743" s="290">
        <v>499</v>
      </c>
      <c r="G6743" s="295" t="s">
        <v>4196</v>
      </c>
      <c r="J6743" s="595">
        <f t="shared" si="192"/>
        <v>0</v>
      </c>
    </row>
    <row r="6744" spans="6:10" ht="15.75" hidden="1" thickBot="1" x14ac:dyDescent="0.3">
      <c r="F6744" s="290">
        <v>511</v>
      </c>
      <c r="G6744" s="298" t="s">
        <v>4216</v>
      </c>
      <c r="J6744" s="595">
        <f t="shared" si="192"/>
        <v>0</v>
      </c>
    </row>
    <row r="6745" spans="6:10" hidden="1" x14ac:dyDescent="0.25">
      <c r="F6745" s="290">
        <v>512</v>
      </c>
      <c r="G6745" s="298" t="s">
        <v>4217</v>
      </c>
      <c r="J6745" s="595">
        <f t="shared" si="192"/>
        <v>0</v>
      </c>
    </row>
    <row r="6746" spans="6:10" hidden="1" x14ac:dyDescent="0.25">
      <c r="F6746" s="290">
        <v>513</v>
      </c>
      <c r="G6746" s="298" t="s">
        <v>4218</v>
      </c>
      <c r="J6746" s="595">
        <f t="shared" si="192"/>
        <v>0</v>
      </c>
    </row>
    <row r="6747" spans="6:10" hidden="1" x14ac:dyDescent="0.25">
      <c r="F6747" s="290">
        <v>514</v>
      </c>
      <c r="G6747" s="295" t="s">
        <v>4219</v>
      </c>
      <c r="J6747" s="595">
        <f t="shared" si="192"/>
        <v>0</v>
      </c>
    </row>
    <row r="6748" spans="6:10" hidden="1" x14ac:dyDescent="0.25">
      <c r="F6748" s="290">
        <v>515</v>
      </c>
      <c r="G6748" s="295" t="s">
        <v>3852</v>
      </c>
      <c r="J6748" s="595">
        <f t="shared" si="192"/>
        <v>0</v>
      </c>
    </row>
    <row r="6749" spans="6:10" hidden="1" x14ac:dyDescent="0.25">
      <c r="F6749" s="290">
        <v>521</v>
      </c>
      <c r="G6749" s="295" t="s">
        <v>4220</v>
      </c>
      <c r="J6749" s="595">
        <f t="shared" si="192"/>
        <v>0</v>
      </c>
    </row>
    <row r="6750" spans="6:10" hidden="1" x14ac:dyDescent="0.25">
      <c r="F6750" s="290">
        <v>522</v>
      </c>
      <c r="G6750" s="295" t="s">
        <v>4221</v>
      </c>
      <c r="J6750" s="595">
        <f t="shared" si="192"/>
        <v>0</v>
      </c>
    </row>
    <row r="6751" spans="6:10" hidden="1" x14ac:dyDescent="0.25">
      <c r="F6751" s="290">
        <v>523</v>
      </c>
      <c r="G6751" s="295" t="s">
        <v>3857</v>
      </c>
      <c r="J6751" s="595">
        <f t="shared" si="192"/>
        <v>0</v>
      </c>
    </row>
    <row r="6752" spans="6:10" hidden="1" x14ac:dyDescent="0.25">
      <c r="F6752" s="290">
        <v>531</v>
      </c>
      <c r="G6752" s="292" t="s">
        <v>4197</v>
      </c>
      <c r="J6752" s="595">
        <f t="shared" si="192"/>
        <v>0</v>
      </c>
    </row>
    <row r="6753" spans="5:10" hidden="1" x14ac:dyDescent="0.25">
      <c r="F6753" s="290">
        <v>541</v>
      </c>
      <c r="G6753" s="295" t="s">
        <v>4222</v>
      </c>
      <c r="J6753" s="595">
        <f t="shared" si="192"/>
        <v>0</v>
      </c>
    </row>
    <row r="6754" spans="5:10" hidden="1" x14ac:dyDescent="0.25">
      <c r="F6754" s="290">
        <v>542</v>
      </c>
      <c r="G6754" s="295" t="s">
        <v>4223</v>
      </c>
      <c r="J6754" s="595">
        <f t="shared" si="192"/>
        <v>0</v>
      </c>
    </row>
    <row r="6755" spans="5:10" hidden="1" x14ac:dyDescent="0.25">
      <c r="F6755" s="290">
        <v>543</v>
      </c>
      <c r="G6755" s="295" t="s">
        <v>3862</v>
      </c>
      <c r="J6755" s="595">
        <f t="shared" si="192"/>
        <v>0</v>
      </c>
    </row>
    <row r="6756" spans="5:10" ht="30" hidden="1" x14ac:dyDescent="0.25">
      <c r="F6756" s="290">
        <v>551</v>
      </c>
      <c r="G6756" s="295" t="s">
        <v>4198</v>
      </c>
      <c r="J6756" s="595">
        <f t="shared" si="192"/>
        <v>0</v>
      </c>
    </row>
    <row r="6757" spans="5:10" hidden="1" x14ac:dyDescent="0.25">
      <c r="F6757" s="291">
        <v>611</v>
      </c>
      <c r="G6757" s="299" t="s">
        <v>3868</v>
      </c>
      <c r="J6757" s="595">
        <f t="shared" si="192"/>
        <v>0</v>
      </c>
    </row>
    <row r="6758" spans="5:10" ht="15.75" hidden="1" thickBot="1" x14ac:dyDescent="0.3">
      <c r="F6758" s="291">
        <v>620</v>
      </c>
      <c r="G6758" s="299" t="s">
        <v>88</v>
      </c>
      <c r="J6758" s="595">
        <f t="shared" si="192"/>
        <v>0</v>
      </c>
    </row>
    <row r="6759" spans="5:10" x14ac:dyDescent="0.25">
      <c r="E6759" s="293"/>
      <c r="F6759" s="301"/>
      <c r="G6759" s="327" t="s">
        <v>4411</v>
      </c>
      <c r="H6759" s="596"/>
      <c r="I6759" s="622"/>
      <c r="J6759" s="597"/>
    </row>
    <row r="6760" spans="5:10" ht="15.75" thickBot="1" x14ac:dyDescent="0.3">
      <c r="E6760" s="222"/>
      <c r="F6760" s="249" t="s">
        <v>234</v>
      </c>
      <c r="G6760" s="252" t="s">
        <v>235</v>
      </c>
      <c r="H6760" s="598">
        <f>SUM(H6699:H6758)</f>
        <v>100000</v>
      </c>
      <c r="I6760" s="599"/>
      <c r="J6760" s="599">
        <f t="shared" ref="J6760:J6775" si="193">SUM(H6760:I6760)</f>
        <v>100000</v>
      </c>
    </row>
    <row r="6761" spans="5:10" hidden="1" x14ac:dyDescent="0.25">
      <c r="F6761" s="249" t="s">
        <v>236</v>
      </c>
      <c r="G6761" s="252" t="s">
        <v>237</v>
      </c>
      <c r="J6761" s="599">
        <f t="shared" si="193"/>
        <v>0</v>
      </c>
    </row>
    <row r="6762" spans="5:10" hidden="1" x14ac:dyDescent="0.25">
      <c r="F6762" s="249" t="s">
        <v>238</v>
      </c>
      <c r="G6762" s="252" t="s">
        <v>239</v>
      </c>
      <c r="J6762" s="599">
        <f t="shared" si="193"/>
        <v>0</v>
      </c>
    </row>
    <row r="6763" spans="5:10" hidden="1" x14ac:dyDescent="0.25">
      <c r="F6763" s="249" t="s">
        <v>240</v>
      </c>
      <c r="G6763" s="252" t="s">
        <v>241</v>
      </c>
      <c r="J6763" s="599">
        <f t="shared" si="193"/>
        <v>0</v>
      </c>
    </row>
    <row r="6764" spans="5:10" hidden="1" x14ac:dyDescent="0.25">
      <c r="F6764" s="249" t="s">
        <v>242</v>
      </c>
      <c r="G6764" s="252" t="s">
        <v>243</v>
      </c>
      <c r="J6764" s="599">
        <f t="shared" si="193"/>
        <v>0</v>
      </c>
    </row>
    <row r="6765" spans="5:10" hidden="1" x14ac:dyDescent="0.25">
      <c r="F6765" s="249" t="s">
        <v>244</v>
      </c>
      <c r="G6765" s="252" t="s">
        <v>245</v>
      </c>
      <c r="J6765" s="599">
        <f t="shared" si="193"/>
        <v>0</v>
      </c>
    </row>
    <row r="6766" spans="5:10" hidden="1" x14ac:dyDescent="0.25">
      <c r="F6766" s="249" t="s">
        <v>246</v>
      </c>
      <c r="G6766" s="252" t="s">
        <v>247</v>
      </c>
      <c r="J6766" s="599">
        <f t="shared" si="193"/>
        <v>0</v>
      </c>
    </row>
    <row r="6767" spans="5:10" hidden="1" x14ac:dyDescent="0.25">
      <c r="F6767" s="249" t="s">
        <v>248</v>
      </c>
      <c r="G6767" s="252" t="s">
        <v>249</v>
      </c>
      <c r="J6767" s="599">
        <f t="shared" si="193"/>
        <v>0</v>
      </c>
    </row>
    <row r="6768" spans="5:10" hidden="1" x14ac:dyDescent="0.25">
      <c r="F6768" s="249" t="s">
        <v>250</v>
      </c>
      <c r="G6768" s="252" t="s">
        <v>57</v>
      </c>
      <c r="J6768" s="599">
        <f t="shared" si="193"/>
        <v>0</v>
      </c>
    </row>
    <row r="6769" spans="5:10" hidden="1" x14ac:dyDescent="0.25">
      <c r="F6769" s="249" t="s">
        <v>251</v>
      </c>
      <c r="G6769" s="252" t="s">
        <v>252</v>
      </c>
      <c r="J6769" s="599">
        <f t="shared" si="193"/>
        <v>0</v>
      </c>
    </row>
    <row r="6770" spans="5:10" hidden="1" x14ac:dyDescent="0.25">
      <c r="F6770" s="249" t="s">
        <v>253</v>
      </c>
      <c r="G6770" s="252" t="s">
        <v>254</v>
      </c>
      <c r="J6770" s="599">
        <f t="shared" si="193"/>
        <v>0</v>
      </c>
    </row>
    <row r="6771" spans="5:10" ht="30" hidden="1" x14ac:dyDescent="0.25">
      <c r="F6771" s="249" t="s">
        <v>255</v>
      </c>
      <c r="G6771" s="252" t="s">
        <v>256</v>
      </c>
      <c r="J6771" s="599">
        <f t="shared" si="193"/>
        <v>0</v>
      </c>
    </row>
    <row r="6772" spans="5:10" hidden="1" x14ac:dyDescent="0.25">
      <c r="F6772" s="249" t="s">
        <v>257</v>
      </c>
      <c r="G6772" s="252" t="s">
        <v>258</v>
      </c>
      <c r="J6772" s="599">
        <f t="shared" si="193"/>
        <v>0</v>
      </c>
    </row>
    <row r="6773" spans="5:10" ht="30" hidden="1" x14ac:dyDescent="0.25">
      <c r="F6773" s="249" t="s">
        <v>259</v>
      </c>
      <c r="G6773" s="252" t="s">
        <v>260</v>
      </c>
      <c r="J6773" s="599">
        <f t="shared" si="193"/>
        <v>0</v>
      </c>
    </row>
    <row r="6774" spans="5:10" hidden="1" x14ac:dyDescent="0.25">
      <c r="F6774" s="249" t="s">
        <v>261</v>
      </c>
      <c r="G6774" s="252" t="s">
        <v>262</v>
      </c>
      <c r="J6774" s="599">
        <f t="shared" si="193"/>
        <v>0</v>
      </c>
    </row>
    <row r="6775" spans="5:10" ht="15.75" hidden="1" thickBot="1" x14ac:dyDescent="0.3">
      <c r="F6775" s="249" t="s">
        <v>263</v>
      </c>
      <c r="G6775" s="252" t="s">
        <v>264</v>
      </c>
      <c r="H6775" s="598"/>
      <c r="I6775" s="599"/>
      <c r="J6775" s="599">
        <f t="shared" si="193"/>
        <v>0</v>
      </c>
    </row>
    <row r="6776" spans="5:10" ht="15.75" thickBot="1" x14ac:dyDescent="0.3">
      <c r="G6776" s="229" t="s">
        <v>4412</v>
      </c>
      <c r="H6776" s="600">
        <f>SUM(H6760:H6775)</f>
        <v>100000</v>
      </c>
      <c r="I6776" s="601">
        <f>SUM(I6761:I6775)</f>
        <v>0</v>
      </c>
      <c r="J6776" s="601">
        <f>SUM(J6760:J6775)</f>
        <v>100000</v>
      </c>
    </row>
    <row r="6777" spans="5:10" ht="24" customHeight="1" collapsed="1" x14ac:dyDescent="0.25">
      <c r="E6777" s="288"/>
      <c r="F6777" s="291"/>
      <c r="G6777" s="231" t="s">
        <v>4299</v>
      </c>
      <c r="H6777" s="602"/>
      <c r="I6777" s="623"/>
      <c r="J6777" s="603"/>
    </row>
    <row r="6778" spans="5:10" ht="15.75" thickBot="1" x14ac:dyDescent="0.3">
      <c r="E6778" s="222"/>
      <c r="F6778" s="249" t="s">
        <v>234</v>
      </c>
      <c r="G6778" s="252" t="s">
        <v>235</v>
      </c>
      <c r="H6778" s="598">
        <f>SUM(H6699:H6758)</f>
        <v>100000</v>
      </c>
      <c r="I6778" s="599"/>
      <c r="J6778" s="599">
        <f>SUM(H6778:I6778)</f>
        <v>100000</v>
      </c>
    </row>
    <row r="6779" spans="5:10" hidden="1" x14ac:dyDescent="0.25">
      <c r="F6779" s="249" t="s">
        <v>236</v>
      </c>
      <c r="G6779" s="252" t="s">
        <v>237</v>
      </c>
      <c r="J6779" s="599">
        <f t="shared" ref="J6779:J6793" si="194">SUM(H6779:I6779)</f>
        <v>0</v>
      </c>
    </row>
    <row r="6780" spans="5:10" hidden="1" x14ac:dyDescent="0.25">
      <c r="F6780" s="249" t="s">
        <v>238</v>
      </c>
      <c r="G6780" s="252" t="s">
        <v>239</v>
      </c>
      <c r="J6780" s="599">
        <f t="shared" si="194"/>
        <v>0</v>
      </c>
    </row>
    <row r="6781" spans="5:10" hidden="1" x14ac:dyDescent="0.25">
      <c r="F6781" s="249" t="s">
        <v>240</v>
      </c>
      <c r="G6781" s="252" t="s">
        <v>241</v>
      </c>
      <c r="J6781" s="599">
        <f t="shared" si="194"/>
        <v>0</v>
      </c>
    </row>
    <row r="6782" spans="5:10" hidden="1" x14ac:dyDescent="0.25">
      <c r="F6782" s="249" t="s">
        <v>242</v>
      </c>
      <c r="G6782" s="252" t="s">
        <v>243</v>
      </c>
      <c r="J6782" s="599">
        <f t="shared" si="194"/>
        <v>0</v>
      </c>
    </row>
    <row r="6783" spans="5:10" hidden="1" x14ac:dyDescent="0.25">
      <c r="F6783" s="249" t="s">
        <v>244</v>
      </c>
      <c r="G6783" s="252" t="s">
        <v>245</v>
      </c>
      <c r="J6783" s="599">
        <f t="shared" si="194"/>
        <v>0</v>
      </c>
    </row>
    <row r="6784" spans="5:10" hidden="1" x14ac:dyDescent="0.25">
      <c r="F6784" s="249" t="s">
        <v>246</v>
      </c>
      <c r="G6784" s="252" t="s">
        <v>247</v>
      </c>
      <c r="J6784" s="599">
        <f t="shared" si="194"/>
        <v>0</v>
      </c>
    </row>
    <row r="6785" spans="5:10" hidden="1" x14ac:dyDescent="0.25">
      <c r="F6785" s="249" t="s">
        <v>248</v>
      </c>
      <c r="G6785" s="252" t="s">
        <v>249</v>
      </c>
      <c r="J6785" s="599">
        <f t="shared" si="194"/>
        <v>0</v>
      </c>
    </row>
    <row r="6786" spans="5:10" hidden="1" x14ac:dyDescent="0.25">
      <c r="F6786" s="249" t="s">
        <v>250</v>
      </c>
      <c r="G6786" s="252" t="s">
        <v>57</v>
      </c>
      <c r="J6786" s="599">
        <f t="shared" si="194"/>
        <v>0</v>
      </c>
    </row>
    <row r="6787" spans="5:10" hidden="1" x14ac:dyDescent="0.25">
      <c r="F6787" s="249" t="s">
        <v>251</v>
      </c>
      <c r="G6787" s="252" t="s">
        <v>252</v>
      </c>
      <c r="J6787" s="599">
        <f t="shared" si="194"/>
        <v>0</v>
      </c>
    </row>
    <row r="6788" spans="5:10" hidden="1" x14ac:dyDescent="0.25">
      <c r="F6788" s="249" t="s">
        <v>253</v>
      </c>
      <c r="G6788" s="252" t="s">
        <v>254</v>
      </c>
      <c r="J6788" s="599">
        <f t="shared" si="194"/>
        <v>0</v>
      </c>
    </row>
    <row r="6789" spans="5:10" ht="30" hidden="1" x14ac:dyDescent="0.25">
      <c r="F6789" s="249" t="s">
        <v>255</v>
      </c>
      <c r="G6789" s="252" t="s">
        <v>256</v>
      </c>
      <c r="J6789" s="599">
        <f t="shared" si="194"/>
        <v>0</v>
      </c>
    </row>
    <row r="6790" spans="5:10" hidden="1" x14ac:dyDescent="0.25">
      <c r="F6790" s="249" t="s">
        <v>257</v>
      </c>
      <c r="G6790" s="252" t="s">
        <v>258</v>
      </c>
      <c r="J6790" s="599">
        <f t="shared" si="194"/>
        <v>0</v>
      </c>
    </row>
    <row r="6791" spans="5:10" ht="30" hidden="1" x14ac:dyDescent="0.25">
      <c r="F6791" s="249" t="s">
        <v>259</v>
      </c>
      <c r="G6791" s="252" t="s">
        <v>260</v>
      </c>
      <c r="J6791" s="599">
        <f t="shared" si="194"/>
        <v>0</v>
      </c>
    </row>
    <row r="6792" spans="5:10" hidden="1" x14ac:dyDescent="0.25">
      <c r="F6792" s="249" t="s">
        <v>261</v>
      </c>
      <c r="G6792" s="252" t="s">
        <v>262</v>
      </c>
      <c r="J6792" s="599">
        <f t="shared" si="194"/>
        <v>0</v>
      </c>
    </row>
    <row r="6793" spans="5:10" ht="15.75" hidden="1" thickBot="1" x14ac:dyDescent="0.3">
      <c r="F6793" s="249" t="s">
        <v>263</v>
      </c>
      <c r="G6793" s="252" t="s">
        <v>264</v>
      </c>
      <c r="H6793" s="598"/>
      <c r="I6793" s="599"/>
      <c r="J6793" s="599">
        <f t="shared" si="194"/>
        <v>0</v>
      </c>
    </row>
    <row r="6794" spans="5:10" ht="15.75" collapsed="1" thickBot="1" x14ac:dyDescent="0.3">
      <c r="G6794" s="229" t="s">
        <v>4413</v>
      </c>
      <c r="H6794" s="600">
        <f>SUM(H6778:H6793)</f>
        <v>100000</v>
      </c>
      <c r="I6794" s="601">
        <f>SUM(I6779:I6793)</f>
        <v>0</v>
      </c>
      <c r="J6794" s="601">
        <f>SUM(J6778:J6793)</f>
        <v>100000</v>
      </c>
    </row>
    <row r="6795" spans="5:10" hidden="1" x14ac:dyDescent="0.25"/>
    <row r="6796" spans="5:10" x14ac:dyDescent="0.25">
      <c r="E6796" s="293"/>
      <c r="F6796" s="301"/>
      <c r="G6796" s="250" t="s">
        <v>4225</v>
      </c>
      <c r="H6796" s="606"/>
      <c r="I6796" s="624"/>
      <c r="J6796" s="607"/>
    </row>
    <row r="6797" spans="5:10" ht="15.75" thickBot="1" x14ac:dyDescent="0.3">
      <c r="E6797" s="222"/>
      <c r="F6797" s="249" t="s">
        <v>234</v>
      </c>
      <c r="G6797" s="252" t="s">
        <v>235</v>
      </c>
      <c r="H6797" s="598">
        <f>SUM(H6778)</f>
        <v>100000</v>
      </c>
      <c r="I6797" s="599"/>
      <c r="J6797" s="599">
        <f>SUM(H6797:I6797)</f>
        <v>100000</v>
      </c>
    </row>
    <row r="6798" spans="5:10" hidden="1" x14ac:dyDescent="0.25">
      <c r="F6798" s="249" t="s">
        <v>236</v>
      </c>
      <c r="G6798" s="252" t="s">
        <v>237</v>
      </c>
      <c r="J6798" s="599">
        <f t="shared" ref="J6798:J6812" si="195">SUM(H6798:I6798)</f>
        <v>0</v>
      </c>
    </row>
    <row r="6799" spans="5:10" hidden="1" x14ac:dyDescent="0.25">
      <c r="F6799" s="249" t="s">
        <v>238</v>
      </c>
      <c r="G6799" s="252" t="s">
        <v>239</v>
      </c>
      <c r="J6799" s="599">
        <f t="shared" si="195"/>
        <v>0</v>
      </c>
    </row>
    <row r="6800" spans="5:10" hidden="1" x14ac:dyDescent="0.25">
      <c r="F6800" s="249" t="s">
        <v>240</v>
      </c>
      <c r="G6800" s="252" t="s">
        <v>241</v>
      </c>
      <c r="J6800" s="599">
        <f t="shared" si="195"/>
        <v>0</v>
      </c>
    </row>
    <row r="6801" spans="1:25" hidden="1" x14ac:dyDescent="0.25">
      <c r="F6801" s="249" t="s">
        <v>242</v>
      </c>
      <c r="G6801" s="252" t="s">
        <v>243</v>
      </c>
      <c r="J6801" s="599">
        <f t="shared" si="195"/>
        <v>0</v>
      </c>
    </row>
    <row r="6802" spans="1:25" hidden="1" x14ac:dyDescent="0.25">
      <c r="F6802" s="249" t="s">
        <v>244</v>
      </c>
      <c r="G6802" s="252" t="s">
        <v>245</v>
      </c>
      <c r="J6802" s="599">
        <f t="shared" si="195"/>
        <v>0</v>
      </c>
    </row>
    <row r="6803" spans="1:25" hidden="1" x14ac:dyDescent="0.25">
      <c r="F6803" s="249" t="s">
        <v>246</v>
      </c>
      <c r="G6803" s="252" t="s">
        <v>247</v>
      </c>
      <c r="J6803" s="599">
        <f t="shared" si="195"/>
        <v>0</v>
      </c>
    </row>
    <row r="6804" spans="1:25" hidden="1" x14ac:dyDescent="0.25">
      <c r="F6804" s="249" t="s">
        <v>248</v>
      </c>
      <c r="G6804" s="252" t="s">
        <v>249</v>
      </c>
      <c r="J6804" s="599">
        <f t="shared" si="195"/>
        <v>0</v>
      </c>
    </row>
    <row r="6805" spans="1:25" hidden="1" x14ac:dyDescent="0.25">
      <c r="F6805" s="249" t="s">
        <v>250</v>
      </c>
      <c r="G6805" s="252" t="s">
        <v>57</v>
      </c>
      <c r="J6805" s="599">
        <f t="shared" si="195"/>
        <v>0</v>
      </c>
    </row>
    <row r="6806" spans="1:25" hidden="1" x14ac:dyDescent="0.25">
      <c r="F6806" s="249" t="s">
        <v>251</v>
      </c>
      <c r="G6806" s="252" t="s">
        <v>252</v>
      </c>
      <c r="J6806" s="599">
        <f t="shared" si="195"/>
        <v>0</v>
      </c>
    </row>
    <row r="6807" spans="1:25" hidden="1" x14ac:dyDescent="0.25">
      <c r="F6807" s="249" t="s">
        <v>253</v>
      </c>
      <c r="G6807" s="252" t="s">
        <v>254</v>
      </c>
      <c r="J6807" s="599">
        <f t="shared" si="195"/>
        <v>0</v>
      </c>
    </row>
    <row r="6808" spans="1:25" ht="30" hidden="1" x14ac:dyDescent="0.25">
      <c r="F6808" s="249" t="s">
        <v>255</v>
      </c>
      <c r="G6808" s="252" t="s">
        <v>256</v>
      </c>
      <c r="J6808" s="599">
        <f t="shared" si="195"/>
        <v>0</v>
      </c>
    </row>
    <row r="6809" spans="1:25" hidden="1" x14ac:dyDescent="0.25">
      <c r="F6809" s="249" t="s">
        <v>257</v>
      </c>
      <c r="G6809" s="252" t="s">
        <v>258</v>
      </c>
      <c r="J6809" s="599">
        <f t="shared" si="195"/>
        <v>0</v>
      </c>
    </row>
    <row r="6810" spans="1:25" ht="30" hidden="1" x14ac:dyDescent="0.25">
      <c r="F6810" s="249" t="s">
        <v>259</v>
      </c>
      <c r="G6810" s="252" t="s">
        <v>260</v>
      </c>
      <c r="J6810" s="599">
        <f t="shared" si="195"/>
        <v>0</v>
      </c>
    </row>
    <row r="6811" spans="1:25" hidden="1" x14ac:dyDescent="0.25">
      <c r="F6811" s="249" t="s">
        <v>261</v>
      </c>
      <c r="G6811" s="252" t="s">
        <v>262</v>
      </c>
      <c r="J6811" s="599">
        <f t="shared" si="195"/>
        <v>0</v>
      </c>
    </row>
    <row r="6812" spans="1:25" ht="15.75" hidden="1" thickBot="1" x14ac:dyDescent="0.3">
      <c r="F6812" s="249" t="s">
        <v>263</v>
      </c>
      <c r="G6812" s="252" t="s">
        <v>264</v>
      </c>
      <c r="H6812" s="598"/>
      <c r="I6812" s="599"/>
      <c r="J6812" s="599">
        <f t="shared" si="195"/>
        <v>0</v>
      </c>
    </row>
    <row r="6813" spans="1:25" ht="15.75" thickBot="1" x14ac:dyDescent="0.3">
      <c r="G6813" s="229" t="s">
        <v>4226</v>
      </c>
      <c r="H6813" s="600">
        <f>SUM(H6797:H6812)</f>
        <v>100000</v>
      </c>
      <c r="I6813" s="601">
        <f>SUM(I6798:I6812)</f>
        <v>0</v>
      </c>
      <c r="J6813" s="601">
        <f>SUM(J6797:J6812)</f>
        <v>100000</v>
      </c>
    </row>
    <row r="6814" spans="1:25" hidden="1" x14ac:dyDescent="0.25"/>
    <row r="6815" spans="1:25" s="88" customFormat="1" x14ac:dyDescent="0.25">
      <c r="A6815" s="289"/>
      <c r="B6815" s="256"/>
      <c r="C6815" s="316"/>
      <c r="D6815" s="251"/>
      <c r="E6815" s="251"/>
      <c r="F6815" s="291"/>
      <c r="G6815" s="250" t="s">
        <v>4322</v>
      </c>
      <c r="H6815" s="606"/>
      <c r="I6815" s="624"/>
      <c r="J6815" s="607"/>
      <c r="K6815" s="533"/>
      <c r="L6815" s="533"/>
      <c r="M6815" s="533"/>
      <c r="N6815" s="533"/>
      <c r="O6815" s="533"/>
      <c r="P6815" s="533"/>
      <c r="Q6815" s="533"/>
      <c r="R6815" s="533"/>
      <c r="S6815" s="533"/>
      <c r="T6815" s="533"/>
      <c r="U6815" s="533"/>
      <c r="V6815" s="533"/>
      <c r="W6815" s="533"/>
      <c r="X6815" s="533"/>
      <c r="Y6815" s="533"/>
    </row>
    <row r="6816" spans="1:25" s="88" customFormat="1" ht="15.75" thickBot="1" x14ac:dyDescent="0.3">
      <c r="A6816" s="289"/>
      <c r="B6816" s="256"/>
      <c r="C6816" s="316"/>
      <c r="D6816" s="251"/>
      <c r="E6816" s="251"/>
      <c r="F6816" s="249" t="s">
        <v>234</v>
      </c>
      <c r="G6816" s="252" t="s">
        <v>235</v>
      </c>
      <c r="H6816" s="598">
        <f>SUM(H6778)</f>
        <v>100000</v>
      </c>
      <c r="I6816" s="599"/>
      <c r="J6816" s="599">
        <f>SUM(H6816:I6816)</f>
        <v>100000</v>
      </c>
      <c r="K6816" s="533"/>
      <c r="L6816" s="533"/>
      <c r="M6816" s="533"/>
      <c r="N6816" s="533"/>
      <c r="O6816" s="533"/>
      <c r="P6816" s="533"/>
      <c r="Q6816" s="533"/>
      <c r="R6816" s="533"/>
      <c r="S6816" s="533"/>
      <c r="T6816" s="533"/>
      <c r="U6816" s="533"/>
      <c r="V6816" s="533"/>
      <c r="W6816" s="533"/>
      <c r="X6816" s="533"/>
      <c r="Y6816" s="533"/>
    </row>
    <row r="6817" spans="1:25" s="88" customFormat="1" hidden="1" x14ac:dyDescent="0.25">
      <c r="A6817" s="289"/>
      <c r="B6817" s="256"/>
      <c r="C6817" s="316"/>
      <c r="D6817" s="251"/>
      <c r="E6817" s="251"/>
      <c r="F6817" s="249" t="s">
        <v>236</v>
      </c>
      <c r="G6817" s="252" t="s">
        <v>237</v>
      </c>
      <c r="H6817" s="594"/>
      <c r="I6817" s="595"/>
      <c r="J6817" s="599">
        <f t="shared" ref="J6817:J6831" si="196">SUM(H6817:I6817)</f>
        <v>0</v>
      </c>
      <c r="K6817" s="533"/>
      <c r="L6817" s="533"/>
      <c r="M6817" s="533"/>
      <c r="N6817" s="533"/>
      <c r="O6817" s="533"/>
      <c r="P6817" s="533"/>
      <c r="Q6817" s="533"/>
      <c r="R6817" s="533"/>
      <c r="S6817" s="533"/>
      <c r="T6817" s="533"/>
      <c r="U6817" s="533"/>
      <c r="V6817" s="533"/>
      <c r="W6817" s="533"/>
      <c r="X6817" s="533"/>
      <c r="Y6817" s="533"/>
    </row>
    <row r="6818" spans="1:25" s="88" customFormat="1" hidden="1" x14ac:dyDescent="0.25">
      <c r="A6818" s="289"/>
      <c r="B6818" s="256"/>
      <c r="C6818" s="316"/>
      <c r="D6818" s="251"/>
      <c r="E6818" s="251"/>
      <c r="F6818" s="249" t="s">
        <v>238</v>
      </c>
      <c r="G6818" s="252" t="s">
        <v>239</v>
      </c>
      <c r="H6818" s="594"/>
      <c r="I6818" s="595"/>
      <c r="J6818" s="599">
        <f t="shared" si="196"/>
        <v>0</v>
      </c>
      <c r="K6818" s="533"/>
      <c r="L6818" s="533"/>
      <c r="M6818" s="533"/>
      <c r="N6818" s="533"/>
      <c r="O6818" s="533"/>
      <c r="P6818" s="533"/>
      <c r="Q6818" s="533"/>
      <c r="R6818" s="533"/>
      <c r="S6818" s="533"/>
      <c r="T6818" s="533"/>
      <c r="U6818" s="533"/>
      <c r="V6818" s="533"/>
      <c r="W6818" s="533"/>
      <c r="X6818" s="533"/>
      <c r="Y6818" s="533"/>
    </row>
    <row r="6819" spans="1:25" s="88" customFormat="1" hidden="1" x14ac:dyDescent="0.25">
      <c r="A6819" s="289"/>
      <c r="B6819" s="256"/>
      <c r="C6819" s="316"/>
      <c r="D6819" s="251"/>
      <c r="E6819" s="251"/>
      <c r="F6819" s="249" t="s">
        <v>240</v>
      </c>
      <c r="G6819" s="252" t="s">
        <v>241</v>
      </c>
      <c r="H6819" s="594"/>
      <c r="I6819" s="595"/>
      <c r="J6819" s="599">
        <f t="shared" si="196"/>
        <v>0</v>
      </c>
      <c r="K6819" s="533"/>
      <c r="L6819" s="533"/>
      <c r="M6819" s="533"/>
      <c r="N6819" s="533"/>
      <c r="O6819" s="533"/>
      <c r="P6819" s="533"/>
      <c r="Q6819" s="533"/>
      <c r="R6819" s="533"/>
      <c r="S6819" s="533"/>
      <c r="T6819" s="533"/>
      <c r="U6819" s="533"/>
      <c r="V6819" s="533"/>
      <c r="W6819" s="533"/>
      <c r="X6819" s="533"/>
      <c r="Y6819" s="533"/>
    </row>
    <row r="6820" spans="1:25" s="88" customFormat="1" hidden="1" x14ac:dyDescent="0.25">
      <c r="A6820" s="289"/>
      <c r="B6820" s="256"/>
      <c r="C6820" s="316"/>
      <c r="D6820" s="251"/>
      <c r="E6820" s="251"/>
      <c r="F6820" s="249" t="s">
        <v>242</v>
      </c>
      <c r="G6820" s="252" t="s">
        <v>243</v>
      </c>
      <c r="H6820" s="594"/>
      <c r="I6820" s="595"/>
      <c r="J6820" s="599">
        <f t="shared" si="196"/>
        <v>0</v>
      </c>
      <c r="K6820" s="533"/>
      <c r="L6820" s="533"/>
      <c r="M6820" s="533"/>
      <c r="N6820" s="533"/>
      <c r="O6820" s="533"/>
      <c r="P6820" s="533"/>
      <c r="Q6820" s="533"/>
      <c r="R6820" s="533"/>
      <c r="S6820" s="533"/>
      <c r="T6820" s="533"/>
      <c r="U6820" s="533"/>
      <c r="V6820" s="533"/>
      <c r="W6820" s="533"/>
      <c r="X6820" s="533"/>
      <c r="Y6820" s="533"/>
    </row>
    <row r="6821" spans="1:25" s="88" customFormat="1" hidden="1" x14ac:dyDescent="0.25">
      <c r="A6821" s="289"/>
      <c r="B6821" s="256"/>
      <c r="C6821" s="316"/>
      <c r="D6821" s="251"/>
      <c r="E6821" s="251"/>
      <c r="F6821" s="249" t="s">
        <v>244</v>
      </c>
      <c r="G6821" s="252" t="s">
        <v>245</v>
      </c>
      <c r="H6821" s="594"/>
      <c r="I6821" s="595"/>
      <c r="J6821" s="599">
        <f t="shared" si="196"/>
        <v>0</v>
      </c>
      <c r="K6821" s="533"/>
      <c r="L6821" s="533"/>
      <c r="M6821" s="533"/>
      <c r="N6821" s="533"/>
      <c r="O6821" s="533"/>
      <c r="P6821" s="533"/>
      <c r="Q6821" s="533"/>
      <c r="R6821" s="533"/>
      <c r="S6821" s="533"/>
      <c r="T6821" s="533"/>
      <c r="U6821" s="533"/>
      <c r="V6821" s="533"/>
      <c r="W6821" s="533"/>
      <c r="X6821" s="533"/>
      <c r="Y6821" s="533"/>
    </row>
    <row r="6822" spans="1:25" s="88" customFormat="1" hidden="1" x14ac:dyDescent="0.25">
      <c r="A6822" s="289"/>
      <c r="B6822" s="256"/>
      <c r="C6822" s="316"/>
      <c r="D6822" s="251"/>
      <c r="E6822" s="251"/>
      <c r="F6822" s="249" t="s">
        <v>246</v>
      </c>
      <c r="G6822" s="252" t="s">
        <v>247</v>
      </c>
      <c r="H6822" s="594"/>
      <c r="I6822" s="595"/>
      <c r="J6822" s="599">
        <f t="shared" si="196"/>
        <v>0</v>
      </c>
      <c r="K6822" s="533"/>
      <c r="L6822" s="533"/>
      <c r="M6822" s="533"/>
      <c r="N6822" s="533"/>
      <c r="O6822" s="533"/>
      <c r="P6822" s="533"/>
      <c r="Q6822" s="533"/>
      <c r="R6822" s="533"/>
      <c r="S6822" s="533"/>
      <c r="T6822" s="533"/>
      <c r="U6822" s="533"/>
      <c r="V6822" s="533"/>
      <c r="W6822" s="533"/>
      <c r="X6822" s="533"/>
      <c r="Y6822" s="533"/>
    </row>
    <row r="6823" spans="1:25" s="88" customFormat="1" hidden="1" x14ac:dyDescent="0.25">
      <c r="A6823" s="289"/>
      <c r="B6823" s="256"/>
      <c r="C6823" s="316"/>
      <c r="D6823" s="251"/>
      <c r="E6823" s="251"/>
      <c r="F6823" s="249" t="s">
        <v>248</v>
      </c>
      <c r="G6823" s="252" t="s">
        <v>249</v>
      </c>
      <c r="H6823" s="594"/>
      <c r="I6823" s="595"/>
      <c r="J6823" s="599">
        <f t="shared" si="196"/>
        <v>0</v>
      </c>
      <c r="K6823" s="533"/>
      <c r="L6823" s="533"/>
      <c r="M6823" s="533"/>
      <c r="N6823" s="533"/>
      <c r="O6823" s="533"/>
      <c r="P6823" s="533"/>
      <c r="Q6823" s="533"/>
      <c r="R6823" s="533"/>
      <c r="S6823" s="533"/>
      <c r="T6823" s="533"/>
      <c r="U6823" s="533"/>
      <c r="V6823" s="533"/>
      <c r="W6823" s="533"/>
      <c r="X6823" s="533"/>
      <c r="Y6823" s="533"/>
    </row>
    <row r="6824" spans="1:25" s="88" customFormat="1" hidden="1" x14ac:dyDescent="0.25">
      <c r="A6824" s="289"/>
      <c r="B6824" s="256"/>
      <c r="C6824" s="316"/>
      <c r="D6824" s="251"/>
      <c r="E6824" s="251"/>
      <c r="F6824" s="249" t="s">
        <v>250</v>
      </c>
      <c r="G6824" s="252" t="s">
        <v>57</v>
      </c>
      <c r="H6824" s="594"/>
      <c r="I6824" s="595"/>
      <c r="J6824" s="599">
        <f t="shared" si="196"/>
        <v>0</v>
      </c>
      <c r="K6824" s="533"/>
      <c r="L6824" s="533"/>
      <c r="M6824" s="533"/>
      <c r="N6824" s="533"/>
      <c r="O6824" s="533"/>
      <c r="P6824" s="533"/>
      <c r="Q6824" s="533"/>
      <c r="R6824" s="533"/>
      <c r="S6824" s="533"/>
      <c r="T6824" s="533"/>
      <c r="U6824" s="533"/>
      <c r="V6824" s="533"/>
      <c r="W6824" s="533"/>
      <c r="X6824" s="533"/>
      <c r="Y6824" s="533"/>
    </row>
    <row r="6825" spans="1:25" s="88" customFormat="1" hidden="1" x14ac:dyDescent="0.25">
      <c r="A6825" s="289"/>
      <c r="B6825" s="256"/>
      <c r="C6825" s="316"/>
      <c r="D6825" s="251"/>
      <c r="E6825" s="251"/>
      <c r="F6825" s="249" t="s">
        <v>251</v>
      </c>
      <c r="G6825" s="252" t="s">
        <v>252</v>
      </c>
      <c r="H6825" s="594"/>
      <c r="I6825" s="595"/>
      <c r="J6825" s="599">
        <f t="shared" si="196"/>
        <v>0</v>
      </c>
      <c r="K6825" s="533"/>
      <c r="L6825" s="533"/>
      <c r="M6825" s="533"/>
      <c r="N6825" s="533"/>
      <c r="O6825" s="533"/>
      <c r="P6825" s="533"/>
      <c r="Q6825" s="533"/>
      <c r="R6825" s="533"/>
      <c r="S6825" s="533"/>
      <c r="T6825" s="533"/>
      <c r="U6825" s="533"/>
      <c r="V6825" s="533"/>
      <c r="W6825" s="533"/>
      <c r="X6825" s="533"/>
      <c r="Y6825" s="533"/>
    </row>
    <row r="6826" spans="1:25" s="88" customFormat="1" hidden="1" x14ac:dyDescent="0.25">
      <c r="A6826" s="289"/>
      <c r="B6826" s="256"/>
      <c r="C6826" s="316"/>
      <c r="D6826" s="251"/>
      <c r="E6826" s="251"/>
      <c r="F6826" s="249" t="s">
        <v>253</v>
      </c>
      <c r="G6826" s="252" t="s">
        <v>254</v>
      </c>
      <c r="H6826" s="594"/>
      <c r="I6826" s="595"/>
      <c r="J6826" s="599">
        <f t="shared" si="196"/>
        <v>0</v>
      </c>
      <c r="K6826" s="533"/>
      <c r="L6826" s="533"/>
      <c r="M6826" s="533"/>
      <c r="N6826" s="533"/>
      <c r="O6826" s="533"/>
      <c r="P6826" s="533"/>
      <c r="Q6826" s="533"/>
      <c r="R6826" s="533"/>
      <c r="S6826" s="533"/>
      <c r="T6826" s="533"/>
      <c r="U6826" s="533"/>
      <c r="V6826" s="533"/>
      <c r="W6826" s="533"/>
      <c r="X6826" s="533"/>
      <c r="Y6826" s="533"/>
    </row>
    <row r="6827" spans="1:25" s="88" customFormat="1" ht="30" hidden="1" x14ac:dyDescent="0.25">
      <c r="A6827" s="289"/>
      <c r="B6827" s="256"/>
      <c r="C6827" s="316"/>
      <c r="D6827" s="251"/>
      <c r="E6827" s="251"/>
      <c r="F6827" s="249" t="s">
        <v>255</v>
      </c>
      <c r="G6827" s="252" t="s">
        <v>256</v>
      </c>
      <c r="H6827" s="594"/>
      <c r="I6827" s="595"/>
      <c r="J6827" s="599">
        <f t="shared" si="196"/>
        <v>0</v>
      </c>
      <c r="K6827" s="533"/>
      <c r="L6827" s="533"/>
      <c r="M6827" s="533"/>
      <c r="N6827" s="533"/>
      <c r="O6827" s="533"/>
      <c r="P6827" s="533"/>
      <c r="Q6827" s="533"/>
      <c r="R6827" s="533"/>
      <c r="S6827" s="533"/>
      <c r="T6827" s="533"/>
      <c r="U6827" s="533"/>
      <c r="V6827" s="533"/>
      <c r="W6827" s="533"/>
      <c r="X6827" s="533"/>
      <c r="Y6827" s="533"/>
    </row>
    <row r="6828" spans="1:25" s="88" customFormat="1" hidden="1" x14ac:dyDescent="0.25">
      <c r="A6828" s="289"/>
      <c r="B6828" s="256"/>
      <c r="C6828" s="316"/>
      <c r="D6828" s="251"/>
      <c r="E6828" s="251"/>
      <c r="F6828" s="249" t="s">
        <v>257</v>
      </c>
      <c r="G6828" s="252" t="s">
        <v>258</v>
      </c>
      <c r="H6828" s="594"/>
      <c r="I6828" s="595"/>
      <c r="J6828" s="599">
        <f t="shared" si="196"/>
        <v>0</v>
      </c>
      <c r="K6828" s="533"/>
      <c r="L6828" s="533"/>
      <c r="M6828" s="533"/>
      <c r="N6828" s="533"/>
      <c r="O6828" s="533"/>
      <c r="P6828" s="533"/>
      <c r="Q6828" s="533"/>
      <c r="R6828" s="533"/>
      <c r="S6828" s="533"/>
      <c r="T6828" s="533"/>
      <c r="U6828" s="533"/>
      <c r="V6828" s="533"/>
      <c r="W6828" s="533"/>
      <c r="X6828" s="533"/>
      <c r="Y6828" s="533"/>
    </row>
    <row r="6829" spans="1:25" s="88" customFormat="1" ht="30" hidden="1" x14ac:dyDescent="0.25">
      <c r="A6829" s="289"/>
      <c r="B6829" s="256"/>
      <c r="C6829" s="316"/>
      <c r="D6829" s="251"/>
      <c r="E6829" s="251"/>
      <c r="F6829" s="249" t="s">
        <v>259</v>
      </c>
      <c r="G6829" s="252" t="s">
        <v>260</v>
      </c>
      <c r="H6829" s="594"/>
      <c r="I6829" s="595"/>
      <c r="J6829" s="599">
        <f t="shared" si="196"/>
        <v>0</v>
      </c>
      <c r="K6829" s="533"/>
      <c r="L6829" s="533"/>
      <c r="M6829" s="533"/>
      <c r="N6829" s="533"/>
      <c r="O6829" s="533"/>
      <c r="P6829" s="533"/>
      <c r="Q6829" s="533"/>
      <c r="R6829" s="533"/>
      <c r="S6829" s="533"/>
      <c r="T6829" s="533"/>
      <c r="U6829" s="533"/>
      <c r="V6829" s="533"/>
      <c r="W6829" s="533"/>
      <c r="X6829" s="533"/>
      <c r="Y6829" s="533"/>
    </row>
    <row r="6830" spans="1:25" s="88" customFormat="1" hidden="1" x14ac:dyDescent="0.25">
      <c r="A6830" s="289"/>
      <c r="B6830" s="256"/>
      <c r="C6830" s="316"/>
      <c r="D6830" s="251"/>
      <c r="E6830" s="251"/>
      <c r="F6830" s="249" t="s">
        <v>261</v>
      </c>
      <c r="G6830" s="252" t="s">
        <v>262</v>
      </c>
      <c r="H6830" s="594"/>
      <c r="I6830" s="595"/>
      <c r="J6830" s="599">
        <f t="shared" si="196"/>
        <v>0</v>
      </c>
      <c r="K6830" s="533"/>
      <c r="L6830" s="533"/>
      <c r="M6830" s="533"/>
      <c r="N6830" s="533"/>
      <c r="O6830" s="533"/>
      <c r="P6830" s="533"/>
      <c r="Q6830" s="533"/>
      <c r="R6830" s="533"/>
      <c r="S6830" s="533"/>
      <c r="T6830" s="533"/>
      <c r="U6830" s="533"/>
      <c r="V6830" s="533"/>
      <c r="W6830" s="533"/>
      <c r="X6830" s="533"/>
      <c r="Y6830" s="533"/>
    </row>
    <row r="6831" spans="1:25" s="88" customFormat="1" ht="15.75" hidden="1" thickBot="1" x14ac:dyDescent="0.3">
      <c r="A6831" s="289"/>
      <c r="B6831" s="256"/>
      <c r="C6831" s="316"/>
      <c r="D6831" s="251"/>
      <c r="E6831" s="251"/>
      <c r="F6831" s="249" t="s">
        <v>263</v>
      </c>
      <c r="G6831" s="252" t="s">
        <v>264</v>
      </c>
      <c r="H6831" s="598"/>
      <c r="I6831" s="599"/>
      <c r="J6831" s="599">
        <f t="shared" si="196"/>
        <v>0</v>
      </c>
      <c r="K6831" s="533"/>
      <c r="L6831" s="533"/>
      <c r="M6831" s="533"/>
      <c r="N6831" s="533"/>
      <c r="O6831" s="533"/>
      <c r="P6831" s="533"/>
      <c r="Q6831" s="533"/>
      <c r="R6831" s="533"/>
      <c r="S6831" s="533"/>
      <c r="T6831" s="533"/>
      <c r="U6831" s="533"/>
      <c r="V6831" s="533"/>
      <c r="W6831" s="533"/>
      <c r="X6831" s="533"/>
      <c r="Y6831" s="533"/>
    </row>
    <row r="6832" spans="1:25" s="88" customFormat="1" ht="15.75" thickBot="1" x14ac:dyDescent="0.3">
      <c r="A6832" s="289"/>
      <c r="B6832" s="256"/>
      <c r="C6832" s="316"/>
      <c r="D6832" s="251"/>
      <c r="E6832" s="251"/>
      <c r="F6832" s="218"/>
      <c r="G6832" s="229" t="s">
        <v>4323</v>
      </c>
      <c r="H6832" s="600">
        <f>SUM(H6816:H6831)</f>
        <v>100000</v>
      </c>
      <c r="I6832" s="601">
        <f>SUM(I6817:I6831)</f>
        <v>0</v>
      </c>
      <c r="J6832" s="601">
        <f>SUM(J6816:J6831)</f>
        <v>100000</v>
      </c>
      <c r="K6832" s="533"/>
      <c r="L6832" s="533"/>
      <c r="M6832" s="533"/>
      <c r="N6832" s="533"/>
      <c r="O6832" s="533"/>
      <c r="P6832" s="533"/>
      <c r="Q6832" s="533"/>
      <c r="R6832" s="533"/>
      <c r="S6832" s="533"/>
      <c r="T6832" s="533"/>
      <c r="U6832" s="533"/>
      <c r="V6832" s="533"/>
      <c r="W6832" s="533"/>
      <c r="X6832" s="533"/>
      <c r="Y6832" s="533"/>
    </row>
    <row r="6833" spans="1:2" hidden="1" x14ac:dyDescent="0.25"/>
    <row r="6834" spans="1:2" hidden="1" x14ac:dyDescent="0.25"/>
    <row r="6835" spans="1:2" hidden="1" x14ac:dyDescent="0.25">
      <c r="A6835" s="244"/>
      <c r="B6835" s="244"/>
    </row>
    <row r="6836" spans="1:2" hidden="1" x14ac:dyDescent="0.25"/>
    <row r="6837" spans="1:2" hidden="1" x14ac:dyDescent="0.25"/>
    <row r="6838" spans="1:2" hidden="1" x14ac:dyDescent="0.25"/>
    <row r="6839" spans="1:2" hidden="1" x14ac:dyDescent="0.25"/>
    <row r="6840" spans="1:2" hidden="1" x14ac:dyDescent="0.25"/>
    <row r="6841" spans="1:2" hidden="1" x14ac:dyDescent="0.25"/>
    <row r="6842" spans="1:2" hidden="1" x14ac:dyDescent="0.25"/>
    <row r="6843" spans="1:2" hidden="1" x14ac:dyDescent="0.25"/>
    <row r="6844" spans="1:2" hidden="1" x14ac:dyDescent="0.25"/>
    <row r="6845" spans="1:2" hidden="1" x14ac:dyDescent="0.25"/>
    <row r="6846" spans="1:2" hidden="1" x14ac:dyDescent="0.25"/>
    <row r="6847" spans="1:2" hidden="1" x14ac:dyDescent="0.25"/>
    <row r="6848" spans="1:2" hidden="1" x14ac:dyDescent="0.25"/>
    <row r="6849" hidden="1" x14ac:dyDescent="0.25"/>
    <row r="6850" hidden="1" x14ac:dyDescent="0.25"/>
    <row r="6851" hidden="1" x14ac:dyDescent="0.25"/>
    <row r="6852" hidden="1" x14ac:dyDescent="0.25"/>
    <row r="6853" hidden="1" x14ac:dyDescent="0.25"/>
    <row r="6854" hidden="1" x14ac:dyDescent="0.25"/>
    <row r="6855" hidden="1" x14ac:dyDescent="0.25"/>
    <row r="6856" hidden="1" x14ac:dyDescent="0.25"/>
    <row r="6857" hidden="1" x14ac:dyDescent="0.25"/>
    <row r="6858" hidden="1" x14ac:dyDescent="0.25"/>
    <row r="6859" hidden="1" x14ac:dyDescent="0.25"/>
    <row r="6860" hidden="1" x14ac:dyDescent="0.25"/>
    <row r="6861" hidden="1" x14ac:dyDescent="0.25"/>
    <row r="6862" hidden="1" x14ac:dyDescent="0.25"/>
    <row r="6863" hidden="1" x14ac:dyDescent="0.25"/>
    <row r="6864" hidden="1" x14ac:dyDescent="0.25"/>
    <row r="6865" hidden="1" x14ac:dyDescent="0.25"/>
    <row r="6866" hidden="1" x14ac:dyDescent="0.25"/>
    <row r="6867" hidden="1" x14ac:dyDescent="0.25"/>
    <row r="6868" hidden="1" x14ac:dyDescent="0.25"/>
    <row r="6869" hidden="1" x14ac:dyDescent="0.25"/>
    <row r="6870" hidden="1" x14ac:dyDescent="0.25"/>
    <row r="6871" hidden="1" x14ac:dyDescent="0.25"/>
    <row r="6872" hidden="1" x14ac:dyDescent="0.25"/>
    <row r="6873" hidden="1" x14ac:dyDescent="0.25"/>
    <row r="6874" hidden="1" x14ac:dyDescent="0.25"/>
    <row r="6875" hidden="1" x14ac:dyDescent="0.25"/>
    <row r="6876" hidden="1" x14ac:dyDescent="0.25"/>
    <row r="6877" hidden="1" x14ac:dyDescent="0.25"/>
    <row r="6878" hidden="1" x14ac:dyDescent="0.25"/>
    <row r="6879" hidden="1" x14ac:dyDescent="0.25"/>
    <row r="6880" hidden="1" x14ac:dyDescent="0.25"/>
    <row r="6881" hidden="1" x14ac:dyDescent="0.25"/>
    <row r="6882" hidden="1" x14ac:dyDescent="0.25"/>
    <row r="6883" hidden="1" x14ac:dyDescent="0.25"/>
    <row r="6884" hidden="1" x14ac:dyDescent="0.25"/>
    <row r="6885" hidden="1" x14ac:dyDescent="0.25"/>
    <row r="6886" hidden="1" x14ac:dyDescent="0.25"/>
    <row r="6887" hidden="1" x14ac:dyDescent="0.25"/>
    <row r="6888" hidden="1" x14ac:dyDescent="0.25"/>
    <row r="6889" hidden="1" x14ac:dyDescent="0.25"/>
    <row r="6890" hidden="1" x14ac:dyDescent="0.25"/>
    <row r="6891" hidden="1" x14ac:dyDescent="0.25"/>
    <row r="6892" hidden="1" x14ac:dyDescent="0.25"/>
    <row r="6893" hidden="1" x14ac:dyDescent="0.25"/>
    <row r="6894" hidden="1" x14ac:dyDescent="0.25"/>
    <row r="6895" hidden="1" x14ac:dyDescent="0.25"/>
    <row r="6896" hidden="1" x14ac:dyDescent="0.25"/>
    <row r="6897" hidden="1" x14ac:dyDescent="0.25"/>
    <row r="6898" hidden="1" x14ac:dyDescent="0.25"/>
    <row r="6899" hidden="1" x14ac:dyDescent="0.25"/>
    <row r="6900" hidden="1" x14ac:dyDescent="0.25"/>
    <row r="6901" hidden="1" x14ac:dyDescent="0.25"/>
    <row r="6902" hidden="1" x14ac:dyDescent="0.25"/>
    <row r="6903" hidden="1" x14ac:dyDescent="0.25"/>
    <row r="6904" hidden="1" x14ac:dyDescent="0.25"/>
    <row r="6905" hidden="1" x14ac:dyDescent="0.25"/>
    <row r="6906" hidden="1" x14ac:dyDescent="0.25"/>
    <row r="6907" hidden="1" x14ac:dyDescent="0.25"/>
    <row r="6908" hidden="1" x14ac:dyDescent="0.25"/>
    <row r="6909" hidden="1" x14ac:dyDescent="0.25"/>
    <row r="6910" hidden="1" x14ac:dyDescent="0.25"/>
    <row r="6911" hidden="1" x14ac:dyDescent="0.25"/>
    <row r="6912" hidden="1" x14ac:dyDescent="0.25"/>
    <row r="6913" hidden="1" x14ac:dyDescent="0.25"/>
    <row r="6914" hidden="1" x14ac:dyDescent="0.25"/>
    <row r="6915" hidden="1" x14ac:dyDescent="0.25"/>
    <row r="6916" hidden="1" x14ac:dyDescent="0.25"/>
    <row r="6917" hidden="1" collapsed="1" x14ac:dyDescent="0.25"/>
    <row r="6918" hidden="1" x14ac:dyDescent="0.25"/>
    <row r="6919" hidden="1" x14ac:dyDescent="0.25"/>
    <row r="6920" hidden="1" x14ac:dyDescent="0.25"/>
    <row r="6921" hidden="1" x14ac:dyDescent="0.25"/>
    <row r="6922" hidden="1" x14ac:dyDescent="0.25"/>
    <row r="6923" hidden="1" x14ac:dyDescent="0.25"/>
    <row r="6924" hidden="1" x14ac:dyDescent="0.25"/>
    <row r="6925" hidden="1" x14ac:dyDescent="0.25"/>
    <row r="6926" hidden="1" x14ac:dyDescent="0.25"/>
    <row r="6927" hidden="1" x14ac:dyDescent="0.25"/>
    <row r="6928" hidden="1" x14ac:dyDescent="0.25"/>
    <row r="6929" hidden="1" x14ac:dyDescent="0.25"/>
    <row r="6930" hidden="1" x14ac:dyDescent="0.25"/>
    <row r="6931" hidden="1" x14ac:dyDescent="0.25"/>
    <row r="6932" hidden="1" x14ac:dyDescent="0.25"/>
    <row r="6933" hidden="1" x14ac:dyDescent="0.25"/>
    <row r="6934" hidden="1" collapsed="1" x14ac:dyDescent="0.25"/>
    <row r="6935" hidden="1" x14ac:dyDescent="0.25"/>
    <row r="6936" hidden="1" x14ac:dyDescent="0.25"/>
    <row r="6937" hidden="1" x14ac:dyDescent="0.25"/>
    <row r="6938" hidden="1" x14ac:dyDescent="0.25"/>
    <row r="6939" hidden="1" x14ac:dyDescent="0.25"/>
    <row r="6940" hidden="1" x14ac:dyDescent="0.25"/>
    <row r="6941" hidden="1" x14ac:dyDescent="0.25"/>
    <row r="6942" hidden="1" x14ac:dyDescent="0.25"/>
    <row r="6943" hidden="1" x14ac:dyDescent="0.25"/>
    <row r="6944" hidden="1" x14ac:dyDescent="0.25"/>
    <row r="6945" hidden="1" x14ac:dyDescent="0.25"/>
    <row r="6946" hidden="1" x14ac:dyDescent="0.25"/>
    <row r="6947" hidden="1" x14ac:dyDescent="0.25"/>
    <row r="6948" hidden="1" x14ac:dyDescent="0.25"/>
    <row r="6949" hidden="1" x14ac:dyDescent="0.25"/>
    <row r="6950" hidden="1" x14ac:dyDescent="0.25"/>
    <row r="6951" hidden="1" x14ac:dyDescent="0.25"/>
    <row r="6952" hidden="1" x14ac:dyDescent="0.25"/>
    <row r="6953" hidden="1" x14ac:dyDescent="0.25"/>
    <row r="6954" hidden="1" x14ac:dyDescent="0.25"/>
    <row r="6955" hidden="1" x14ac:dyDescent="0.25"/>
    <row r="6956" hidden="1" x14ac:dyDescent="0.25"/>
    <row r="6957" hidden="1" x14ac:dyDescent="0.25"/>
    <row r="6958" hidden="1" x14ac:dyDescent="0.25"/>
    <row r="6959" hidden="1" x14ac:dyDescent="0.25"/>
    <row r="6960" hidden="1" x14ac:dyDescent="0.25"/>
    <row r="6961" hidden="1" x14ac:dyDescent="0.25"/>
    <row r="6962" hidden="1" x14ac:dyDescent="0.25"/>
    <row r="6963" hidden="1" x14ac:dyDescent="0.25"/>
    <row r="6964" hidden="1" x14ac:dyDescent="0.25"/>
    <row r="6965" hidden="1" x14ac:dyDescent="0.25"/>
    <row r="6966" hidden="1" x14ac:dyDescent="0.25"/>
    <row r="6967" hidden="1" x14ac:dyDescent="0.25"/>
    <row r="6968" hidden="1" x14ac:dyDescent="0.25"/>
    <row r="6969" hidden="1" x14ac:dyDescent="0.25"/>
    <row r="6970" hidden="1" x14ac:dyDescent="0.25"/>
    <row r="6971" hidden="1" x14ac:dyDescent="0.25"/>
    <row r="6972" hidden="1" x14ac:dyDescent="0.25"/>
    <row r="6973" hidden="1" x14ac:dyDescent="0.25"/>
    <row r="6974" hidden="1" x14ac:dyDescent="0.25"/>
    <row r="6975" hidden="1" x14ac:dyDescent="0.25"/>
    <row r="6976" hidden="1" x14ac:dyDescent="0.25"/>
    <row r="6977" hidden="1" x14ac:dyDescent="0.25"/>
    <row r="6978" hidden="1" x14ac:dyDescent="0.25"/>
    <row r="6979" hidden="1" x14ac:dyDescent="0.25"/>
    <row r="6980" hidden="1" x14ac:dyDescent="0.25"/>
    <row r="6981" hidden="1" x14ac:dyDescent="0.25"/>
    <row r="6982" hidden="1" x14ac:dyDescent="0.25"/>
    <row r="6983" hidden="1" x14ac:dyDescent="0.25"/>
    <row r="6984" hidden="1" x14ac:dyDescent="0.25"/>
    <row r="6985" hidden="1" x14ac:dyDescent="0.25"/>
    <row r="6986" hidden="1" x14ac:dyDescent="0.25"/>
    <row r="6987" hidden="1" x14ac:dyDescent="0.25"/>
    <row r="6988" hidden="1" x14ac:dyDescent="0.25"/>
    <row r="6989" hidden="1" x14ac:dyDescent="0.25"/>
    <row r="6990" hidden="1" x14ac:dyDescent="0.25"/>
    <row r="6991" hidden="1" x14ac:dyDescent="0.25"/>
    <row r="6992" hidden="1" x14ac:dyDescent="0.25"/>
    <row r="6993" hidden="1" x14ac:dyDescent="0.25"/>
    <row r="6994" hidden="1" x14ac:dyDescent="0.25"/>
    <row r="6995" hidden="1" x14ac:dyDescent="0.25"/>
    <row r="6996" hidden="1" x14ac:dyDescent="0.25"/>
    <row r="6997" hidden="1" x14ac:dyDescent="0.25"/>
    <row r="6998" hidden="1" x14ac:dyDescent="0.25"/>
    <row r="6999" hidden="1" x14ac:dyDescent="0.25"/>
    <row r="7000" hidden="1" x14ac:dyDescent="0.25"/>
    <row r="7001" hidden="1" x14ac:dyDescent="0.25"/>
    <row r="7002" hidden="1" x14ac:dyDescent="0.25"/>
    <row r="7003" hidden="1" x14ac:dyDescent="0.25"/>
    <row r="7004" hidden="1" x14ac:dyDescent="0.25"/>
    <row r="7005" hidden="1" x14ac:dyDescent="0.25"/>
    <row r="7006" hidden="1" x14ac:dyDescent="0.25"/>
    <row r="7007" hidden="1" x14ac:dyDescent="0.25"/>
    <row r="7008" hidden="1" x14ac:dyDescent="0.25"/>
    <row r="7009" hidden="1" x14ac:dyDescent="0.25"/>
    <row r="7010" hidden="1" x14ac:dyDescent="0.25"/>
    <row r="7011" hidden="1" x14ac:dyDescent="0.25"/>
    <row r="7012" hidden="1" x14ac:dyDescent="0.25"/>
    <row r="7013" hidden="1" x14ac:dyDescent="0.25"/>
    <row r="7014" hidden="1" x14ac:dyDescent="0.25"/>
    <row r="7015" hidden="1" x14ac:dyDescent="0.25"/>
    <row r="7016" hidden="1" x14ac:dyDescent="0.25"/>
    <row r="7017" hidden="1" x14ac:dyDescent="0.25"/>
    <row r="7018" hidden="1" x14ac:dyDescent="0.25"/>
    <row r="7019" hidden="1" x14ac:dyDescent="0.25"/>
    <row r="7020" hidden="1" x14ac:dyDescent="0.25"/>
    <row r="7021" hidden="1" x14ac:dyDescent="0.25"/>
    <row r="7022" hidden="1" x14ac:dyDescent="0.25"/>
    <row r="7023" hidden="1" x14ac:dyDescent="0.25"/>
    <row r="7024" hidden="1" x14ac:dyDescent="0.25"/>
    <row r="7025" hidden="1" x14ac:dyDescent="0.25"/>
    <row r="7026" hidden="1" x14ac:dyDescent="0.25"/>
    <row r="7027" hidden="1" x14ac:dyDescent="0.25"/>
    <row r="7028" hidden="1" x14ac:dyDescent="0.25"/>
    <row r="7029" hidden="1" x14ac:dyDescent="0.25"/>
    <row r="7030" hidden="1" x14ac:dyDescent="0.25"/>
    <row r="7031" hidden="1" x14ac:dyDescent="0.25"/>
    <row r="7032" hidden="1" x14ac:dyDescent="0.25"/>
    <row r="7033" hidden="1" x14ac:dyDescent="0.25"/>
    <row r="7034" hidden="1" x14ac:dyDescent="0.25"/>
    <row r="7035" hidden="1" x14ac:dyDescent="0.25"/>
    <row r="7036" hidden="1" x14ac:dyDescent="0.25"/>
    <row r="7037" hidden="1" x14ac:dyDescent="0.25"/>
    <row r="7038" hidden="1" x14ac:dyDescent="0.25"/>
    <row r="7039" hidden="1" x14ac:dyDescent="0.25"/>
    <row r="7040" hidden="1" x14ac:dyDescent="0.25"/>
    <row r="7041" spans="1:25" hidden="1" x14ac:dyDescent="0.25"/>
    <row r="7042" spans="1:25" hidden="1" x14ac:dyDescent="0.25"/>
    <row r="7043" spans="1:25" hidden="1" x14ac:dyDescent="0.25"/>
    <row r="7044" spans="1:25" hidden="1" x14ac:dyDescent="0.25"/>
    <row r="7045" spans="1:25" hidden="1" x14ac:dyDescent="0.25"/>
    <row r="7046" spans="1:25" hidden="1" x14ac:dyDescent="0.25"/>
    <row r="7047" spans="1:25" hidden="1" x14ac:dyDescent="0.25"/>
    <row r="7048" spans="1:25" hidden="1" x14ac:dyDescent="0.25"/>
    <row r="7049" spans="1:25" hidden="1" x14ac:dyDescent="0.25"/>
    <row r="7050" spans="1:25" hidden="1" x14ac:dyDescent="0.25"/>
    <row r="7051" spans="1:25" hidden="1" x14ac:dyDescent="0.25"/>
    <row r="7052" spans="1:25" hidden="1" x14ac:dyDescent="0.25"/>
    <row r="7053" spans="1:25" hidden="1" x14ac:dyDescent="0.25"/>
    <row r="7054" spans="1:25" hidden="1" x14ac:dyDescent="0.25"/>
    <row r="7055" spans="1:25" s="88" customFormat="1" hidden="1" x14ac:dyDescent="0.25">
      <c r="A7055" s="289"/>
      <c r="B7055" s="256"/>
      <c r="K7055" s="533"/>
      <c r="L7055" s="533"/>
      <c r="M7055" s="533"/>
      <c r="N7055" s="533"/>
      <c r="O7055" s="533"/>
      <c r="P7055" s="533"/>
      <c r="Q7055" s="533"/>
      <c r="R7055" s="533"/>
      <c r="S7055" s="533"/>
      <c r="T7055" s="533"/>
      <c r="U7055" s="533"/>
      <c r="V7055" s="533"/>
      <c r="W7055" s="533"/>
      <c r="X7055" s="533"/>
      <c r="Y7055" s="533"/>
    </row>
    <row r="7056" spans="1:25" s="88" customFormat="1" hidden="1" x14ac:dyDescent="0.25">
      <c r="A7056" s="289"/>
      <c r="B7056" s="256"/>
      <c r="K7056" s="533"/>
      <c r="L7056" s="533"/>
      <c r="M7056" s="533"/>
      <c r="N7056" s="533"/>
      <c r="O7056" s="533"/>
      <c r="P7056" s="533"/>
      <c r="Q7056" s="533"/>
      <c r="R7056" s="533"/>
      <c r="S7056" s="533"/>
      <c r="T7056" s="533"/>
      <c r="U7056" s="533"/>
      <c r="V7056" s="533"/>
      <c r="W7056" s="533"/>
      <c r="X7056" s="533"/>
      <c r="Y7056" s="533"/>
    </row>
    <row r="7057" spans="1:25" s="88" customFormat="1" hidden="1" x14ac:dyDescent="0.25">
      <c r="A7057" s="289"/>
      <c r="B7057" s="256"/>
      <c r="K7057" s="533"/>
      <c r="L7057" s="533"/>
      <c r="M7057" s="533"/>
      <c r="N7057" s="533"/>
      <c r="O7057" s="533"/>
      <c r="P7057" s="533"/>
      <c r="Q7057" s="533"/>
      <c r="R7057" s="533"/>
      <c r="S7057" s="533"/>
      <c r="T7057" s="533"/>
      <c r="U7057" s="533"/>
      <c r="V7057" s="533"/>
      <c r="W7057" s="533"/>
      <c r="X7057" s="533"/>
      <c r="Y7057" s="533"/>
    </row>
    <row r="7058" spans="1:25" s="88" customFormat="1" hidden="1" x14ac:dyDescent="0.25">
      <c r="A7058" s="289"/>
      <c r="B7058" s="256"/>
      <c r="K7058" s="533"/>
      <c r="L7058" s="533"/>
      <c r="M7058" s="533"/>
      <c r="N7058" s="533"/>
      <c r="O7058" s="533"/>
      <c r="P7058" s="533"/>
      <c r="Q7058" s="533"/>
      <c r="R7058" s="533"/>
      <c r="S7058" s="533"/>
      <c r="T7058" s="533"/>
      <c r="U7058" s="533"/>
      <c r="V7058" s="533"/>
      <c r="W7058" s="533"/>
      <c r="X7058" s="533"/>
      <c r="Y7058" s="533"/>
    </row>
    <row r="7059" spans="1:25" s="88" customFormat="1" hidden="1" x14ac:dyDescent="0.25">
      <c r="A7059" s="289"/>
      <c r="B7059" s="256"/>
      <c r="K7059" s="533"/>
      <c r="L7059" s="533"/>
      <c r="M7059" s="533"/>
      <c r="N7059" s="533"/>
      <c r="O7059" s="533"/>
      <c r="P7059" s="533"/>
      <c r="Q7059" s="533"/>
      <c r="R7059" s="533"/>
      <c r="S7059" s="533"/>
      <c r="T7059" s="533"/>
      <c r="U7059" s="533"/>
      <c r="V7059" s="533"/>
      <c r="W7059" s="533"/>
      <c r="X7059" s="533"/>
      <c r="Y7059" s="533"/>
    </row>
    <row r="7060" spans="1:25" s="88" customFormat="1" hidden="1" x14ac:dyDescent="0.25">
      <c r="A7060" s="289"/>
      <c r="B7060" s="256"/>
      <c r="K7060" s="533"/>
      <c r="L7060" s="533"/>
      <c r="M7060" s="533"/>
      <c r="N7060" s="533"/>
      <c r="O7060" s="533"/>
      <c r="P7060" s="533"/>
      <c r="Q7060" s="533"/>
      <c r="R7060" s="533"/>
      <c r="S7060" s="533"/>
      <c r="T7060" s="533"/>
      <c r="U7060" s="533"/>
      <c r="V7060" s="533"/>
      <c r="W7060" s="533"/>
      <c r="X7060" s="533"/>
      <c r="Y7060" s="533"/>
    </row>
    <row r="7061" spans="1:25" s="88" customFormat="1" hidden="1" x14ac:dyDescent="0.25">
      <c r="A7061" s="289"/>
      <c r="B7061" s="256"/>
      <c r="K7061" s="533"/>
      <c r="L7061" s="533"/>
      <c r="M7061" s="533"/>
      <c r="N7061" s="533"/>
      <c r="O7061" s="533"/>
      <c r="P7061" s="533"/>
      <c r="Q7061" s="533"/>
      <c r="R7061" s="533"/>
      <c r="S7061" s="533"/>
      <c r="T7061" s="533"/>
      <c r="U7061" s="533"/>
      <c r="V7061" s="533"/>
      <c r="W7061" s="533"/>
      <c r="X7061" s="533"/>
      <c r="Y7061" s="533"/>
    </row>
    <row r="7062" spans="1:25" s="88" customFormat="1" hidden="1" x14ac:dyDescent="0.25">
      <c r="A7062" s="289"/>
      <c r="B7062" s="256"/>
      <c r="K7062" s="533"/>
      <c r="L7062" s="533"/>
      <c r="M7062" s="533"/>
      <c r="N7062" s="533"/>
      <c r="O7062" s="533"/>
      <c r="P7062" s="533"/>
      <c r="Q7062" s="533"/>
      <c r="R7062" s="533"/>
      <c r="S7062" s="533"/>
      <c r="T7062" s="533"/>
      <c r="U7062" s="533"/>
      <c r="V7062" s="533"/>
      <c r="W7062" s="533"/>
      <c r="X7062" s="533"/>
      <c r="Y7062" s="533"/>
    </row>
    <row r="7063" spans="1:25" s="88" customFormat="1" hidden="1" x14ac:dyDescent="0.25">
      <c r="A7063" s="289"/>
      <c r="B7063" s="256"/>
      <c r="K7063" s="533"/>
      <c r="L7063" s="533"/>
      <c r="M7063" s="533"/>
      <c r="N7063" s="533"/>
      <c r="O7063" s="533"/>
      <c r="P7063" s="533"/>
      <c r="Q7063" s="533"/>
      <c r="R7063" s="533"/>
      <c r="S7063" s="533"/>
      <c r="T7063" s="533"/>
      <c r="U7063" s="533"/>
      <c r="V7063" s="533"/>
      <c r="W7063" s="533"/>
      <c r="X7063" s="533"/>
      <c r="Y7063" s="533"/>
    </row>
    <row r="7064" spans="1:25" s="88" customFormat="1" hidden="1" x14ac:dyDescent="0.25">
      <c r="A7064" s="289"/>
      <c r="B7064" s="256"/>
      <c r="K7064" s="533"/>
      <c r="L7064" s="533"/>
      <c r="M7064" s="533"/>
      <c r="N7064" s="533"/>
      <c r="O7064" s="533"/>
      <c r="P7064" s="533"/>
      <c r="Q7064" s="533"/>
      <c r="R7064" s="533"/>
      <c r="S7064" s="533"/>
      <c r="T7064" s="533"/>
      <c r="U7064" s="533"/>
      <c r="V7064" s="533"/>
      <c r="W7064" s="533"/>
      <c r="X7064" s="533"/>
      <c r="Y7064" s="533"/>
    </row>
    <row r="7065" spans="1:25" s="88" customFormat="1" hidden="1" x14ac:dyDescent="0.25">
      <c r="A7065" s="289"/>
      <c r="B7065" s="256"/>
      <c r="K7065" s="533"/>
      <c r="L7065" s="533"/>
      <c r="M7065" s="533"/>
      <c r="N7065" s="533"/>
      <c r="O7065" s="533"/>
      <c r="P7065" s="533"/>
      <c r="Q7065" s="533"/>
      <c r="R7065" s="533"/>
      <c r="S7065" s="533"/>
      <c r="T7065" s="533"/>
      <c r="U7065" s="533"/>
      <c r="V7065" s="533"/>
      <c r="W7065" s="533"/>
      <c r="X7065" s="533"/>
      <c r="Y7065" s="533"/>
    </row>
    <row r="7066" spans="1:25" s="88" customFormat="1" hidden="1" x14ac:dyDescent="0.25">
      <c r="A7066" s="289"/>
      <c r="B7066" s="256"/>
      <c r="K7066" s="533"/>
      <c r="L7066" s="533"/>
      <c r="M7066" s="533"/>
      <c r="N7066" s="533"/>
      <c r="O7066" s="533"/>
      <c r="P7066" s="533"/>
      <c r="Q7066" s="533"/>
      <c r="R7066" s="533"/>
      <c r="S7066" s="533"/>
      <c r="T7066" s="533"/>
      <c r="U7066" s="533"/>
      <c r="V7066" s="533"/>
      <c r="W7066" s="533"/>
      <c r="X7066" s="533"/>
      <c r="Y7066" s="533"/>
    </row>
    <row r="7067" spans="1:25" s="88" customFormat="1" hidden="1" x14ac:dyDescent="0.25">
      <c r="A7067" s="289"/>
      <c r="B7067" s="256"/>
      <c r="K7067" s="533"/>
      <c r="L7067" s="533"/>
      <c r="M7067" s="533"/>
      <c r="N7067" s="533"/>
      <c r="O7067" s="533"/>
      <c r="P7067" s="533"/>
      <c r="Q7067" s="533"/>
      <c r="R7067" s="533"/>
      <c r="S7067" s="533"/>
      <c r="T7067" s="533"/>
      <c r="U7067" s="533"/>
      <c r="V7067" s="533"/>
      <c r="W7067" s="533"/>
      <c r="X7067" s="533"/>
      <c r="Y7067" s="533"/>
    </row>
    <row r="7068" spans="1:25" s="88" customFormat="1" hidden="1" x14ac:dyDescent="0.25">
      <c r="A7068" s="289"/>
      <c r="B7068" s="256"/>
      <c r="K7068" s="533"/>
      <c r="L7068" s="533"/>
      <c r="M7068" s="533"/>
      <c r="N7068" s="533"/>
      <c r="O7068" s="533"/>
      <c r="P7068" s="533"/>
      <c r="Q7068" s="533"/>
      <c r="R7068" s="533"/>
      <c r="S7068" s="533"/>
      <c r="T7068" s="533"/>
      <c r="U7068" s="533"/>
      <c r="V7068" s="533"/>
      <c r="W7068" s="533"/>
      <c r="X7068" s="533"/>
      <c r="Y7068" s="533"/>
    </row>
    <row r="7069" spans="1:25" s="88" customFormat="1" hidden="1" x14ac:dyDescent="0.25">
      <c r="A7069" s="289"/>
      <c r="B7069" s="256"/>
      <c r="K7069" s="533"/>
      <c r="L7069" s="533"/>
      <c r="M7069" s="533"/>
      <c r="N7069" s="533"/>
      <c r="O7069" s="533"/>
      <c r="P7069" s="533"/>
      <c r="Q7069" s="533"/>
      <c r="R7069" s="533"/>
      <c r="S7069" s="533"/>
      <c r="T7069" s="533"/>
      <c r="U7069" s="533"/>
      <c r="V7069" s="533"/>
      <c r="W7069" s="533"/>
      <c r="X7069" s="533"/>
      <c r="Y7069" s="533"/>
    </row>
    <row r="7070" spans="1:25" s="88" customFormat="1" hidden="1" x14ac:dyDescent="0.25">
      <c r="A7070" s="289"/>
      <c r="B7070" s="256"/>
      <c r="K7070" s="533"/>
      <c r="L7070" s="533"/>
      <c r="M7070" s="533"/>
      <c r="N7070" s="533"/>
      <c r="O7070" s="533"/>
      <c r="P7070" s="533"/>
      <c r="Q7070" s="533"/>
      <c r="R7070" s="533"/>
      <c r="S7070" s="533"/>
      <c r="T7070" s="533"/>
      <c r="U7070" s="533"/>
      <c r="V7070" s="533"/>
      <c r="W7070" s="533"/>
      <c r="X7070" s="533"/>
      <c r="Y7070" s="533"/>
    </row>
    <row r="7071" spans="1:25" s="88" customFormat="1" hidden="1" x14ac:dyDescent="0.25">
      <c r="A7071" s="289"/>
      <c r="B7071" s="256"/>
      <c r="K7071" s="533"/>
      <c r="L7071" s="533"/>
      <c r="M7071" s="533"/>
      <c r="N7071" s="533"/>
      <c r="O7071" s="533"/>
      <c r="P7071" s="533"/>
      <c r="Q7071" s="533"/>
      <c r="R7071" s="533"/>
      <c r="S7071" s="533"/>
      <c r="T7071" s="533"/>
      <c r="U7071" s="533"/>
      <c r="V7071" s="533"/>
      <c r="W7071" s="533"/>
      <c r="X7071" s="533"/>
      <c r="Y7071" s="533"/>
    </row>
    <row r="7072" spans="1:25" s="88" customFormat="1" hidden="1" x14ac:dyDescent="0.25">
      <c r="A7072" s="289"/>
      <c r="B7072" s="256"/>
      <c r="K7072" s="533"/>
      <c r="L7072" s="533"/>
      <c r="M7072" s="533"/>
      <c r="N7072" s="533"/>
      <c r="O7072" s="533"/>
      <c r="P7072" s="533"/>
      <c r="Q7072" s="533"/>
      <c r="R7072" s="533"/>
      <c r="S7072" s="533"/>
      <c r="T7072" s="533"/>
      <c r="U7072" s="533"/>
      <c r="V7072" s="533"/>
      <c r="W7072" s="533"/>
      <c r="X7072" s="533"/>
      <c r="Y7072" s="533"/>
    </row>
    <row r="7074" spans="1:25" s="88" customFormat="1" x14ac:dyDescent="0.25">
      <c r="A7074" s="279"/>
      <c r="B7074" s="638">
        <v>6</v>
      </c>
      <c r="C7074" s="322"/>
      <c r="D7074" s="639"/>
      <c r="E7074" s="639"/>
      <c r="F7074" s="640"/>
      <c r="G7074" s="237" t="s">
        <v>5468</v>
      </c>
      <c r="H7074" s="629"/>
      <c r="I7074" s="593"/>
      <c r="J7074" s="641"/>
      <c r="K7074" s="533"/>
      <c r="L7074" s="533"/>
      <c r="M7074" s="533"/>
      <c r="N7074" s="268"/>
      <c r="O7074" s="533"/>
      <c r="P7074" s="533"/>
      <c r="Q7074" s="533"/>
      <c r="R7074" s="533"/>
      <c r="S7074" s="533"/>
      <c r="T7074" s="533"/>
      <c r="U7074" s="533"/>
      <c r="V7074" s="533"/>
      <c r="W7074" s="533"/>
      <c r="X7074" s="533"/>
      <c r="Y7074" s="533"/>
    </row>
    <row r="7075" spans="1:25" s="88" customFormat="1" x14ac:dyDescent="0.25">
      <c r="A7075" s="261"/>
      <c r="B7075" s="256"/>
      <c r="C7075" s="265" t="s">
        <v>3578</v>
      </c>
      <c r="D7075" s="265"/>
      <c r="E7075" s="248"/>
      <c r="F7075" s="248"/>
      <c r="G7075" s="306" t="s">
        <v>4251</v>
      </c>
      <c r="H7075" s="611"/>
      <c r="I7075" s="612"/>
      <c r="J7075" s="612"/>
      <c r="K7075" s="533"/>
      <c r="L7075" s="533"/>
      <c r="M7075" s="533"/>
      <c r="N7075" s="533"/>
      <c r="O7075" s="533"/>
      <c r="P7075" s="533"/>
      <c r="Q7075" s="533"/>
      <c r="R7075" s="533"/>
      <c r="S7075" s="533"/>
      <c r="T7075" s="533"/>
      <c r="U7075" s="533"/>
      <c r="V7075" s="533"/>
      <c r="W7075" s="533"/>
      <c r="X7075" s="533"/>
      <c r="Y7075" s="533"/>
    </row>
    <row r="7076" spans="1:25" x14ac:dyDescent="0.25">
      <c r="C7076" s="228" t="s">
        <v>4128</v>
      </c>
      <c r="D7076" s="219"/>
      <c r="G7076" s="262" t="s">
        <v>4114</v>
      </c>
    </row>
    <row r="7077" spans="1:25" s="88" customFormat="1" ht="14.25" customHeight="1" x14ac:dyDescent="0.25">
      <c r="A7077" s="261"/>
      <c r="B7077" s="256"/>
      <c r="C7077" s="265"/>
      <c r="D7077" s="328">
        <v>421</v>
      </c>
      <c r="E7077" s="329"/>
      <c r="F7077" s="329"/>
      <c r="G7077" s="330" t="s">
        <v>138</v>
      </c>
      <c r="H7077" s="611"/>
      <c r="I7077" s="612"/>
      <c r="J7077" s="612"/>
      <c r="K7077" s="533"/>
      <c r="L7077" s="533"/>
      <c r="M7077" s="533"/>
      <c r="N7077" s="533"/>
      <c r="O7077" s="533"/>
      <c r="P7077" s="533"/>
      <c r="Q7077" s="533"/>
      <c r="R7077" s="533"/>
      <c r="S7077" s="533"/>
      <c r="T7077" s="533"/>
      <c r="U7077" s="533"/>
      <c r="V7077" s="533"/>
      <c r="W7077" s="533"/>
      <c r="X7077" s="533"/>
      <c r="Y7077" s="533"/>
    </row>
    <row r="7078" spans="1:25" hidden="1" x14ac:dyDescent="0.25">
      <c r="F7078" s="263">
        <v>411</v>
      </c>
      <c r="G7078" s="295" t="s">
        <v>4189</v>
      </c>
      <c r="J7078" s="595">
        <f>SUM(H7078:I7078)</f>
        <v>0</v>
      </c>
      <c r="L7078" s="536"/>
      <c r="M7078" s="536"/>
      <c r="N7078" s="273"/>
    </row>
    <row r="7079" spans="1:25" hidden="1" x14ac:dyDescent="0.25">
      <c r="F7079" s="263">
        <v>412</v>
      </c>
      <c r="G7079" s="292" t="s">
        <v>3784</v>
      </c>
      <c r="J7079" s="595">
        <f t="shared" ref="J7079:J7137" si="197">SUM(H7079:I7079)</f>
        <v>0</v>
      </c>
    </row>
    <row r="7080" spans="1:25" hidden="1" x14ac:dyDescent="0.25">
      <c r="F7080" s="263">
        <v>413</v>
      </c>
      <c r="G7080" s="295" t="s">
        <v>4190</v>
      </c>
      <c r="J7080" s="595">
        <f t="shared" si="197"/>
        <v>0</v>
      </c>
    </row>
    <row r="7081" spans="1:25" hidden="1" x14ac:dyDescent="0.25">
      <c r="F7081" s="263">
        <v>414</v>
      </c>
      <c r="G7081" s="295" t="s">
        <v>3787</v>
      </c>
      <c r="J7081" s="595">
        <f t="shared" si="197"/>
        <v>0</v>
      </c>
    </row>
    <row r="7082" spans="1:25" hidden="1" x14ac:dyDescent="0.25">
      <c r="F7082" s="263">
        <v>415</v>
      </c>
      <c r="G7082" s="295" t="s">
        <v>4199</v>
      </c>
      <c r="J7082" s="595">
        <f t="shared" si="197"/>
        <v>0</v>
      </c>
    </row>
    <row r="7083" spans="1:25" hidden="1" x14ac:dyDescent="0.25">
      <c r="F7083" s="263">
        <v>416</v>
      </c>
      <c r="G7083" s="295" t="s">
        <v>4200</v>
      </c>
      <c r="J7083" s="595">
        <f t="shared" si="197"/>
        <v>0</v>
      </c>
    </row>
    <row r="7084" spans="1:25" hidden="1" x14ac:dyDescent="0.25">
      <c r="F7084" s="263">
        <v>417</v>
      </c>
      <c r="G7084" s="295" t="s">
        <v>4201</v>
      </c>
      <c r="J7084" s="595">
        <f t="shared" si="197"/>
        <v>0</v>
      </c>
    </row>
    <row r="7085" spans="1:25" hidden="1" x14ac:dyDescent="0.25">
      <c r="F7085" s="263">
        <v>418</v>
      </c>
      <c r="G7085" s="295" t="s">
        <v>3793</v>
      </c>
      <c r="J7085" s="595">
        <f t="shared" si="197"/>
        <v>0</v>
      </c>
    </row>
    <row r="7086" spans="1:25" x14ac:dyDescent="0.25">
      <c r="E7086" s="218">
        <v>69</v>
      </c>
      <c r="F7086" s="263">
        <v>421</v>
      </c>
      <c r="G7086" s="295" t="s">
        <v>3797</v>
      </c>
      <c r="H7086" s="594">
        <v>100000</v>
      </c>
      <c r="J7086" s="595">
        <f t="shared" si="197"/>
        <v>100000</v>
      </c>
    </row>
    <row r="7087" spans="1:25" hidden="1" x14ac:dyDescent="0.25">
      <c r="F7087" s="263">
        <v>422</v>
      </c>
      <c r="G7087" s="295" t="s">
        <v>3798</v>
      </c>
      <c r="J7087" s="595">
        <f t="shared" si="197"/>
        <v>0</v>
      </c>
    </row>
    <row r="7088" spans="1:25" x14ac:dyDescent="0.25">
      <c r="E7088" s="218">
        <v>70</v>
      </c>
      <c r="F7088" s="263">
        <v>423</v>
      </c>
      <c r="G7088" s="295" t="s">
        <v>3799</v>
      </c>
      <c r="H7088" s="594">
        <v>900000</v>
      </c>
      <c r="J7088" s="595">
        <f t="shared" si="197"/>
        <v>900000</v>
      </c>
    </row>
    <row r="7089" spans="5:10" x14ac:dyDescent="0.25">
      <c r="E7089" s="218">
        <v>71</v>
      </c>
      <c r="F7089" s="263">
        <v>424</v>
      </c>
      <c r="G7089" s="295" t="s">
        <v>3801</v>
      </c>
      <c r="H7089" s="594">
        <v>1500000</v>
      </c>
      <c r="J7089" s="595">
        <f t="shared" si="197"/>
        <v>1500000</v>
      </c>
    </row>
    <row r="7090" spans="5:10" hidden="1" x14ac:dyDescent="0.25">
      <c r="F7090" s="263">
        <v>425</v>
      </c>
      <c r="G7090" s="295" t="s">
        <v>4202</v>
      </c>
      <c r="J7090" s="595">
        <f t="shared" si="197"/>
        <v>0</v>
      </c>
    </row>
    <row r="7091" spans="5:10" x14ac:dyDescent="0.25">
      <c r="E7091" s="218">
        <v>72</v>
      </c>
      <c r="F7091" s="263">
        <v>426</v>
      </c>
      <c r="G7091" s="295" t="s">
        <v>3805</v>
      </c>
      <c r="H7091" s="594">
        <v>3000000</v>
      </c>
      <c r="J7091" s="595">
        <f t="shared" si="197"/>
        <v>3000000</v>
      </c>
    </row>
    <row r="7092" spans="5:10" hidden="1" x14ac:dyDescent="0.25">
      <c r="F7092" s="263">
        <v>431</v>
      </c>
      <c r="G7092" s="295" t="s">
        <v>4203</v>
      </c>
      <c r="J7092" s="595">
        <f t="shared" si="197"/>
        <v>0</v>
      </c>
    </row>
    <row r="7093" spans="5:10" hidden="1" x14ac:dyDescent="0.25">
      <c r="F7093" s="263">
        <v>432</v>
      </c>
      <c r="G7093" s="295" t="s">
        <v>4204</v>
      </c>
      <c r="J7093" s="595">
        <f t="shared" si="197"/>
        <v>0</v>
      </c>
    </row>
    <row r="7094" spans="5:10" hidden="1" x14ac:dyDescent="0.25">
      <c r="F7094" s="263">
        <v>433</v>
      </c>
      <c r="G7094" s="295" t="s">
        <v>4205</v>
      </c>
      <c r="J7094" s="595">
        <f t="shared" si="197"/>
        <v>0</v>
      </c>
    </row>
    <row r="7095" spans="5:10" hidden="1" x14ac:dyDescent="0.25">
      <c r="F7095" s="263">
        <v>434</v>
      </c>
      <c r="G7095" s="295" t="s">
        <v>4206</v>
      </c>
      <c r="J7095" s="595">
        <f t="shared" si="197"/>
        <v>0</v>
      </c>
    </row>
    <row r="7096" spans="5:10" hidden="1" x14ac:dyDescent="0.25">
      <c r="F7096" s="263">
        <v>435</v>
      </c>
      <c r="G7096" s="295" t="s">
        <v>3812</v>
      </c>
      <c r="J7096" s="595">
        <f t="shared" si="197"/>
        <v>0</v>
      </c>
    </row>
    <row r="7097" spans="5:10" hidden="1" x14ac:dyDescent="0.25">
      <c r="F7097" s="263">
        <v>441</v>
      </c>
      <c r="G7097" s="295" t="s">
        <v>4207</v>
      </c>
      <c r="J7097" s="595">
        <f t="shared" si="197"/>
        <v>0</v>
      </c>
    </row>
    <row r="7098" spans="5:10" hidden="1" x14ac:dyDescent="0.25">
      <c r="F7098" s="263">
        <v>442</v>
      </c>
      <c r="G7098" s="295" t="s">
        <v>4208</v>
      </c>
      <c r="J7098" s="595">
        <f t="shared" si="197"/>
        <v>0</v>
      </c>
    </row>
    <row r="7099" spans="5:10" hidden="1" x14ac:dyDescent="0.25">
      <c r="F7099" s="263">
        <v>443</v>
      </c>
      <c r="G7099" s="295" t="s">
        <v>3817</v>
      </c>
      <c r="J7099" s="595">
        <f t="shared" si="197"/>
        <v>0</v>
      </c>
    </row>
    <row r="7100" spans="5:10" hidden="1" x14ac:dyDescent="0.25">
      <c r="F7100" s="263">
        <v>444</v>
      </c>
      <c r="G7100" s="295" t="s">
        <v>3818</v>
      </c>
      <c r="J7100" s="595">
        <f t="shared" si="197"/>
        <v>0</v>
      </c>
    </row>
    <row r="7101" spans="5:10" ht="30.75" thickBot="1" x14ac:dyDescent="0.3">
      <c r="E7101" s="218">
        <v>73</v>
      </c>
      <c r="F7101" s="263">
        <v>4511</v>
      </c>
      <c r="G7101" s="223" t="s">
        <v>1692</v>
      </c>
      <c r="H7101" s="594">
        <v>25000000</v>
      </c>
      <c r="J7101" s="595">
        <f t="shared" si="197"/>
        <v>25000000</v>
      </c>
    </row>
    <row r="7102" spans="5:10" ht="30" hidden="1" x14ac:dyDescent="0.25">
      <c r="F7102" s="263">
        <v>4512</v>
      </c>
      <c r="G7102" s="223" t="s">
        <v>1701</v>
      </c>
      <c r="J7102" s="595">
        <f t="shared" si="197"/>
        <v>0</v>
      </c>
    </row>
    <row r="7103" spans="5:10" hidden="1" x14ac:dyDescent="0.25">
      <c r="F7103" s="263">
        <v>452</v>
      </c>
      <c r="G7103" s="295" t="s">
        <v>4209</v>
      </c>
      <c r="J7103" s="595">
        <f t="shared" si="197"/>
        <v>0</v>
      </c>
    </row>
    <row r="7104" spans="5:10" hidden="1" x14ac:dyDescent="0.25">
      <c r="F7104" s="263">
        <v>453</v>
      </c>
      <c r="G7104" s="295" t="s">
        <v>4210</v>
      </c>
      <c r="J7104" s="595">
        <f t="shared" si="197"/>
        <v>0</v>
      </c>
    </row>
    <row r="7105" spans="6:10" hidden="1" x14ac:dyDescent="0.25">
      <c r="F7105" s="263">
        <v>454</v>
      </c>
      <c r="G7105" s="295" t="s">
        <v>3823</v>
      </c>
      <c r="J7105" s="595">
        <f t="shared" si="197"/>
        <v>0</v>
      </c>
    </row>
    <row r="7106" spans="6:10" hidden="1" x14ac:dyDescent="0.25">
      <c r="F7106" s="263">
        <v>461</v>
      </c>
      <c r="G7106" s="295" t="s">
        <v>4191</v>
      </c>
      <c r="J7106" s="595">
        <f t="shared" si="197"/>
        <v>0</v>
      </c>
    </row>
    <row r="7107" spans="6:10" hidden="1" x14ac:dyDescent="0.25">
      <c r="F7107" s="263">
        <v>462</v>
      </c>
      <c r="G7107" s="295" t="s">
        <v>3826</v>
      </c>
      <c r="J7107" s="595">
        <f t="shared" si="197"/>
        <v>0</v>
      </c>
    </row>
    <row r="7108" spans="6:10" hidden="1" x14ac:dyDescent="0.25">
      <c r="F7108" s="263">
        <v>4631</v>
      </c>
      <c r="G7108" s="295" t="s">
        <v>3827</v>
      </c>
      <c r="J7108" s="595">
        <f t="shared" si="197"/>
        <v>0</v>
      </c>
    </row>
    <row r="7109" spans="6:10" hidden="1" x14ac:dyDescent="0.25">
      <c r="F7109" s="263">
        <v>4632</v>
      </c>
      <c r="G7109" s="295" t="s">
        <v>3828</v>
      </c>
      <c r="J7109" s="595">
        <f t="shared" si="197"/>
        <v>0</v>
      </c>
    </row>
    <row r="7110" spans="6:10" hidden="1" x14ac:dyDescent="0.25">
      <c r="F7110" s="263">
        <v>464</v>
      </c>
      <c r="G7110" s="295" t="s">
        <v>3829</v>
      </c>
      <c r="J7110" s="595">
        <f t="shared" si="197"/>
        <v>0</v>
      </c>
    </row>
    <row r="7111" spans="6:10" hidden="1" x14ac:dyDescent="0.25">
      <c r="F7111" s="263">
        <v>465</v>
      </c>
      <c r="G7111" s="295" t="s">
        <v>4192</v>
      </c>
      <c r="J7111" s="595">
        <f t="shared" si="197"/>
        <v>0</v>
      </c>
    </row>
    <row r="7112" spans="6:10" hidden="1" x14ac:dyDescent="0.25">
      <c r="F7112" s="263">
        <v>472</v>
      </c>
      <c r="G7112" s="295" t="s">
        <v>3833</v>
      </c>
      <c r="J7112" s="595">
        <f t="shared" si="197"/>
        <v>0</v>
      </c>
    </row>
    <row r="7113" spans="6:10" hidden="1" x14ac:dyDescent="0.25">
      <c r="F7113" s="263">
        <v>481</v>
      </c>
      <c r="G7113" s="295" t="s">
        <v>4211</v>
      </c>
      <c r="J7113" s="595">
        <f t="shared" si="197"/>
        <v>0</v>
      </c>
    </row>
    <row r="7114" spans="6:10" hidden="1" x14ac:dyDescent="0.25">
      <c r="F7114" s="263">
        <v>482</v>
      </c>
      <c r="G7114" s="295" t="s">
        <v>4212</v>
      </c>
      <c r="J7114" s="595">
        <f t="shared" si="197"/>
        <v>0</v>
      </c>
    </row>
    <row r="7115" spans="6:10" hidden="1" x14ac:dyDescent="0.25">
      <c r="F7115" s="263">
        <v>483</v>
      </c>
      <c r="G7115" s="298" t="s">
        <v>4213</v>
      </c>
      <c r="J7115" s="595">
        <f t="shared" si="197"/>
        <v>0</v>
      </c>
    </row>
    <row r="7116" spans="6:10" ht="30" hidden="1" x14ac:dyDescent="0.25">
      <c r="F7116" s="263">
        <v>484</v>
      </c>
      <c r="G7116" s="295" t="s">
        <v>4214</v>
      </c>
      <c r="J7116" s="595">
        <f t="shared" si="197"/>
        <v>0</v>
      </c>
    </row>
    <row r="7117" spans="6:10" ht="30" hidden="1" x14ac:dyDescent="0.25">
      <c r="F7117" s="263">
        <v>485</v>
      </c>
      <c r="G7117" s="295" t="s">
        <v>4215</v>
      </c>
      <c r="J7117" s="595">
        <f t="shared" si="197"/>
        <v>0</v>
      </c>
    </row>
    <row r="7118" spans="6:10" ht="30" hidden="1" x14ac:dyDescent="0.25">
      <c r="F7118" s="263">
        <v>489</v>
      </c>
      <c r="G7118" s="295" t="s">
        <v>3841</v>
      </c>
      <c r="J7118" s="595">
        <f t="shared" si="197"/>
        <v>0</v>
      </c>
    </row>
    <row r="7119" spans="6:10" hidden="1" x14ac:dyDescent="0.25">
      <c r="F7119" s="263">
        <v>494</v>
      </c>
      <c r="G7119" s="295" t="s">
        <v>4193</v>
      </c>
      <c r="J7119" s="595">
        <f t="shared" si="197"/>
        <v>0</v>
      </c>
    </row>
    <row r="7120" spans="6:10" ht="30" hidden="1" x14ac:dyDescent="0.25">
      <c r="F7120" s="263">
        <v>495</v>
      </c>
      <c r="G7120" s="295" t="s">
        <v>4194</v>
      </c>
      <c r="J7120" s="595">
        <f t="shared" si="197"/>
        <v>0</v>
      </c>
    </row>
    <row r="7121" spans="6:10" ht="30" hidden="1" x14ac:dyDescent="0.25">
      <c r="F7121" s="263">
        <v>496</v>
      </c>
      <c r="G7121" s="295" t="s">
        <v>4195</v>
      </c>
      <c r="J7121" s="595">
        <f t="shared" si="197"/>
        <v>0</v>
      </c>
    </row>
    <row r="7122" spans="6:10" hidden="1" x14ac:dyDescent="0.25">
      <c r="F7122" s="263">
        <v>499</v>
      </c>
      <c r="G7122" s="295" t="s">
        <v>4196</v>
      </c>
      <c r="J7122" s="595">
        <f t="shared" si="197"/>
        <v>0</v>
      </c>
    </row>
    <row r="7123" spans="6:10" hidden="1" x14ac:dyDescent="0.25">
      <c r="F7123" s="263">
        <v>511</v>
      </c>
      <c r="G7123" s="298" t="s">
        <v>4216</v>
      </c>
      <c r="J7123" s="595">
        <f t="shared" si="197"/>
        <v>0</v>
      </c>
    </row>
    <row r="7124" spans="6:10" hidden="1" x14ac:dyDescent="0.25">
      <c r="F7124" s="263">
        <v>512</v>
      </c>
      <c r="G7124" s="298" t="s">
        <v>4217</v>
      </c>
      <c r="J7124" s="595">
        <f t="shared" si="197"/>
        <v>0</v>
      </c>
    </row>
    <row r="7125" spans="6:10" hidden="1" x14ac:dyDescent="0.25">
      <c r="F7125" s="263">
        <v>513</v>
      </c>
      <c r="G7125" s="298" t="s">
        <v>4218</v>
      </c>
      <c r="J7125" s="595">
        <f t="shared" si="197"/>
        <v>0</v>
      </c>
    </row>
    <row r="7126" spans="6:10" hidden="1" x14ac:dyDescent="0.25">
      <c r="F7126" s="263">
        <v>514</v>
      </c>
      <c r="G7126" s="295" t="s">
        <v>4219</v>
      </c>
      <c r="J7126" s="595">
        <f t="shared" si="197"/>
        <v>0</v>
      </c>
    </row>
    <row r="7127" spans="6:10" hidden="1" x14ac:dyDescent="0.25">
      <c r="F7127" s="263">
        <v>515</v>
      </c>
      <c r="G7127" s="295" t="s">
        <v>3852</v>
      </c>
      <c r="J7127" s="595">
        <f t="shared" si="197"/>
        <v>0</v>
      </c>
    </row>
    <row r="7128" spans="6:10" hidden="1" x14ac:dyDescent="0.25">
      <c r="F7128" s="263">
        <v>521</v>
      </c>
      <c r="G7128" s="295" t="s">
        <v>4220</v>
      </c>
      <c r="J7128" s="595">
        <f t="shared" si="197"/>
        <v>0</v>
      </c>
    </row>
    <row r="7129" spans="6:10" hidden="1" x14ac:dyDescent="0.25">
      <c r="F7129" s="263">
        <v>522</v>
      </c>
      <c r="G7129" s="295" t="s">
        <v>4221</v>
      </c>
      <c r="J7129" s="595">
        <f t="shared" si="197"/>
        <v>0</v>
      </c>
    </row>
    <row r="7130" spans="6:10" hidden="1" x14ac:dyDescent="0.25">
      <c r="F7130" s="263">
        <v>523</v>
      </c>
      <c r="G7130" s="295" t="s">
        <v>3857</v>
      </c>
      <c r="J7130" s="595">
        <f t="shared" si="197"/>
        <v>0</v>
      </c>
    </row>
    <row r="7131" spans="6:10" hidden="1" x14ac:dyDescent="0.25">
      <c r="F7131" s="263">
        <v>531</v>
      </c>
      <c r="G7131" s="292" t="s">
        <v>4197</v>
      </c>
      <c r="J7131" s="595">
        <f t="shared" si="197"/>
        <v>0</v>
      </c>
    </row>
    <row r="7132" spans="6:10" hidden="1" x14ac:dyDescent="0.25">
      <c r="F7132" s="263">
        <v>541</v>
      </c>
      <c r="G7132" s="295" t="s">
        <v>4222</v>
      </c>
      <c r="J7132" s="595">
        <f t="shared" si="197"/>
        <v>0</v>
      </c>
    </row>
    <row r="7133" spans="6:10" hidden="1" x14ac:dyDescent="0.25">
      <c r="F7133" s="263">
        <v>542</v>
      </c>
      <c r="G7133" s="295" t="s">
        <v>4223</v>
      </c>
      <c r="J7133" s="595">
        <f t="shared" si="197"/>
        <v>0</v>
      </c>
    </row>
    <row r="7134" spans="6:10" hidden="1" x14ac:dyDescent="0.25">
      <c r="F7134" s="263">
        <v>543</v>
      </c>
      <c r="G7134" s="295" t="s">
        <v>3862</v>
      </c>
      <c r="J7134" s="595">
        <f t="shared" si="197"/>
        <v>0</v>
      </c>
    </row>
    <row r="7135" spans="6:10" ht="30" hidden="1" x14ac:dyDescent="0.25">
      <c r="F7135" s="263">
        <v>551</v>
      </c>
      <c r="G7135" s="295" t="s">
        <v>4198</v>
      </c>
      <c r="J7135" s="595">
        <f t="shared" si="197"/>
        <v>0</v>
      </c>
    </row>
    <row r="7136" spans="6:10" hidden="1" x14ac:dyDescent="0.25">
      <c r="F7136" s="264">
        <v>611</v>
      </c>
      <c r="G7136" s="299" t="s">
        <v>3868</v>
      </c>
      <c r="J7136" s="595">
        <f t="shared" si="197"/>
        <v>0</v>
      </c>
    </row>
    <row r="7137" spans="5:10" ht="15.75" hidden="1" thickBot="1" x14ac:dyDescent="0.3">
      <c r="F7137" s="264">
        <v>620</v>
      </c>
      <c r="G7137" s="299" t="s">
        <v>88</v>
      </c>
      <c r="J7137" s="595">
        <f t="shared" si="197"/>
        <v>0</v>
      </c>
    </row>
    <row r="7138" spans="5:10" x14ac:dyDescent="0.25">
      <c r="E7138" s="293"/>
      <c r="F7138" s="301"/>
      <c r="G7138" s="326" t="s">
        <v>4380</v>
      </c>
      <c r="H7138" s="596"/>
      <c r="I7138" s="622"/>
      <c r="J7138" s="597"/>
    </row>
    <row r="7139" spans="5:10" ht="15.75" thickBot="1" x14ac:dyDescent="0.3">
      <c r="E7139" s="222"/>
      <c r="F7139" s="249" t="s">
        <v>234</v>
      </c>
      <c r="G7139" s="252" t="s">
        <v>235</v>
      </c>
      <c r="H7139" s="598">
        <f>SUM(H7078:H7137)</f>
        <v>30500000</v>
      </c>
      <c r="I7139" s="599"/>
      <c r="J7139" s="599">
        <f>SUM(H7139:I7139)</f>
        <v>30500000</v>
      </c>
    </row>
    <row r="7140" spans="5:10" hidden="1" x14ac:dyDescent="0.25">
      <c r="F7140" s="249" t="s">
        <v>236</v>
      </c>
      <c r="G7140" s="252" t="s">
        <v>237</v>
      </c>
      <c r="J7140" s="599">
        <f t="shared" ref="J7140:J7154" si="198">SUM(H7140:I7140)</f>
        <v>0</v>
      </c>
    </row>
    <row r="7141" spans="5:10" hidden="1" x14ac:dyDescent="0.25">
      <c r="F7141" s="249" t="s">
        <v>238</v>
      </c>
      <c r="G7141" s="252" t="s">
        <v>239</v>
      </c>
      <c r="J7141" s="599">
        <f t="shared" si="198"/>
        <v>0</v>
      </c>
    </row>
    <row r="7142" spans="5:10" hidden="1" x14ac:dyDescent="0.25">
      <c r="F7142" s="249" t="s">
        <v>240</v>
      </c>
      <c r="G7142" s="252" t="s">
        <v>241</v>
      </c>
      <c r="J7142" s="599">
        <f t="shared" si="198"/>
        <v>0</v>
      </c>
    </row>
    <row r="7143" spans="5:10" hidden="1" x14ac:dyDescent="0.25">
      <c r="F7143" s="249" t="s">
        <v>242</v>
      </c>
      <c r="G7143" s="252" t="s">
        <v>243</v>
      </c>
      <c r="J7143" s="599">
        <f t="shared" si="198"/>
        <v>0</v>
      </c>
    </row>
    <row r="7144" spans="5:10" hidden="1" x14ac:dyDescent="0.25">
      <c r="F7144" s="249" t="s">
        <v>244</v>
      </c>
      <c r="G7144" s="252" t="s">
        <v>245</v>
      </c>
      <c r="J7144" s="599">
        <f t="shared" si="198"/>
        <v>0</v>
      </c>
    </row>
    <row r="7145" spans="5:10" hidden="1" x14ac:dyDescent="0.25">
      <c r="F7145" s="249" t="s">
        <v>246</v>
      </c>
      <c r="G7145" s="252" t="s">
        <v>247</v>
      </c>
      <c r="J7145" s="599">
        <f t="shared" si="198"/>
        <v>0</v>
      </c>
    </row>
    <row r="7146" spans="5:10" hidden="1" x14ac:dyDescent="0.25">
      <c r="F7146" s="249" t="s">
        <v>248</v>
      </c>
      <c r="G7146" s="252" t="s">
        <v>249</v>
      </c>
      <c r="J7146" s="599">
        <f t="shared" si="198"/>
        <v>0</v>
      </c>
    </row>
    <row r="7147" spans="5:10" hidden="1" x14ac:dyDescent="0.25">
      <c r="F7147" s="249" t="s">
        <v>250</v>
      </c>
      <c r="G7147" s="252" t="s">
        <v>57</v>
      </c>
      <c r="J7147" s="599">
        <f t="shared" si="198"/>
        <v>0</v>
      </c>
    </row>
    <row r="7148" spans="5:10" hidden="1" x14ac:dyDescent="0.25">
      <c r="F7148" s="249" t="s">
        <v>251</v>
      </c>
      <c r="G7148" s="252" t="s">
        <v>252</v>
      </c>
      <c r="J7148" s="599">
        <f t="shared" si="198"/>
        <v>0</v>
      </c>
    </row>
    <row r="7149" spans="5:10" hidden="1" x14ac:dyDescent="0.25">
      <c r="F7149" s="249" t="s">
        <v>253</v>
      </c>
      <c r="G7149" s="252" t="s">
        <v>254</v>
      </c>
      <c r="J7149" s="599">
        <f t="shared" si="198"/>
        <v>0</v>
      </c>
    </row>
    <row r="7150" spans="5:10" ht="30" hidden="1" x14ac:dyDescent="0.25">
      <c r="F7150" s="249" t="s">
        <v>255</v>
      </c>
      <c r="G7150" s="252" t="s">
        <v>256</v>
      </c>
      <c r="J7150" s="599">
        <f t="shared" si="198"/>
        <v>0</v>
      </c>
    </row>
    <row r="7151" spans="5:10" hidden="1" x14ac:dyDescent="0.25">
      <c r="F7151" s="249" t="s">
        <v>257</v>
      </c>
      <c r="G7151" s="252" t="s">
        <v>258</v>
      </c>
      <c r="J7151" s="599">
        <f t="shared" si="198"/>
        <v>0</v>
      </c>
    </row>
    <row r="7152" spans="5:10" ht="30" hidden="1" x14ac:dyDescent="0.25">
      <c r="F7152" s="249" t="s">
        <v>259</v>
      </c>
      <c r="G7152" s="252" t="s">
        <v>260</v>
      </c>
      <c r="J7152" s="599">
        <f t="shared" si="198"/>
        <v>0</v>
      </c>
    </row>
    <row r="7153" spans="5:10" hidden="1" x14ac:dyDescent="0.25">
      <c r="F7153" s="249" t="s">
        <v>261</v>
      </c>
      <c r="G7153" s="252" t="s">
        <v>262</v>
      </c>
      <c r="J7153" s="599">
        <f t="shared" si="198"/>
        <v>0</v>
      </c>
    </row>
    <row r="7154" spans="5:10" ht="15.75" hidden="1" thickBot="1" x14ac:dyDescent="0.3">
      <c r="F7154" s="249" t="s">
        <v>263</v>
      </c>
      <c r="G7154" s="252" t="s">
        <v>264</v>
      </c>
      <c r="H7154" s="598"/>
      <c r="I7154" s="599"/>
      <c r="J7154" s="599">
        <f t="shared" si="198"/>
        <v>0</v>
      </c>
    </row>
    <row r="7155" spans="5:10" ht="15.75" thickBot="1" x14ac:dyDescent="0.3">
      <c r="G7155" s="229" t="s">
        <v>4381</v>
      </c>
      <c r="H7155" s="600">
        <f>SUM(H7139:H7154)</f>
        <v>30500000</v>
      </c>
      <c r="I7155" s="601">
        <f>SUM(I7140:I7154)</f>
        <v>0</v>
      </c>
      <c r="J7155" s="601">
        <f>SUM(J7139:J7154)</f>
        <v>30500000</v>
      </c>
    </row>
    <row r="7156" spans="5:10" ht="19.5" customHeight="1" collapsed="1" x14ac:dyDescent="0.25">
      <c r="E7156" s="260"/>
      <c r="F7156" s="264"/>
      <c r="G7156" s="326" t="s">
        <v>4252</v>
      </c>
      <c r="H7156" s="596"/>
      <c r="I7156" s="622"/>
      <c r="J7156" s="597"/>
    </row>
    <row r="7157" spans="5:10" ht="15.75" thickBot="1" x14ac:dyDescent="0.3">
      <c r="E7157" s="222"/>
      <c r="F7157" s="249" t="s">
        <v>234</v>
      </c>
      <c r="G7157" s="252" t="s">
        <v>235</v>
      </c>
      <c r="H7157" s="598">
        <f>SUM(H7078:H7137)</f>
        <v>30500000</v>
      </c>
      <c r="I7157" s="599"/>
      <c r="J7157" s="599">
        <f>SUM(H7157:I7157)</f>
        <v>30500000</v>
      </c>
    </row>
    <row r="7158" spans="5:10" hidden="1" x14ac:dyDescent="0.25">
      <c r="F7158" s="249" t="s">
        <v>236</v>
      </c>
      <c r="G7158" s="252" t="s">
        <v>237</v>
      </c>
      <c r="J7158" s="599">
        <f t="shared" ref="J7158:J7172" si="199">SUM(H7158:I7158)</f>
        <v>0</v>
      </c>
    </row>
    <row r="7159" spans="5:10" hidden="1" x14ac:dyDescent="0.25">
      <c r="F7159" s="249" t="s">
        <v>238</v>
      </c>
      <c r="G7159" s="252" t="s">
        <v>239</v>
      </c>
      <c r="J7159" s="599">
        <f t="shared" si="199"/>
        <v>0</v>
      </c>
    </row>
    <row r="7160" spans="5:10" hidden="1" x14ac:dyDescent="0.25">
      <c r="F7160" s="249" t="s">
        <v>240</v>
      </c>
      <c r="G7160" s="252" t="s">
        <v>241</v>
      </c>
      <c r="J7160" s="599">
        <f t="shared" si="199"/>
        <v>0</v>
      </c>
    </row>
    <row r="7161" spans="5:10" hidden="1" x14ac:dyDescent="0.25">
      <c r="F7161" s="249" t="s">
        <v>242</v>
      </c>
      <c r="G7161" s="252" t="s">
        <v>243</v>
      </c>
      <c r="J7161" s="599">
        <f t="shared" si="199"/>
        <v>0</v>
      </c>
    </row>
    <row r="7162" spans="5:10" hidden="1" x14ac:dyDescent="0.25">
      <c r="F7162" s="249" t="s">
        <v>244</v>
      </c>
      <c r="G7162" s="252" t="s">
        <v>245</v>
      </c>
      <c r="J7162" s="599">
        <f t="shared" si="199"/>
        <v>0</v>
      </c>
    </row>
    <row r="7163" spans="5:10" hidden="1" x14ac:dyDescent="0.25">
      <c r="F7163" s="249" t="s">
        <v>246</v>
      </c>
      <c r="G7163" s="252" t="s">
        <v>247</v>
      </c>
      <c r="J7163" s="599">
        <f t="shared" si="199"/>
        <v>0</v>
      </c>
    </row>
    <row r="7164" spans="5:10" hidden="1" x14ac:dyDescent="0.25">
      <c r="F7164" s="249" t="s">
        <v>248</v>
      </c>
      <c r="G7164" s="252" t="s">
        <v>249</v>
      </c>
      <c r="J7164" s="599">
        <f t="shared" si="199"/>
        <v>0</v>
      </c>
    </row>
    <row r="7165" spans="5:10" hidden="1" x14ac:dyDescent="0.25">
      <c r="F7165" s="249" t="s">
        <v>250</v>
      </c>
      <c r="G7165" s="252" t="s">
        <v>57</v>
      </c>
      <c r="J7165" s="599">
        <f t="shared" si="199"/>
        <v>0</v>
      </c>
    </row>
    <row r="7166" spans="5:10" hidden="1" x14ac:dyDescent="0.25">
      <c r="F7166" s="249" t="s">
        <v>251</v>
      </c>
      <c r="G7166" s="252" t="s">
        <v>252</v>
      </c>
      <c r="J7166" s="599">
        <f t="shared" si="199"/>
        <v>0</v>
      </c>
    </row>
    <row r="7167" spans="5:10" hidden="1" x14ac:dyDescent="0.25">
      <c r="F7167" s="249" t="s">
        <v>253</v>
      </c>
      <c r="G7167" s="252" t="s">
        <v>254</v>
      </c>
      <c r="J7167" s="599">
        <f t="shared" si="199"/>
        <v>0</v>
      </c>
    </row>
    <row r="7168" spans="5:10" ht="30" hidden="1" x14ac:dyDescent="0.25">
      <c r="F7168" s="249" t="s">
        <v>255</v>
      </c>
      <c r="G7168" s="252" t="s">
        <v>256</v>
      </c>
      <c r="J7168" s="599">
        <f t="shared" si="199"/>
        <v>0</v>
      </c>
    </row>
    <row r="7169" spans="1:25" hidden="1" x14ac:dyDescent="0.25">
      <c r="F7169" s="249" t="s">
        <v>257</v>
      </c>
      <c r="G7169" s="252" t="s">
        <v>258</v>
      </c>
      <c r="J7169" s="599">
        <f t="shared" si="199"/>
        <v>0</v>
      </c>
    </row>
    <row r="7170" spans="1:25" ht="30" hidden="1" x14ac:dyDescent="0.25">
      <c r="F7170" s="249" t="s">
        <v>259</v>
      </c>
      <c r="G7170" s="252" t="s">
        <v>260</v>
      </c>
      <c r="J7170" s="599">
        <f t="shared" si="199"/>
        <v>0</v>
      </c>
    </row>
    <row r="7171" spans="1:25" hidden="1" x14ac:dyDescent="0.25">
      <c r="F7171" s="249" t="s">
        <v>261</v>
      </c>
      <c r="G7171" s="252" t="s">
        <v>262</v>
      </c>
      <c r="J7171" s="599">
        <f t="shared" si="199"/>
        <v>0</v>
      </c>
    </row>
    <row r="7172" spans="1:25" ht="15.75" hidden="1" thickBot="1" x14ac:dyDescent="0.3">
      <c r="F7172" s="249" t="s">
        <v>263</v>
      </c>
      <c r="G7172" s="252" t="s">
        <v>264</v>
      </c>
      <c r="H7172" s="598"/>
      <c r="I7172" s="599"/>
      <c r="J7172" s="599">
        <f t="shared" si="199"/>
        <v>0</v>
      </c>
    </row>
    <row r="7173" spans="1:25" ht="15.75" collapsed="1" thickBot="1" x14ac:dyDescent="0.3">
      <c r="G7173" s="229" t="s">
        <v>4253</v>
      </c>
      <c r="H7173" s="600">
        <f>SUM(H7157:H7172)</f>
        <v>30500000</v>
      </c>
      <c r="I7173" s="601">
        <f>SUM(I7158:I7172)</f>
        <v>0</v>
      </c>
      <c r="J7173" s="601">
        <f>SUM(J7157:J7172)</f>
        <v>30500000</v>
      </c>
    </row>
    <row r="7174" spans="1:25" s="88" customFormat="1" hidden="1" x14ac:dyDescent="0.25">
      <c r="A7174" s="261"/>
      <c r="B7174" s="256"/>
      <c r="C7174" s="318"/>
      <c r="F7174" s="266"/>
      <c r="G7174" s="275"/>
      <c r="H7174" s="611"/>
      <c r="I7174" s="612"/>
      <c r="J7174" s="612"/>
      <c r="K7174" s="533"/>
      <c r="L7174" s="533"/>
      <c r="M7174" s="533"/>
      <c r="N7174" s="533"/>
      <c r="O7174" s="533"/>
      <c r="P7174" s="533"/>
      <c r="Q7174" s="533"/>
      <c r="R7174" s="533"/>
      <c r="S7174" s="533"/>
      <c r="T7174" s="533"/>
      <c r="U7174" s="533"/>
      <c r="V7174" s="533"/>
      <c r="W7174" s="533"/>
      <c r="X7174" s="533"/>
      <c r="Y7174" s="533"/>
    </row>
    <row r="7175" spans="1:25" hidden="1" x14ac:dyDescent="0.25">
      <c r="C7175" s="228" t="s">
        <v>5265</v>
      </c>
      <c r="D7175" s="219"/>
      <c r="G7175" s="262" t="s">
        <v>5266</v>
      </c>
    </row>
    <row r="7176" spans="1:25" s="88" customFormat="1" hidden="1" x14ac:dyDescent="0.25">
      <c r="A7176" s="331"/>
      <c r="B7176" s="332"/>
      <c r="C7176" s="272"/>
      <c r="D7176" s="328">
        <v>421</v>
      </c>
      <c r="E7176" s="329"/>
      <c r="F7176" s="329"/>
      <c r="G7176" s="330" t="s">
        <v>138</v>
      </c>
      <c r="H7176" s="611"/>
      <c r="I7176" s="612"/>
      <c r="J7176" s="612"/>
      <c r="K7176" s="533"/>
      <c r="L7176" s="533"/>
      <c r="M7176" s="533"/>
      <c r="N7176" s="533"/>
      <c r="O7176" s="533"/>
      <c r="P7176" s="533"/>
      <c r="Q7176" s="533"/>
      <c r="R7176" s="533"/>
      <c r="S7176" s="533"/>
      <c r="T7176" s="533"/>
      <c r="U7176" s="533"/>
      <c r="V7176" s="533"/>
      <c r="W7176" s="533"/>
      <c r="X7176" s="533"/>
      <c r="Y7176" s="533"/>
    </row>
    <row r="7177" spans="1:25" hidden="1" x14ac:dyDescent="0.25">
      <c r="F7177" s="263">
        <v>411</v>
      </c>
      <c r="G7177" s="295" t="s">
        <v>4189</v>
      </c>
      <c r="J7177" s="595">
        <f>SUM(H7177:I7177)</f>
        <v>0</v>
      </c>
    </row>
    <row r="7178" spans="1:25" hidden="1" x14ac:dyDescent="0.25">
      <c r="F7178" s="263">
        <v>412</v>
      </c>
      <c r="G7178" s="292" t="s">
        <v>3784</v>
      </c>
      <c r="J7178" s="595">
        <f t="shared" ref="J7178:J7236" si="200">SUM(H7178:I7178)</f>
        <v>0</v>
      </c>
    </row>
    <row r="7179" spans="1:25" hidden="1" x14ac:dyDescent="0.25">
      <c r="F7179" s="263">
        <v>413</v>
      </c>
      <c r="G7179" s="295" t="s">
        <v>4190</v>
      </c>
      <c r="J7179" s="595">
        <f t="shared" si="200"/>
        <v>0</v>
      </c>
    </row>
    <row r="7180" spans="1:25" hidden="1" x14ac:dyDescent="0.25">
      <c r="F7180" s="263">
        <v>414</v>
      </c>
      <c r="G7180" s="295" t="s">
        <v>3787</v>
      </c>
      <c r="J7180" s="595">
        <f t="shared" si="200"/>
        <v>0</v>
      </c>
    </row>
    <row r="7181" spans="1:25" hidden="1" x14ac:dyDescent="0.25">
      <c r="F7181" s="263">
        <v>415</v>
      </c>
      <c r="G7181" s="295" t="s">
        <v>4199</v>
      </c>
      <c r="J7181" s="595">
        <f t="shared" si="200"/>
        <v>0</v>
      </c>
    </row>
    <row r="7182" spans="1:25" hidden="1" x14ac:dyDescent="0.25">
      <c r="F7182" s="263">
        <v>416</v>
      </c>
      <c r="G7182" s="295" t="s">
        <v>4200</v>
      </c>
      <c r="J7182" s="595">
        <f t="shared" si="200"/>
        <v>0</v>
      </c>
    </row>
    <row r="7183" spans="1:25" hidden="1" x14ac:dyDescent="0.25">
      <c r="F7183" s="263">
        <v>417</v>
      </c>
      <c r="G7183" s="295" t="s">
        <v>4201</v>
      </c>
      <c r="J7183" s="595">
        <f t="shared" si="200"/>
        <v>0</v>
      </c>
    </row>
    <row r="7184" spans="1:25" hidden="1" x14ac:dyDescent="0.25">
      <c r="F7184" s="263">
        <v>418</v>
      </c>
      <c r="G7184" s="295" t="s">
        <v>3793</v>
      </c>
      <c r="J7184" s="595">
        <f t="shared" si="200"/>
        <v>0</v>
      </c>
    </row>
    <row r="7185" spans="6:10" hidden="1" x14ac:dyDescent="0.25">
      <c r="F7185" s="263">
        <v>421</v>
      </c>
      <c r="G7185" s="295" t="s">
        <v>3797</v>
      </c>
      <c r="J7185" s="595">
        <f t="shared" si="200"/>
        <v>0</v>
      </c>
    </row>
    <row r="7186" spans="6:10" hidden="1" x14ac:dyDescent="0.25">
      <c r="F7186" s="263">
        <v>422</v>
      </c>
      <c r="G7186" s="295" t="s">
        <v>3798</v>
      </c>
      <c r="J7186" s="595">
        <f t="shared" si="200"/>
        <v>0</v>
      </c>
    </row>
    <row r="7187" spans="6:10" hidden="1" x14ac:dyDescent="0.25">
      <c r="F7187" s="263">
        <v>423</v>
      </c>
      <c r="G7187" s="295" t="s">
        <v>3799</v>
      </c>
      <c r="J7187" s="595">
        <f t="shared" si="200"/>
        <v>0</v>
      </c>
    </row>
    <row r="7188" spans="6:10" hidden="1" x14ac:dyDescent="0.25">
      <c r="F7188" s="263">
        <v>424</v>
      </c>
      <c r="G7188" s="295" t="s">
        <v>3801</v>
      </c>
      <c r="J7188" s="595">
        <f t="shared" si="200"/>
        <v>0</v>
      </c>
    </row>
    <row r="7189" spans="6:10" hidden="1" x14ac:dyDescent="0.25">
      <c r="F7189" s="263">
        <v>425</v>
      </c>
      <c r="G7189" s="295" t="s">
        <v>4202</v>
      </c>
      <c r="J7189" s="595">
        <f t="shared" si="200"/>
        <v>0</v>
      </c>
    </row>
    <row r="7190" spans="6:10" hidden="1" x14ac:dyDescent="0.25">
      <c r="F7190" s="263">
        <v>426</v>
      </c>
      <c r="G7190" s="295" t="s">
        <v>3805</v>
      </c>
      <c r="J7190" s="595">
        <f t="shared" si="200"/>
        <v>0</v>
      </c>
    </row>
    <row r="7191" spans="6:10" hidden="1" x14ac:dyDescent="0.25">
      <c r="F7191" s="263">
        <v>431</v>
      </c>
      <c r="G7191" s="295" t="s">
        <v>4203</v>
      </c>
      <c r="J7191" s="595">
        <f t="shared" si="200"/>
        <v>0</v>
      </c>
    </row>
    <row r="7192" spans="6:10" hidden="1" x14ac:dyDescent="0.25">
      <c r="F7192" s="263">
        <v>432</v>
      </c>
      <c r="G7192" s="295" t="s">
        <v>4204</v>
      </c>
      <c r="J7192" s="595">
        <f t="shared" si="200"/>
        <v>0</v>
      </c>
    </row>
    <row r="7193" spans="6:10" hidden="1" x14ac:dyDescent="0.25">
      <c r="F7193" s="263">
        <v>433</v>
      </c>
      <c r="G7193" s="295" t="s">
        <v>4205</v>
      </c>
      <c r="J7193" s="595">
        <f t="shared" si="200"/>
        <v>0</v>
      </c>
    </row>
    <row r="7194" spans="6:10" hidden="1" x14ac:dyDescent="0.25">
      <c r="F7194" s="263">
        <v>434</v>
      </c>
      <c r="G7194" s="295" t="s">
        <v>4206</v>
      </c>
      <c r="J7194" s="595">
        <f t="shared" si="200"/>
        <v>0</v>
      </c>
    </row>
    <row r="7195" spans="6:10" hidden="1" x14ac:dyDescent="0.25">
      <c r="F7195" s="263">
        <v>435</v>
      </c>
      <c r="G7195" s="295" t="s">
        <v>3812</v>
      </c>
      <c r="J7195" s="595">
        <f t="shared" si="200"/>
        <v>0</v>
      </c>
    </row>
    <row r="7196" spans="6:10" hidden="1" x14ac:dyDescent="0.25">
      <c r="F7196" s="263">
        <v>441</v>
      </c>
      <c r="G7196" s="295" t="s">
        <v>4207</v>
      </c>
      <c r="J7196" s="595">
        <f t="shared" si="200"/>
        <v>0</v>
      </c>
    </row>
    <row r="7197" spans="6:10" hidden="1" x14ac:dyDescent="0.25">
      <c r="F7197" s="263">
        <v>442</v>
      </c>
      <c r="G7197" s="295" t="s">
        <v>4208</v>
      </c>
      <c r="J7197" s="595">
        <f t="shared" si="200"/>
        <v>0</v>
      </c>
    </row>
    <row r="7198" spans="6:10" hidden="1" x14ac:dyDescent="0.25">
      <c r="F7198" s="263">
        <v>443</v>
      </c>
      <c r="G7198" s="295" t="s">
        <v>3817</v>
      </c>
      <c r="J7198" s="595">
        <f t="shared" si="200"/>
        <v>0</v>
      </c>
    </row>
    <row r="7199" spans="6:10" hidden="1" x14ac:dyDescent="0.25">
      <c r="F7199" s="263">
        <v>444</v>
      </c>
      <c r="G7199" s="295" t="s">
        <v>3818</v>
      </c>
      <c r="J7199" s="595">
        <f t="shared" si="200"/>
        <v>0</v>
      </c>
    </row>
    <row r="7200" spans="6:10" ht="30" hidden="1" x14ac:dyDescent="0.25">
      <c r="F7200" s="263">
        <v>4511</v>
      </c>
      <c r="G7200" s="223" t="s">
        <v>1692</v>
      </c>
      <c r="J7200" s="595">
        <f t="shared" si="200"/>
        <v>0</v>
      </c>
    </row>
    <row r="7201" spans="6:10" ht="30" hidden="1" x14ac:dyDescent="0.25">
      <c r="F7201" s="263">
        <v>4512</v>
      </c>
      <c r="G7201" s="223" t="s">
        <v>1701</v>
      </c>
      <c r="J7201" s="595">
        <f t="shared" si="200"/>
        <v>0</v>
      </c>
    </row>
    <row r="7202" spans="6:10" hidden="1" x14ac:dyDescent="0.25">
      <c r="F7202" s="263">
        <v>452</v>
      </c>
      <c r="G7202" s="295" t="s">
        <v>4209</v>
      </c>
      <c r="J7202" s="595">
        <f t="shared" si="200"/>
        <v>0</v>
      </c>
    </row>
    <row r="7203" spans="6:10" hidden="1" x14ac:dyDescent="0.25">
      <c r="F7203" s="263">
        <v>453</v>
      </c>
      <c r="G7203" s="295" t="s">
        <v>4210</v>
      </c>
      <c r="J7203" s="595">
        <f t="shared" si="200"/>
        <v>0</v>
      </c>
    </row>
    <row r="7204" spans="6:10" hidden="1" x14ac:dyDescent="0.25">
      <c r="F7204" s="263">
        <v>454</v>
      </c>
      <c r="G7204" s="295" t="s">
        <v>3823</v>
      </c>
      <c r="J7204" s="595">
        <f t="shared" si="200"/>
        <v>0</v>
      </c>
    </row>
    <row r="7205" spans="6:10" hidden="1" x14ac:dyDescent="0.25">
      <c r="F7205" s="263">
        <v>461</v>
      </c>
      <c r="G7205" s="295" t="s">
        <v>4191</v>
      </c>
      <c r="J7205" s="595">
        <f t="shared" si="200"/>
        <v>0</v>
      </c>
    </row>
    <row r="7206" spans="6:10" hidden="1" x14ac:dyDescent="0.25">
      <c r="F7206" s="263">
        <v>462</v>
      </c>
      <c r="G7206" s="295" t="s">
        <v>3826</v>
      </c>
      <c r="J7206" s="595">
        <f t="shared" si="200"/>
        <v>0</v>
      </c>
    </row>
    <row r="7207" spans="6:10" hidden="1" x14ac:dyDescent="0.25">
      <c r="F7207" s="263">
        <v>4631</v>
      </c>
      <c r="G7207" s="295" t="s">
        <v>3827</v>
      </c>
      <c r="J7207" s="595">
        <f t="shared" si="200"/>
        <v>0</v>
      </c>
    </row>
    <row r="7208" spans="6:10" hidden="1" x14ac:dyDescent="0.25">
      <c r="F7208" s="263">
        <v>4632</v>
      </c>
      <c r="G7208" s="295" t="s">
        <v>3828</v>
      </c>
      <c r="J7208" s="595">
        <f t="shared" si="200"/>
        <v>0</v>
      </c>
    </row>
    <row r="7209" spans="6:10" hidden="1" x14ac:dyDescent="0.25">
      <c r="F7209" s="263">
        <v>464</v>
      </c>
      <c r="G7209" s="295" t="s">
        <v>3829</v>
      </c>
      <c r="J7209" s="595">
        <f t="shared" si="200"/>
        <v>0</v>
      </c>
    </row>
    <row r="7210" spans="6:10" hidden="1" x14ac:dyDescent="0.25">
      <c r="F7210" s="263">
        <v>465</v>
      </c>
      <c r="G7210" s="295" t="s">
        <v>4192</v>
      </c>
      <c r="J7210" s="595">
        <f t="shared" si="200"/>
        <v>0</v>
      </c>
    </row>
    <row r="7211" spans="6:10" hidden="1" x14ac:dyDescent="0.25">
      <c r="F7211" s="263">
        <v>472</v>
      </c>
      <c r="G7211" s="295" t="s">
        <v>3833</v>
      </c>
      <c r="J7211" s="595">
        <f t="shared" si="200"/>
        <v>0</v>
      </c>
    </row>
    <row r="7212" spans="6:10" hidden="1" x14ac:dyDescent="0.25">
      <c r="F7212" s="263">
        <v>481</v>
      </c>
      <c r="G7212" s="295" t="s">
        <v>4211</v>
      </c>
      <c r="J7212" s="595">
        <f t="shared" si="200"/>
        <v>0</v>
      </c>
    </row>
    <row r="7213" spans="6:10" hidden="1" x14ac:dyDescent="0.25">
      <c r="F7213" s="263">
        <v>482</v>
      </c>
      <c r="G7213" s="295" t="s">
        <v>4212</v>
      </c>
      <c r="J7213" s="595">
        <f t="shared" si="200"/>
        <v>0</v>
      </c>
    </row>
    <row r="7214" spans="6:10" hidden="1" x14ac:dyDescent="0.25">
      <c r="F7214" s="263">
        <v>483</v>
      </c>
      <c r="G7214" s="298" t="s">
        <v>4213</v>
      </c>
      <c r="J7214" s="595">
        <f t="shared" si="200"/>
        <v>0</v>
      </c>
    </row>
    <row r="7215" spans="6:10" ht="30" hidden="1" x14ac:dyDescent="0.25">
      <c r="F7215" s="263">
        <v>484</v>
      </c>
      <c r="G7215" s="295" t="s">
        <v>4214</v>
      </c>
      <c r="J7215" s="595">
        <f t="shared" si="200"/>
        <v>0</v>
      </c>
    </row>
    <row r="7216" spans="6:10" ht="30" hidden="1" x14ac:dyDescent="0.25">
      <c r="F7216" s="263">
        <v>485</v>
      </c>
      <c r="G7216" s="295" t="s">
        <v>4215</v>
      </c>
      <c r="J7216" s="595">
        <f t="shared" si="200"/>
        <v>0</v>
      </c>
    </row>
    <row r="7217" spans="6:10" ht="30" hidden="1" x14ac:dyDescent="0.25">
      <c r="F7217" s="263">
        <v>489</v>
      </c>
      <c r="G7217" s="295" t="s">
        <v>3841</v>
      </c>
      <c r="J7217" s="595">
        <f t="shared" si="200"/>
        <v>0</v>
      </c>
    </row>
    <row r="7218" spans="6:10" hidden="1" x14ac:dyDescent="0.25">
      <c r="F7218" s="263">
        <v>494</v>
      </c>
      <c r="G7218" s="295" t="s">
        <v>4193</v>
      </c>
      <c r="J7218" s="595">
        <f t="shared" si="200"/>
        <v>0</v>
      </c>
    </row>
    <row r="7219" spans="6:10" ht="30" hidden="1" x14ac:dyDescent="0.25">
      <c r="F7219" s="263">
        <v>495</v>
      </c>
      <c r="G7219" s="295" t="s">
        <v>4194</v>
      </c>
      <c r="J7219" s="595">
        <f t="shared" si="200"/>
        <v>0</v>
      </c>
    </row>
    <row r="7220" spans="6:10" ht="30" hidden="1" x14ac:dyDescent="0.25">
      <c r="F7220" s="263">
        <v>496</v>
      </c>
      <c r="G7220" s="295" t="s">
        <v>4195</v>
      </c>
      <c r="J7220" s="595">
        <f t="shared" si="200"/>
        <v>0</v>
      </c>
    </row>
    <row r="7221" spans="6:10" hidden="1" x14ac:dyDescent="0.25">
      <c r="F7221" s="263">
        <v>499</v>
      </c>
      <c r="G7221" s="295" t="s">
        <v>4196</v>
      </c>
      <c r="J7221" s="595">
        <f t="shared" si="200"/>
        <v>0</v>
      </c>
    </row>
    <row r="7222" spans="6:10" hidden="1" x14ac:dyDescent="0.25">
      <c r="F7222" s="263">
        <v>511</v>
      </c>
      <c r="G7222" s="298" t="s">
        <v>4216</v>
      </c>
      <c r="J7222" s="595">
        <f t="shared" si="200"/>
        <v>0</v>
      </c>
    </row>
    <row r="7223" spans="6:10" hidden="1" x14ac:dyDescent="0.25">
      <c r="F7223" s="263">
        <v>512</v>
      </c>
      <c r="G7223" s="298" t="s">
        <v>4217</v>
      </c>
      <c r="J7223" s="595">
        <f t="shared" si="200"/>
        <v>0</v>
      </c>
    </row>
    <row r="7224" spans="6:10" hidden="1" x14ac:dyDescent="0.25">
      <c r="F7224" s="263">
        <v>513</v>
      </c>
      <c r="G7224" s="298" t="s">
        <v>4218</v>
      </c>
      <c r="J7224" s="595">
        <f t="shared" si="200"/>
        <v>0</v>
      </c>
    </row>
    <row r="7225" spans="6:10" ht="15.75" hidden="1" thickBot="1" x14ac:dyDescent="0.3">
      <c r="F7225" s="263">
        <v>514</v>
      </c>
      <c r="G7225" s="295" t="s">
        <v>4219</v>
      </c>
      <c r="J7225" s="595">
        <f t="shared" si="200"/>
        <v>0</v>
      </c>
    </row>
    <row r="7226" spans="6:10" hidden="1" x14ac:dyDescent="0.25">
      <c r="F7226" s="263">
        <v>515</v>
      </c>
      <c r="G7226" s="295" t="s">
        <v>3852</v>
      </c>
      <c r="J7226" s="595">
        <f t="shared" si="200"/>
        <v>0</v>
      </c>
    </row>
    <row r="7227" spans="6:10" hidden="1" x14ac:dyDescent="0.25">
      <c r="F7227" s="263">
        <v>521</v>
      </c>
      <c r="G7227" s="295" t="s">
        <v>4220</v>
      </c>
      <c r="J7227" s="595">
        <f t="shared" si="200"/>
        <v>0</v>
      </c>
    </row>
    <row r="7228" spans="6:10" hidden="1" x14ac:dyDescent="0.25">
      <c r="F7228" s="263">
        <v>522</v>
      </c>
      <c r="G7228" s="295" t="s">
        <v>4221</v>
      </c>
      <c r="J7228" s="595">
        <f t="shared" si="200"/>
        <v>0</v>
      </c>
    </row>
    <row r="7229" spans="6:10" hidden="1" x14ac:dyDescent="0.25">
      <c r="F7229" s="263">
        <v>523</v>
      </c>
      <c r="G7229" s="295" t="s">
        <v>3857</v>
      </c>
      <c r="J7229" s="595">
        <f t="shared" si="200"/>
        <v>0</v>
      </c>
    </row>
    <row r="7230" spans="6:10" hidden="1" x14ac:dyDescent="0.25">
      <c r="F7230" s="263">
        <v>531</v>
      </c>
      <c r="G7230" s="292" t="s">
        <v>4197</v>
      </c>
      <c r="J7230" s="595">
        <f t="shared" si="200"/>
        <v>0</v>
      </c>
    </row>
    <row r="7231" spans="6:10" hidden="1" x14ac:dyDescent="0.25">
      <c r="F7231" s="263">
        <v>541</v>
      </c>
      <c r="G7231" s="295" t="s">
        <v>4222</v>
      </c>
      <c r="J7231" s="595">
        <f t="shared" si="200"/>
        <v>0</v>
      </c>
    </row>
    <row r="7232" spans="6:10" hidden="1" x14ac:dyDescent="0.25">
      <c r="F7232" s="263">
        <v>542</v>
      </c>
      <c r="G7232" s="295" t="s">
        <v>4223</v>
      </c>
      <c r="J7232" s="595">
        <f t="shared" si="200"/>
        <v>0</v>
      </c>
    </row>
    <row r="7233" spans="5:10" hidden="1" x14ac:dyDescent="0.25">
      <c r="F7233" s="263">
        <v>543</v>
      </c>
      <c r="G7233" s="295" t="s">
        <v>3862</v>
      </c>
      <c r="J7233" s="595">
        <f t="shared" si="200"/>
        <v>0</v>
      </c>
    </row>
    <row r="7234" spans="5:10" ht="30" hidden="1" x14ac:dyDescent="0.25">
      <c r="F7234" s="263">
        <v>551</v>
      </c>
      <c r="G7234" s="295" t="s">
        <v>4198</v>
      </c>
      <c r="J7234" s="595">
        <f t="shared" si="200"/>
        <v>0</v>
      </c>
    </row>
    <row r="7235" spans="5:10" hidden="1" x14ac:dyDescent="0.25">
      <c r="F7235" s="264">
        <v>611</v>
      </c>
      <c r="G7235" s="299" t="s">
        <v>3868</v>
      </c>
      <c r="J7235" s="595">
        <f t="shared" si="200"/>
        <v>0</v>
      </c>
    </row>
    <row r="7236" spans="5:10" ht="15.75" hidden="1" thickBot="1" x14ac:dyDescent="0.3">
      <c r="F7236" s="264">
        <v>620</v>
      </c>
      <c r="G7236" s="299" t="s">
        <v>88</v>
      </c>
      <c r="J7236" s="595">
        <f t="shared" si="200"/>
        <v>0</v>
      </c>
    </row>
    <row r="7237" spans="5:10" hidden="1" x14ac:dyDescent="0.25">
      <c r="E7237" s="293"/>
      <c r="F7237" s="301"/>
      <c r="G7237" s="326" t="s">
        <v>4380</v>
      </c>
      <c r="H7237" s="596"/>
      <c r="I7237" s="622"/>
      <c r="J7237" s="597"/>
    </row>
    <row r="7238" spans="5:10" ht="15.75" hidden="1" thickBot="1" x14ac:dyDescent="0.3">
      <c r="E7238" s="222"/>
      <c r="F7238" s="249" t="s">
        <v>234</v>
      </c>
      <c r="G7238" s="252" t="s">
        <v>235</v>
      </c>
      <c r="H7238" s="598">
        <f>SUM(H7177:H7236)</f>
        <v>0</v>
      </c>
      <c r="I7238" s="599"/>
      <c r="J7238" s="599">
        <f>SUM(H7238:I7238)</f>
        <v>0</v>
      </c>
    </row>
    <row r="7239" spans="5:10" hidden="1" x14ac:dyDescent="0.25">
      <c r="F7239" s="249" t="s">
        <v>236</v>
      </c>
      <c r="G7239" s="252" t="s">
        <v>237</v>
      </c>
      <c r="J7239" s="599">
        <f t="shared" ref="J7239:J7253" si="201">SUM(H7239:I7239)</f>
        <v>0</v>
      </c>
    </row>
    <row r="7240" spans="5:10" hidden="1" x14ac:dyDescent="0.25">
      <c r="F7240" s="249" t="s">
        <v>238</v>
      </c>
      <c r="G7240" s="252" t="s">
        <v>239</v>
      </c>
      <c r="J7240" s="599">
        <f t="shared" si="201"/>
        <v>0</v>
      </c>
    </row>
    <row r="7241" spans="5:10" hidden="1" x14ac:dyDescent="0.25">
      <c r="F7241" s="249" t="s">
        <v>240</v>
      </c>
      <c r="G7241" s="252" t="s">
        <v>241</v>
      </c>
      <c r="J7241" s="599">
        <f t="shared" si="201"/>
        <v>0</v>
      </c>
    </row>
    <row r="7242" spans="5:10" hidden="1" x14ac:dyDescent="0.25">
      <c r="F7242" s="249" t="s">
        <v>242</v>
      </c>
      <c r="G7242" s="252" t="s">
        <v>243</v>
      </c>
      <c r="J7242" s="599">
        <f t="shared" si="201"/>
        <v>0</v>
      </c>
    </row>
    <row r="7243" spans="5:10" hidden="1" x14ac:dyDescent="0.25">
      <c r="F7243" s="249" t="s">
        <v>244</v>
      </c>
      <c r="G7243" s="252" t="s">
        <v>245</v>
      </c>
      <c r="J7243" s="599">
        <f t="shared" si="201"/>
        <v>0</v>
      </c>
    </row>
    <row r="7244" spans="5:10" hidden="1" x14ac:dyDescent="0.25">
      <c r="F7244" s="249" t="s">
        <v>246</v>
      </c>
      <c r="G7244" s="252" t="s">
        <v>247</v>
      </c>
      <c r="J7244" s="599">
        <f t="shared" si="201"/>
        <v>0</v>
      </c>
    </row>
    <row r="7245" spans="5:10" hidden="1" x14ac:dyDescent="0.25">
      <c r="F7245" s="249" t="s">
        <v>248</v>
      </c>
      <c r="G7245" s="252" t="s">
        <v>249</v>
      </c>
      <c r="J7245" s="599">
        <f t="shared" si="201"/>
        <v>0</v>
      </c>
    </row>
    <row r="7246" spans="5:10" hidden="1" x14ac:dyDescent="0.25">
      <c r="F7246" s="249" t="s">
        <v>250</v>
      </c>
      <c r="G7246" s="252" t="s">
        <v>57</v>
      </c>
      <c r="J7246" s="599">
        <f t="shared" si="201"/>
        <v>0</v>
      </c>
    </row>
    <row r="7247" spans="5:10" hidden="1" x14ac:dyDescent="0.25">
      <c r="F7247" s="249" t="s">
        <v>251</v>
      </c>
      <c r="G7247" s="252" t="s">
        <v>252</v>
      </c>
      <c r="J7247" s="599">
        <f t="shared" si="201"/>
        <v>0</v>
      </c>
    </row>
    <row r="7248" spans="5:10" hidden="1" x14ac:dyDescent="0.25">
      <c r="F7248" s="249" t="s">
        <v>253</v>
      </c>
      <c r="G7248" s="252" t="s">
        <v>254</v>
      </c>
      <c r="J7248" s="599">
        <f t="shared" si="201"/>
        <v>0</v>
      </c>
    </row>
    <row r="7249" spans="5:10" ht="30" hidden="1" x14ac:dyDescent="0.25">
      <c r="F7249" s="249" t="s">
        <v>255</v>
      </c>
      <c r="G7249" s="252" t="s">
        <v>256</v>
      </c>
      <c r="J7249" s="599">
        <f t="shared" si="201"/>
        <v>0</v>
      </c>
    </row>
    <row r="7250" spans="5:10" hidden="1" x14ac:dyDescent="0.25">
      <c r="F7250" s="249" t="s">
        <v>257</v>
      </c>
      <c r="G7250" s="252" t="s">
        <v>258</v>
      </c>
      <c r="J7250" s="599">
        <f t="shared" si="201"/>
        <v>0</v>
      </c>
    </row>
    <row r="7251" spans="5:10" ht="30" hidden="1" x14ac:dyDescent="0.25">
      <c r="F7251" s="249" t="s">
        <v>259</v>
      </c>
      <c r="G7251" s="252" t="s">
        <v>260</v>
      </c>
      <c r="J7251" s="599">
        <f t="shared" si="201"/>
        <v>0</v>
      </c>
    </row>
    <row r="7252" spans="5:10" hidden="1" x14ac:dyDescent="0.25">
      <c r="F7252" s="249" t="s">
        <v>261</v>
      </c>
      <c r="G7252" s="252" t="s">
        <v>262</v>
      </c>
      <c r="J7252" s="599">
        <f t="shared" si="201"/>
        <v>0</v>
      </c>
    </row>
    <row r="7253" spans="5:10" ht="15.75" hidden="1" thickBot="1" x14ac:dyDescent="0.3">
      <c r="F7253" s="249" t="s">
        <v>263</v>
      </c>
      <c r="G7253" s="252" t="s">
        <v>264</v>
      </c>
      <c r="H7253" s="598"/>
      <c r="I7253" s="599"/>
      <c r="J7253" s="599">
        <f t="shared" si="201"/>
        <v>0</v>
      </c>
    </row>
    <row r="7254" spans="5:10" ht="15.75" hidden="1" thickBot="1" x14ac:dyDescent="0.3">
      <c r="G7254" s="229" t="s">
        <v>4381</v>
      </c>
      <c r="H7254" s="600">
        <f>SUM(H7238:H7253)</f>
        <v>0</v>
      </c>
      <c r="I7254" s="601">
        <f>SUM(I7239:I7253)</f>
        <v>0</v>
      </c>
      <c r="J7254" s="601">
        <f>SUM(J7238:J7253)</f>
        <v>0</v>
      </c>
    </row>
    <row r="7255" spans="5:10" ht="18.75" hidden="1" customHeight="1" collapsed="1" x14ac:dyDescent="0.25">
      <c r="E7255" s="260"/>
      <c r="F7255" s="264"/>
      <c r="G7255" s="231" t="s">
        <v>5267</v>
      </c>
      <c r="H7255" s="602"/>
      <c r="I7255" s="623"/>
      <c r="J7255" s="603"/>
    </row>
    <row r="7256" spans="5:10" ht="15.75" hidden="1" thickBot="1" x14ac:dyDescent="0.3">
      <c r="E7256" s="222"/>
      <c r="F7256" s="249" t="s">
        <v>234</v>
      </c>
      <c r="G7256" s="252" t="s">
        <v>235</v>
      </c>
      <c r="H7256" s="598">
        <f>SUM(H7177:H7236)</f>
        <v>0</v>
      </c>
      <c r="I7256" s="599"/>
      <c r="J7256" s="599">
        <f>SUM(H7256:I7256)</f>
        <v>0</v>
      </c>
    </row>
    <row r="7257" spans="5:10" hidden="1" x14ac:dyDescent="0.25">
      <c r="F7257" s="249" t="s">
        <v>236</v>
      </c>
      <c r="G7257" s="252" t="s">
        <v>237</v>
      </c>
      <c r="J7257" s="599">
        <f t="shared" ref="J7257:J7271" si="202">SUM(H7257:I7257)</f>
        <v>0</v>
      </c>
    </row>
    <row r="7258" spans="5:10" hidden="1" x14ac:dyDescent="0.25">
      <c r="F7258" s="249" t="s">
        <v>238</v>
      </c>
      <c r="G7258" s="252" t="s">
        <v>239</v>
      </c>
      <c r="J7258" s="599">
        <f t="shared" si="202"/>
        <v>0</v>
      </c>
    </row>
    <row r="7259" spans="5:10" hidden="1" x14ac:dyDescent="0.25">
      <c r="F7259" s="249" t="s">
        <v>240</v>
      </c>
      <c r="G7259" s="252" t="s">
        <v>241</v>
      </c>
      <c r="J7259" s="599">
        <f t="shared" si="202"/>
        <v>0</v>
      </c>
    </row>
    <row r="7260" spans="5:10" hidden="1" x14ac:dyDescent="0.25">
      <c r="F7260" s="249" t="s">
        <v>242</v>
      </c>
      <c r="G7260" s="252" t="s">
        <v>243</v>
      </c>
      <c r="J7260" s="599">
        <f t="shared" si="202"/>
        <v>0</v>
      </c>
    </row>
    <row r="7261" spans="5:10" hidden="1" x14ac:dyDescent="0.25">
      <c r="F7261" s="249" t="s">
        <v>244</v>
      </c>
      <c r="G7261" s="252" t="s">
        <v>245</v>
      </c>
      <c r="J7261" s="599">
        <f t="shared" si="202"/>
        <v>0</v>
      </c>
    </row>
    <row r="7262" spans="5:10" hidden="1" x14ac:dyDescent="0.25">
      <c r="F7262" s="249" t="s">
        <v>246</v>
      </c>
      <c r="G7262" s="252" t="s">
        <v>247</v>
      </c>
      <c r="J7262" s="599">
        <f t="shared" si="202"/>
        <v>0</v>
      </c>
    </row>
    <row r="7263" spans="5:10" hidden="1" x14ac:dyDescent="0.25">
      <c r="F7263" s="249" t="s">
        <v>248</v>
      </c>
      <c r="G7263" s="252" t="s">
        <v>249</v>
      </c>
      <c r="J7263" s="599">
        <f t="shared" si="202"/>
        <v>0</v>
      </c>
    </row>
    <row r="7264" spans="5:10" hidden="1" x14ac:dyDescent="0.25">
      <c r="F7264" s="249" t="s">
        <v>250</v>
      </c>
      <c r="G7264" s="252" t="s">
        <v>57</v>
      </c>
      <c r="J7264" s="599">
        <f t="shared" si="202"/>
        <v>0</v>
      </c>
    </row>
    <row r="7265" spans="1:25" hidden="1" x14ac:dyDescent="0.25">
      <c r="F7265" s="249" t="s">
        <v>251</v>
      </c>
      <c r="G7265" s="252" t="s">
        <v>252</v>
      </c>
      <c r="J7265" s="599">
        <f t="shared" si="202"/>
        <v>0</v>
      </c>
    </row>
    <row r="7266" spans="1:25" hidden="1" x14ac:dyDescent="0.25">
      <c r="F7266" s="249" t="s">
        <v>253</v>
      </c>
      <c r="G7266" s="252" t="s">
        <v>254</v>
      </c>
      <c r="J7266" s="599">
        <f t="shared" si="202"/>
        <v>0</v>
      </c>
    </row>
    <row r="7267" spans="1:25" ht="30" hidden="1" x14ac:dyDescent="0.25">
      <c r="F7267" s="249" t="s">
        <v>255</v>
      </c>
      <c r="G7267" s="252" t="s">
        <v>256</v>
      </c>
      <c r="J7267" s="599">
        <f t="shared" si="202"/>
        <v>0</v>
      </c>
    </row>
    <row r="7268" spans="1:25" hidden="1" x14ac:dyDescent="0.25">
      <c r="F7268" s="249" t="s">
        <v>257</v>
      </c>
      <c r="G7268" s="252" t="s">
        <v>258</v>
      </c>
      <c r="J7268" s="599">
        <f t="shared" si="202"/>
        <v>0</v>
      </c>
    </row>
    <row r="7269" spans="1:25" ht="30" hidden="1" x14ac:dyDescent="0.25">
      <c r="F7269" s="249" t="s">
        <v>259</v>
      </c>
      <c r="G7269" s="252" t="s">
        <v>260</v>
      </c>
      <c r="J7269" s="599">
        <f t="shared" si="202"/>
        <v>0</v>
      </c>
    </row>
    <row r="7270" spans="1:25" hidden="1" x14ac:dyDescent="0.25">
      <c r="F7270" s="249" t="s">
        <v>261</v>
      </c>
      <c r="G7270" s="252" t="s">
        <v>262</v>
      </c>
      <c r="J7270" s="599">
        <f t="shared" si="202"/>
        <v>0</v>
      </c>
    </row>
    <row r="7271" spans="1:25" ht="15.75" hidden="1" thickBot="1" x14ac:dyDescent="0.3">
      <c r="F7271" s="249" t="s">
        <v>263</v>
      </c>
      <c r="G7271" s="252" t="s">
        <v>264</v>
      </c>
      <c r="H7271" s="598"/>
      <c r="I7271" s="599"/>
      <c r="J7271" s="599">
        <f t="shared" si="202"/>
        <v>0</v>
      </c>
    </row>
    <row r="7272" spans="1:25" ht="15.75" hidden="1" collapsed="1" thickBot="1" x14ac:dyDescent="0.3">
      <c r="G7272" s="229" t="s">
        <v>5268</v>
      </c>
      <c r="H7272" s="600">
        <f>SUM(H7256:H7271)</f>
        <v>0</v>
      </c>
      <c r="I7272" s="601">
        <f>SUM(I7257:I7271)</f>
        <v>0</v>
      </c>
      <c r="J7272" s="601">
        <f>SUM(J7256:J7271)</f>
        <v>0</v>
      </c>
    </row>
    <row r="7273" spans="1:25" s="88" customFormat="1" hidden="1" x14ac:dyDescent="0.25">
      <c r="A7273" s="261"/>
      <c r="B7273" s="256"/>
      <c r="C7273" s="316"/>
      <c r="D7273" s="251"/>
      <c r="E7273" s="251"/>
      <c r="F7273" s="257"/>
      <c r="G7273" s="294"/>
      <c r="H7273" s="627"/>
      <c r="I7273" s="610"/>
      <c r="J7273" s="628"/>
      <c r="K7273" s="533"/>
      <c r="L7273" s="533"/>
      <c r="M7273" s="533"/>
      <c r="N7273" s="533"/>
      <c r="O7273" s="533"/>
      <c r="P7273" s="533"/>
      <c r="Q7273" s="533"/>
      <c r="R7273" s="533"/>
      <c r="S7273" s="533"/>
      <c r="T7273" s="533"/>
      <c r="U7273" s="533"/>
      <c r="V7273" s="533"/>
      <c r="W7273" s="533"/>
      <c r="X7273" s="533"/>
      <c r="Y7273" s="533"/>
    </row>
    <row r="7274" spans="1:25" hidden="1" x14ac:dyDescent="0.25">
      <c r="C7274" s="228" t="s">
        <v>4632</v>
      </c>
      <c r="D7274" s="219"/>
      <c r="G7274" s="262" t="s">
        <v>5105</v>
      </c>
    </row>
    <row r="7275" spans="1:25" hidden="1" x14ac:dyDescent="0.25">
      <c r="C7275" s="228"/>
      <c r="D7275" s="328">
        <v>421</v>
      </c>
      <c r="E7275" s="329"/>
      <c r="F7275" s="329"/>
      <c r="G7275" s="330" t="s">
        <v>138</v>
      </c>
    </row>
    <row r="7276" spans="1:25" hidden="1" x14ac:dyDescent="0.25">
      <c r="F7276" s="263">
        <v>411</v>
      </c>
      <c r="G7276" s="295" t="s">
        <v>4189</v>
      </c>
      <c r="J7276" s="595">
        <f>SUM(H7276:I7276)</f>
        <v>0</v>
      </c>
    </row>
    <row r="7277" spans="1:25" hidden="1" x14ac:dyDescent="0.25">
      <c r="F7277" s="263">
        <v>412</v>
      </c>
      <c r="G7277" s="292" t="s">
        <v>3784</v>
      </c>
      <c r="J7277" s="595">
        <f t="shared" ref="J7277:J7335" si="203">SUM(H7277:I7277)</f>
        <v>0</v>
      </c>
    </row>
    <row r="7278" spans="1:25" hidden="1" x14ac:dyDescent="0.25">
      <c r="F7278" s="263">
        <v>413</v>
      </c>
      <c r="G7278" s="295" t="s">
        <v>4190</v>
      </c>
      <c r="J7278" s="595">
        <f t="shared" si="203"/>
        <v>0</v>
      </c>
    </row>
    <row r="7279" spans="1:25" hidden="1" x14ac:dyDescent="0.25">
      <c r="F7279" s="263">
        <v>414</v>
      </c>
      <c r="G7279" s="295" t="s">
        <v>3787</v>
      </c>
      <c r="J7279" s="595">
        <f t="shared" si="203"/>
        <v>0</v>
      </c>
    </row>
    <row r="7280" spans="1:25" hidden="1" x14ac:dyDescent="0.25">
      <c r="F7280" s="263">
        <v>415</v>
      </c>
      <c r="G7280" s="295" t="s">
        <v>4199</v>
      </c>
      <c r="J7280" s="595">
        <f t="shared" si="203"/>
        <v>0</v>
      </c>
    </row>
    <row r="7281" spans="6:10" hidden="1" x14ac:dyDescent="0.25">
      <c r="F7281" s="263">
        <v>416</v>
      </c>
      <c r="G7281" s="295" t="s">
        <v>4200</v>
      </c>
      <c r="J7281" s="595">
        <f t="shared" si="203"/>
        <v>0</v>
      </c>
    </row>
    <row r="7282" spans="6:10" hidden="1" x14ac:dyDescent="0.25">
      <c r="F7282" s="263">
        <v>417</v>
      </c>
      <c r="G7282" s="295" t="s">
        <v>4201</v>
      </c>
      <c r="J7282" s="595">
        <f t="shared" si="203"/>
        <v>0</v>
      </c>
    </row>
    <row r="7283" spans="6:10" hidden="1" x14ac:dyDescent="0.25">
      <c r="F7283" s="263">
        <v>418</v>
      </c>
      <c r="G7283" s="295" t="s">
        <v>3793</v>
      </c>
      <c r="J7283" s="595">
        <f t="shared" si="203"/>
        <v>0</v>
      </c>
    </row>
    <row r="7284" spans="6:10" hidden="1" x14ac:dyDescent="0.25">
      <c r="F7284" s="263">
        <v>421</v>
      </c>
      <c r="G7284" s="295" t="s">
        <v>3797</v>
      </c>
      <c r="J7284" s="595">
        <f t="shared" si="203"/>
        <v>0</v>
      </c>
    </row>
    <row r="7285" spans="6:10" hidden="1" x14ac:dyDescent="0.25">
      <c r="F7285" s="263">
        <v>422</v>
      </c>
      <c r="G7285" s="295" t="s">
        <v>3798</v>
      </c>
      <c r="J7285" s="595">
        <f t="shared" si="203"/>
        <v>0</v>
      </c>
    </row>
    <row r="7286" spans="6:10" hidden="1" x14ac:dyDescent="0.25">
      <c r="F7286" s="263">
        <v>423</v>
      </c>
      <c r="G7286" s="295" t="s">
        <v>3799</v>
      </c>
      <c r="J7286" s="595">
        <f t="shared" si="203"/>
        <v>0</v>
      </c>
    </row>
    <row r="7287" spans="6:10" hidden="1" x14ac:dyDescent="0.25">
      <c r="F7287" s="263">
        <v>424</v>
      </c>
      <c r="G7287" s="295" t="s">
        <v>3801</v>
      </c>
      <c r="J7287" s="595">
        <f t="shared" si="203"/>
        <v>0</v>
      </c>
    </row>
    <row r="7288" spans="6:10" hidden="1" x14ac:dyDescent="0.25">
      <c r="F7288" s="263">
        <v>425</v>
      </c>
      <c r="G7288" s="295" t="s">
        <v>4202</v>
      </c>
      <c r="J7288" s="595">
        <f t="shared" si="203"/>
        <v>0</v>
      </c>
    </row>
    <row r="7289" spans="6:10" hidden="1" x14ac:dyDescent="0.25">
      <c r="F7289" s="263">
        <v>426</v>
      </c>
      <c r="G7289" s="295" t="s">
        <v>3805</v>
      </c>
      <c r="J7289" s="595">
        <f t="shared" si="203"/>
        <v>0</v>
      </c>
    </row>
    <row r="7290" spans="6:10" hidden="1" x14ac:dyDescent="0.25">
      <c r="F7290" s="263">
        <v>431</v>
      </c>
      <c r="G7290" s="295" t="s">
        <v>4203</v>
      </c>
      <c r="J7290" s="595">
        <f t="shared" si="203"/>
        <v>0</v>
      </c>
    </row>
    <row r="7291" spans="6:10" hidden="1" x14ac:dyDescent="0.25">
      <c r="F7291" s="263">
        <v>432</v>
      </c>
      <c r="G7291" s="295" t="s">
        <v>4204</v>
      </c>
      <c r="J7291" s="595">
        <f t="shared" si="203"/>
        <v>0</v>
      </c>
    </row>
    <row r="7292" spans="6:10" hidden="1" x14ac:dyDescent="0.25">
      <c r="F7292" s="263">
        <v>433</v>
      </c>
      <c r="G7292" s="295" t="s">
        <v>4205</v>
      </c>
      <c r="J7292" s="595">
        <f t="shared" si="203"/>
        <v>0</v>
      </c>
    </row>
    <row r="7293" spans="6:10" hidden="1" x14ac:dyDescent="0.25">
      <c r="F7293" s="263">
        <v>434</v>
      </c>
      <c r="G7293" s="295" t="s">
        <v>4206</v>
      </c>
      <c r="J7293" s="595">
        <f t="shared" si="203"/>
        <v>0</v>
      </c>
    </row>
    <row r="7294" spans="6:10" hidden="1" x14ac:dyDescent="0.25">
      <c r="F7294" s="263">
        <v>435</v>
      </c>
      <c r="G7294" s="295" t="s">
        <v>3812</v>
      </c>
      <c r="J7294" s="595">
        <f t="shared" si="203"/>
        <v>0</v>
      </c>
    </row>
    <row r="7295" spans="6:10" hidden="1" x14ac:dyDescent="0.25">
      <c r="F7295" s="263">
        <v>441</v>
      </c>
      <c r="G7295" s="295" t="s">
        <v>4207</v>
      </c>
      <c r="J7295" s="595">
        <f t="shared" si="203"/>
        <v>0</v>
      </c>
    </row>
    <row r="7296" spans="6:10" hidden="1" x14ac:dyDescent="0.25">
      <c r="F7296" s="263">
        <v>442</v>
      </c>
      <c r="G7296" s="295" t="s">
        <v>4208</v>
      </c>
      <c r="J7296" s="595">
        <f t="shared" si="203"/>
        <v>0</v>
      </c>
    </row>
    <row r="7297" spans="6:10" hidden="1" x14ac:dyDescent="0.25">
      <c r="F7297" s="263">
        <v>443</v>
      </c>
      <c r="G7297" s="295" t="s">
        <v>3817</v>
      </c>
      <c r="J7297" s="595">
        <f t="shared" si="203"/>
        <v>0</v>
      </c>
    </row>
    <row r="7298" spans="6:10" hidden="1" x14ac:dyDescent="0.25">
      <c r="F7298" s="263">
        <v>444</v>
      </c>
      <c r="G7298" s="295" t="s">
        <v>3818</v>
      </c>
      <c r="J7298" s="595">
        <f t="shared" si="203"/>
        <v>0</v>
      </c>
    </row>
    <row r="7299" spans="6:10" ht="30" hidden="1" x14ac:dyDescent="0.25">
      <c r="F7299" s="263">
        <v>4511</v>
      </c>
      <c r="G7299" s="223" t="s">
        <v>1692</v>
      </c>
      <c r="J7299" s="595">
        <f t="shared" si="203"/>
        <v>0</v>
      </c>
    </row>
    <row r="7300" spans="6:10" ht="30" hidden="1" x14ac:dyDescent="0.25">
      <c r="F7300" s="263">
        <v>4512</v>
      </c>
      <c r="G7300" s="223" t="s">
        <v>1701</v>
      </c>
      <c r="J7300" s="595">
        <f t="shared" si="203"/>
        <v>0</v>
      </c>
    </row>
    <row r="7301" spans="6:10" hidden="1" x14ac:dyDescent="0.25">
      <c r="F7301" s="263">
        <v>452</v>
      </c>
      <c r="G7301" s="295" t="s">
        <v>4209</v>
      </c>
      <c r="J7301" s="595">
        <f t="shared" si="203"/>
        <v>0</v>
      </c>
    </row>
    <row r="7302" spans="6:10" hidden="1" x14ac:dyDescent="0.25">
      <c r="F7302" s="263">
        <v>453</v>
      </c>
      <c r="G7302" s="295" t="s">
        <v>4210</v>
      </c>
      <c r="J7302" s="595">
        <f t="shared" si="203"/>
        <v>0</v>
      </c>
    </row>
    <row r="7303" spans="6:10" hidden="1" x14ac:dyDescent="0.25">
      <c r="F7303" s="263">
        <v>454</v>
      </c>
      <c r="G7303" s="295" t="s">
        <v>3823</v>
      </c>
      <c r="J7303" s="595">
        <f t="shared" si="203"/>
        <v>0</v>
      </c>
    </row>
    <row r="7304" spans="6:10" hidden="1" x14ac:dyDescent="0.25">
      <c r="F7304" s="263">
        <v>461</v>
      </c>
      <c r="G7304" s="295" t="s">
        <v>4191</v>
      </c>
      <c r="J7304" s="595">
        <f t="shared" si="203"/>
        <v>0</v>
      </c>
    </row>
    <row r="7305" spans="6:10" hidden="1" x14ac:dyDescent="0.25">
      <c r="F7305" s="263">
        <v>462</v>
      </c>
      <c r="G7305" s="295" t="s">
        <v>3826</v>
      </c>
      <c r="J7305" s="595">
        <f t="shared" si="203"/>
        <v>0</v>
      </c>
    </row>
    <row r="7306" spans="6:10" hidden="1" x14ac:dyDescent="0.25">
      <c r="F7306" s="263">
        <v>4631</v>
      </c>
      <c r="G7306" s="295" t="s">
        <v>3827</v>
      </c>
      <c r="J7306" s="595">
        <f t="shared" si="203"/>
        <v>0</v>
      </c>
    </row>
    <row r="7307" spans="6:10" hidden="1" x14ac:dyDescent="0.25">
      <c r="F7307" s="263">
        <v>4632</v>
      </c>
      <c r="G7307" s="295" t="s">
        <v>3828</v>
      </c>
      <c r="J7307" s="595">
        <f t="shared" si="203"/>
        <v>0</v>
      </c>
    </row>
    <row r="7308" spans="6:10" hidden="1" x14ac:dyDescent="0.25">
      <c r="F7308" s="263">
        <v>464</v>
      </c>
      <c r="G7308" s="295" t="s">
        <v>3829</v>
      </c>
      <c r="J7308" s="595">
        <f t="shared" si="203"/>
        <v>0</v>
      </c>
    </row>
    <row r="7309" spans="6:10" hidden="1" x14ac:dyDescent="0.25">
      <c r="F7309" s="263">
        <v>465</v>
      </c>
      <c r="G7309" s="295" t="s">
        <v>4192</v>
      </c>
      <c r="J7309" s="595">
        <f t="shared" si="203"/>
        <v>0</v>
      </c>
    </row>
    <row r="7310" spans="6:10" hidden="1" x14ac:dyDescent="0.25">
      <c r="F7310" s="263">
        <v>472</v>
      </c>
      <c r="G7310" s="295" t="s">
        <v>3833</v>
      </c>
      <c r="J7310" s="595">
        <f t="shared" si="203"/>
        <v>0</v>
      </c>
    </row>
    <row r="7311" spans="6:10" hidden="1" x14ac:dyDescent="0.25">
      <c r="F7311" s="263">
        <v>481</v>
      </c>
      <c r="G7311" s="295" t="s">
        <v>4211</v>
      </c>
      <c r="J7311" s="595">
        <f t="shared" si="203"/>
        <v>0</v>
      </c>
    </row>
    <row r="7312" spans="6:10" hidden="1" x14ac:dyDescent="0.25">
      <c r="F7312" s="263">
        <v>482</v>
      </c>
      <c r="G7312" s="295" t="s">
        <v>4212</v>
      </c>
      <c r="J7312" s="595">
        <f t="shared" si="203"/>
        <v>0</v>
      </c>
    </row>
    <row r="7313" spans="6:10" hidden="1" x14ac:dyDescent="0.25">
      <c r="F7313" s="263">
        <v>483</v>
      </c>
      <c r="G7313" s="298" t="s">
        <v>4213</v>
      </c>
      <c r="J7313" s="595">
        <f t="shared" si="203"/>
        <v>0</v>
      </c>
    </row>
    <row r="7314" spans="6:10" ht="30" hidden="1" x14ac:dyDescent="0.25">
      <c r="F7314" s="263">
        <v>484</v>
      </c>
      <c r="G7314" s="295" t="s">
        <v>4214</v>
      </c>
      <c r="J7314" s="595">
        <f t="shared" si="203"/>
        <v>0</v>
      </c>
    </row>
    <row r="7315" spans="6:10" ht="30" hidden="1" x14ac:dyDescent="0.25">
      <c r="F7315" s="263">
        <v>485</v>
      </c>
      <c r="G7315" s="295" t="s">
        <v>4215</v>
      </c>
      <c r="J7315" s="595">
        <f t="shared" si="203"/>
        <v>0</v>
      </c>
    </row>
    <row r="7316" spans="6:10" ht="30" hidden="1" x14ac:dyDescent="0.25">
      <c r="F7316" s="263">
        <v>489</v>
      </c>
      <c r="G7316" s="295" t="s">
        <v>3841</v>
      </c>
      <c r="J7316" s="595">
        <f t="shared" si="203"/>
        <v>0</v>
      </c>
    </row>
    <row r="7317" spans="6:10" hidden="1" x14ac:dyDescent="0.25">
      <c r="F7317" s="263">
        <v>494</v>
      </c>
      <c r="G7317" s="295" t="s">
        <v>4193</v>
      </c>
      <c r="J7317" s="595">
        <f t="shared" si="203"/>
        <v>0</v>
      </c>
    </row>
    <row r="7318" spans="6:10" ht="30" hidden="1" x14ac:dyDescent="0.25">
      <c r="F7318" s="263">
        <v>495</v>
      </c>
      <c r="G7318" s="295" t="s">
        <v>4194</v>
      </c>
      <c r="J7318" s="595">
        <f t="shared" si="203"/>
        <v>0</v>
      </c>
    </row>
    <row r="7319" spans="6:10" ht="30" hidden="1" x14ac:dyDescent="0.25">
      <c r="F7319" s="263">
        <v>496</v>
      </c>
      <c r="G7319" s="295" t="s">
        <v>4195</v>
      </c>
      <c r="J7319" s="595">
        <f t="shared" si="203"/>
        <v>0</v>
      </c>
    </row>
    <row r="7320" spans="6:10" hidden="1" x14ac:dyDescent="0.25">
      <c r="F7320" s="263">
        <v>499</v>
      </c>
      <c r="G7320" s="295" t="s">
        <v>4196</v>
      </c>
      <c r="J7320" s="595">
        <f t="shared" si="203"/>
        <v>0</v>
      </c>
    </row>
    <row r="7321" spans="6:10" hidden="1" x14ac:dyDescent="0.25">
      <c r="F7321" s="263">
        <v>511</v>
      </c>
      <c r="G7321" s="298" t="s">
        <v>4216</v>
      </c>
      <c r="J7321" s="595">
        <f t="shared" si="203"/>
        <v>0</v>
      </c>
    </row>
    <row r="7322" spans="6:10" hidden="1" x14ac:dyDescent="0.25">
      <c r="F7322" s="263">
        <v>512</v>
      </c>
      <c r="G7322" s="298" t="s">
        <v>4217</v>
      </c>
      <c r="J7322" s="595">
        <f t="shared" si="203"/>
        <v>0</v>
      </c>
    </row>
    <row r="7323" spans="6:10" hidden="1" x14ac:dyDescent="0.25">
      <c r="F7323" s="263">
        <v>513</v>
      </c>
      <c r="G7323" s="298" t="s">
        <v>4218</v>
      </c>
      <c r="J7323" s="595">
        <f t="shared" si="203"/>
        <v>0</v>
      </c>
    </row>
    <row r="7324" spans="6:10" ht="15.75" hidden="1" thickBot="1" x14ac:dyDescent="0.3">
      <c r="F7324" s="263">
        <v>514</v>
      </c>
      <c r="G7324" s="295" t="s">
        <v>4219</v>
      </c>
      <c r="J7324" s="595">
        <f t="shared" si="203"/>
        <v>0</v>
      </c>
    </row>
    <row r="7325" spans="6:10" hidden="1" x14ac:dyDescent="0.25">
      <c r="F7325" s="263">
        <v>515</v>
      </c>
      <c r="G7325" s="295" t="s">
        <v>3852</v>
      </c>
      <c r="J7325" s="595">
        <f t="shared" si="203"/>
        <v>0</v>
      </c>
    </row>
    <row r="7326" spans="6:10" hidden="1" x14ac:dyDescent="0.25">
      <c r="F7326" s="263">
        <v>521</v>
      </c>
      <c r="G7326" s="295" t="s">
        <v>4220</v>
      </c>
      <c r="J7326" s="595">
        <f t="shared" si="203"/>
        <v>0</v>
      </c>
    </row>
    <row r="7327" spans="6:10" hidden="1" x14ac:dyDescent="0.25">
      <c r="F7327" s="263">
        <v>522</v>
      </c>
      <c r="G7327" s="295" t="s">
        <v>4221</v>
      </c>
      <c r="J7327" s="595">
        <f t="shared" si="203"/>
        <v>0</v>
      </c>
    </row>
    <row r="7328" spans="6:10" hidden="1" x14ac:dyDescent="0.25">
      <c r="F7328" s="263">
        <v>523</v>
      </c>
      <c r="G7328" s="295" t="s">
        <v>3857</v>
      </c>
      <c r="J7328" s="595">
        <f t="shared" si="203"/>
        <v>0</v>
      </c>
    </row>
    <row r="7329" spans="5:10" hidden="1" x14ac:dyDescent="0.25">
      <c r="F7329" s="263">
        <v>531</v>
      </c>
      <c r="G7329" s="292" t="s">
        <v>4197</v>
      </c>
      <c r="J7329" s="595">
        <f t="shared" si="203"/>
        <v>0</v>
      </c>
    </row>
    <row r="7330" spans="5:10" hidden="1" x14ac:dyDescent="0.25">
      <c r="F7330" s="263">
        <v>541</v>
      </c>
      <c r="G7330" s="295" t="s">
        <v>4222</v>
      </c>
      <c r="J7330" s="595">
        <f t="shared" si="203"/>
        <v>0</v>
      </c>
    </row>
    <row r="7331" spans="5:10" hidden="1" x14ac:dyDescent="0.25">
      <c r="F7331" s="263">
        <v>542</v>
      </c>
      <c r="G7331" s="295" t="s">
        <v>4223</v>
      </c>
      <c r="J7331" s="595">
        <f t="shared" si="203"/>
        <v>0</v>
      </c>
    </row>
    <row r="7332" spans="5:10" hidden="1" x14ac:dyDescent="0.25">
      <c r="F7332" s="263">
        <v>543</v>
      </c>
      <c r="G7332" s="295" t="s">
        <v>3862</v>
      </c>
      <c r="J7332" s="595">
        <f t="shared" si="203"/>
        <v>0</v>
      </c>
    </row>
    <row r="7333" spans="5:10" ht="30" hidden="1" x14ac:dyDescent="0.25">
      <c r="F7333" s="263">
        <v>551</v>
      </c>
      <c r="G7333" s="295" t="s">
        <v>4198</v>
      </c>
      <c r="J7333" s="595">
        <f t="shared" si="203"/>
        <v>0</v>
      </c>
    </row>
    <row r="7334" spans="5:10" hidden="1" x14ac:dyDescent="0.25">
      <c r="F7334" s="264">
        <v>611</v>
      </c>
      <c r="G7334" s="299" t="s">
        <v>3868</v>
      </c>
      <c r="J7334" s="595">
        <f t="shared" si="203"/>
        <v>0</v>
      </c>
    </row>
    <row r="7335" spans="5:10" ht="15.75" hidden="1" thickBot="1" x14ac:dyDescent="0.3">
      <c r="F7335" s="264">
        <v>620</v>
      </c>
      <c r="G7335" s="299" t="s">
        <v>88</v>
      </c>
      <c r="J7335" s="595">
        <f t="shared" si="203"/>
        <v>0</v>
      </c>
    </row>
    <row r="7336" spans="5:10" hidden="1" x14ac:dyDescent="0.25">
      <c r="E7336" s="293"/>
      <c r="F7336" s="301"/>
      <c r="G7336" s="326" t="s">
        <v>4380</v>
      </c>
      <c r="H7336" s="596"/>
      <c r="I7336" s="622"/>
      <c r="J7336" s="597"/>
    </row>
    <row r="7337" spans="5:10" ht="15.75" hidden="1" thickBot="1" x14ac:dyDescent="0.3">
      <c r="E7337" s="222"/>
      <c r="F7337" s="249" t="s">
        <v>234</v>
      </c>
      <c r="G7337" s="252" t="s">
        <v>235</v>
      </c>
      <c r="H7337" s="598">
        <f>SUM(H7276:H7335)</f>
        <v>0</v>
      </c>
      <c r="I7337" s="599"/>
      <c r="J7337" s="599">
        <f>SUM(H7337:I7337)</f>
        <v>0</v>
      </c>
    </row>
    <row r="7338" spans="5:10" hidden="1" x14ac:dyDescent="0.25">
      <c r="F7338" s="249" t="s">
        <v>236</v>
      </c>
      <c r="G7338" s="252" t="s">
        <v>237</v>
      </c>
      <c r="J7338" s="599">
        <f t="shared" ref="J7338:J7352" si="204">SUM(H7338:I7338)</f>
        <v>0</v>
      </c>
    </row>
    <row r="7339" spans="5:10" hidden="1" x14ac:dyDescent="0.25">
      <c r="F7339" s="249" t="s">
        <v>238</v>
      </c>
      <c r="G7339" s="252" t="s">
        <v>239</v>
      </c>
      <c r="J7339" s="599">
        <f t="shared" si="204"/>
        <v>0</v>
      </c>
    </row>
    <row r="7340" spans="5:10" hidden="1" x14ac:dyDescent="0.25">
      <c r="F7340" s="249" t="s">
        <v>240</v>
      </c>
      <c r="G7340" s="252" t="s">
        <v>241</v>
      </c>
      <c r="J7340" s="599">
        <f t="shared" si="204"/>
        <v>0</v>
      </c>
    </row>
    <row r="7341" spans="5:10" hidden="1" x14ac:dyDescent="0.25">
      <c r="F7341" s="249" t="s">
        <v>242</v>
      </c>
      <c r="G7341" s="252" t="s">
        <v>243</v>
      </c>
      <c r="J7341" s="599">
        <f t="shared" si="204"/>
        <v>0</v>
      </c>
    </row>
    <row r="7342" spans="5:10" hidden="1" x14ac:dyDescent="0.25">
      <c r="F7342" s="249" t="s">
        <v>244</v>
      </c>
      <c r="G7342" s="252" t="s">
        <v>245</v>
      </c>
      <c r="J7342" s="599">
        <f t="shared" si="204"/>
        <v>0</v>
      </c>
    </row>
    <row r="7343" spans="5:10" hidden="1" x14ac:dyDescent="0.25">
      <c r="F7343" s="249" t="s">
        <v>246</v>
      </c>
      <c r="G7343" s="252" t="s">
        <v>247</v>
      </c>
      <c r="J7343" s="599">
        <f t="shared" si="204"/>
        <v>0</v>
      </c>
    </row>
    <row r="7344" spans="5:10" hidden="1" x14ac:dyDescent="0.25">
      <c r="F7344" s="249" t="s">
        <v>248</v>
      </c>
      <c r="G7344" s="252" t="s">
        <v>249</v>
      </c>
      <c r="J7344" s="599">
        <f t="shared" si="204"/>
        <v>0</v>
      </c>
    </row>
    <row r="7345" spans="5:10" hidden="1" x14ac:dyDescent="0.25">
      <c r="F7345" s="249" t="s">
        <v>250</v>
      </c>
      <c r="G7345" s="252" t="s">
        <v>57</v>
      </c>
      <c r="J7345" s="599">
        <f t="shared" si="204"/>
        <v>0</v>
      </c>
    </row>
    <row r="7346" spans="5:10" hidden="1" x14ac:dyDescent="0.25">
      <c r="F7346" s="249" t="s">
        <v>251</v>
      </c>
      <c r="G7346" s="252" t="s">
        <v>252</v>
      </c>
      <c r="J7346" s="599">
        <f t="shared" si="204"/>
        <v>0</v>
      </c>
    </row>
    <row r="7347" spans="5:10" hidden="1" x14ac:dyDescent="0.25">
      <c r="F7347" s="249" t="s">
        <v>253</v>
      </c>
      <c r="G7347" s="252" t="s">
        <v>254</v>
      </c>
      <c r="J7347" s="599">
        <f t="shared" si="204"/>
        <v>0</v>
      </c>
    </row>
    <row r="7348" spans="5:10" ht="30" hidden="1" x14ac:dyDescent="0.25">
      <c r="F7348" s="249" t="s">
        <v>255</v>
      </c>
      <c r="G7348" s="252" t="s">
        <v>256</v>
      </c>
      <c r="J7348" s="599">
        <f t="shared" si="204"/>
        <v>0</v>
      </c>
    </row>
    <row r="7349" spans="5:10" hidden="1" x14ac:dyDescent="0.25">
      <c r="F7349" s="249" t="s">
        <v>257</v>
      </c>
      <c r="G7349" s="252" t="s">
        <v>258</v>
      </c>
      <c r="J7349" s="599">
        <f t="shared" si="204"/>
        <v>0</v>
      </c>
    </row>
    <row r="7350" spans="5:10" ht="30" hidden="1" x14ac:dyDescent="0.25">
      <c r="F7350" s="249" t="s">
        <v>259</v>
      </c>
      <c r="G7350" s="252" t="s">
        <v>260</v>
      </c>
      <c r="J7350" s="599">
        <f t="shared" si="204"/>
        <v>0</v>
      </c>
    </row>
    <row r="7351" spans="5:10" hidden="1" x14ac:dyDescent="0.25">
      <c r="F7351" s="249" t="s">
        <v>261</v>
      </c>
      <c r="G7351" s="252" t="s">
        <v>262</v>
      </c>
      <c r="J7351" s="599">
        <f t="shared" si="204"/>
        <v>0</v>
      </c>
    </row>
    <row r="7352" spans="5:10" ht="15.75" hidden="1" thickBot="1" x14ac:dyDescent="0.3">
      <c r="F7352" s="249" t="s">
        <v>263</v>
      </c>
      <c r="G7352" s="252" t="s">
        <v>264</v>
      </c>
      <c r="H7352" s="598"/>
      <c r="I7352" s="599"/>
      <c r="J7352" s="599">
        <f t="shared" si="204"/>
        <v>0</v>
      </c>
    </row>
    <row r="7353" spans="5:10" ht="15.75" hidden="1" thickBot="1" x14ac:dyDescent="0.3">
      <c r="G7353" s="229" t="s">
        <v>4381</v>
      </c>
      <c r="H7353" s="600">
        <f>SUM(H7337:H7352)</f>
        <v>0</v>
      </c>
      <c r="I7353" s="601">
        <f>SUM(I7338:I7352)</f>
        <v>0</v>
      </c>
      <c r="J7353" s="601">
        <f>SUM(J7337:J7352)</f>
        <v>0</v>
      </c>
    </row>
    <row r="7354" spans="5:10" hidden="1" collapsed="1" x14ac:dyDescent="0.25">
      <c r="E7354" s="260"/>
      <c r="F7354" s="264"/>
      <c r="G7354" s="231" t="s">
        <v>5033</v>
      </c>
      <c r="H7354" s="602"/>
      <c r="I7354" s="623"/>
      <c r="J7354" s="603"/>
    </row>
    <row r="7355" spans="5:10" ht="15.75" hidden="1" thickBot="1" x14ac:dyDescent="0.3">
      <c r="E7355" s="222"/>
      <c r="F7355" s="249" t="s">
        <v>234</v>
      </c>
      <c r="G7355" s="252" t="s">
        <v>235</v>
      </c>
      <c r="H7355" s="598">
        <f>SUM(H7276:H7335)</f>
        <v>0</v>
      </c>
      <c r="I7355" s="599"/>
      <c r="J7355" s="599">
        <f>SUM(H7355:I7355)</f>
        <v>0</v>
      </c>
    </row>
    <row r="7356" spans="5:10" hidden="1" x14ac:dyDescent="0.25">
      <c r="F7356" s="249" t="s">
        <v>236</v>
      </c>
      <c r="G7356" s="252" t="s">
        <v>237</v>
      </c>
      <c r="J7356" s="599">
        <f t="shared" ref="J7356:J7370" si="205">SUM(H7356:I7356)</f>
        <v>0</v>
      </c>
    </row>
    <row r="7357" spans="5:10" hidden="1" x14ac:dyDescent="0.25">
      <c r="F7357" s="249" t="s">
        <v>238</v>
      </c>
      <c r="G7357" s="252" t="s">
        <v>239</v>
      </c>
      <c r="J7357" s="599">
        <f t="shared" si="205"/>
        <v>0</v>
      </c>
    </row>
    <row r="7358" spans="5:10" hidden="1" x14ac:dyDescent="0.25">
      <c r="F7358" s="249" t="s">
        <v>240</v>
      </c>
      <c r="G7358" s="252" t="s">
        <v>241</v>
      </c>
      <c r="J7358" s="599">
        <f t="shared" si="205"/>
        <v>0</v>
      </c>
    </row>
    <row r="7359" spans="5:10" hidden="1" x14ac:dyDescent="0.25">
      <c r="F7359" s="249" t="s">
        <v>242</v>
      </c>
      <c r="G7359" s="252" t="s">
        <v>243</v>
      </c>
      <c r="J7359" s="599">
        <f t="shared" si="205"/>
        <v>0</v>
      </c>
    </row>
    <row r="7360" spans="5:10" hidden="1" x14ac:dyDescent="0.25">
      <c r="F7360" s="249" t="s">
        <v>244</v>
      </c>
      <c r="G7360" s="252" t="s">
        <v>245</v>
      </c>
      <c r="J7360" s="599">
        <f t="shared" si="205"/>
        <v>0</v>
      </c>
    </row>
    <row r="7361" spans="1:25" hidden="1" x14ac:dyDescent="0.25">
      <c r="F7361" s="249" t="s">
        <v>246</v>
      </c>
      <c r="G7361" s="252" t="s">
        <v>247</v>
      </c>
      <c r="J7361" s="599">
        <f t="shared" si="205"/>
        <v>0</v>
      </c>
    </row>
    <row r="7362" spans="1:25" hidden="1" x14ac:dyDescent="0.25">
      <c r="F7362" s="249" t="s">
        <v>248</v>
      </c>
      <c r="G7362" s="252" t="s">
        <v>249</v>
      </c>
      <c r="J7362" s="599">
        <f t="shared" si="205"/>
        <v>0</v>
      </c>
    </row>
    <row r="7363" spans="1:25" hidden="1" x14ac:dyDescent="0.25">
      <c r="F7363" s="249" t="s">
        <v>250</v>
      </c>
      <c r="G7363" s="252" t="s">
        <v>57</v>
      </c>
      <c r="J7363" s="599">
        <f t="shared" si="205"/>
        <v>0</v>
      </c>
    </row>
    <row r="7364" spans="1:25" hidden="1" x14ac:dyDescent="0.25">
      <c r="F7364" s="249" t="s">
        <v>251</v>
      </c>
      <c r="G7364" s="252" t="s">
        <v>252</v>
      </c>
      <c r="J7364" s="599">
        <f t="shared" si="205"/>
        <v>0</v>
      </c>
    </row>
    <row r="7365" spans="1:25" hidden="1" x14ac:dyDescent="0.25">
      <c r="F7365" s="249" t="s">
        <v>253</v>
      </c>
      <c r="G7365" s="252" t="s">
        <v>254</v>
      </c>
      <c r="J7365" s="599">
        <f t="shared" si="205"/>
        <v>0</v>
      </c>
    </row>
    <row r="7366" spans="1:25" ht="30" hidden="1" x14ac:dyDescent="0.25">
      <c r="F7366" s="249" t="s">
        <v>255</v>
      </c>
      <c r="G7366" s="252" t="s">
        <v>256</v>
      </c>
      <c r="J7366" s="599">
        <f t="shared" si="205"/>
        <v>0</v>
      </c>
    </row>
    <row r="7367" spans="1:25" hidden="1" x14ac:dyDescent="0.25">
      <c r="F7367" s="249" t="s">
        <v>257</v>
      </c>
      <c r="G7367" s="252" t="s">
        <v>258</v>
      </c>
      <c r="J7367" s="599">
        <f t="shared" si="205"/>
        <v>0</v>
      </c>
    </row>
    <row r="7368" spans="1:25" ht="30" hidden="1" x14ac:dyDescent="0.25">
      <c r="F7368" s="249" t="s">
        <v>259</v>
      </c>
      <c r="G7368" s="252" t="s">
        <v>260</v>
      </c>
      <c r="J7368" s="599">
        <f t="shared" si="205"/>
        <v>0</v>
      </c>
    </row>
    <row r="7369" spans="1:25" hidden="1" x14ac:dyDescent="0.25">
      <c r="F7369" s="249" t="s">
        <v>261</v>
      </c>
      <c r="G7369" s="252" t="s">
        <v>262</v>
      </c>
      <c r="J7369" s="599">
        <f t="shared" si="205"/>
        <v>0</v>
      </c>
    </row>
    <row r="7370" spans="1:25" ht="15.75" hidden="1" thickBot="1" x14ac:dyDescent="0.3">
      <c r="F7370" s="249" t="s">
        <v>263</v>
      </c>
      <c r="G7370" s="252" t="s">
        <v>264</v>
      </c>
      <c r="H7370" s="598"/>
      <c r="I7370" s="599"/>
      <c r="J7370" s="599">
        <f t="shared" si="205"/>
        <v>0</v>
      </c>
    </row>
    <row r="7371" spans="1:25" ht="15.75" hidden="1" collapsed="1" thickBot="1" x14ac:dyDescent="0.3">
      <c r="G7371" s="229" t="s">
        <v>5034</v>
      </c>
      <c r="H7371" s="600">
        <f>SUM(H7355:H7370)</f>
        <v>0</v>
      </c>
      <c r="I7371" s="601">
        <f>SUM(I7356:I7370)</f>
        <v>0</v>
      </c>
      <c r="J7371" s="601">
        <f>SUM(J7355:J7370)</f>
        <v>0</v>
      </c>
    </row>
    <row r="7372" spans="1:25" s="88" customFormat="1" hidden="1" x14ac:dyDescent="0.25">
      <c r="A7372" s="261"/>
      <c r="B7372" s="256"/>
      <c r="C7372" s="316"/>
      <c r="D7372" s="251"/>
      <c r="E7372" s="251"/>
      <c r="F7372" s="257"/>
      <c r="G7372" s="294"/>
      <c r="H7372" s="627"/>
      <c r="I7372" s="610"/>
      <c r="J7372" s="628"/>
      <c r="K7372" s="533"/>
      <c r="L7372" s="533"/>
      <c r="M7372" s="533"/>
      <c r="N7372" s="533"/>
      <c r="O7372" s="533"/>
      <c r="P7372" s="533"/>
      <c r="Q7372" s="533"/>
      <c r="R7372" s="533"/>
      <c r="S7372" s="533"/>
      <c r="T7372" s="533"/>
      <c r="U7372" s="533"/>
      <c r="V7372" s="533"/>
      <c r="W7372" s="533"/>
      <c r="X7372" s="533"/>
      <c r="Y7372" s="533"/>
    </row>
    <row r="7373" spans="1:25" s="88" customFormat="1" x14ac:dyDescent="0.25">
      <c r="A7373" s="261"/>
      <c r="B7373" s="256"/>
      <c r="C7373" s="316"/>
      <c r="D7373" s="251"/>
      <c r="E7373" s="251"/>
      <c r="F7373" s="264"/>
      <c r="G7373" s="250" t="s">
        <v>4255</v>
      </c>
      <c r="H7373" s="606"/>
      <c r="I7373" s="624"/>
      <c r="J7373" s="607"/>
      <c r="K7373" s="533"/>
      <c r="L7373" s="533"/>
      <c r="M7373" s="533"/>
      <c r="N7373" s="533"/>
      <c r="O7373" s="533"/>
      <c r="P7373" s="533"/>
      <c r="Q7373" s="533"/>
      <c r="R7373" s="533"/>
      <c r="S7373" s="533"/>
      <c r="T7373" s="533"/>
      <c r="U7373" s="533"/>
      <c r="V7373" s="533"/>
      <c r="W7373" s="533"/>
      <c r="X7373" s="533"/>
      <c r="Y7373" s="533"/>
    </row>
    <row r="7374" spans="1:25" s="88" customFormat="1" ht="15.75" thickBot="1" x14ac:dyDescent="0.3">
      <c r="A7374" s="261"/>
      <c r="B7374" s="256"/>
      <c r="C7374" s="316"/>
      <c r="D7374" s="251"/>
      <c r="E7374" s="251"/>
      <c r="F7374" s="249" t="s">
        <v>234</v>
      </c>
      <c r="G7374" s="252" t="s">
        <v>235</v>
      </c>
      <c r="H7374" s="598">
        <f>SUM(H7355,H7256,H7157)</f>
        <v>30500000</v>
      </c>
      <c r="I7374" s="599"/>
      <c r="J7374" s="599">
        <f>SUM(H7374:I7374)</f>
        <v>30500000</v>
      </c>
      <c r="K7374" s="533"/>
      <c r="L7374" s="533"/>
      <c r="M7374" s="533"/>
      <c r="N7374" s="533"/>
      <c r="O7374" s="533"/>
      <c r="P7374" s="533"/>
      <c r="Q7374" s="533"/>
      <c r="R7374" s="533"/>
      <c r="S7374" s="533"/>
      <c r="T7374" s="533"/>
      <c r="U7374" s="533"/>
      <c r="V7374" s="533"/>
      <c r="W7374" s="533"/>
      <c r="X7374" s="533"/>
      <c r="Y7374" s="533"/>
    </row>
    <row r="7375" spans="1:25" s="88" customFormat="1" hidden="1" x14ac:dyDescent="0.25">
      <c r="A7375" s="261"/>
      <c r="B7375" s="256"/>
      <c r="C7375" s="316"/>
      <c r="D7375" s="251"/>
      <c r="E7375" s="251"/>
      <c r="F7375" s="249" t="s">
        <v>236</v>
      </c>
      <c r="G7375" s="252" t="s">
        <v>237</v>
      </c>
      <c r="H7375" s="594"/>
      <c r="I7375" s="595"/>
      <c r="J7375" s="599">
        <f t="shared" ref="J7375:J7389" si="206">SUM(H7375:I7375)</f>
        <v>0</v>
      </c>
      <c r="K7375" s="533"/>
      <c r="L7375" s="533"/>
      <c r="M7375" s="533"/>
      <c r="N7375" s="533"/>
      <c r="O7375" s="533"/>
      <c r="P7375" s="533"/>
      <c r="Q7375" s="533"/>
      <c r="R7375" s="533"/>
      <c r="S7375" s="533"/>
      <c r="T7375" s="533"/>
      <c r="U7375" s="533"/>
      <c r="V7375" s="533"/>
      <c r="W7375" s="533"/>
      <c r="X7375" s="533"/>
      <c r="Y7375" s="533"/>
    </row>
    <row r="7376" spans="1:25" s="88" customFormat="1" hidden="1" x14ac:dyDescent="0.25">
      <c r="A7376" s="261"/>
      <c r="B7376" s="256"/>
      <c r="C7376" s="316"/>
      <c r="D7376" s="251"/>
      <c r="E7376" s="251"/>
      <c r="F7376" s="249" t="s">
        <v>238</v>
      </c>
      <c r="G7376" s="252" t="s">
        <v>239</v>
      </c>
      <c r="H7376" s="594"/>
      <c r="I7376" s="595"/>
      <c r="J7376" s="599">
        <f t="shared" si="206"/>
        <v>0</v>
      </c>
      <c r="K7376" s="533"/>
      <c r="L7376" s="533"/>
      <c r="M7376" s="533"/>
      <c r="N7376" s="533"/>
      <c r="O7376" s="533"/>
      <c r="P7376" s="533"/>
      <c r="Q7376" s="533"/>
      <c r="R7376" s="533"/>
      <c r="S7376" s="533"/>
      <c r="T7376" s="533"/>
      <c r="U7376" s="533"/>
      <c r="V7376" s="533"/>
      <c r="W7376" s="533"/>
      <c r="X7376" s="533"/>
      <c r="Y7376" s="533"/>
    </row>
    <row r="7377" spans="1:25" s="88" customFormat="1" hidden="1" x14ac:dyDescent="0.25">
      <c r="A7377" s="261"/>
      <c r="B7377" s="256"/>
      <c r="C7377" s="316"/>
      <c r="D7377" s="251"/>
      <c r="E7377" s="251"/>
      <c r="F7377" s="249" t="s">
        <v>240</v>
      </c>
      <c r="G7377" s="252" t="s">
        <v>241</v>
      </c>
      <c r="H7377" s="594"/>
      <c r="I7377" s="595"/>
      <c r="J7377" s="599">
        <f t="shared" si="206"/>
        <v>0</v>
      </c>
      <c r="K7377" s="533"/>
      <c r="L7377" s="533"/>
      <c r="M7377" s="533"/>
      <c r="N7377" s="533"/>
      <c r="O7377" s="533"/>
      <c r="P7377" s="533"/>
      <c r="Q7377" s="533"/>
      <c r="R7377" s="533"/>
      <c r="S7377" s="533"/>
      <c r="T7377" s="533"/>
      <c r="U7377" s="533"/>
      <c r="V7377" s="533"/>
      <c r="W7377" s="533"/>
      <c r="X7377" s="533"/>
      <c r="Y7377" s="533"/>
    </row>
    <row r="7378" spans="1:25" s="88" customFormat="1" hidden="1" x14ac:dyDescent="0.25">
      <c r="A7378" s="261"/>
      <c r="B7378" s="256"/>
      <c r="C7378" s="316"/>
      <c r="D7378" s="251"/>
      <c r="E7378" s="251"/>
      <c r="F7378" s="249" t="s">
        <v>242</v>
      </c>
      <c r="G7378" s="252" t="s">
        <v>243</v>
      </c>
      <c r="H7378" s="594"/>
      <c r="I7378" s="595"/>
      <c r="J7378" s="599">
        <f t="shared" si="206"/>
        <v>0</v>
      </c>
      <c r="K7378" s="533"/>
      <c r="L7378" s="533"/>
      <c r="M7378" s="533"/>
      <c r="N7378" s="533"/>
      <c r="O7378" s="533"/>
      <c r="P7378" s="533"/>
      <c r="Q7378" s="533"/>
      <c r="R7378" s="533"/>
      <c r="S7378" s="533"/>
      <c r="T7378" s="533"/>
      <c r="U7378" s="533"/>
      <c r="V7378" s="533"/>
      <c r="W7378" s="533"/>
      <c r="X7378" s="533"/>
      <c r="Y7378" s="533"/>
    </row>
    <row r="7379" spans="1:25" s="88" customFormat="1" hidden="1" x14ac:dyDescent="0.25">
      <c r="A7379" s="261"/>
      <c r="B7379" s="256"/>
      <c r="C7379" s="316"/>
      <c r="D7379" s="251"/>
      <c r="E7379" s="251"/>
      <c r="F7379" s="249" t="s">
        <v>244</v>
      </c>
      <c r="G7379" s="252" t="s">
        <v>245</v>
      </c>
      <c r="H7379" s="594"/>
      <c r="I7379" s="595"/>
      <c r="J7379" s="599">
        <f t="shared" si="206"/>
        <v>0</v>
      </c>
      <c r="K7379" s="533"/>
      <c r="L7379" s="533"/>
      <c r="M7379" s="533"/>
      <c r="N7379" s="533"/>
      <c r="O7379" s="533"/>
      <c r="P7379" s="533"/>
      <c r="Q7379" s="533"/>
      <c r="R7379" s="533"/>
      <c r="S7379" s="533"/>
      <c r="T7379" s="533"/>
      <c r="U7379" s="533"/>
      <c r="V7379" s="533"/>
      <c r="W7379" s="533"/>
      <c r="X7379" s="533"/>
      <c r="Y7379" s="533"/>
    </row>
    <row r="7380" spans="1:25" s="88" customFormat="1" hidden="1" x14ac:dyDescent="0.25">
      <c r="A7380" s="261"/>
      <c r="B7380" s="256"/>
      <c r="C7380" s="316"/>
      <c r="D7380" s="251"/>
      <c r="E7380" s="251"/>
      <c r="F7380" s="249" t="s">
        <v>246</v>
      </c>
      <c r="G7380" s="252" t="s">
        <v>247</v>
      </c>
      <c r="H7380" s="594"/>
      <c r="I7380" s="595"/>
      <c r="J7380" s="599">
        <f t="shared" si="206"/>
        <v>0</v>
      </c>
      <c r="K7380" s="533"/>
      <c r="L7380" s="533"/>
      <c r="M7380" s="533"/>
      <c r="N7380" s="533"/>
      <c r="O7380" s="533"/>
      <c r="P7380" s="533"/>
      <c r="Q7380" s="533"/>
      <c r="R7380" s="533"/>
      <c r="S7380" s="533"/>
      <c r="T7380" s="533"/>
      <c r="U7380" s="533"/>
      <c r="V7380" s="533"/>
      <c r="W7380" s="533"/>
      <c r="X7380" s="533"/>
      <c r="Y7380" s="533"/>
    </row>
    <row r="7381" spans="1:25" s="88" customFormat="1" hidden="1" x14ac:dyDescent="0.25">
      <c r="A7381" s="261"/>
      <c r="B7381" s="256"/>
      <c r="C7381" s="316"/>
      <c r="D7381" s="251"/>
      <c r="E7381" s="251"/>
      <c r="F7381" s="249" t="s">
        <v>248</v>
      </c>
      <c r="G7381" s="252" t="s">
        <v>249</v>
      </c>
      <c r="H7381" s="594"/>
      <c r="I7381" s="595"/>
      <c r="J7381" s="599">
        <f t="shared" si="206"/>
        <v>0</v>
      </c>
      <c r="K7381" s="533"/>
      <c r="L7381" s="533"/>
      <c r="M7381" s="533"/>
      <c r="N7381" s="533"/>
      <c r="O7381" s="533"/>
      <c r="P7381" s="533"/>
      <c r="Q7381" s="533"/>
      <c r="R7381" s="533"/>
      <c r="S7381" s="533"/>
      <c r="T7381" s="533"/>
      <c r="U7381" s="533"/>
      <c r="V7381" s="533"/>
      <c r="W7381" s="533"/>
      <c r="X7381" s="533"/>
      <c r="Y7381" s="533"/>
    </row>
    <row r="7382" spans="1:25" s="88" customFormat="1" hidden="1" x14ac:dyDescent="0.25">
      <c r="A7382" s="261"/>
      <c r="B7382" s="256"/>
      <c r="C7382" s="316"/>
      <c r="D7382" s="251"/>
      <c r="E7382" s="251"/>
      <c r="F7382" s="249" t="s">
        <v>250</v>
      </c>
      <c r="G7382" s="252" t="s">
        <v>57</v>
      </c>
      <c r="H7382" s="594"/>
      <c r="I7382" s="595"/>
      <c r="J7382" s="599">
        <f t="shared" si="206"/>
        <v>0</v>
      </c>
      <c r="K7382" s="533"/>
      <c r="L7382" s="533"/>
      <c r="M7382" s="533"/>
      <c r="N7382" s="533"/>
      <c r="O7382" s="533"/>
      <c r="P7382" s="533"/>
      <c r="Q7382" s="533"/>
      <c r="R7382" s="533"/>
      <c r="S7382" s="533"/>
      <c r="T7382" s="533"/>
      <c r="U7382" s="533"/>
      <c r="V7382" s="533"/>
      <c r="W7382" s="533"/>
      <c r="X7382" s="533"/>
      <c r="Y7382" s="533"/>
    </row>
    <row r="7383" spans="1:25" s="88" customFormat="1" hidden="1" x14ac:dyDescent="0.25">
      <c r="A7383" s="261"/>
      <c r="B7383" s="256"/>
      <c r="C7383" s="316"/>
      <c r="D7383" s="251"/>
      <c r="E7383" s="251"/>
      <c r="F7383" s="249" t="s">
        <v>251</v>
      </c>
      <c r="G7383" s="252" t="s">
        <v>252</v>
      </c>
      <c r="H7383" s="594"/>
      <c r="I7383" s="595"/>
      <c r="J7383" s="599">
        <f t="shared" si="206"/>
        <v>0</v>
      </c>
      <c r="K7383" s="533"/>
      <c r="L7383" s="533"/>
      <c r="M7383" s="533"/>
      <c r="N7383" s="533"/>
      <c r="O7383" s="533"/>
      <c r="P7383" s="533"/>
      <c r="Q7383" s="533"/>
      <c r="R7383" s="533"/>
      <c r="S7383" s="533"/>
      <c r="T7383" s="533"/>
      <c r="U7383" s="533"/>
      <c r="V7383" s="533"/>
      <c r="W7383" s="533"/>
      <c r="X7383" s="533"/>
      <c r="Y7383" s="533"/>
    </row>
    <row r="7384" spans="1:25" s="88" customFormat="1" hidden="1" x14ac:dyDescent="0.25">
      <c r="A7384" s="261"/>
      <c r="B7384" s="256"/>
      <c r="C7384" s="316"/>
      <c r="D7384" s="251"/>
      <c r="E7384" s="251"/>
      <c r="F7384" s="249" t="s">
        <v>253</v>
      </c>
      <c r="G7384" s="252" t="s">
        <v>254</v>
      </c>
      <c r="H7384" s="594"/>
      <c r="I7384" s="595"/>
      <c r="J7384" s="599">
        <f t="shared" si="206"/>
        <v>0</v>
      </c>
      <c r="K7384" s="533"/>
      <c r="L7384" s="533"/>
      <c r="M7384" s="533"/>
      <c r="N7384" s="533"/>
      <c r="O7384" s="533"/>
      <c r="P7384" s="533"/>
      <c r="Q7384" s="533"/>
      <c r="R7384" s="533"/>
      <c r="S7384" s="533"/>
      <c r="T7384" s="533"/>
      <c r="U7384" s="533"/>
      <c r="V7384" s="533"/>
      <c r="W7384" s="533"/>
      <c r="X7384" s="533"/>
      <c r="Y7384" s="533"/>
    </row>
    <row r="7385" spans="1:25" s="88" customFormat="1" ht="30" hidden="1" x14ac:dyDescent="0.25">
      <c r="A7385" s="261"/>
      <c r="B7385" s="256"/>
      <c r="C7385" s="316"/>
      <c r="D7385" s="251"/>
      <c r="E7385" s="251"/>
      <c r="F7385" s="249" t="s">
        <v>255</v>
      </c>
      <c r="G7385" s="252" t="s">
        <v>256</v>
      </c>
      <c r="H7385" s="594"/>
      <c r="I7385" s="595"/>
      <c r="J7385" s="599">
        <f t="shared" si="206"/>
        <v>0</v>
      </c>
      <c r="K7385" s="533"/>
      <c r="L7385" s="533"/>
      <c r="M7385" s="533"/>
      <c r="N7385" s="533"/>
      <c r="O7385" s="533"/>
      <c r="P7385" s="533"/>
      <c r="Q7385" s="533"/>
      <c r="R7385" s="533"/>
      <c r="S7385" s="533"/>
      <c r="T7385" s="533"/>
      <c r="U7385" s="533"/>
      <c r="V7385" s="533"/>
      <c r="W7385" s="533"/>
      <c r="X7385" s="533"/>
      <c r="Y7385" s="533"/>
    </row>
    <row r="7386" spans="1:25" s="88" customFormat="1" hidden="1" x14ac:dyDescent="0.25">
      <c r="A7386" s="261"/>
      <c r="B7386" s="256"/>
      <c r="C7386" s="316"/>
      <c r="D7386" s="251"/>
      <c r="E7386" s="251"/>
      <c r="F7386" s="249" t="s">
        <v>257</v>
      </c>
      <c r="G7386" s="252" t="s">
        <v>258</v>
      </c>
      <c r="H7386" s="594"/>
      <c r="I7386" s="595"/>
      <c r="J7386" s="599">
        <f t="shared" si="206"/>
        <v>0</v>
      </c>
      <c r="K7386" s="533"/>
      <c r="L7386" s="533"/>
      <c r="M7386" s="533"/>
      <c r="N7386" s="533"/>
      <c r="O7386" s="533"/>
      <c r="P7386" s="533"/>
      <c r="Q7386" s="533"/>
      <c r="R7386" s="533"/>
      <c r="S7386" s="533"/>
      <c r="T7386" s="533"/>
      <c r="U7386" s="533"/>
      <c r="V7386" s="533"/>
      <c r="W7386" s="533"/>
      <c r="X7386" s="533"/>
      <c r="Y7386" s="533"/>
    </row>
    <row r="7387" spans="1:25" s="88" customFormat="1" ht="30" hidden="1" x14ac:dyDescent="0.25">
      <c r="A7387" s="261"/>
      <c r="B7387" s="256"/>
      <c r="C7387" s="316"/>
      <c r="D7387" s="251"/>
      <c r="E7387" s="251"/>
      <c r="F7387" s="249" t="s">
        <v>259</v>
      </c>
      <c r="G7387" s="252" t="s">
        <v>260</v>
      </c>
      <c r="H7387" s="594"/>
      <c r="I7387" s="595"/>
      <c r="J7387" s="599">
        <f t="shared" si="206"/>
        <v>0</v>
      </c>
      <c r="K7387" s="533"/>
      <c r="L7387" s="533"/>
      <c r="M7387" s="533"/>
      <c r="N7387" s="533"/>
      <c r="O7387" s="533"/>
      <c r="P7387" s="533"/>
      <c r="Q7387" s="533"/>
      <c r="R7387" s="533"/>
      <c r="S7387" s="533"/>
      <c r="T7387" s="533"/>
      <c r="U7387" s="533"/>
      <c r="V7387" s="533"/>
      <c r="W7387" s="533"/>
      <c r="X7387" s="533"/>
      <c r="Y7387" s="533"/>
    </row>
    <row r="7388" spans="1:25" s="88" customFormat="1" hidden="1" x14ac:dyDescent="0.25">
      <c r="A7388" s="261"/>
      <c r="B7388" s="256"/>
      <c r="C7388" s="316"/>
      <c r="D7388" s="251"/>
      <c r="E7388" s="251"/>
      <c r="F7388" s="249" t="s">
        <v>261</v>
      </c>
      <c r="G7388" s="252" t="s">
        <v>262</v>
      </c>
      <c r="H7388" s="594"/>
      <c r="I7388" s="595"/>
      <c r="J7388" s="599">
        <f t="shared" si="206"/>
        <v>0</v>
      </c>
      <c r="K7388" s="533"/>
      <c r="L7388" s="533"/>
      <c r="M7388" s="533"/>
      <c r="N7388" s="533"/>
      <c r="O7388" s="533"/>
      <c r="P7388" s="533"/>
      <c r="Q7388" s="533"/>
      <c r="R7388" s="533"/>
      <c r="S7388" s="533"/>
      <c r="T7388" s="533"/>
      <c r="U7388" s="533"/>
      <c r="V7388" s="533"/>
      <c r="W7388" s="533"/>
      <c r="X7388" s="533"/>
      <c r="Y7388" s="533"/>
    </row>
    <row r="7389" spans="1:25" s="88" customFormat="1" ht="15.75" hidden="1" thickBot="1" x14ac:dyDescent="0.3">
      <c r="A7389" s="261"/>
      <c r="B7389" s="256"/>
      <c r="C7389" s="316"/>
      <c r="D7389" s="251"/>
      <c r="E7389" s="251"/>
      <c r="F7389" s="249" t="s">
        <v>263</v>
      </c>
      <c r="G7389" s="252" t="s">
        <v>264</v>
      </c>
      <c r="H7389" s="598"/>
      <c r="I7389" s="599"/>
      <c r="J7389" s="599">
        <f t="shared" si="206"/>
        <v>0</v>
      </c>
      <c r="K7389" s="533"/>
      <c r="L7389" s="533"/>
      <c r="M7389" s="533"/>
      <c r="N7389" s="533"/>
      <c r="O7389" s="533"/>
      <c r="P7389" s="533"/>
      <c r="Q7389" s="533"/>
      <c r="R7389" s="533"/>
      <c r="S7389" s="533"/>
      <c r="T7389" s="533"/>
      <c r="U7389" s="533"/>
      <c r="V7389" s="533"/>
      <c r="W7389" s="533"/>
      <c r="X7389" s="533"/>
      <c r="Y7389" s="533"/>
    </row>
    <row r="7390" spans="1:25" s="88" customFormat="1" ht="15.75" thickBot="1" x14ac:dyDescent="0.3">
      <c r="A7390" s="261"/>
      <c r="B7390" s="256"/>
      <c r="C7390" s="316"/>
      <c r="D7390" s="251"/>
      <c r="E7390" s="251"/>
      <c r="F7390" s="218"/>
      <c r="G7390" s="229" t="s">
        <v>4256</v>
      </c>
      <c r="H7390" s="600">
        <f>SUM(H7374:H7389)</f>
        <v>30500000</v>
      </c>
      <c r="I7390" s="601">
        <f>SUM(I7375:I7389)</f>
        <v>0</v>
      </c>
      <c r="J7390" s="601">
        <f>SUM(J7374:J7389)</f>
        <v>30500000</v>
      </c>
      <c r="K7390" s="533"/>
      <c r="L7390" s="533"/>
      <c r="M7390" s="533"/>
      <c r="N7390" s="533"/>
      <c r="O7390" s="533"/>
      <c r="P7390" s="533"/>
      <c r="Q7390" s="533"/>
      <c r="R7390" s="533"/>
      <c r="S7390" s="533"/>
      <c r="T7390" s="533"/>
      <c r="U7390" s="533"/>
      <c r="V7390" s="533"/>
      <c r="W7390" s="533"/>
      <c r="X7390" s="533"/>
      <c r="Y7390" s="533"/>
    </row>
    <row r="7391" spans="1:25" s="88" customFormat="1" hidden="1" x14ac:dyDescent="0.25">
      <c r="A7391" s="509"/>
      <c r="B7391" s="256"/>
      <c r="C7391" s="316"/>
      <c r="D7391" s="251"/>
      <c r="E7391" s="251"/>
      <c r="F7391" s="218"/>
      <c r="G7391" s="286"/>
      <c r="H7391" s="604"/>
      <c r="I7391" s="605"/>
      <c r="J7391" s="605"/>
      <c r="K7391" s="533"/>
      <c r="L7391" s="533"/>
      <c r="M7391" s="533"/>
      <c r="N7391" s="533"/>
      <c r="O7391" s="533"/>
      <c r="P7391" s="533"/>
      <c r="Q7391" s="533"/>
      <c r="R7391" s="533"/>
      <c r="S7391" s="533"/>
      <c r="T7391" s="533"/>
      <c r="U7391" s="533"/>
      <c r="V7391" s="533"/>
      <c r="W7391" s="533"/>
      <c r="X7391" s="533"/>
      <c r="Y7391" s="533"/>
    </row>
    <row r="7392" spans="1:25" s="88" customFormat="1" x14ac:dyDescent="0.25">
      <c r="A7392" s="509"/>
      <c r="B7392" s="256"/>
      <c r="C7392" s="316"/>
      <c r="D7392" s="251"/>
      <c r="E7392" s="251"/>
      <c r="F7392" s="528"/>
      <c r="G7392" s="250" t="s">
        <v>4332</v>
      </c>
      <c r="H7392" s="606"/>
      <c r="I7392" s="624"/>
      <c r="J7392" s="607"/>
      <c r="K7392" s="533"/>
      <c r="L7392" s="533"/>
      <c r="M7392" s="533"/>
      <c r="N7392" s="533"/>
      <c r="O7392" s="533"/>
      <c r="P7392" s="533"/>
      <c r="Q7392" s="533"/>
      <c r="R7392" s="533"/>
      <c r="S7392" s="533"/>
      <c r="T7392" s="533"/>
      <c r="U7392" s="533"/>
      <c r="V7392" s="533"/>
      <c r="W7392" s="533"/>
      <c r="X7392" s="533"/>
      <c r="Y7392" s="533"/>
    </row>
    <row r="7393" spans="1:25" s="88" customFormat="1" ht="15.75" thickBot="1" x14ac:dyDescent="0.3">
      <c r="A7393" s="509"/>
      <c r="B7393" s="256"/>
      <c r="C7393" s="316"/>
      <c r="D7393" s="251"/>
      <c r="E7393" s="251"/>
      <c r="F7393" s="249" t="s">
        <v>234</v>
      </c>
      <c r="G7393" s="252" t="s">
        <v>235</v>
      </c>
      <c r="H7393" s="598">
        <f>SUM(H7374)</f>
        <v>30500000</v>
      </c>
      <c r="I7393" s="599"/>
      <c r="J7393" s="599">
        <f>SUM(H7393:I7393)</f>
        <v>30500000</v>
      </c>
      <c r="K7393" s="533"/>
      <c r="L7393" s="533"/>
      <c r="M7393" s="533"/>
      <c r="N7393" s="533"/>
      <c r="O7393" s="533"/>
      <c r="P7393" s="533"/>
      <c r="Q7393" s="533"/>
      <c r="R7393" s="533"/>
      <c r="S7393" s="533"/>
      <c r="T7393" s="533"/>
      <c r="U7393" s="533"/>
      <c r="V7393" s="533"/>
      <c r="W7393" s="533"/>
      <c r="X7393" s="533"/>
      <c r="Y7393" s="533"/>
    </row>
    <row r="7394" spans="1:25" s="88" customFormat="1" ht="15.75" hidden="1" thickBot="1" x14ac:dyDescent="0.3">
      <c r="A7394" s="509"/>
      <c r="B7394" s="256"/>
      <c r="C7394" s="316"/>
      <c r="D7394" s="251"/>
      <c r="E7394" s="251"/>
      <c r="F7394" s="249" t="s">
        <v>236</v>
      </c>
      <c r="G7394" s="252" t="s">
        <v>237</v>
      </c>
      <c r="H7394" s="594"/>
      <c r="I7394" s="595"/>
      <c r="J7394" s="599">
        <f t="shared" ref="J7394:J7408" si="207">SUM(H7394:I7394)</f>
        <v>0</v>
      </c>
      <c r="K7394" s="533"/>
      <c r="L7394" s="533"/>
      <c r="M7394" s="533"/>
      <c r="N7394" s="533"/>
      <c r="O7394" s="533"/>
      <c r="P7394" s="533"/>
      <c r="Q7394" s="533"/>
      <c r="R7394" s="533"/>
      <c r="S7394" s="533"/>
      <c r="T7394" s="533"/>
      <c r="U7394" s="533"/>
      <c r="V7394" s="533"/>
      <c r="W7394" s="533"/>
      <c r="X7394" s="533"/>
      <c r="Y7394" s="533"/>
    </row>
    <row r="7395" spans="1:25" s="88" customFormat="1" ht="15.75" hidden="1" thickBot="1" x14ac:dyDescent="0.3">
      <c r="A7395" s="509"/>
      <c r="B7395" s="256"/>
      <c r="C7395" s="316"/>
      <c r="D7395" s="251"/>
      <c r="E7395" s="251"/>
      <c r="F7395" s="249" t="s">
        <v>238</v>
      </c>
      <c r="G7395" s="252" t="s">
        <v>239</v>
      </c>
      <c r="H7395" s="594"/>
      <c r="I7395" s="595"/>
      <c r="J7395" s="599">
        <f t="shared" si="207"/>
        <v>0</v>
      </c>
      <c r="K7395" s="533"/>
      <c r="L7395" s="533"/>
      <c r="M7395" s="533"/>
      <c r="N7395" s="533"/>
      <c r="O7395" s="533"/>
      <c r="P7395" s="533"/>
      <c r="Q7395" s="533"/>
      <c r="R7395" s="533"/>
      <c r="S7395" s="533"/>
      <c r="T7395" s="533"/>
      <c r="U7395" s="533"/>
      <c r="V7395" s="533"/>
      <c r="W7395" s="533"/>
      <c r="X7395" s="533"/>
      <c r="Y7395" s="533"/>
    </row>
    <row r="7396" spans="1:25" s="88" customFormat="1" ht="15.75" hidden="1" thickBot="1" x14ac:dyDescent="0.3">
      <c r="A7396" s="509"/>
      <c r="B7396" s="256"/>
      <c r="C7396" s="316"/>
      <c r="D7396" s="251"/>
      <c r="E7396" s="251"/>
      <c r="F7396" s="249" t="s">
        <v>240</v>
      </c>
      <c r="G7396" s="252" t="s">
        <v>241</v>
      </c>
      <c r="H7396" s="594"/>
      <c r="I7396" s="595"/>
      <c r="J7396" s="599">
        <f t="shared" si="207"/>
        <v>0</v>
      </c>
      <c r="K7396" s="533"/>
      <c r="L7396" s="533"/>
      <c r="M7396" s="533"/>
      <c r="N7396" s="533"/>
      <c r="O7396" s="533"/>
      <c r="P7396" s="533"/>
      <c r="Q7396" s="533"/>
      <c r="R7396" s="533"/>
      <c r="S7396" s="533"/>
      <c r="T7396" s="533"/>
      <c r="U7396" s="533"/>
      <c r="V7396" s="533"/>
      <c r="W7396" s="533"/>
      <c r="X7396" s="533"/>
      <c r="Y7396" s="533"/>
    </row>
    <row r="7397" spans="1:25" s="88" customFormat="1" ht="15.75" hidden="1" thickBot="1" x14ac:dyDescent="0.3">
      <c r="A7397" s="509"/>
      <c r="B7397" s="256"/>
      <c r="C7397" s="316"/>
      <c r="D7397" s="251"/>
      <c r="E7397" s="251"/>
      <c r="F7397" s="249" t="s">
        <v>242</v>
      </c>
      <c r="G7397" s="252" t="s">
        <v>243</v>
      </c>
      <c r="H7397" s="594"/>
      <c r="I7397" s="595"/>
      <c r="J7397" s="599">
        <f t="shared" si="207"/>
        <v>0</v>
      </c>
      <c r="K7397" s="533"/>
      <c r="L7397" s="533"/>
      <c r="M7397" s="533"/>
      <c r="N7397" s="533"/>
      <c r="O7397" s="533"/>
      <c r="P7397" s="533"/>
      <c r="Q7397" s="533"/>
      <c r="R7397" s="533"/>
      <c r="S7397" s="533"/>
      <c r="T7397" s="533"/>
      <c r="U7397" s="533"/>
      <c r="V7397" s="533"/>
      <c r="W7397" s="533"/>
      <c r="X7397" s="533"/>
      <c r="Y7397" s="533"/>
    </row>
    <row r="7398" spans="1:25" s="88" customFormat="1" ht="15.75" hidden="1" thickBot="1" x14ac:dyDescent="0.3">
      <c r="A7398" s="509"/>
      <c r="B7398" s="256"/>
      <c r="C7398" s="316"/>
      <c r="D7398" s="251"/>
      <c r="E7398" s="251"/>
      <c r="F7398" s="249" t="s">
        <v>244</v>
      </c>
      <c r="G7398" s="252" t="s">
        <v>245</v>
      </c>
      <c r="H7398" s="594"/>
      <c r="I7398" s="595"/>
      <c r="J7398" s="599">
        <f t="shared" si="207"/>
        <v>0</v>
      </c>
      <c r="K7398" s="533"/>
      <c r="L7398" s="533"/>
      <c r="M7398" s="533"/>
      <c r="N7398" s="533"/>
      <c r="O7398" s="533"/>
      <c r="P7398" s="533"/>
      <c r="Q7398" s="533"/>
      <c r="R7398" s="533"/>
      <c r="S7398" s="533"/>
      <c r="T7398" s="533"/>
      <c r="U7398" s="533"/>
      <c r="V7398" s="533"/>
      <c r="W7398" s="533"/>
      <c r="X7398" s="533"/>
      <c r="Y7398" s="533"/>
    </row>
    <row r="7399" spans="1:25" s="88" customFormat="1" ht="15.75" hidden="1" thickBot="1" x14ac:dyDescent="0.3">
      <c r="A7399" s="509"/>
      <c r="B7399" s="256"/>
      <c r="C7399" s="316"/>
      <c r="D7399" s="251"/>
      <c r="E7399" s="251"/>
      <c r="F7399" s="249" t="s">
        <v>246</v>
      </c>
      <c r="G7399" s="252" t="s">
        <v>247</v>
      </c>
      <c r="H7399" s="594"/>
      <c r="I7399" s="595"/>
      <c r="J7399" s="599">
        <f t="shared" si="207"/>
        <v>0</v>
      </c>
      <c r="K7399" s="533"/>
      <c r="L7399" s="533"/>
      <c r="M7399" s="533"/>
      <c r="N7399" s="533"/>
      <c r="O7399" s="533"/>
      <c r="P7399" s="533"/>
      <c r="Q7399" s="533"/>
      <c r="R7399" s="533"/>
      <c r="S7399" s="533"/>
      <c r="T7399" s="533"/>
      <c r="U7399" s="533"/>
      <c r="V7399" s="533"/>
      <c r="W7399" s="533"/>
      <c r="X7399" s="533"/>
      <c r="Y7399" s="533"/>
    </row>
    <row r="7400" spans="1:25" s="88" customFormat="1" ht="15.75" hidden="1" thickBot="1" x14ac:dyDescent="0.3">
      <c r="A7400" s="509"/>
      <c r="B7400" s="256"/>
      <c r="C7400" s="316"/>
      <c r="D7400" s="251"/>
      <c r="E7400" s="251"/>
      <c r="F7400" s="249" t="s">
        <v>248</v>
      </c>
      <c r="G7400" s="252" t="s">
        <v>249</v>
      </c>
      <c r="H7400" s="594"/>
      <c r="I7400" s="595"/>
      <c r="J7400" s="599">
        <f t="shared" si="207"/>
        <v>0</v>
      </c>
      <c r="K7400" s="533"/>
      <c r="L7400" s="533"/>
      <c r="M7400" s="533"/>
      <c r="N7400" s="533"/>
      <c r="O7400" s="533"/>
      <c r="P7400" s="533"/>
      <c r="Q7400" s="533"/>
      <c r="R7400" s="533"/>
      <c r="S7400" s="533"/>
      <c r="T7400" s="533"/>
      <c r="U7400" s="533"/>
      <c r="V7400" s="533"/>
      <c r="W7400" s="533"/>
      <c r="X7400" s="533"/>
      <c r="Y7400" s="533"/>
    </row>
    <row r="7401" spans="1:25" s="88" customFormat="1" ht="15.75" hidden="1" thickBot="1" x14ac:dyDescent="0.3">
      <c r="A7401" s="509"/>
      <c r="B7401" s="256"/>
      <c r="C7401" s="316"/>
      <c r="D7401" s="251"/>
      <c r="E7401" s="251"/>
      <c r="F7401" s="249" t="s">
        <v>250</v>
      </c>
      <c r="G7401" s="252" t="s">
        <v>57</v>
      </c>
      <c r="H7401" s="594"/>
      <c r="I7401" s="595"/>
      <c r="J7401" s="599">
        <f t="shared" si="207"/>
        <v>0</v>
      </c>
      <c r="K7401" s="533"/>
      <c r="L7401" s="533"/>
      <c r="M7401" s="533"/>
      <c r="N7401" s="533"/>
      <c r="O7401" s="533"/>
      <c r="P7401" s="533"/>
      <c r="Q7401" s="533"/>
      <c r="R7401" s="533"/>
      <c r="S7401" s="533"/>
      <c r="T7401" s="533"/>
      <c r="U7401" s="533"/>
      <c r="V7401" s="533"/>
      <c r="W7401" s="533"/>
      <c r="X7401" s="533"/>
      <c r="Y7401" s="533"/>
    </row>
    <row r="7402" spans="1:25" s="88" customFormat="1" ht="15.75" hidden="1" thickBot="1" x14ac:dyDescent="0.3">
      <c r="A7402" s="509"/>
      <c r="B7402" s="256"/>
      <c r="C7402" s="316"/>
      <c r="D7402" s="251"/>
      <c r="E7402" s="251"/>
      <c r="F7402" s="249" t="s">
        <v>251</v>
      </c>
      <c r="G7402" s="252" t="s">
        <v>252</v>
      </c>
      <c r="H7402" s="594"/>
      <c r="I7402" s="595"/>
      <c r="J7402" s="599">
        <f t="shared" si="207"/>
        <v>0</v>
      </c>
      <c r="K7402" s="533"/>
      <c r="L7402" s="533"/>
      <c r="M7402" s="533"/>
      <c r="N7402" s="533"/>
      <c r="O7402" s="533"/>
      <c r="P7402" s="533"/>
      <c r="Q7402" s="533"/>
      <c r="R7402" s="533"/>
      <c r="S7402" s="533"/>
      <c r="T7402" s="533"/>
      <c r="U7402" s="533"/>
      <c r="V7402" s="533"/>
      <c r="W7402" s="533"/>
      <c r="X7402" s="533"/>
      <c r="Y7402" s="533"/>
    </row>
    <row r="7403" spans="1:25" s="88" customFormat="1" ht="15.75" hidden="1" thickBot="1" x14ac:dyDescent="0.3">
      <c r="A7403" s="509"/>
      <c r="B7403" s="256"/>
      <c r="C7403" s="316"/>
      <c r="D7403" s="251"/>
      <c r="E7403" s="251"/>
      <c r="F7403" s="249" t="s">
        <v>253</v>
      </c>
      <c r="G7403" s="252" t="s">
        <v>254</v>
      </c>
      <c r="H7403" s="594"/>
      <c r="I7403" s="595"/>
      <c r="J7403" s="599">
        <f t="shared" si="207"/>
        <v>0</v>
      </c>
      <c r="K7403" s="533"/>
      <c r="L7403" s="533"/>
      <c r="M7403" s="533"/>
      <c r="N7403" s="533"/>
      <c r="O7403" s="533"/>
      <c r="P7403" s="533"/>
      <c r="Q7403" s="533"/>
      <c r="R7403" s="533"/>
      <c r="S7403" s="533"/>
      <c r="T7403" s="533"/>
      <c r="U7403" s="533"/>
      <c r="V7403" s="533"/>
      <c r="W7403" s="533"/>
      <c r="X7403" s="533"/>
      <c r="Y7403" s="533"/>
    </row>
    <row r="7404" spans="1:25" s="88" customFormat="1" ht="30.75" hidden="1" thickBot="1" x14ac:dyDescent="0.3">
      <c r="A7404" s="509"/>
      <c r="B7404" s="256"/>
      <c r="C7404" s="316"/>
      <c r="D7404" s="251"/>
      <c r="E7404" s="251"/>
      <c r="F7404" s="249" t="s">
        <v>255</v>
      </c>
      <c r="G7404" s="252" t="s">
        <v>256</v>
      </c>
      <c r="H7404" s="594"/>
      <c r="I7404" s="595"/>
      <c r="J7404" s="599">
        <f t="shared" si="207"/>
        <v>0</v>
      </c>
      <c r="K7404" s="533"/>
      <c r="L7404" s="533"/>
      <c r="M7404" s="533"/>
      <c r="N7404" s="533"/>
      <c r="O7404" s="533"/>
      <c r="P7404" s="533"/>
      <c r="Q7404" s="533"/>
      <c r="R7404" s="533"/>
      <c r="S7404" s="533"/>
      <c r="T7404" s="533"/>
      <c r="U7404" s="533"/>
      <c r="V7404" s="533"/>
      <c r="W7404" s="533"/>
      <c r="X7404" s="533"/>
      <c r="Y7404" s="533"/>
    </row>
    <row r="7405" spans="1:25" s="88" customFormat="1" ht="15.75" hidden="1" thickBot="1" x14ac:dyDescent="0.3">
      <c r="A7405" s="509"/>
      <c r="B7405" s="256"/>
      <c r="C7405" s="316"/>
      <c r="D7405" s="251"/>
      <c r="E7405" s="251"/>
      <c r="F7405" s="249" t="s">
        <v>257</v>
      </c>
      <c r="G7405" s="252" t="s">
        <v>258</v>
      </c>
      <c r="H7405" s="594"/>
      <c r="I7405" s="595"/>
      <c r="J7405" s="599">
        <f t="shared" si="207"/>
        <v>0</v>
      </c>
      <c r="K7405" s="533"/>
      <c r="L7405" s="533"/>
      <c r="M7405" s="533"/>
      <c r="N7405" s="533"/>
      <c r="O7405" s="533"/>
      <c r="P7405" s="533"/>
      <c r="Q7405" s="533"/>
      <c r="R7405" s="533"/>
      <c r="S7405" s="533"/>
      <c r="T7405" s="533"/>
      <c r="U7405" s="533"/>
      <c r="V7405" s="533"/>
      <c r="W7405" s="533"/>
      <c r="X7405" s="533"/>
      <c r="Y7405" s="533"/>
    </row>
    <row r="7406" spans="1:25" s="88" customFormat="1" ht="30.75" hidden="1" thickBot="1" x14ac:dyDescent="0.3">
      <c r="A7406" s="509"/>
      <c r="B7406" s="256"/>
      <c r="C7406" s="316"/>
      <c r="D7406" s="251"/>
      <c r="E7406" s="251"/>
      <c r="F7406" s="249" t="s">
        <v>259</v>
      </c>
      <c r="G7406" s="252" t="s">
        <v>260</v>
      </c>
      <c r="H7406" s="594"/>
      <c r="I7406" s="595"/>
      <c r="J7406" s="599">
        <f t="shared" si="207"/>
        <v>0</v>
      </c>
      <c r="K7406" s="533"/>
      <c r="L7406" s="533"/>
      <c r="M7406" s="533"/>
      <c r="N7406" s="533"/>
      <c r="O7406" s="533"/>
      <c r="P7406" s="533"/>
      <c r="Q7406" s="533"/>
      <c r="R7406" s="533"/>
      <c r="S7406" s="533"/>
      <c r="T7406" s="533"/>
      <c r="U7406" s="533"/>
      <c r="V7406" s="533"/>
      <c r="W7406" s="533"/>
      <c r="X7406" s="533"/>
      <c r="Y7406" s="533"/>
    </row>
    <row r="7407" spans="1:25" s="88" customFormat="1" ht="15.75" hidden="1" thickBot="1" x14ac:dyDescent="0.3">
      <c r="A7407" s="509"/>
      <c r="B7407" s="256"/>
      <c r="C7407" s="316"/>
      <c r="D7407" s="251"/>
      <c r="E7407" s="251"/>
      <c r="F7407" s="249" t="s">
        <v>261</v>
      </c>
      <c r="G7407" s="252" t="s">
        <v>262</v>
      </c>
      <c r="H7407" s="594"/>
      <c r="I7407" s="595"/>
      <c r="J7407" s="599">
        <f t="shared" si="207"/>
        <v>0</v>
      </c>
      <c r="K7407" s="533"/>
      <c r="L7407" s="533"/>
      <c r="M7407" s="533"/>
      <c r="N7407" s="533"/>
      <c r="O7407" s="533"/>
      <c r="P7407" s="533"/>
      <c r="Q7407" s="533"/>
      <c r="R7407" s="533"/>
      <c r="S7407" s="533"/>
      <c r="T7407" s="533"/>
      <c r="U7407" s="533"/>
      <c r="V7407" s="533"/>
      <c r="W7407" s="533"/>
      <c r="X7407" s="533"/>
      <c r="Y7407" s="533"/>
    </row>
    <row r="7408" spans="1:25" s="88" customFormat="1" ht="15.75" hidden="1" thickBot="1" x14ac:dyDescent="0.3">
      <c r="A7408" s="509"/>
      <c r="B7408" s="256"/>
      <c r="C7408" s="316"/>
      <c r="D7408" s="251"/>
      <c r="E7408" s="251"/>
      <c r="F7408" s="249" t="s">
        <v>263</v>
      </c>
      <c r="G7408" s="252" t="s">
        <v>264</v>
      </c>
      <c r="H7408" s="598"/>
      <c r="I7408" s="599"/>
      <c r="J7408" s="599">
        <f t="shared" si="207"/>
        <v>0</v>
      </c>
      <c r="K7408" s="533"/>
      <c r="L7408" s="533"/>
      <c r="M7408" s="533"/>
      <c r="N7408" s="533"/>
      <c r="O7408" s="533"/>
      <c r="P7408" s="533"/>
      <c r="Q7408" s="533"/>
      <c r="R7408" s="533"/>
      <c r="S7408" s="533"/>
      <c r="T7408" s="533"/>
      <c r="U7408" s="533"/>
      <c r="V7408" s="533"/>
      <c r="W7408" s="533"/>
      <c r="X7408" s="533"/>
      <c r="Y7408" s="533"/>
    </row>
    <row r="7409" spans="1:25" s="88" customFormat="1" ht="15.75" thickBot="1" x14ac:dyDescent="0.3">
      <c r="A7409" s="509"/>
      <c r="B7409" s="256"/>
      <c r="C7409" s="316"/>
      <c r="D7409" s="251"/>
      <c r="E7409" s="251"/>
      <c r="F7409" s="218"/>
      <c r="G7409" s="229" t="s">
        <v>4458</v>
      </c>
      <c r="H7409" s="600">
        <f>SUM(H7393:H7408)</f>
        <v>30500000</v>
      </c>
      <c r="I7409" s="601">
        <f>SUM(I7394:I7408)</f>
        <v>0</v>
      </c>
      <c r="J7409" s="601">
        <f>SUM(J7393:J7408)</f>
        <v>30500000</v>
      </c>
      <c r="K7409" s="533"/>
      <c r="L7409" s="533"/>
      <c r="M7409" s="533"/>
      <c r="N7409" s="533"/>
      <c r="O7409" s="533"/>
      <c r="P7409" s="533"/>
      <c r="Q7409" s="533"/>
      <c r="R7409" s="533"/>
      <c r="S7409" s="533"/>
      <c r="T7409" s="533"/>
      <c r="U7409" s="533"/>
      <c r="V7409" s="533"/>
      <c r="W7409" s="533"/>
      <c r="X7409" s="533"/>
      <c r="Y7409" s="533"/>
    </row>
    <row r="7410" spans="1:25" s="88" customFormat="1" x14ac:dyDescent="0.25">
      <c r="A7410" s="509"/>
      <c r="B7410" s="256"/>
      <c r="C7410" s="316"/>
      <c r="D7410" s="251"/>
      <c r="E7410" s="251"/>
      <c r="F7410" s="218"/>
      <c r="G7410" s="286"/>
      <c r="H7410" s="604"/>
      <c r="I7410" s="605"/>
      <c r="J7410" s="605"/>
      <c r="K7410" s="533"/>
      <c r="L7410" s="533"/>
      <c r="M7410" s="533"/>
      <c r="N7410" s="533"/>
      <c r="O7410" s="533"/>
      <c r="P7410" s="533"/>
      <c r="Q7410" s="533"/>
      <c r="R7410" s="533"/>
      <c r="S7410" s="533"/>
      <c r="T7410" s="533"/>
      <c r="U7410" s="533"/>
      <c r="V7410" s="533"/>
      <c r="W7410" s="533"/>
      <c r="X7410" s="533"/>
      <c r="Y7410" s="533"/>
    </row>
    <row r="7411" spans="1:25" s="88" customFormat="1" hidden="1" x14ac:dyDescent="0.25">
      <c r="A7411" s="509"/>
      <c r="B7411" s="256"/>
      <c r="C7411" s="316"/>
      <c r="D7411" s="251"/>
      <c r="E7411" s="251"/>
      <c r="F7411" s="218"/>
      <c r="G7411" s="286"/>
      <c r="H7411" s="604"/>
      <c r="I7411" s="605"/>
      <c r="J7411" s="605"/>
      <c r="K7411" s="533"/>
      <c r="L7411" s="533"/>
      <c r="M7411" s="533"/>
      <c r="N7411" s="533"/>
      <c r="O7411" s="533"/>
      <c r="P7411" s="533"/>
      <c r="Q7411" s="533"/>
      <c r="R7411" s="533"/>
      <c r="S7411" s="533"/>
      <c r="T7411" s="533"/>
      <c r="U7411" s="533"/>
      <c r="V7411" s="533"/>
      <c r="W7411" s="533"/>
      <c r="X7411" s="533"/>
      <c r="Y7411" s="533"/>
    </row>
    <row r="7412" spans="1:25" hidden="1" x14ac:dyDescent="0.25">
      <c r="A7412" s="244"/>
      <c r="B7412" s="244"/>
      <c r="C7412" s="220"/>
      <c r="D7412" s="216"/>
      <c r="E7412" s="216"/>
      <c r="F7412" s="216"/>
      <c r="G7412" s="232" t="s">
        <v>5124</v>
      </c>
      <c r="H7412" s="592"/>
      <c r="I7412" s="593"/>
      <c r="J7412" s="593"/>
    </row>
    <row r="7413" spans="1:25" s="88" customFormat="1" hidden="1" x14ac:dyDescent="0.25">
      <c r="A7413" s="509"/>
      <c r="B7413" s="256"/>
      <c r="C7413" s="265" t="s">
        <v>3566</v>
      </c>
      <c r="D7413" s="218"/>
      <c r="E7413" s="218"/>
      <c r="F7413" s="218"/>
      <c r="G7413" s="306" t="s">
        <v>4248</v>
      </c>
      <c r="H7413" s="627"/>
      <c r="I7413" s="610"/>
      <c r="J7413" s="628"/>
      <c r="K7413" s="533"/>
      <c r="L7413" s="533"/>
      <c r="M7413" s="533"/>
      <c r="N7413" s="533"/>
      <c r="O7413" s="533"/>
      <c r="P7413" s="533"/>
      <c r="Q7413" s="533"/>
      <c r="R7413" s="533"/>
      <c r="S7413" s="533"/>
      <c r="T7413" s="533"/>
      <c r="U7413" s="533"/>
      <c r="V7413" s="533"/>
      <c r="W7413" s="533"/>
      <c r="X7413" s="533"/>
      <c r="Y7413" s="533"/>
    </row>
    <row r="7414" spans="1:25" s="88" customFormat="1" hidden="1" x14ac:dyDescent="0.25">
      <c r="A7414" s="509"/>
      <c r="B7414" s="256"/>
      <c r="C7414" s="276" t="s">
        <v>4072</v>
      </c>
      <c r="D7414" s="219"/>
      <c r="E7414" s="219"/>
      <c r="F7414" s="277"/>
      <c r="G7414" s="307" t="s">
        <v>4074</v>
      </c>
      <c r="H7414" s="627"/>
      <c r="I7414" s="610"/>
      <c r="J7414" s="628"/>
      <c r="K7414" s="533"/>
      <c r="L7414" s="533"/>
      <c r="M7414" s="533"/>
      <c r="N7414" s="533"/>
      <c r="O7414" s="533"/>
      <c r="P7414" s="533"/>
      <c r="Q7414" s="533"/>
      <c r="R7414" s="533"/>
      <c r="S7414" s="533"/>
      <c r="T7414" s="533"/>
      <c r="U7414" s="533"/>
      <c r="V7414" s="533"/>
      <c r="W7414" s="533"/>
      <c r="X7414" s="533"/>
      <c r="Y7414" s="533"/>
    </row>
    <row r="7415" spans="1:25" s="88" customFormat="1" hidden="1" x14ac:dyDescent="0.25">
      <c r="A7415" s="509"/>
      <c r="B7415" s="256"/>
      <c r="C7415" s="265"/>
      <c r="D7415" s="312">
        <v>620</v>
      </c>
      <c r="E7415" s="312"/>
      <c r="F7415" s="312"/>
      <c r="G7415" s="325" t="s">
        <v>182</v>
      </c>
      <c r="H7415" s="627"/>
      <c r="I7415" s="610"/>
      <c r="J7415" s="628"/>
      <c r="K7415" s="533"/>
      <c r="L7415" s="533"/>
      <c r="M7415" s="533"/>
      <c r="N7415" s="533"/>
      <c r="O7415" s="533"/>
      <c r="P7415" s="533"/>
      <c r="Q7415" s="533"/>
      <c r="R7415" s="533"/>
      <c r="S7415" s="533"/>
      <c r="T7415" s="533"/>
      <c r="U7415" s="533"/>
      <c r="V7415" s="533"/>
      <c r="W7415" s="533"/>
      <c r="X7415" s="533"/>
      <c r="Y7415" s="533"/>
    </row>
    <row r="7416" spans="1:25" s="88" customFormat="1" hidden="1" x14ac:dyDescent="0.25">
      <c r="A7416" s="509"/>
      <c r="B7416" s="256"/>
      <c r="C7416" s="265"/>
      <c r="D7416" s="312"/>
      <c r="E7416" s="312"/>
      <c r="F7416" s="218">
        <v>411</v>
      </c>
      <c r="G7416" s="520" t="s">
        <v>4189</v>
      </c>
      <c r="H7416" s="627"/>
      <c r="I7416" s="610"/>
      <c r="J7416" s="628"/>
      <c r="K7416" s="533"/>
      <c r="L7416" s="533"/>
      <c r="M7416" s="533"/>
      <c r="N7416" s="533"/>
      <c r="O7416" s="533"/>
      <c r="P7416" s="533"/>
      <c r="Q7416" s="533"/>
      <c r="R7416" s="533"/>
      <c r="S7416" s="533"/>
      <c r="T7416" s="533"/>
      <c r="U7416" s="533"/>
      <c r="V7416" s="533"/>
      <c r="W7416" s="533"/>
      <c r="X7416" s="533"/>
      <c r="Y7416" s="533"/>
    </row>
    <row r="7417" spans="1:25" s="88" customFormat="1" hidden="1" x14ac:dyDescent="0.25">
      <c r="A7417" s="509"/>
      <c r="B7417" s="256"/>
      <c r="C7417" s="265"/>
      <c r="D7417" s="312"/>
      <c r="E7417" s="312"/>
      <c r="F7417" s="218">
        <v>412</v>
      </c>
      <c r="G7417" s="516" t="s">
        <v>3784</v>
      </c>
      <c r="H7417" s="627"/>
      <c r="I7417" s="610"/>
      <c r="J7417" s="628"/>
      <c r="K7417" s="533"/>
      <c r="L7417" s="533"/>
      <c r="M7417" s="533"/>
      <c r="N7417" s="533"/>
      <c r="O7417" s="533"/>
      <c r="P7417" s="533"/>
      <c r="Q7417" s="533"/>
      <c r="R7417" s="533"/>
      <c r="S7417" s="533"/>
      <c r="T7417" s="533"/>
      <c r="U7417" s="533"/>
      <c r="V7417" s="533"/>
      <c r="W7417" s="533"/>
      <c r="X7417" s="533"/>
      <c r="Y7417" s="533"/>
    </row>
    <row r="7418" spans="1:25" s="88" customFormat="1" hidden="1" x14ac:dyDescent="0.25">
      <c r="A7418" s="509"/>
      <c r="B7418" s="256"/>
      <c r="C7418" s="316"/>
      <c r="D7418" s="251"/>
      <c r="E7418" s="251"/>
      <c r="F7418" s="527">
        <v>422</v>
      </c>
      <c r="G7418" s="520" t="s">
        <v>3798</v>
      </c>
      <c r="H7418" s="627"/>
      <c r="I7418" s="610"/>
      <c r="J7418" s="628"/>
      <c r="K7418" s="533"/>
      <c r="L7418" s="533"/>
      <c r="M7418" s="533"/>
      <c r="N7418" s="533"/>
      <c r="O7418" s="533"/>
      <c r="P7418" s="533"/>
      <c r="Q7418" s="533"/>
      <c r="R7418" s="533"/>
      <c r="S7418" s="533"/>
      <c r="T7418" s="533"/>
      <c r="U7418" s="533"/>
      <c r="V7418" s="533"/>
      <c r="W7418" s="533"/>
      <c r="X7418" s="533"/>
      <c r="Y7418" s="533"/>
    </row>
    <row r="7419" spans="1:25" s="88" customFormat="1" hidden="1" x14ac:dyDescent="0.25">
      <c r="A7419" s="509"/>
      <c r="B7419" s="256"/>
      <c r="C7419" s="316"/>
      <c r="D7419" s="251"/>
      <c r="E7419" s="251"/>
      <c r="F7419" s="527">
        <v>423</v>
      </c>
      <c r="G7419" s="520" t="s">
        <v>3799</v>
      </c>
      <c r="H7419" s="627"/>
      <c r="I7419" s="610"/>
      <c r="J7419" s="628"/>
      <c r="K7419" s="533"/>
      <c r="L7419" s="533"/>
      <c r="M7419" s="533"/>
      <c r="N7419" s="533"/>
      <c r="O7419" s="533"/>
      <c r="P7419" s="533"/>
      <c r="Q7419" s="533"/>
      <c r="R7419" s="533"/>
      <c r="S7419" s="533"/>
      <c r="T7419" s="533"/>
      <c r="U7419" s="533"/>
      <c r="V7419" s="533"/>
      <c r="W7419" s="533"/>
      <c r="X7419" s="533"/>
      <c r="Y7419" s="533"/>
    </row>
    <row r="7420" spans="1:25" s="88" customFormat="1" hidden="1" x14ac:dyDescent="0.25">
      <c r="A7420" s="509"/>
      <c r="B7420" s="256"/>
      <c r="C7420" s="316"/>
      <c r="D7420" s="251"/>
      <c r="E7420" s="251"/>
      <c r="F7420" s="527">
        <v>424</v>
      </c>
      <c r="G7420" s="520" t="s">
        <v>3801</v>
      </c>
      <c r="H7420" s="627"/>
      <c r="I7420" s="610"/>
      <c r="J7420" s="628"/>
      <c r="K7420" s="533"/>
      <c r="L7420" s="533"/>
      <c r="M7420" s="533"/>
      <c r="N7420" s="533"/>
      <c r="O7420" s="533"/>
      <c r="P7420" s="533"/>
      <c r="Q7420" s="533"/>
      <c r="R7420" s="533"/>
      <c r="S7420" s="533"/>
      <c r="T7420" s="533"/>
      <c r="U7420" s="533"/>
      <c r="V7420" s="533"/>
      <c r="W7420" s="533"/>
      <c r="X7420" s="533"/>
      <c r="Y7420" s="533"/>
    </row>
    <row r="7421" spans="1:25" s="88" customFormat="1" hidden="1" x14ac:dyDescent="0.25">
      <c r="A7421" s="509"/>
      <c r="B7421" s="256"/>
      <c r="C7421" s="316"/>
      <c r="D7421" s="251"/>
      <c r="E7421" s="251"/>
      <c r="F7421" s="527">
        <v>425</v>
      </c>
      <c r="G7421" s="520" t="s">
        <v>4202</v>
      </c>
      <c r="H7421" s="627"/>
      <c r="I7421" s="610"/>
      <c r="J7421" s="628"/>
      <c r="K7421" s="533"/>
      <c r="L7421" s="533"/>
      <c r="M7421" s="533"/>
      <c r="N7421" s="533"/>
      <c r="O7421" s="533"/>
      <c r="P7421" s="533"/>
      <c r="Q7421" s="533"/>
      <c r="R7421" s="533"/>
      <c r="S7421" s="533"/>
      <c r="T7421" s="533"/>
      <c r="U7421" s="533"/>
      <c r="V7421" s="533"/>
      <c r="W7421" s="533"/>
      <c r="X7421" s="533"/>
      <c r="Y7421" s="533"/>
    </row>
    <row r="7422" spans="1:25" s="88" customFormat="1" hidden="1" x14ac:dyDescent="0.25">
      <c r="A7422" s="509"/>
      <c r="B7422" s="256"/>
      <c r="C7422" s="316"/>
      <c r="D7422" s="251"/>
      <c r="E7422" s="251"/>
      <c r="F7422" s="527">
        <v>426</v>
      </c>
      <c r="G7422" s="520" t="s">
        <v>3805</v>
      </c>
      <c r="H7422" s="627"/>
      <c r="I7422" s="610"/>
      <c r="J7422" s="628"/>
      <c r="K7422" s="533"/>
      <c r="L7422" s="533"/>
      <c r="M7422" s="533"/>
      <c r="N7422" s="533"/>
      <c r="O7422" s="533"/>
      <c r="P7422" s="533"/>
      <c r="Q7422" s="533"/>
      <c r="R7422" s="533"/>
      <c r="S7422" s="533"/>
      <c r="T7422" s="533"/>
      <c r="U7422" s="533"/>
      <c r="V7422" s="533"/>
      <c r="W7422" s="533"/>
      <c r="X7422" s="533"/>
      <c r="Y7422" s="533"/>
    </row>
    <row r="7423" spans="1:25" s="88" customFormat="1" hidden="1" x14ac:dyDescent="0.25">
      <c r="A7423" s="509"/>
      <c r="B7423" s="256"/>
      <c r="C7423" s="316"/>
      <c r="D7423" s="251"/>
      <c r="E7423" s="251"/>
      <c r="F7423" s="527">
        <v>482</v>
      </c>
      <c r="G7423" s="520" t="s">
        <v>4212</v>
      </c>
      <c r="H7423" s="627"/>
      <c r="I7423" s="610"/>
      <c r="J7423" s="628"/>
      <c r="K7423" s="533"/>
      <c r="L7423" s="533"/>
      <c r="M7423" s="533"/>
      <c r="N7423" s="533"/>
      <c r="O7423" s="533"/>
      <c r="P7423" s="533"/>
      <c r="Q7423" s="533"/>
      <c r="R7423" s="533"/>
      <c r="S7423" s="533"/>
      <c r="T7423" s="533"/>
      <c r="U7423" s="533"/>
      <c r="V7423" s="533"/>
      <c r="W7423" s="533"/>
      <c r="X7423" s="533"/>
      <c r="Y7423" s="533"/>
    </row>
    <row r="7424" spans="1:25" s="88" customFormat="1" ht="15.75" hidden="1" thickBot="1" x14ac:dyDescent="0.3">
      <c r="A7424" s="509"/>
      <c r="B7424" s="256"/>
      <c r="C7424" s="316"/>
      <c r="D7424" s="251"/>
      <c r="E7424" s="251"/>
      <c r="F7424" s="527">
        <v>511</v>
      </c>
      <c r="G7424" s="524" t="s">
        <v>4216</v>
      </c>
      <c r="H7424" s="627"/>
      <c r="I7424" s="610"/>
      <c r="J7424" s="628"/>
      <c r="K7424" s="533"/>
      <c r="L7424" s="533"/>
      <c r="M7424" s="533"/>
      <c r="N7424" s="533"/>
      <c r="O7424" s="533"/>
      <c r="P7424" s="533"/>
      <c r="Q7424" s="533"/>
      <c r="R7424" s="533"/>
      <c r="S7424" s="533"/>
      <c r="T7424" s="533"/>
      <c r="U7424" s="533"/>
      <c r="V7424" s="533"/>
      <c r="W7424" s="533"/>
      <c r="X7424" s="533"/>
      <c r="Y7424" s="533"/>
    </row>
    <row r="7425" spans="5:10" hidden="1" x14ac:dyDescent="0.25">
      <c r="E7425" s="517"/>
      <c r="F7425" s="528"/>
      <c r="G7425" s="327" t="s">
        <v>4368</v>
      </c>
      <c r="H7425" s="596"/>
      <c r="I7425" s="622"/>
      <c r="J7425" s="597"/>
    </row>
    <row r="7426" spans="5:10" ht="15.75" hidden="1" thickBot="1" x14ac:dyDescent="0.3">
      <c r="E7426" s="222"/>
      <c r="F7426" s="249" t="s">
        <v>234</v>
      </c>
      <c r="G7426" s="252" t="s">
        <v>235</v>
      </c>
      <c r="H7426" s="598">
        <f>SUM(H7416:H7424)</f>
        <v>0</v>
      </c>
      <c r="I7426" s="599"/>
      <c r="J7426" s="599">
        <f t="shared" ref="J7426:J7441" si="208">SUM(H7426:I7426)</f>
        <v>0</v>
      </c>
    </row>
    <row r="7427" spans="5:10" hidden="1" x14ac:dyDescent="0.25">
      <c r="F7427" s="249" t="s">
        <v>236</v>
      </c>
      <c r="G7427" s="252" t="s">
        <v>237</v>
      </c>
      <c r="J7427" s="599">
        <f t="shared" si="208"/>
        <v>0</v>
      </c>
    </row>
    <row r="7428" spans="5:10" hidden="1" x14ac:dyDescent="0.25">
      <c r="F7428" s="249" t="s">
        <v>238</v>
      </c>
      <c r="G7428" s="252" t="s">
        <v>239</v>
      </c>
      <c r="J7428" s="599">
        <f t="shared" si="208"/>
        <v>0</v>
      </c>
    </row>
    <row r="7429" spans="5:10" hidden="1" x14ac:dyDescent="0.25">
      <c r="F7429" s="249" t="s">
        <v>240</v>
      </c>
      <c r="G7429" s="252" t="s">
        <v>241</v>
      </c>
      <c r="J7429" s="599">
        <f t="shared" si="208"/>
        <v>0</v>
      </c>
    </row>
    <row r="7430" spans="5:10" hidden="1" x14ac:dyDescent="0.25">
      <c r="F7430" s="249" t="s">
        <v>242</v>
      </c>
      <c r="G7430" s="252" t="s">
        <v>243</v>
      </c>
      <c r="J7430" s="599">
        <f t="shared" si="208"/>
        <v>0</v>
      </c>
    </row>
    <row r="7431" spans="5:10" hidden="1" x14ac:dyDescent="0.25">
      <c r="F7431" s="249" t="s">
        <v>244</v>
      </c>
      <c r="G7431" s="252" t="s">
        <v>245</v>
      </c>
      <c r="J7431" s="599">
        <f t="shared" si="208"/>
        <v>0</v>
      </c>
    </row>
    <row r="7432" spans="5:10" hidden="1" x14ac:dyDescent="0.25">
      <c r="F7432" s="249" t="s">
        <v>246</v>
      </c>
      <c r="G7432" s="252" t="s">
        <v>247</v>
      </c>
      <c r="J7432" s="599">
        <f t="shared" si="208"/>
        <v>0</v>
      </c>
    </row>
    <row r="7433" spans="5:10" hidden="1" x14ac:dyDescent="0.25">
      <c r="F7433" s="249" t="s">
        <v>248</v>
      </c>
      <c r="G7433" s="252" t="s">
        <v>249</v>
      </c>
      <c r="J7433" s="599">
        <f t="shared" si="208"/>
        <v>0</v>
      </c>
    </row>
    <row r="7434" spans="5:10" hidden="1" x14ac:dyDescent="0.25">
      <c r="F7434" s="249" t="s">
        <v>250</v>
      </c>
      <c r="G7434" s="252" t="s">
        <v>57</v>
      </c>
      <c r="J7434" s="599">
        <f t="shared" si="208"/>
        <v>0</v>
      </c>
    </row>
    <row r="7435" spans="5:10" hidden="1" x14ac:dyDescent="0.25">
      <c r="F7435" s="249" t="s">
        <v>251</v>
      </c>
      <c r="G7435" s="252" t="s">
        <v>252</v>
      </c>
      <c r="J7435" s="599">
        <f t="shared" si="208"/>
        <v>0</v>
      </c>
    </row>
    <row r="7436" spans="5:10" hidden="1" x14ac:dyDescent="0.25">
      <c r="F7436" s="249" t="s">
        <v>253</v>
      </c>
      <c r="G7436" s="252" t="s">
        <v>254</v>
      </c>
      <c r="J7436" s="599">
        <f t="shared" si="208"/>
        <v>0</v>
      </c>
    </row>
    <row r="7437" spans="5:10" ht="30" hidden="1" x14ac:dyDescent="0.25">
      <c r="F7437" s="249" t="s">
        <v>255</v>
      </c>
      <c r="G7437" s="252" t="s">
        <v>256</v>
      </c>
      <c r="J7437" s="599">
        <f t="shared" si="208"/>
        <v>0</v>
      </c>
    </row>
    <row r="7438" spans="5:10" hidden="1" x14ac:dyDescent="0.25">
      <c r="F7438" s="249" t="s">
        <v>257</v>
      </c>
      <c r="G7438" s="252" t="s">
        <v>258</v>
      </c>
      <c r="J7438" s="599">
        <f t="shared" si="208"/>
        <v>0</v>
      </c>
    </row>
    <row r="7439" spans="5:10" ht="30" hidden="1" x14ac:dyDescent="0.25">
      <c r="F7439" s="249" t="s">
        <v>259</v>
      </c>
      <c r="G7439" s="252" t="s">
        <v>260</v>
      </c>
      <c r="J7439" s="599">
        <f t="shared" si="208"/>
        <v>0</v>
      </c>
    </row>
    <row r="7440" spans="5:10" hidden="1" x14ac:dyDescent="0.25">
      <c r="F7440" s="249" t="s">
        <v>261</v>
      </c>
      <c r="G7440" s="252" t="s">
        <v>262</v>
      </c>
      <c r="J7440" s="599">
        <f t="shared" si="208"/>
        <v>0</v>
      </c>
    </row>
    <row r="7441" spans="5:10" ht="15.75" hidden="1" thickBot="1" x14ac:dyDescent="0.3">
      <c r="F7441" s="249" t="s">
        <v>263</v>
      </c>
      <c r="G7441" s="252" t="s">
        <v>264</v>
      </c>
      <c r="H7441" s="598"/>
      <c r="I7441" s="599"/>
      <c r="J7441" s="599">
        <f t="shared" si="208"/>
        <v>0</v>
      </c>
    </row>
    <row r="7442" spans="5:10" ht="15.75" hidden="1" thickBot="1" x14ac:dyDescent="0.3">
      <c r="G7442" s="229" t="s">
        <v>4369</v>
      </c>
      <c r="H7442" s="600">
        <f>SUM(H7426:H7441)</f>
        <v>0</v>
      </c>
      <c r="I7442" s="601">
        <f>SUM(I7427:I7441)</f>
        <v>0</v>
      </c>
      <c r="J7442" s="601">
        <f>SUM(J7426:J7441)</f>
        <v>0</v>
      </c>
    </row>
    <row r="7443" spans="5:10" ht="28.5" hidden="1" collapsed="1" x14ac:dyDescent="0.25">
      <c r="E7443" s="517"/>
      <c r="F7443" s="528"/>
      <c r="G7443" s="231" t="s">
        <v>4370</v>
      </c>
      <c r="H7443" s="602"/>
      <c r="I7443" s="623"/>
      <c r="J7443" s="603"/>
    </row>
    <row r="7444" spans="5:10" ht="15.75" hidden="1" thickBot="1" x14ac:dyDescent="0.3">
      <c r="E7444" s="222"/>
      <c r="F7444" s="249" t="s">
        <v>234</v>
      </c>
      <c r="G7444" s="252" t="s">
        <v>235</v>
      </c>
      <c r="H7444" s="598">
        <f>SUM(H7416:H7424)</f>
        <v>0</v>
      </c>
      <c r="I7444" s="599"/>
      <c r="J7444" s="599">
        <f>SUM(H7444:I7444)</f>
        <v>0</v>
      </c>
    </row>
    <row r="7445" spans="5:10" hidden="1" x14ac:dyDescent="0.25">
      <c r="F7445" s="249" t="s">
        <v>236</v>
      </c>
      <c r="G7445" s="252" t="s">
        <v>237</v>
      </c>
      <c r="J7445" s="599">
        <f t="shared" ref="J7445:J7459" si="209">SUM(H7445:I7445)</f>
        <v>0</v>
      </c>
    </row>
    <row r="7446" spans="5:10" hidden="1" x14ac:dyDescent="0.25">
      <c r="F7446" s="249" t="s">
        <v>238</v>
      </c>
      <c r="G7446" s="252" t="s">
        <v>239</v>
      </c>
      <c r="J7446" s="599">
        <f t="shared" si="209"/>
        <v>0</v>
      </c>
    </row>
    <row r="7447" spans="5:10" hidden="1" x14ac:dyDescent="0.25">
      <c r="F7447" s="249" t="s">
        <v>240</v>
      </c>
      <c r="G7447" s="252" t="s">
        <v>241</v>
      </c>
      <c r="J7447" s="599">
        <f t="shared" si="209"/>
        <v>0</v>
      </c>
    </row>
    <row r="7448" spans="5:10" hidden="1" x14ac:dyDescent="0.25">
      <c r="F7448" s="249" t="s">
        <v>242</v>
      </c>
      <c r="G7448" s="252" t="s">
        <v>243</v>
      </c>
      <c r="J7448" s="599">
        <f t="shared" si="209"/>
        <v>0</v>
      </c>
    </row>
    <row r="7449" spans="5:10" hidden="1" x14ac:dyDescent="0.25">
      <c r="F7449" s="249" t="s">
        <v>244</v>
      </c>
      <c r="G7449" s="252" t="s">
        <v>245</v>
      </c>
      <c r="J7449" s="599">
        <f t="shared" si="209"/>
        <v>0</v>
      </c>
    </row>
    <row r="7450" spans="5:10" hidden="1" x14ac:dyDescent="0.25">
      <c r="F7450" s="249" t="s">
        <v>246</v>
      </c>
      <c r="G7450" s="252" t="s">
        <v>247</v>
      </c>
      <c r="J7450" s="599">
        <f t="shared" si="209"/>
        <v>0</v>
      </c>
    </row>
    <row r="7451" spans="5:10" hidden="1" x14ac:dyDescent="0.25">
      <c r="F7451" s="249" t="s">
        <v>248</v>
      </c>
      <c r="G7451" s="252" t="s">
        <v>249</v>
      </c>
      <c r="J7451" s="599">
        <f t="shared" si="209"/>
        <v>0</v>
      </c>
    </row>
    <row r="7452" spans="5:10" hidden="1" x14ac:dyDescent="0.25">
      <c r="F7452" s="249" t="s">
        <v>250</v>
      </c>
      <c r="G7452" s="252" t="s">
        <v>57</v>
      </c>
      <c r="J7452" s="599">
        <f t="shared" si="209"/>
        <v>0</v>
      </c>
    </row>
    <row r="7453" spans="5:10" hidden="1" x14ac:dyDescent="0.25">
      <c r="F7453" s="249" t="s">
        <v>251</v>
      </c>
      <c r="G7453" s="252" t="s">
        <v>252</v>
      </c>
      <c r="J7453" s="599">
        <f t="shared" si="209"/>
        <v>0</v>
      </c>
    </row>
    <row r="7454" spans="5:10" hidden="1" x14ac:dyDescent="0.25">
      <c r="F7454" s="249" t="s">
        <v>253</v>
      </c>
      <c r="G7454" s="252" t="s">
        <v>254</v>
      </c>
      <c r="J7454" s="599">
        <f t="shared" si="209"/>
        <v>0</v>
      </c>
    </row>
    <row r="7455" spans="5:10" ht="30" hidden="1" x14ac:dyDescent="0.25">
      <c r="F7455" s="249" t="s">
        <v>255</v>
      </c>
      <c r="G7455" s="252" t="s">
        <v>256</v>
      </c>
      <c r="J7455" s="599">
        <f t="shared" si="209"/>
        <v>0</v>
      </c>
    </row>
    <row r="7456" spans="5:10" hidden="1" x14ac:dyDescent="0.25">
      <c r="F7456" s="249" t="s">
        <v>257</v>
      </c>
      <c r="G7456" s="252" t="s">
        <v>258</v>
      </c>
      <c r="J7456" s="599">
        <f t="shared" si="209"/>
        <v>0</v>
      </c>
    </row>
    <row r="7457" spans="1:25" ht="30" hidden="1" x14ac:dyDescent="0.25">
      <c r="F7457" s="249" t="s">
        <v>259</v>
      </c>
      <c r="G7457" s="252" t="s">
        <v>260</v>
      </c>
      <c r="J7457" s="599">
        <f t="shared" si="209"/>
        <v>0</v>
      </c>
    </row>
    <row r="7458" spans="1:25" hidden="1" x14ac:dyDescent="0.25">
      <c r="F7458" s="249" t="s">
        <v>261</v>
      </c>
      <c r="G7458" s="252" t="s">
        <v>262</v>
      </c>
      <c r="J7458" s="599">
        <f t="shared" si="209"/>
        <v>0</v>
      </c>
    </row>
    <row r="7459" spans="1:25" ht="15.75" hidden="1" thickBot="1" x14ac:dyDescent="0.3">
      <c r="F7459" s="249" t="s">
        <v>263</v>
      </c>
      <c r="G7459" s="252" t="s">
        <v>264</v>
      </c>
      <c r="H7459" s="598"/>
      <c r="I7459" s="599"/>
      <c r="J7459" s="599">
        <f t="shared" si="209"/>
        <v>0</v>
      </c>
    </row>
    <row r="7460" spans="1:25" ht="15.75" hidden="1" collapsed="1" thickBot="1" x14ac:dyDescent="0.3">
      <c r="G7460" s="229" t="s">
        <v>4371</v>
      </c>
      <c r="H7460" s="600">
        <f>SUM(H7444:H7459)</f>
        <v>0</v>
      </c>
      <c r="I7460" s="601">
        <f>SUM(I7445:I7459)</f>
        <v>0</v>
      </c>
      <c r="J7460" s="601">
        <f>SUM(J7444:J7459)</f>
        <v>0</v>
      </c>
    </row>
    <row r="7461" spans="1:25" hidden="1" x14ac:dyDescent="0.25">
      <c r="G7461" s="286"/>
      <c r="H7461" s="604"/>
      <c r="I7461" s="605"/>
      <c r="J7461" s="605"/>
    </row>
    <row r="7462" spans="1:25" s="88" customFormat="1" hidden="1" x14ac:dyDescent="0.25">
      <c r="A7462" s="509"/>
      <c r="B7462" s="256"/>
      <c r="C7462" s="276" t="s">
        <v>5122</v>
      </c>
      <c r="D7462" s="219"/>
      <c r="E7462" s="219"/>
      <c r="F7462" s="277"/>
      <c r="G7462" s="307" t="s">
        <v>5123</v>
      </c>
      <c r="H7462" s="627"/>
      <c r="I7462" s="610"/>
      <c r="J7462" s="628"/>
      <c r="K7462" s="533"/>
      <c r="L7462" s="533"/>
      <c r="M7462" s="533"/>
      <c r="N7462" s="533"/>
      <c r="O7462" s="533"/>
      <c r="P7462" s="533"/>
      <c r="Q7462" s="533"/>
      <c r="R7462" s="533"/>
      <c r="S7462" s="533"/>
      <c r="T7462" s="533"/>
      <c r="U7462" s="533"/>
      <c r="V7462" s="533"/>
      <c r="W7462" s="533"/>
      <c r="X7462" s="533"/>
      <c r="Y7462" s="533"/>
    </row>
    <row r="7463" spans="1:25" s="88" customFormat="1" hidden="1" x14ac:dyDescent="0.25">
      <c r="A7463" s="509"/>
      <c r="B7463" s="256"/>
      <c r="C7463" s="265"/>
      <c r="D7463" s="312">
        <v>620</v>
      </c>
      <c r="E7463" s="312"/>
      <c r="F7463" s="312"/>
      <c r="G7463" s="325" t="s">
        <v>182</v>
      </c>
      <c r="H7463" s="627"/>
      <c r="I7463" s="610"/>
      <c r="J7463" s="628"/>
      <c r="K7463" s="533"/>
      <c r="L7463" s="533"/>
      <c r="M7463" s="533"/>
      <c r="N7463" s="533"/>
      <c r="O7463" s="533"/>
      <c r="P7463" s="533"/>
      <c r="Q7463" s="533"/>
      <c r="R7463" s="533"/>
      <c r="S7463" s="533"/>
      <c r="T7463" s="533"/>
      <c r="U7463" s="533"/>
      <c r="V7463" s="533"/>
      <c r="W7463" s="533"/>
      <c r="X7463" s="533"/>
      <c r="Y7463" s="533"/>
    </row>
    <row r="7464" spans="1:25" s="88" customFormat="1" hidden="1" x14ac:dyDescent="0.25">
      <c r="A7464" s="509"/>
      <c r="B7464" s="256"/>
      <c r="C7464" s="265"/>
      <c r="D7464" s="312"/>
      <c r="E7464" s="312"/>
      <c r="F7464" s="218">
        <v>411</v>
      </c>
      <c r="G7464" s="520" t="s">
        <v>4189</v>
      </c>
      <c r="H7464" s="627"/>
      <c r="I7464" s="610"/>
      <c r="J7464" s="628"/>
      <c r="K7464" s="533"/>
      <c r="L7464" s="533"/>
      <c r="M7464" s="533"/>
      <c r="N7464" s="533"/>
      <c r="O7464" s="533"/>
      <c r="P7464" s="533"/>
      <c r="Q7464" s="533"/>
      <c r="R7464" s="533"/>
      <c r="S7464" s="533"/>
      <c r="T7464" s="533"/>
      <c r="U7464" s="533"/>
      <c r="V7464" s="533"/>
      <c r="W7464" s="533"/>
      <c r="X7464" s="533"/>
      <c r="Y7464" s="533"/>
    </row>
    <row r="7465" spans="1:25" s="88" customFormat="1" hidden="1" x14ac:dyDescent="0.25">
      <c r="A7465" s="509"/>
      <c r="B7465" s="256"/>
      <c r="C7465" s="265"/>
      <c r="D7465" s="312"/>
      <c r="E7465" s="312"/>
      <c r="F7465" s="218">
        <v>412</v>
      </c>
      <c r="G7465" s="516" t="s">
        <v>3784</v>
      </c>
      <c r="H7465" s="627"/>
      <c r="I7465" s="610"/>
      <c r="J7465" s="628"/>
      <c r="K7465" s="533"/>
      <c r="L7465" s="533"/>
      <c r="M7465" s="533"/>
      <c r="N7465" s="533"/>
      <c r="O7465" s="533"/>
      <c r="P7465" s="533"/>
      <c r="Q7465" s="533"/>
      <c r="R7465" s="533"/>
      <c r="S7465" s="533"/>
      <c r="T7465" s="533"/>
      <c r="U7465" s="533"/>
      <c r="V7465" s="533"/>
      <c r="W7465" s="533"/>
      <c r="X7465" s="533"/>
      <c r="Y7465" s="533"/>
    </row>
    <row r="7466" spans="1:25" s="88" customFormat="1" hidden="1" x14ac:dyDescent="0.25">
      <c r="A7466" s="509"/>
      <c r="B7466" s="256"/>
      <c r="C7466" s="316"/>
      <c r="D7466" s="251"/>
      <c r="E7466" s="251"/>
      <c r="F7466" s="527">
        <v>422</v>
      </c>
      <c r="G7466" s="520" t="s">
        <v>3798</v>
      </c>
      <c r="H7466" s="627"/>
      <c r="I7466" s="610"/>
      <c r="J7466" s="628"/>
      <c r="K7466" s="533"/>
      <c r="L7466" s="533"/>
      <c r="M7466" s="533"/>
      <c r="N7466" s="533"/>
      <c r="O7466" s="533"/>
      <c r="P7466" s="533"/>
      <c r="Q7466" s="533"/>
      <c r="R7466" s="533"/>
      <c r="S7466" s="533"/>
      <c r="T7466" s="533"/>
      <c r="U7466" s="533"/>
      <c r="V7466" s="533"/>
      <c r="W7466" s="533"/>
      <c r="X7466" s="533"/>
      <c r="Y7466" s="533"/>
    </row>
    <row r="7467" spans="1:25" s="88" customFormat="1" hidden="1" x14ac:dyDescent="0.25">
      <c r="A7467" s="509"/>
      <c r="B7467" s="256"/>
      <c r="C7467" s="316"/>
      <c r="D7467" s="251"/>
      <c r="E7467" s="251"/>
      <c r="F7467" s="527">
        <v>423</v>
      </c>
      <c r="G7467" s="520" t="s">
        <v>3799</v>
      </c>
      <c r="H7467" s="627"/>
      <c r="I7467" s="610"/>
      <c r="J7467" s="628"/>
      <c r="K7467" s="533"/>
      <c r="L7467" s="533"/>
      <c r="M7467" s="533"/>
      <c r="N7467" s="533"/>
      <c r="O7467" s="533"/>
      <c r="P7467" s="533"/>
      <c r="Q7467" s="533"/>
      <c r="R7467" s="533"/>
      <c r="S7467" s="533"/>
      <c r="T7467" s="533"/>
      <c r="U7467" s="533"/>
      <c r="V7467" s="533"/>
      <c r="W7467" s="533"/>
      <c r="X7467" s="533"/>
      <c r="Y7467" s="533"/>
    </row>
    <row r="7468" spans="1:25" s="88" customFormat="1" hidden="1" x14ac:dyDescent="0.25">
      <c r="A7468" s="509"/>
      <c r="B7468" s="256"/>
      <c r="C7468" s="316"/>
      <c r="D7468" s="251"/>
      <c r="E7468" s="251"/>
      <c r="F7468" s="527">
        <v>424</v>
      </c>
      <c r="G7468" s="520" t="s">
        <v>3801</v>
      </c>
      <c r="H7468" s="627"/>
      <c r="I7468" s="610"/>
      <c r="J7468" s="628"/>
      <c r="K7468" s="533"/>
      <c r="L7468" s="533"/>
      <c r="M7468" s="533"/>
      <c r="N7468" s="533"/>
      <c r="O7468" s="533"/>
      <c r="P7468" s="533"/>
      <c r="Q7468" s="533"/>
      <c r="R7468" s="533"/>
      <c r="S7468" s="533"/>
      <c r="T7468" s="533"/>
      <c r="U7468" s="533"/>
      <c r="V7468" s="533"/>
      <c r="W7468" s="533"/>
      <c r="X7468" s="533"/>
      <c r="Y7468" s="533"/>
    </row>
    <row r="7469" spans="1:25" s="88" customFormat="1" hidden="1" x14ac:dyDescent="0.25">
      <c r="A7469" s="509"/>
      <c r="B7469" s="256"/>
      <c r="C7469" s="316"/>
      <c r="D7469" s="251"/>
      <c r="E7469" s="251"/>
      <c r="F7469" s="527">
        <v>425</v>
      </c>
      <c r="G7469" s="520" t="s">
        <v>4202</v>
      </c>
      <c r="H7469" s="627"/>
      <c r="I7469" s="610"/>
      <c r="J7469" s="628"/>
      <c r="K7469" s="533"/>
      <c r="L7469" s="533"/>
      <c r="M7469" s="533"/>
      <c r="N7469" s="533"/>
      <c r="O7469" s="533"/>
      <c r="P7469" s="533"/>
      <c r="Q7469" s="533"/>
      <c r="R7469" s="533"/>
      <c r="S7469" s="533"/>
      <c r="T7469" s="533"/>
      <c r="U7469" s="533"/>
      <c r="V7469" s="533"/>
      <c r="W7469" s="533"/>
      <c r="X7469" s="533"/>
      <c r="Y7469" s="533"/>
    </row>
    <row r="7470" spans="1:25" s="88" customFormat="1" hidden="1" x14ac:dyDescent="0.25">
      <c r="A7470" s="509"/>
      <c r="B7470" s="256"/>
      <c r="C7470" s="316"/>
      <c r="D7470" s="251"/>
      <c r="E7470" s="251"/>
      <c r="F7470" s="527">
        <v>426</v>
      </c>
      <c r="G7470" s="520" t="s">
        <v>3805</v>
      </c>
      <c r="H7470" s="627"/>
      <c r="I7470" s="610"/>
      <c r="J7470" s="628"/>
      <c r="K7470" s="533"/>
      <c r="L7470" s="533"/>
      <c r="M7470" s="533"/>
      <c r="N7470" s="533"/>
      <c r="O7470" s="533"/>
      <c r="P7470" s="533"/>
      <c r="Q7470" s="533"/>
      <c r="R7470" s="533"/>
      <c r="S7470" s="533"/>
      <c r="T7470" s="533"/>
      <c r="U7470" s="533"/>
      <c r="V7470" s="533"/>
      <c r="W7470" s="533"/>
      <c r="X7470" s="533"/>
      <c r="Y7470" s="533"/>
    </row>
    <row r="7471" spans="1:25" s="88" customFormat="1" hidden="1" x14ac:dyDescent="0.25">
      <c r="A7471" s="509"/>
      <c r="B7471" s="256"/>
      <c r="C7471" s="316"/>
      <c r="D7471" s="251"/>
      <c r="E7471" s="251"/>
      <c r="F7471" s="527">
        <v>482</v>
      </c>
      <c r="G7471" s="520" t="s">
        <v>4212</v>
      </c>
      <c r="H7471" s="627"/>
      <c r="I7471" s="610"/>
      <c r="J7471" s="628"/>
      <c r="K7471" s="533"/>
      <c r="L7471" s="533"/>
      <c r="M7471" s="533"/>
      <c r="N7471" s="533"/>
      <c r="O7471" s="533"/>
      <c r="P7471" s="533"/>
      <c r="Q7471" s="533"/>
      <c r="R7471" s="533"/>
      <c r="S7471" s="533"/>
      <c r="T7471" s="533"/>
      <c r="U7471" s="533"/>
      <c r="V7471" s="533"/>
      <c r="W7471" s="533"/>
      <c r="X7471" s="533"/>
      <c r="Y7471" s="533"/>
    </row>
    <row r="7472" spans="1:25" s="88" customFormat="1" hidden="1" x14ac:dyDescent="0.25">
      <c r="A7472" s="509"/>
      <c r="B7472" s="256"/>
      <c r="C7472" s="316"/>
      <c r="D7472" s="251"/>
      <c r="E7472" s="251"/>
      <c r="F7472" s="527">
        <v>511</v>
      </c>
      <c r="G7472" s="524" t="s">
        <v>4216</v>
      </c>
      <c r="H7472" s="627"/>
      <c r="I7472" s="610"/>
      <c r="J7472" s="628"/>
      <c r="K7472" s="533"/>
      <c r="L7472" s="533"/>
      <c r="M7472" s="533"/>
      <c r="N7472" s="533"/>
      <c r="O7472" s="533"/>
      <c r="P7472" s="533"/>
      <c r="Q7472" s="533"/>
      <c r="R7472" s="533"/>
      <c r="S7472" s="533"/>
      <c r="T7472" s="533"/>
      <c r="U7472" s="533"/>
      <c r="V7472" s="533"/>
      <c r="W7472" s="533"/>
      <c r="X7472" s="533"/>
      <c r="Y7472" s="533"/>
    </row>
    <row r="7473" spans="1:25" s="88" customFormat="1" ht="15.75" hidden="1" thickBot="1" x14ac:dyDescent="0.3">
      <c r="A7473" s="509"/>
      <c r="B7473" s="256"/>
      <c r="C7473" s="316"/>
      <c r="D7473" s="251"/>
      <c r="E7473" s="251"/>
      <c r="F7473" s="527">
        <v>541</v>
      </c>
      <c r="G7473" s="524" t="s">
        <v>4222</v>
      </c>
      <c r="H7473" s="627"/>
      <c r="I7473" s="610"/>
      <c r="J7473" s="628"/>
      <c r="K7473" s="533"/>
      <c r="L7473" s="533"/>
      <c r="M7473" s="533"/>
      <c r="N7473" s="533"/>
      <c r="O7473" s="533"/>
      <c r="P7473" s="533"/>
      <c r="Q7473" s="533"/>
      <c r="R7473" s="533"/>
      <c r="S7473" s="533"/>
      <c r="T7473" s="533"/>
      <c r="U7473" s="533"/>
      <c r="V7473" s="533"/>
      <c r="W7473" s="533"/>
      <c r="X7473" s="533"/>
      <c r="Y7473" s="533"/>
    </row>
    <row r="7474" spans="1:25" hidden="1" x14ac:dyDescent="0.25">
      <c r="E7474" s="517"/>
      <c r="F7474" s="528"/>
      <c r="G7474" s="327" t="s">
        <v>4368</v>
      </c>
      <c r="H7474" s="596"/>
      <c r="I7474" s="622"/>
      <c r="J7474" s="597"/>
    </row>
    <row r="7475" spans="1:25" ht="15.75" hidden="1" thickBot="1" x14ac:dyDescent="0.3">
      <c r="E7475" s="222"/>
      <c r="F7475" s="249" t="s">
        <v>234</v>
      </c>
      <c r="G7475" s="252" t="s">
        <v>235</v>
      </c>
      <c r="H7475" s="598">
        <f>SUM(H7464:H7473)</f>
        <v>0</v>
      </c>
      <c r="I7475" s="599"/>
      <c r="J7475" s="599">
        <f t="shared" ref="J7475:J7490" si="210">SUM(H7475:I7475)</f>
        <v>0</v>
      </c>
    </row>
    <row r="7476" spans="1:25" ht="15.75" hidden="1" thickBot="1" x14ac:dyDescent="0.3">
      <c r="F7476" s="249" t="s">
        <v>236</v>
      </c>
      <c r="G7476" s="252" t="s">
        <v>237</v>
      </c>
      <c r="J7476" s="599">
        <f t="shared" si="210"/>
        <v>0</v>
      </c>
    </row>
    <row r="7477" spans="1:25" ht="15.75" hidden="1" thickBot="1" x14ac:dyDescent="0.3">
      <c r="F7477" s="249" t="s">
        <v>238</v>
      </c>
      <c r="G7477" s="252" t="s">
        <v>239</v>
      </c>
      <c r="J7477" s="599">
        <f t="shared" si="210"/>
        <v>0</v>
      </c>
    </row>
    <row r="7478" spans="1:25" ht="15.75" hidden="1" thickBot="1" x14ac:dyDescent="0.3">
      <c r="F7478" s="249" t="s">
        <v>240</v>
      </c>
      <c r="G7478" s="252" t="s">
        <v>241</v>
      </c>
      <c r="J7478" s="599">
        <f t="shared" si="210"/>
        <v>0</v>
      </c>
    </row>
    <row r="7479" spans="1:25" ht="15.75" hidden="1" thickBot="1" x14ac:dyDescent="0.3">
      <c r="F7479" s="249" t="s">
        <v>242</v>
      </c>
      <c r="G7479" s="252" t="s">
        <v>243</v>
      </c>
      <c r="J7479" s="599">
        <f t="shared" si="210"/>
        <v>0</v>
      </c>
    </row>
    <row r="7480" spans="1:25" ht="15.75" hidden="1" thickBot="1" x14ac:dyDescent="0.3">
      <c r="F7480" s="249" t="s">
        <v>244</v>
      </c>
      <c r="G7480" s="252" t="s">
        <v>245</v>
      </c>
      <c r="J7480" s="599">
        <f t="shared" si="210"/>
        <v>0</v>
      </c>
    </row>
    <row r="7481" spans="1:25" ht="15.75" hidden="1" thickBot="1" x14ac:dyDescent="0.3">
      <c r="F7481" s="249" t="s">
        <v>246</v>
      </c>
      <c r="G7481" s="252" t="s">
        <v>247</v>
      </c>
      <c r="J7481" s="599">
        <f t="shared" si="210"/>
        <v>0</v>
      </c>
    </row>
    <row r="7482" spans="1:25" ht="15.75" hidden="1" thickBot="1" x14ac:dyDescent="0.3">
      <c r="F7482" s="249" t="s">
        <v>248</v>
      </c>
      <c r="G7482" s="252" t="s">
        <v>249</v>
      </c>
      <c r="J7482" s="599">
        <f t="shared" si="210"/>
        <v>0</v>
      </c>
    </row>
    <row r="7483" spans="1:25" ht="15.75" hidden="1" thickBot="1" x14ac:dyDescent="0.3">
      <c r="F7483" s="249" t="s">
        <v>250</v>
      </c>
      <c r="G7483" s="252" t="s">
        <v>57</v>
      </c>
      <c r="J7483" s="599">
        <f t="shared" si="210"/>
        <v>0</v>
      </c>
    </row>
    <row r="7484" spans="1:25" ht="15.75" hidden="1" thickBot="1" x14ac:dyDescent="0.3">
      <c r="F7484" s="249" t="s">
        <v>251</v>
      </c>
      <c r="G7484" s="252" t="s">
        <v>252</v>
      </c>
      <c r="J7484" s="599">
        <f t="shared" si="210"/>
        <v>0</v>
      </c>
    </row>
    <row r="7485" spans="1:25" ht="15.75" hidden="1" thickBot="1" x14ac:dyDescent="0.3">
      <c r="F7485" s="249" t="s">
        <v>253</v>
      </c>
      <c r="G7485" s="252" t="s">
        <v>254</v>
      </c>
      <c r="J7485" s="599">
        <f t="shared" si="210"/>
        <v>0</v>
      </c>
    </row>
    <row r="7486" spans="1:25" ht="30.75" hidden="1" thickBot="1" x14ac:dyDescent="0.3">
      <c r="F7486" s="249" t="s">
        <v>255</v>
      </c>
      <c r="G7486" s="252" t="s">
        <v>256</v>
      </c>
      <c r="J7486" s="599">
        <f t="shared" si="210"/>
        <v>0</v>
      </c>
    </row>
    <row r="7487" spans="1:25" ht="15.75" hidden="1" thickBot="1" x14ac:dyDescent="0.3">
      <c r="F7487" s="249" t="s">
        <v>257</v>
      </c>
      <c r="G7487" s="252" t="s">
        <v>258</v>
      </c>
      <c r="J7487" s="599">
        <f t="shared" si="210"/>
        <v>0</v>
      </c>
    </row>
    <row r="7488" spans="1:25" ht="30.75" hidden="1" thickBot="1" x14ac:dyDescent="0.3">
      <c r="F7488" s="249" t="s">
        <v>259</v>
      </c>
      <c r="G7488" s="252" t="s">
        <v>260</v>
      </c>
      <c r="J7488" s="599">
        <f t="shared" si="210"/>
        <v>0</v>
      </c>
    </row>
    <row r="7489" spans="5:10" ht="15.75" hidden="1" thickBot="1" x14ac:dyDescent="0.3">
      <c r="F7489" s="249" t="s">
        <v>261</v>
      </c>
      <c r="G7489" s="252" t="s">
        <v>262</v>
      </c>
      <c r="J7489" s="599">
        <f t="shared" si="210"/>
        <v>0</v>
      </c>
    </row>
    <row r="7490" spans="5:10" ht="15.75" hidden="1" thickBot="1" x14ac:dyDescent="0.3">
      <c r="F7490" s="249" t="s">
        <v>263</v>
      </c>
      <c r="G7490" s="252" t="s">
        <v>264</v>
      </c>
      <c r="H7490" s="598"/>
      <c r="I7490" s="599"/>
      <c r="J7490" s="599">
        <f t="shared" si="210"/>
        <v>0</v>
      </c>
    </row>
    <row r="7491" spans="5:10" ht="15.75" hidden="1" thickBot="1" x14ac:dyDescent="0.3">
      <c r="G7491" s="229" t="s">
        <v>4369</v>
      </c>
      <c r="H7491" s="600">
        <f>SUM(H7475:H7490)</f>
        <v>0</v>
      </c>
      <c r="I7491" s="601">
        <f>SUM(I7476:I7490)</f>
        <v>0</v>
      </c>
      <c r="J7491" s="601">
        <f>SUM(J7475:J7490)</f>
        <v>0</v>
      </c>
    </row>
    <row r="7492" spans="5:10" ht="28.5" hidden="1" collapsed="1" x14ac:dyDescent="0.25">
      <c r="E7492" s="517"/>
      <c r="F7492" s="528"/>
      <c r="G7492" s="231" t="s">
        <v>4420</v>
      </c>
      <c r="H7492" s="602"/>
      <c r="I7492" s="623"/>
      <c r="J7492" s="603"/>
    </row>
    <row r="7493" spans="5:10" ht="15.75" hidden="1" thickBot="1" x14ac:dyDescent="0.3">
      <c r="E7493" s="222"/>
      <c r="F7493" s="249" t="s">
        <v>234</v>
      </c>
      <c r="G7493" s="252" t="s">
        <v>235</v>
      </c>
      <c r="H7493" s="598">
        <f>SUM(H7464:H7473)</f>
        <v>0</v>
      </c>
      <c r="I7493" s="599"/>
      <c r="J7493" s="599">
        <f>SUM(H7493:I7493)</f>
        <v>0</v>
      </c>
    </row>
    <row r="7494" spans="5:10" ht="15.75" hidden="1" thickBot="1" x14ac:dyDescent="0.3">
      <c r="F7494" s="249" t="s">
        <v>236</v>
      </c>
      <c r="G7494" s="252" t="s">
        <v>237</v>
      </c>
      <c r="J7494" s="599">
        <f t="shared" ref="J7494:J7508" si="211">SUM(H7494:I7494)</f>
        <v>0</v>
      </c>
    </row>
    <row r="7495" spans="5:10" ht="15.75" hidden="1" thickBot="1" x14ac:dyDescent="0.3">
      <c r="F7495" s="249" t="s">
        <v>238</v>
      </c>
      <c r="G7495" s="252" t="s">
        <v>239</v>
      </c>
      <c r="J7495" s="599">
        <f t="shared" si="211"/>
        <v>0</v>
      </c>
    </row>
    <row r="7496" spans="5:10" ht="15.75" hidden="1" thickBot="1" x14ac:dyDescent="0.3">
      <c r="F7496" s="249" t="s">
        <v>240</v>
      </c>
      <c r="G7496" s="252" t="s">
        <v>241</v>
      </c>
      <c r="J7496" s="599">
        <f t="shared" si="211"/>
        <v>0</v>
      </c>
    </row>
    <row r="7497" spans="5:10" ht="15.75" hidden="1" thickBot="1" x14ac:dyDescent="0.3">
      <c r="F7497" s="249" t="s">
        <v>242</v>
      </c>
      <c r="G7497" s="252" t="s">
        <v>243</v>
      </c>
      <c r="J7497" s="599">
        <f t="shared" si="211"/>
        <v>0</v>
      </c>
    </row>
    <row r="7498" spans="5:10" ht="15.75" hidden="1" thickBot="1" x14ac:dyDescent="0.3">
      <c r="F7498" s="249" t="s">
        <v>244</v>
      </c>
      <c r="G7498" s="252" t="s">
        <v>245</v>
      </c>
      <c r="J7498" s="599">
        <f t="shared" si="211"/>
        <v>0</v>
      </c>
    </row>
    <row r="7499" spans="5:10" ht="15.75" hidden="1" thickBot="1" x14ac:dyDescent="0.3">
      <c r="F7499" s="249" t="s">
        <v>246</v>
      </c>
      <c r="G7499" s="252" t="s">
        <v>247</v>
      </c>
      <c r="J7499" s="599">
        <f t="shared" si="211"/>
        <v>0</v>
      </c>
    </row>
    <row r="7500" spans="5:10" ht="15.75" hidden="1" thickBot="1" x14ac:dyDescent="0.3">
      <c r="F7500" s="249" t="s">
        <v>248</v>
      </c>
      <c r="G7500" s="252" t="s">
        <v>249</v>
      </c>
      <c r="J7500" s="599">
        <f t="shared" si="211"/>
        <v>0</v>
      </c>
    </row>
    <row r="7501" spans="5:10" ht="15.75" hidden="1" thickBot="1" x14ac:dyDescent="0.3">
      <c r="F7501" s="249" t="s">
        <v>250</v>
      </c>
      <c r="G7501" s="252" t="s">
        <v>57</v>
      </c>
      <c r="J7501" s="599">
        <f t="shared" si="211"/>
        <v>0</v>
      </c>
    </row>
    <row r="7502" spans="5:10" ht="15.75" hidden="1" thickBot="1" x14ac:dyDescent="0.3">
      <c r="F7502" s="249" t="s">
        <v>251</v>
      </c>
      <c r="G7502" s="252" t="s">
        <v>252</v>
      </c>
      <c r="J7502" s="599">
        <f t="shared" si="211"/>
        <v>0</v>
      </c>
    </row>
    <row r="7503" spans="5:10" ht="15.75" hidden="1" thickBot="1" x14ac:dyDescent="0.3">
      <c r="F7503" s="249" t="s">
        <v>253</v>
      </c>
      <c r="G7503" s="252" t="s">
        <v>254</v>
      </c>
      <c r="J7503" s="599">
        <f t="shared" si="211"/>
        <v>0</v>
      </c>
    </row>
    <row r="7504" spans="5:10" ht="30.75" hidden="1" thickBot="1" x14ac:dyDescent="0.3">
      <c r="F7504" s="249" t="s">
        <v>255</v>
      </c>
      <c r="G7504" s="252" t="s">
        <v>256</v>
      </c>
      <c r="J7504" s="599">
        <f t="shared" si="211"/>
        <v>0</v>
      </c>
    </row>
    <row r="7505" spans="1:25" ht="15.75" hidden="1" thickBot="1" x14ac:dyDescent="0.3">
      <c r="F7505" s="249" t="s">
        <v>257</v>
      </c>
      <c r="G7505" s="252" t="s">
        <v>258</v>
      </c>
      <c r="J7505" s="599">
        <f t="shared" si="211"/>
        <v>0</v>
      </c>
    </row>
    <row r="7506" spans="1:25" ht="30.75" hidden="1" thickBot="1" x14ac:dyDescent="0.3">
      <c r="F7506" s="249" t="s">
        <v>259</v>
      </c>
      <c r="G7506" s="252" t="s">
        <v>260</v>
      </c>
      <c r="J7506" s="599">
        <f t="shared" si="211"/>
        <v>0</v>
      </c>
    </row>
    <row r="7507" spans="1:25" ht="15.75" hidden="1" thickBot="1" x14ac:dyDescent="0.3">
      <c r="F7507" s="249" t="s">
        <v>261</v>
      </c>
      <c r="G7507" s="252" t="s">
        <v>262</v>
      </c>
      <c r="J7507" s="599">
        <f t="shared" si="211"/>
        <v>0</v>
      </c>
    </row>
    <row r="7508" spans="1:25" ht="15.75" hidden="1" thickBot="1" x14ac:dyDescent="0.3">
      <c r="F7508" s="249" t="s">
        <v>263</v>
      </c>
      <c r="G7508" s="252" t="s">
        <v>264</v>
      </c>
      <c r="H7508" s="598"/>
      <c r="I7508" s="599"/>
      <c r="J7508" s="599">
        <f t="shared" si="211"/>
        <v>0</v>
      </c>
    </row>
    <row r="7509" spans="1:25" ht="15.75" hidden="1" collapsed="1" thickBot="1" x14ac:dyDescent="0.3">
      <c r="G7509" s="229" t="s">
        <v>4421</v>
      </c>
      <c r="H7509" s="600">
        <f>SUM(H7493:H7508)</f>
        <v>0</v>
      </c>
      <c r="I7509" s="601">
        <f>SUM(I7494:I7508)</f>
        <v>0</v>
      </c>
      <c r="J7509" s="601">
        <f>SUM(J7493:J7508)</f>
        <v>0</v>
      </c>
    </row>
    <row r="7510" spans="1:25" hidden="1" x14ac:dyDescent="0.25">
      <c r="G7510" s="286"/>
      <c r="H7510" s="604"/>
      <c r="I7510" s="605"/>
      <c r="J7510" s="605"/>
    </row>
    <row r="7511" spans="1:25" s="88" customFormat="1" hidden="1" x14ac:dyDescent="0.25">
      <c r="A7511" s="509"/>
      <c r="B7511" s="256"/>
      <c r="C7511" s="316"/>
      <c r="D7511" s="251"/>
      <c r="E7511" s="251"/>
      <c r="F7511" s="528"/>
      <c r="G7511" s="250" t="s">
        <v>4249</v>
      </c>
      <c r="H7511" s="606"/>
      <c r="I7511" s="624"/>
      <c r="J7511" s="607"/>
      <c r="K7511" s="533"/>
      <c r="L7511" s="533"/>
      <c r="M7511" s="533"/>
      <c r="N7511" s="533"/>
      <c r="O7511" s="533"/>
      <c r="P7511" s="533"/>
      <c r="Q7511" s="533"/>
      <c r="R7511" s="533"/>
      <c r="S7511" s="533"/>
      <c r="T7511" s="533"/>
      <c r="U7511" s="533"/>
      <c r="V7511" s="533"/>
      <c r="W7511" s="533"/>
      <c r="X7511" s="533"/>
      <c r="Y7511" s="533"/>
    </row>
    <row r="7512" spans="1:25" s="88" customFormat="1" ht="15.75" hidden="1" thickBot="1" x14ac:dyDescent="0.3">
      <c r="A7512" s="509"/>
      <c r="B7512" s="256"/>
      <c r="C7512" s="316"/>
      <c r="D7512" s="251"/>
      <c r="E7512" s="251"/>
      <c r="F7512" s="249" t="s">
        <v>234</v>
      </c>
      <c r="G7512" s="252" t="s">
        <v>235</v>
      </c>
      <c r="H7512" s="598">
        <f>SUM(H7493,H7382,H7444)</f>
        <v>0</v>
      </c>
      <c r="I7512" s="599"/>
      <c r="J7512" s="599">
        <f>SUM(H7512:I7512)</f>
        <v>0</v>
      </c>
      <c r="K7512" s="533"/>
      <c r="L7512" s="533"/>
      <c r="M7512" s="533"/>
      <c r="N7512" s="533"/>
      <c r="O7512" s="533"/>
      <c r="P7512" s="533"/>
      <c r="Q7512" s="533"/>
      <c r="R7512" s="533"/>
      <c r="S7512" s="533"/>
      <c r="T7512" s="533"/>
      <c r="U7512" s="533"/>
      <c r="V7512" s="533"/>
      <c r="W7512" s="533"/>
      <c r="X7512" s="533"/>
      <c r="Y7512" s="533"/>
    </row>
    <row r="7513" spans="1:25" s="88" customFormat="1" ht="15.75" hidden="1" thickBot="1" x14ac:dyDescent="0.3">
      <c r="A7513" s="509"/>
      <c r="B7513" s="256"/>
      <c r="C7513" s="316"/>
      <c r="D7513" s="251"/>
      <c r="E7513" s="251"/>
      <c r="F7513" s="249" t="s">
        <v>236</v>
      </c>
      <c r="G7513" s="252" t="s">
        <v>237</v>
      </c>
      <c r="H7513" s="594"/>
      <c r="I7513" s="595"/>
      <c r="J7513" s="599">
        <f t="shared" ref="J7513:J7527" si="212">SUM(H7513:I7513)</f>
        <v>0</v>
      </c>
      <c r="K7513" s="533"/>
      <c r="L7513" s="533"/>
      <c r="M7513" s="533"/>
      <c r="N7513" s="533"/>
      <c r="O7513" s="533"/>
      <c r="P7513" s="533"/>
      <c r="Q7513" s="533"/>
      <c r="R7513" s="533"/>
      <c r="S7513" s="533"/>
      <c r="T7513" s="533"/>
      <c r="U7513" s="533"/>
      <c r="V7513" s="533"/>
      <c r="W7513" s="533"/>
      <c r="X7513" s="533"/>
      <c r="Y7513" s="533"/>
    </row>
    <row r="7514" spans="1:25" s="88" customFormat="1" ht="15.75" hidden="1" thickBot="1" x14ac:dyDescent="0.3">
      <c r="A7514" s="509"/>
      <c r="B7514" s="256"/>
      <c r="C7514" s="316"/>
      <c r="D7514" s="251"/>
      <c r="E7514" s="251"/>
      <c r="F7514" s="249" t="s">
        <v>238</v>
      </c>
      <c r="G7514" s="252" t="s">
        <v>239</v>
      </c>
      <c r="H7514" s="594"/>
      <c r="I7514" s="595"/>
      <c r="J7514" s="599">
        <f t="shared" si="212"/>
        <v>0</v>
      </c>
      <c r="K7514" s="533"/>
      <c r="L7514" s="533"/>
      <c r="M7514" s="533"/>
      <c r="N7514" s="533"/>
      <c r="O7514" s="533"/>
      <c r="P7514" s="533"/>
      <c r="Q7514" s="533"/>
      <c r="R7514" s="533"/>
      <c r="S7514" s="533"/>
      <c r="T7514" s="533"/>
      <c r="U7514" s="533"/>
      <c r="V7514" s="533"/>
      <c r="W7514" s="533"/>
      <c r="X7514" s="533"/>
      <c r="Y7514" s="533"/>
    </row>
    <row r="7515" spans="1:25" s="88" customFormat="1" ht="15.75" hidden="1" thickBot="1" x14ac:dyDescent="0.3">
      <c r="A7515" s="509"/>
      <c r="B7515" s="256"/>
      <c r="C7515" s="316"/>
      <c r="D7515" s="251"/>
      <c r="E7515" s="251"/>
      <c r="F7515" s="249" t="s">
        <v>240</v>
      </c>
      <c r="G7515" s="252" t="s">
        <v>241</v>
      </c>
      <c r="H7515" s="594"/>
      <c r="I7515" s="595"/>
      <c r="J7515" s="599">
        <f t="shared" si="212"/>
        <v>0</v>
      </c>
      <c r="K7515" s="533"/>
      <c r="L7515" s="533"/>
      <c r="M7515" s="533"/>
      <c r="N7515" s="533"/>
      <c r="O7515" s="533"/>
      <c r="P7515" s="533"/>
      <c r="Q7515" s="533"/>
      <c r="R7515" s="533"/>
      <c r="S7515" s="533"/>
      <c r="T7515" s="533"/>
      <c r="U7515" s="533"/>
      <c r="V7515" s="533"/>
      <c r="W7515" s="533"/>
      <c r="X7515" s="533"/>
      <c r="Y7515" s="533"/>
    </row>
    <row r="7516" spans="1:25" s="88" customFormat="1" ht="15.75" hidden="1" thickBot="1" x14ac:dyDescent="0.3">
      <c r="A7516" s="509"/>
      <c r="B7516" s="256"/>
      <c r="C7516" s="316"/>
      <c r="D7516" s="251"/>
      <c r="E7516" s="251"/>
      <c r="F7516" s="249" t="s">
        <v>242</v>
      </c>
      <c r="G7516" s="252" t="s">
        <v>243</v>
      </c>
      <c r="H7516" s="594"/>
      <c r="I7516" s="595"/>
      <c r="J7516" s="599">
        <f t="shared" si="212"/>
        <v>0</v>
      </c>
      <c r="K7516" s="533"/>
      <c r="L7516" s="533"/>
      <c r="M7516" s="533"/>
      <c r="N7516" s="533"/>
      <c r="O7516" s="533"/>
      <c r="P7516" s="533"/>
      <c r="Q7516" s="533"/>
      <c r="R7516" s="533"/>
      <c r="S7516" s="533"/>
      <c r="T7516" s="533"/>
      <c r="U7516" s="533"/>
      <c r="V7516" s="533"/>
      <c r="W7516" s="533"/>
      <c r="X7516" s="533"/>
      <c r="Y7516" s="533"/>
    </row>
    <row r="7517" spans="1:25" s="88" customFormat="1" ht="15.75" hidden="1" thickBot="1" x14ac:dyDescent="0.3">
      <c r="A7517" s="509"/>
      <c r="B7517" s="256"/>
      <c r="C7517" s="316"/>
      <c r="D7517" s="251"/>
      <c r="E7517" s="251"/>
      <c r="F7517" s="249" t="s">
        <v>244</v>
      </c>
      <c r="G7517" s="252" t="s">
        <v>245</v>
      </c>
      <c r="H7517" s="594"/>
      <c r="I7517" s="595"/>
      <c r="J7517" s="599">
        <f t="shared" si="212"/>
        <v>0</v>
      </c>
      <c r="K7517" s="533"/>
      <c r="L7517" s="533"/>
      <c r="M7517" s="533"/>
      <c r="N7517" s="533"/>
      <c r="O7517" s="533"/>
      <c r="P7517" s="533"/>
      <c r="Q7517" s="533"/>
      <c r="R7517" s="533"/>
      <c r="S7517" s="533"/>
      <c r="T7517" s="533"/>
      <c r="U7517" s="533"/>
      <c r="V7517" s="533"/>
      <c r="W7517" s="533"/>
      <c r="X7517" s="533"/>
      <c r="Y7517" s="533"/>
    </row>
    <row r="7518" spans="1:25" s="88" customFormat="1" ht="15.75" hidden="1" thickBot="1" x14ac:dyDescent="0.3">
      <c r="A7518" s="509"/>
      <c r="B7518" s="256"/>
      <c r="C7518" s="316"/>
      <c r="D7518" s="251"/>
      <c r="E7518" s="251"/>
      <c r="F7518" s="249" t="s">
        <v>246</v>
      </c>
      <c r="G7518" s="252" t="s">
        <v>247</v>
      </c>
      <c r="H7518" s="594"/>
      <c r="I7518" s="595"/>
      <c r="J7518" s="599">
        <f t="shared" si="212"/>
        <v>0</v>
      </c>
      <c r="K7518" s="533"/>
      <c r="L7518" s="533"/>
      <c r="M7518" s="533"/>
      <c r="N7518" s="533"/>
      <c r="O7518" s="533"/>
      <c r="P7518" s="533"/>
      <c r="Q7518" s="533"/>
      <c r="R7518" s="533"/>
      <c r="S7518" s="533"/>
      <c r="T7518" s="533"/>
      <c r="U7518" s="533"/>
      <c r="V7518" s="533"/>
      <c r="W7518" s="533"/>
      <c r="X7518" s="533"/>
      <c r="Y7518" s="533"/>
    </row>
    <row r="7519" spans="1:25" s="88" customFormat="1" ht="15.75" hidden="1" thickBot="1" x14ac:dyDescent="0.3">
      <c r="A7519" s="509"/>
      <c r="B7519" s="256"/>
      <c r="C7519" s="316"/>
      <c r="D7519" s="251"/>
      <c r="E7519" s="251"/>
      <c r="F7519" s="249" t="s">
        <v>248</v>
      </c>
      <c r="G7519" s="252" t="s">
        <v>249</v>
      </c>
      <c r="H7519" s="594"/>
      <c r="I7519" s="595"/>
      <c r="J7519" s="599">
        <f t="shared" si="212"/>
        <v>0</v>
      </c>
      <c r="K7519" s="533"/>
      <c r="L7519" s="533"/>
      <c r="M7519" s="533"/>
      <c r="N7519" s="533"/>
      <c r="O7519" s="533"/>
      <c r="P7519" s="533"/>
      <c r="Q7519" s="533"/>
      <c r="R7519" s="533"/>
      <c r="S7519" s="533"/>
      <c r="T7519" s="533"/>
      <c r="U7519" s="533"/>
      <c r="V7519" s="533"/>
      <c r="W7519" s="533"/>
      <c r="X7519" s="533"/>
      <c r="Y7519" s="533"/>
    </row>
    <row r="7520" spans="1:25" s="88" customFormat="1" ht="15.75" hidden="1" thickBot="1" x14ac:dyDescent="0.3">
      <c r="A7520" s="509"/>
      <c r="B7520" s="256"/>
      <c r="C7520" s="316"/>
      <c r="D7520" s="251"/>
      <c r="E7520" s="251"/>
      <c r="F7520" s="249" t="s">
        <v>250</v>
      </c>
      <c r="G7520" s="252" t="s">
        <v>57</v>
      </c>
      <c r="H7520" s="594"/>
      <c r="I7520" s="595"/>
      <c r="J7520" s="599">
        <f t="shared" si="212"/>
        <v>0</v>
      </c>
      <c r="K7520" s="533"/>
      <c r="L7520" s="533"/>
      <c r="M7520" s="533"/>
      <c r="N7520" s="533"/>
      <c r="O7520" s="533"/>
      <c r="P7520" s="533"/>
      <c r="Q7520" s="533"/>
      <c r="R7520" s="533"/>
      <c r="S7520" s="533"/>
      <c r="T7520" s="533"/>
      <c r="U7520" s="533"/>
      <c r="V7520" s="533"/>
      <c r="W7520" s="533"/>
      <c r="X7520" s="533"/>
      <c r="Y7520" s="533"/>
    </row>
    <row r="7521" spans="1:25" s="88" customFormat="1" ht="15.75" hidden="1" thickBot="1" x14ac:dyDescent="0.3">
      <c r="A7521" s="509"/>
      <c r="B7521" s="256"/>
      <c r="C7521" s="316"/>
      <c r="D7521" s="251"/>
      <c r="E7521" s="251"/>
      <c r="F7521" s="249" t="s">
        <v>251</v>
      </c>
      <c r="G7521" s="252" t="s">
        <v>252</v>
      </c>
      <c r="H7521" s="594"/>
      <c r="I7521" s="595"/>
      <c r="J7521" s="599">
        <f t="shared" si="212"/>
        <v>0</v>
      </c>
      <c r="K7521" s="533"/>
      <c r="L7521" s="533"/>
      <c r="M7521" s="533"/>
      <c r="N7521" s="533"/>
      <c r="O7521" s="533"/>
      <c r="P7521" s="533"/>
      <c r="Q7521" s="533"/>
      <c r="R7521" s="533"/>
      <c r="S7521" s="533"/>
      <c r="T7521" s="533"/>
      <c r="U7521" s="533"/>
      <c r="V7521" s="533"/>
      <c r="W7521" s="533"/>
      <c r="X7521" s="533"/>
      <c r="Y7521" s="533"/>
    </row>
    <row r="7522" spans="1:25" s="88" customFormat="1" ht="15.75" hidden="1" thickBot="1" x14ac:dyDescent="0.3">
      <c r="A7522" s="509"/>
      <c r="B7522" s="256"/>
      <c r="C7522" s="316"/>
      <c r="D7522" s="251"/>
      <c r="E7522" s="251"/>
      <c r="F7522" s="249" t="s">
        <v>253</v>
      </c>
      <c r="G7522" s="252" t="s">
        <v>254</v>
      </c>
      <c r="H7522" s="594"/>
      <c r="I7522" s="595"/>
      <c r="J7522" s="599">
        <f t="shared" si="212"/>
        <v>0</v>
      </c>
      <c r="K7522" s="533"/>
      <c r="L7522" s="533"/>
      <c r="M7522" s="533"/>
      <c r="N7522" s="533"/>
      <c r="O7522" s="533"/>
      <c r="P7522" s="533"/>
      <c r="Q7522" s="533"/>
      <c r="R7522" s="533"/>
      <c r="S7522" s="533"/>
      <c r="T7522" s="533"/>
      <c r="U7522" s="533"/>
      <c r="V7522" s="533"/>
      <c r="W7522" s="533"/>
      <c r="X7522" s="533"/>
      <c r="Y7522" s="533"/>
    </row>
    <row r="7523" spans="1:25" s="88" customFormat="1" ht="30.75" hidden="1" thickBot="1" x14ac:dyDescent="0.3">
      <c r="A7523" s="509"/>
      <c r="B7523" s="256"/>
      <c r="C7523" s="316"/>
      <c r="D7523" s="251"/>
      <c r="E7523" s="251"/>
      <c r="F7523" s="249" t="s">
        <v>255</v>
      </c>
      <c r="G7523" s="252" t="s">
        <v>256</v>
      </c>
      <c r="H7523" s="594"/>
      <c r="I7523" s="595"/>
      <c r="J7523" s="599">
        <f t="shared" si="212"/>
        <v>0</v>
      </c>
      <c r="K7523" s="533"/>
      <c r="L7523" s="533"/>
      <c r="M7523" s="533"/>
      <c r="N7523" s="533"/>
      <c r="O7523" s="533"/>
      <c r="P7523" s="533"/>
      <c r="Q7523" s="533"/>
      <c r="R7523" s="533"/>
      <c r="S7523" s="533"/>
      <c r="T7523" s="533"/>
      <c r="U7523" s="533"/>
      <c r="V7523" s="533"/>
      <c r="W7523" s="533"/>
      <c r="X7523" s="533"/>
      <c r="Y7523" s="533"/>
    </row>
    <row r="7524" spans="1:25" s="88" customFormat="1" ht="15.75" hidden="1" thickBot="1" x14ac:dyDescent="0.3">
      <c r="A7524" s="509"/>
      <c r="B7524" s="256"/>
      <c r="C7524" s="316"/>
      <c r="D7524" s="251"/>
      <c r="E7524" s="251"/>
      <c r="F7524" s="249" t="s">
        <v>257</v>
      </c>
      <c r="G7524" s="252" t="s">
        <v>258</v>
      </c>
      <c r="H7524" s="594"/>
      <c r="I7524" s="595"/>
      <c r="J7524" s="599">
        <f t="shared" si="212"/>
        <v>0</v>
      </c>
      <c r="K7524" s="533"/>
      <c r="L7524" s="533"/>
      <c r="M7524" s="533"/>
      <c r="N7524" s="533"/>
      <c r="O7524" s="533"/>
      <c r="P7524" s="533"/>
      <c r="Q7524" s="533"/>
      <c r="R7524" s="533"/>
      <c r="S7524" s="533"/>
      <c r="T7524" s="533"/>
      <c r="U7524" s="533"/>
      <c r="V7524" s="533"/>
      <c r="W7524" s="533"/>
      <c r="X7524" s="533"/>
      <c r="Y7524" s="533"/>
    </row>
    <row r="7525" spans="1:25" s="88" customFormat="1" ht="30.75" hidden="1" thickBot="1" x14ac:dyDescent="0.3">
      <c r="A7525" s="509"/>
      <c r="B7525" s="256"/>
      <c r="C7525" s="316"/>
      <c r="D7525" s="251"/>
      <c r="E7525" s="251"/>
      <c r="F7525" s="249" t="s">
        <v>259</v>
      </c>
      <c r="G7525" s="252" t="s">
        <v>260</v>
      </c>
      <c r="H7525" s="594"/>
      <c r="I7525" s="595"/>
      <c r="J7525" s="599">
        <f t="shared" si="212"/>
        <v>0</v>
      </c>
      <c r="K7525" s="533"/>
      <c r="L7525" s="533"/>
      <c r="M7525" s="533"/>
      <c r="N7525" s="533"/>
      <c r="O7525" s="533"/>
      <c r="P7525" s="533"/>
      <c r="Q7525" s="533"/>
      <c r="R7525" s="533"/>
      <c r="S7525" s="533"/>
      <c r="T7525" s="533"/>
      <c r="U7525" s="533"/>
      <c r="V7525" s="533"/>
      <c r="W7525" s="533"/>
      <c r="X7525" s="533"/>
      <c r="Y7525" s="533"/>
    </row>
    <row r="7526" spans="1:25" s="88" customFormat="1" ht="15.75" hidden="1" thickBot="1" x14ac:dyDescent="0.3">
      <c r="A7526" s="509"/>
      <c r="B7526" s="256"/>
      <c r="C7526" s="316"/>
      <c r="D7526" s="251"/>
      <c r="E7526" s="251"/>
      <c r="F7526" s="249" t="s">
        <v>261</v>
      </c>
      <c r="G7526" s="252" t="s">
        <v>262</v>
      </c>
      <c r="H7526" s="594"/>
      <c r="I7526" s="595"/>
      <c r="J7526" s="599">
        <f t="shared" si="212"/>
        <v>0</v>
      </c>
      <c r="K7526" s="533"/>
      <c r="L7526" s="533"/>
      <c r="M7526" s="533"/>
      <c r="N7526" s="533"/>
      <c r="O7526" s="533"/>
      <c r="P7526" s="533"/>
      <c r="Q7526" s="533"/>
      <c r="R7526" s="533"/>
      <c r="S7526" s="533"/>
      <c r="T7526" s="533"/>
      <c r="U7526" s="533"/>
      <c r="V7526" s="533"/>
      <c r="W7526" s="533"/>
      <c r="X7526" s="533"/>
      <c r="Y7526" s="533"/>
    </row>
    <row r="7527" spans="1:25" s="88" customFormat="1" ht="15.75" hidden="1" thickBot="1" x14ac:dyDescent="0.3">
      <c r="A7527" s="509"/>
      <c r="B7527" s="256"/>
      <c r="C7527" s="316"/>
      <c r="D7527" s="251"/>
      <c r="E7527" s="251"/>
      <c r="F7527" s="249" t="s">
        <v>263</v>
      </c>
      <c r="G7527" s="252" t="s">
        <v>264</v>
      </c>
      <c r="H7527" s="598"/>
      <c r="I7527" s="599"/>
      <c r="J7527" s="599">
        <f t="shared" si="212"/>
        <v>0</v>
      </c>
      <c r="K7527" s="533"/>
      <c r="L7527" s="533"/>
      <c r="M7527" s="533"/>
      <c r="N7527" s="533"/>
      <c r="O7527" s="533"/>
      <c r="P7527" s="533"/>
      <c r="Q7527" s="533"/>
      <c r="R7527" s="533"/>
      <c r="S7527" s="533"/>
      <c r="T7527" s="533"/>
      <c r="U7527" s="533"/>
      <c r="V7527" s="533"/>
      <c r="W7527" s="533"/>
      <c r="X7527" s="533"/>
      <c r="Y7527" s="533"/>
    </row>
    <row r="7528" spans="1:25" s="88" customFormat="1" ht="15.75" hidden="1" thickBot="1" x14ac:dyDescent="0.3">
      <c r="A7528" s="509"/>
      <c r="B7528" s="256"/>
      <c r="C7528" s="316"/>
      <c r="D7528" s="251"/>
      <c r="E7528" s="251"/>
      <c r="F7528" s="218"/>
      <c r="G7528" s="229" t="s">
        <v>4250</v>
      </c>
      <c r="H7528" s="600">
        <f>SUM(H7512:H7527)</f>
        <v>0</v>
      </c>
      <c r="I7528" s="601">
        <f>SUM(I7513:I7527)</f>
        <v>0</v>
      </c>
      <c r="J7528" s="601">
        <f>SUM(J7512:J7527)</f>
        <v>0</v>
      </c>
      <c r="K7528" s="533"/>
      <c r="L7528" s="533"/>
      <c r="M7528" s="533"/>
      <c r="N7528" s="533"/>
      <c r="O7528" s="533"/>
      <c r="P7528" s="533"/>
      <c r="Q7528" s="533"/>
      <c r="R7528" s="533"/>
      <c r="S7528" s="533"/>
      <c r="T7528" s="533"/>
      <c r="U7528" s="533"/>
      <c r="V7528" s="533"/>
      <c r="W7528" s="533"/>
      <c r="X7528" s="533"/>
      <c r="Y7528" s="533"/>
    </row>
    <row r="7529" spans="1:25" hidden="1" x14ac:dyDescent="0.25">
      <c r="G7529" s="286"/>
      <c r="H7529" s="604"/>
      <c r="I7529" s="605"/>
      <c r="J7529" s="605"/>
    </row>
    <row r="7530" spans="1:25" hidden="1" x14ac:dyDescent="0.25">
      <c r="G7530" s="286"/>
      <c r="H7530" s="604"/>
      <c r="I7530" s="605"/>
      <c r="J7530" s="605"/>
    </row>
    <row r="7531" spans="1:25" s="88" customFormat="1" hidden="1" x14ac:dyDescent="0.25">
      <c r="A7531" s="261"/>
      <c r="B7531" s="256"/>
      <c r="C7531" s="265" t="s">
        <v>3584</v>
      </c>
      <c r="D7531" s="265"/>
      <c r="E7531" s="248"/>
      <c r="F7531" s="248"/>
      <c r="G7531" s="306" t="s">
        <v>4266</v>
      </c>
      <c r="H7531" s="611"/>
      <c r="I7531" s="612"/>
      <c r="J7531" s="612"/>
      <c r="K7531" s="533"/>
      <c r="L7531" s="533"/>
      <c r="M7531" s="533"/>
      <c r="N7531" s="533"/>
      <c r="O7531" s="533"/>
      <c r="P7531" s="533"/>
      <c r="Q7531" s="533"/>
      <c r="R7531" s="533"/>
      <c r="S7531" s="533"/>
      <c r="T7531" s="533"/>
      <c r="U7531" s="533"/>
      <c r="V7531" s="533"/>
      <c r="W7531" s="533"/>
      <c r="X7531" s="533"/>
      <c r="Y7531" s="533"/>
    </row>
    <row r="7532" spans="1:25" hidden="1" x14ac:dyDescent="0.25">
      <c r="C7532" s="228" t="s">
        <v>4171</v>
      </c>
      <c r="D7532" s="219"/>
      <c r="G7532" s="262" t="s">
        <v>4123</v>
      </c>
    </row>
    <row r="7533" spans="1:25" s="88" customFormat="1" hidden="1" x14ac:dyDescent="0.25">
      <c r="A7533" s="261"/>
      <c r="B7533" s="256"/>
      <c r="C7533" s="265"/>
      <c r="D7533" s="328">
        <v>451</v>
      </c>
      <c r="E7533" s="329"/>
      <c r="F7533" s="329"/>
      <c r="G7533" s="330" t="s">
        <v>153</v>
      </c>
      <c r="H7533" s="611"/>
      <c r="I7533" s="612"/>
      <c r="J7533" s="612"/>
      <c r="K7533" s="533"/>
      <c r="L7533" s="533"/>
      <c r="M7533" s="533"/>
      <c r="N7533" s="533"/>
      <c r="O7533" s="533"/>
      <c r="P7533" s="533"/>
      <c r="Q7533" s="533"/>
      <c r="R7533" s="533"/>
      <c r="S7533" s="533"/>
      <c r="T7533" s="533"/>
      <c r="U7533" s="533"/>
      <c r="V7533" s="533"/>
      <c r="W7533" s="533"/>
      <c r="X7533" s="533"/>
      <c r="Y7533" s="533"/>
    </row>
    <row r="7534" spans="1:25" hidden="1" x14ac:dyDescent="0.25">
      <c r="F7534" s="263">
        <v>411</v>
      </c>
      <c r="G7534" s="295" t="s">
        <v>4189</v>
      </c>
      <c r="J7534" s="595">
        <f>SUM(H7534:I7534)</f>
        <v>0</v>
      </c>
    </row>
    <row r="7535" spans="1:25" hidden="1" x14ac:dyDescent="0.25">
      <c r="F7535" s="263">
        <v>412</v>
      </c>
      <c r="G7535" s="292" t="s">
        <v>3784</v>
      </c>
      <c r="J7535" s="595">
        <f t="shared" ref="J7535:J7593" si="213">SUM(H7535:I7535)</f>
        <v>0</v>
      </c>
    </row>
    <row r="7536" spans="1:25" hidden="1" x14ac:dyDescent="0.25">
      <c r="F7536" s="263">
        <v>413</v>
      </c>
      <c r="G7536" s="295" t="s">
        <v>4190</v>
      </c>
      <c r="J7536" s="595">
        <f t="shared" si="213"/>
        <v>0</v>
      </c>
    </row>
    <row r="7537" spans="6:10" hidden="1" x14ac:dyDescent="0.25">
      <c r="F7537" s="263">
        <v>414</v>
      </c>
      <c r="G7537" s="295" t="s">
        <v>3787</v>
      </c>
      <c r="J7537" s="595">
        <f t="shared" si="213"/>
        <v>0</v>
      </c>
    </row>
    <row r="7538" spans="6:10" hidden="1" x14ac:dyDescent="0.25">
      <c r="F7538" s="263">
        <v>415</v>
      </c>
      <c r="G7538" s="295" t="s">
        <v>4199</v>
      </c>
      <c r="J7538" s="595">
        <f t="shared" si="213"/>
        <v>0</v>
      </c>
    </row>
    <row r="7539" spans="6:10" hidden="1" x14ac:dyDescent="0.25">
      <c r="F7539" s="263">
        <v>416</v>
      </c>
      <c r="G7539" s="295" t="s">
        <v>4200</v>
      </c>
      <c r="J7539" s="595">
        <f t="shared" si="213"/>
        <v>0</v>
      </c>
    </row>
    <row r="7540" spans="6:10" hidden="1" x14ac:dyDescent="0.25">
      <c r="F7540" s="263">
        <v>417</v>
      </c>
      <c r="G7540" s="295" t="s">
        <v>4201</v>
      </c>
      <c r="J7540" s="595">
        <f t="shared" si="213"/>
        <v>0</v>
      </c>
    </row>
    <row r="7541" spans="6:10" hidden="1" x14ac:dyDescent="0.25">
      <c r="F7541" s="263">
        <v>418</v>
      </c>
      <c r="G7541" s="295" t="s">
        <v>3793</v>
      </c>
      <c r="J7541" s="595">
        <f t="shared" si="213"/>
        <v>0</v>
      </c>
    </row>
    <row r="7542" spans="6:10" hidden="1" x14ac:dyDescent="0.25">
      <c r="F7542" s="263">
        <v>421</v>
      </c>
      <c r="G7542" s="295" t="s">
        <v>3797</v>
      </c>
      <c r="J7542" s="595">
        <f t="shared" si="213"/>
        <v>0</v>
      </c>
    </row>
    <row r="7543" spans="6:10" hidden="1" x14ac:dyDescent="0.25">
      <c r="F7543" s="263">
        <v>422</v>
      </c>
      <c r="G7543" s="295" t="s">
        <v>3798</v>
      </c>
      <c r="J7543" s="595">
        <f t="shared" si="213"/>
        <v>0</v>
      </c>
    </row>
    <row r="7544" spans="6:10" hidden="1" x14ac:dyDescent="0.25">
      <c r="F7544" s="263">
        <v>423</v>
      </c>
      <c r="G7544" s="295" t="s">
        <v>3799</v>
      </c>
      <c r="J7544" s="595">
        <f t="shared" si="213"/>
        <v>0</v>
      </c>
    </row>
    <row r="7545" spans="6:10" hidden="1" x14ac:dyDescent="0.25">
      <c r="F7545" s="263">
        <v>424</v>
      </c>
      <c r="G7545" s="295" t="s">
        <v>3801</v>
      </c>
      <c r="J7545" s="595">
        <f t="shared" si="213"/>
        <v>0</v>
      </c>
    </row>
    <row r="7546" spans="6:10" hidden="1" x14ac:dyDescent="0.25">
      <c r="F7546" s="263">
        <v>425</v>
      </c>
      <c r="G7546" s="295" t="s">
        <v>4202</v>
      </c>
      <c r="J7546" s="595">
        <f t="shared" si="213"/>
        <v>0</v>
      </c>
    </row>
    <row r="7547" spans="6:10" hidden="1" x14ac:dyDescent="0.25">
      <c r="F7547" s="263">
        <v>426</v>
      </c>
      <c r="G7547" s="295" t="s">
        <v>3805</v>
      </c>
      <c r="J7547" s="595">
        <f t="shared" si="213"/>
        <v>0</v>
      </c>
    </row>
    <row r="7548" spans="6:10" hidden="1" x14ac:dyDescent="0.25">
      <c r="F7548" s="263">
        <v>431</v>
      </c>
      <c r="G7548" s="295" t="s">
        <v>4203</v>
      </c>
      <c r="J7548" s="595">
        <f t="shared" si="213"/>
        <v>0</v>
      </c>
    </row>
    <row r="7549" spans="6:10" hidden="1" x14ac:dyDescent="0.25">
      <c r="F7549" s="263">
        <v>432</v>
      </c>
      <c r="G7549" s="295" t="s">
        <v>4204</v>
      </c>
      <c r="J7549" s="595">
        <f t="shared" si="213"/>
        <v>0</v>
      </c>
    </row>
    <row r="7550" spans="6:10" hidden="1" x14ac:dyDescent="0.25">
      <c r="F7550" s="263">
        <v>433</v>
      </c>
      <c r="G7550" s="295" t="s">
        <v>4205</v>
      </c>
      <c r="J7550" s="595">
        <f t="shared" si="213"/>
        <v>0</v>
      </c>
    </row>
    <row r="7551" spans="6:10" hidden="1" x14ac:dyDescent="0.25">
      <c r="F7551" s="263">
        <v>434</v>
      </c>
      <c r="G7551" s="295" t="s">
        <v>4206</v>
      </c>
      <c r="J7551" s="595">
        <f t="shared" si="213"/>
        <v>0</v>
      </c>
    </row>
    <row r="7552" spans="6:10" hidden="1" x14ac:dyDescent="0.25">
      <c r="F7552" s="263">
        <v>435</v>
      </c>
      <c r="G7552" s="295" t="s">
        <v>3812</v>
      </c>
      <c r="J7552" s="595">
        <f t="shared" si="213"/>
        <v>0</v>
      </c>
    </row>
    <row r="7553" spans="6:10" hidden="1" x14ac:dyDescent="0.25">
      <c r="F7553" s="263">
        <v>441</v>
      </c>
      <c r="G7553" s="295" t="s">
        <v>4207</v>
      </c>
      <c r="J7553" s="595">
        <f t="shared" si="213"/>
        <v>0</v>
      </c>
    </row>
    <row r="7554" spans="6:10" hidden="1" x14ac:dyDescent="0.25">
      <c r="F7554" s="263">
        <v>442</v>
      </c>
      <c r="G7554" s="295" t="s">
        <v>4208</v>
      </c>
      <c r="J7554" s="595">
        <f t="shared" si="213"/>
        <v>0</v>
      </c>
    </row>
    <row r="7555" spans="6:10" hidden="1" x14ac:dyDescent="0.25">
      <c r="F7555" s="263">
        <v>443</v>
      </c>
      <c r="G7555" s="295" t="s">
        <v>3817</v>
      </c>
      <c r="J7555" s="595">
        <f t="shared" si="213"/>
        <v>0</v>
      </c>
    </row>
    <row r="7556" spans="6:10" hidden="1" x14ac:dyDescent="0.25">
      <c r="F7556" s="263">
        <v>444</v>
      </c>
      <c r="G7556" s="295" t="s">
        <v>3818</v>
      </c>
      <c r="J7556" s="595">
        <f t="shared" si="213"/>
        <v>0</v>
      </c>
    </row>
    <row r="7557" spans="6:10" ht="30" hidden="1" x14ac:dyDescent="0.25">
      <c r="F7557" s="263">
        <v>4511</v>
      </c>
      <c r="G7557" s="223" t="s">
        <v>1692</v>
      </c>
      <c r="J7557" s="595">
        <f t="shared" si="213"/>
        <v>0</v>
      </c>
    </row>
    <row r="7558" spans="6:10" ht="30" hidden="1" x14ac:dyDescent="0.25">
      <c r="F7558" s="263">
        <v>4512</v>
      </c>
      <c r="G7558" s="223" t="s">
        <v>1701</v>
      </c>
      <c r="J7558" s="595">
        <f t="shared" si="213"/>
        <v>0</v>
      </c>
    </row>
    <row r="7559" spans="6:10" hidden="1" x14ac:dyDescent="0.25">
      <c r="F7559" s="263">
        <v>452</v>
      </c>
      <c r="G7559" s="295" t="s">
        <v>4209</v>
      </c>
      <c r="J7559" s="595">
        <f t="shared" si="213"/>
        <v>0</v>
      </c>
    </row>
    <row r="7560" spans="6:10" hidden="1" x14ac:dyDescent="0.25">
      <c r="F7560" s="263">
        <v>453</v>
      </c>
      <c r="G7560" s="295" t="s">
        <v>4210</v>
      </c>
      <c r="J7560" s="595">
        <f t="shared" si="213"/>
        <v>0</v>
      </c>
    </row>
    <row r="7561" spans="6:10" hidden="1" x14ac:dyDescent="0.25">
      <c r="F7561" s="263">
        <v>454</v>
      </c>
      <c r="G7561" s="295" t="s">
        <v>3823</v>
      </c>
      <c r="J7561" s="595">
        <f t="shared" si="213"/>
        <v>0</v>
      </c>
    </row>
    <row r="7562" spans="6:10" hidden="1" x14ac:dyDescent="0.25">
      <c r="F7562" s="263">
        <v>461</v>
      </c>
      <c r="G7562" s="295" t="s">
        <v>4191</v>
      </c>
      <c r="J7562" s="595">
        <f t="shared" si="213"/>
        <v>0</v>
      </c>
    </row>
    <row r="7563" spans="6:10" hidden="1" x14ac:dyDescent="0.25">
      <c r="F7563" s="263">
        <v>462</v>
      </c>
      <c r="G7563" s="295" t="s">
        <v>3826</v>
      </c>
      <c r="J7563" s="595">
        <f t="shared" si="213"/>
        <v>0</v>
      </c>
    </row>
    <row r="7564" spans="6:10" hidden="1" x14ac:dyDescent="0.25">
      <c r="F7564" s="263">
        <v>4631</v>
      </c>
      <c r="G7564" s="295" t="s">
        <v>3827</v>
      </c>
      <c r="J7564" s="595">
        <f t="shared" si="213"/>
        <v>0</v>
      </c>
    </row>
    <row r="7565" spans="6:10" hidden="1" x14ac:dyDescent="0.25">
      <c r="F7565" s="263">
        <v>4632</v>
      </c>
      <c r="G7565" s="295" t="s">
        <v>3828</v>
      </c>
      <c r="J7565" s="595">
        <f t="shared" si="213"/>
        <v>0</v>
      </c>
    </row>
    <row r="7566" spans="6:10" hidden="1" x14ac:dyDescent="0.25">
      <c r="F7566" s="263">
        <v>464</v>
      </c>
      <c r="G7566" s="295" t="s">
        <v>3829</v>
      </c>
      <c r="J7566" s="595">
        <f t="shared" si="213"/>
        <v>0</v>
      </c>
    </row>
    <row r="7567" spans="6:10" hidden="1" x14ac:dyDescent="0.25">
      <c r="F7567" s="263">
        <v>465</v>
      </c>
      <c r="G7567" s="295" t="s">
        <v>4192</v>
      </c>
      <c r="J7567" s="595">
        <f t="shared" si="213"/>
        <v>0</v>
      </c>
    </row>
    <row r="7568" spans="6:10" hidden="1" x14ac:dyDescent="0.25">
      <c r="F7568" s="263">
        <v>472</v>
      </c>
      <c r="G7568" s="295" t="s">
        <v>3833</v>
      </c>
      <c r="J7568" s="595">
        <f t="shared" si="213"/>
        <v>0</v>
      </c>
    </row>
    <row r="7569" spans="6:10" hidden="1" x14ac:dyDescent="0.25">
      <c r="F7569" s="263">
        <v>481</v>
      </c>
      <c r="G7569" s="295" t="s">
        <v>4211</v>
      </c>
      <c r="J7569" s="595">
        <f t="shared" si="213"/>
        <v>0</v>
      </c>
    </row>
    <row r="7570" spans="6:10" hidden="1" x14ac:dyDescent="0.25">
      <c r="F7570" s="263">
        <v>482</v>
      </c>
      <c r="G7570" s="295" t="s">
        <v>4212</v>
      </c>
      <c r="J7570" s="595">
        <f t="shared" si="213"/>
        <v>0</v>
      </c>
    </row>
    <row r="7571" spans="6:10" hidden="1" x14ac:dyDescent="0.25">
      <c r="F7571" s="263">
        <v>483</v>
      </c>
      <c r="G7571" s="298" t="s">
        <v>4213</v>
      </c>
      <c r="J7571" s="595">
        <f t="shared" si="213"/>
        <v>0</v>
      </c>
    </row>
    <row r="7572" spans="6:10" ht="30" hidden="1" x14ac:dyDescent="0.25">
      <c r="F7572" s="263">
        <v>484</v>
      </c>
      <c r="G7572" s="295" t="s">
        <v>4214</v>
      </c>
      <c r="J7572" s="595">
        <f t="shared" si="213"/>
        <v>0</v>
      </c>
    </row>
    <row r="7573" spans="6:10" ht="30" hidden="1" x14ac:dyDescent="0.25">
      <c r="F7573" s="263">
        <v>485</v>
      </c>
      <c r="G7573" s="295" t="s">
        <v>4215</v>
      </c>
      <c r="J7573" s="595">
        <f t="shared" si="213"/>
        <v>0</v>
      </c>
    </row>
    <row r="7574" spans="6:10" ht="30" hidden="1" x14ac:dyDescent="0.25">
      <c r="F7574" s="263">
        <v>489</v>
      </c>
      <c r="G7574" s="295" t="s">
        <v>3841</v>
      </c>
      <c r="J7574" s="595">
        <f t="shared" si="213"/>
        <v>0</v>
      </c>
    </row>
    <row r="7575" spans="6:10" hidden="1" x14ac:dyDescent="0.25">
      <c r="F7575" s="263">
        <v>494</v>
      </c>
      <c r="G7575" s="295" t="s">
        <v>4193</v>
      </c>
      <c r="J7575" s="595">
        <f t="shared" si="213"/>
        <v>0</v>
      </c>
    </row>
    <row r="7576" spans="6:10" ht="30" hidden="1" x14ac:dyDescent="0.25">
      <c r="F7576" s="263">
        <v>495</v>
      </c>
      <c r="G7576" s="295" t="s">
        <v>4194</v>
      </c>
      <c r="J7576" s="595">
        <f t="shared" si="213"/>
        <v>0</v>
      </c>
    </row>
    <row r="7577" spans="6:10" ht="30" hidden="1" x14ac:dyDescent="0.25">
      <c r="F7577" s="263">
        <v>496</v>
      </c>
      <c r="G7577" s="295" t="s">
        <v>4195</v>
      </c>
      <c r="J7577" s="595">
        <f t="shared" si="213"/>
        <v>0</v>
      </c>
    </row>
    <row r="7578" spans="6:10" hidden="1" x14ac:dyDescent="0.25">
      <c r="F7578" s="263">
        <v>499</v>
      </c>
      <c r="G7578" s="295" t="s">
        <v>4196</v>
      </c>
      <c r="J7578" s="595">
        <f t="shared" si="213"/>
        <v>0</v>
      </c>
    </row>
    <row r="7579" spans="6:10" ht="15.75" hidden="1" thickBot="1" x14ac:dyDescent="0.3">
      <c r="F7579" s="263">
        <v>511</v>
      </c>
      <c r="G7579" s="298" t="s">
        <v>4216</v>
      </c>
      <c r="J7579" s="595">
        <f t="shared" si="213"/>
        <v>0</v>
      </c>
    </row>
    <row r="7580" spans="6:10" ht="15.75" hidden="1" thickBot="1" x14ac:dyDescent="0.3">
      <c r="F7580" s="263">
        <v>512</v>
      </c>
      <c r="G7580" s="298" t="s">
        <v>4217</v>
      </c>
      <c r="J7580" s="595">
        <f t="shared" si="213"/>
        <v>0</v>
      </c>
    </row>
    <row r="7581" spans="6:10" hidden="1" x14ac:dyDescent="0.25">
      <c r="F7581" s="263">
        <v>513</v>
      </c>
      <c r="G7581" s="298" t="s">
        <v>4218</v>
      </c>
      <c r="J7581" s="595">
        <f t="shared" si="213"/>
        <v>0</v>
      </c>
    </row>
    <row r="7582" spans="6:10" hidden="1" x14ac:dyDescent="0.25">
      <c r="F7582" s="263">
        <v>514</v>
      </c>
      <c r="G7582" s="295" t="s">
        <v>4219</v>
      </c>
      <c r="J7582" s="595">
        <f t="shared" si="213"/>
        <v>0</v>
      </c>
    </row>
    <row r="7583" spans="6:10" hidden="1" x14ac:dyDescent="0.25">
      <c r="F7583" s="263">
        <v>515</v>
      </c>
      <c r="G7583" s="295" t="s">
        <v>3852</v>
      </c>
      <c r="J7583" s="595">
        <f t="shared" si="213"/>
        <v>0</v>
      </c>
    </row>
    <row r="7584" spans="6:10" hidden="1" x14ac:dyDescent="0.25">
      <c r="F7584" s="263">
        <v>521</v>
      </c>
      <c r="G7584" s="295" t="s">
        <v>4220</v>
      </c>
      <c r="J7584" s="595">
        <f t="shared" si="213"/>
        <v>0</v>
      </c>
    </row>
    <row r="7585" spans="5:10" hidden="1" x14ac:dyDescent="0.25">
      <c r="F7585" s="263">
        <v>522</v>
      </c>
      <c r="G7585" s="295" t="s">
        <v>4221</v>
      </c>
      <c r="J7585" s="595">
        <f t="shared" si="213"/>
        <v>0</v>
      </c>
    </row>
    <row r="7586" spans="5:10" hidden="1" x14ac:dyDescent="0.25">
      <c r="F7586" s="263">
        <v>523</v>
      </c>
      <c r="G7586" s="295" t="s">
        <v>3857</v>
      </c>
      <c r="J7586" s="595">
        <f t="shared" si="213"/>
        <v>0</v>
      </c>
    </row>
    <row r="7587" spans="5:10" hidden="1" x14ac:dyDescent="0.25">
      <c r="F7587" s="263">
        <v>531</v>
      </c>
      <c r="G7587" s="292" t="s">
        <v>4197</v>
      </c>
      <c r="J7587" s="595">
        <f t="shared" si="213"/>
        <v>0</v>
      </c>
    </row>
    <row r="7588" spans="5:10" hidden="1" x14ac:dyDescent="0.25">
      <c r="F7588" s="263">
        <v>541</v>
      </c>
      <c r="G7588" s="295" t="s">
        <v>4222</v>
      </c>
      <c r="J7588" s="595">
        <f t="shared" si="213"/>
        <v>0</v>
      </c>
    </row>
    <row r="7589" spans="5:10" hidden="1" x14ac:dyDescent="0.25">
      <c r="F7589" s="263">
        <v>542</v>
      </c>
      <c r="G7589" s="295" t="s">
        <v>4223</v>
      </c>
      <c r="J7589" s="595">
        <f t="shared" si="213"/>
        <v>0</v>
      </c>
    </row>
    <row r="7590" spans="5:10" hidden="1" x14ac:dyDescent="0.25">
      <c r="F7590" s="263">
        <v>543</v>
      </c>
      <c r="G7590" s="295" t="s">
        <v>3862</v>
      </c>
      <c r="J7590" s="595">
        <f t="shared" si="213"/>
        <v>0</v>
      </c>
    </row>
    <row r="7591" spans="5:10" ht="30" hidden="1" x14ac:dyDescent="0.25">
      <c r="F7591" s="263">
        <v>551</v>
      </c>
      <c r="G7591" s="295" t="s">
        <v>4198</v>
      </c>
      <c r="J7591" s="595">
        <f t="shared" si="213"/>
        <v>0</v>
      </c>
    </row>
    <row r="7592" spans="5:10" hidden="1" x14ac:dyDescent="0.25">
      <c r="F7592" s="264">
        <v>611</v>
      </c>
      <c r="G7592" s="299" t="s">
        <v>3868</v>
      </c>
      <c r="J7592" s="595">
        <f t="shared" si="213"/>
        <v>0</v>
      </c>
    </row>
    <row r="7593" spans="5:10" ht="15.75" hidden="1" thickBot="1" x14ac:dyDescent="0.3">
      <c r="F7593" s="264">
        <v>620</v>
      </c>
      <c r="G7593" s="299" t="s">
        <v>88</v>
      </c>
      <c r="J7593" s="595">
        <f t="shared" si="213"/>
        <v>0</v>
      </c>
    </row>
    <row r="7594" spans="5:10" hidden="1" x14ac:dyDescent="0.25">
      <c r="E7594" s="293"/>
      <c r="F7594" s="301"/>
      <c r="G7594" s="326" t="s">
        <v>4387</v>
      </c>
      <c r="H7594" s="596"/>
      <c r="I7594" s="622"/>
      <c r="J7594" s="597"/>
    </row>
    <row r="7595" spans="5:10" ht="15.75" hidden="1" thickBot="1" x14ac:dyDescent="0.3">
      <c r="E7595" s="222"/>
      <c r="F7595" s="249" t="s">
        <v>234</v>
      </c>
      <c r="G7595" s="252" t="s">
        <v>235</v>
      </c>
      <c r="H7595" s="598">
        <f>SUM(H7534:H7593)</f>
        <v>0</v>
      </c>
      <c r="I7595" s="599"/>
      <c r="J7595" s="599">
        <f>SUM(H7595:I7595)</f>
        <v>0</v>
      </c>
    </row>
    <row r="7596" spans="5:10" hidden="1" x14ac:dyDescent="0.25">
      <c r="F7596" s="249" t="s">
        <v>236</v>
      </c>
      <c r="G7596" s="252" t="s">
        <v>237</v>
      </c>
      <c r="J7596" s="599">
        <f t="shared" ref="J7596:J7610" si="214">SUM(H7596:I7596)</f>
        <v>0</v>
      </c>
    </row>
    <row r="7597" spans="5:10" hidden="1" x14ac:dyDescent="0.25">
      <c r="F7597" s="249" t="s">
        <v>238</v>
      </c>
      <c r="G7597" s="252" t="s">
        <v>239</v>
      </c>
      <c r="J7597" s="599">
        <f t="shared" si="214"/>
        <v>0</v>
      </c>
    </row>
    <row r="7598" spans="5:10" hidden="1" x14ac:dyDescent="0.25">
      <c r="F7598" s="249" t="s">
        <v>240</v>
      </c>
      <c r="G7598" s="252" t="s">
        <v>241</v>
      </c>
      <c r="J7598" s="599">
        <f t="shared" si="214"/>
        <v>0</v>
      </c>
    </row>
    <row r="7599" spans="5:10" hidden="1" x14ac:dyDescent="0.25">
      <c r="F7599" s="249" t="s">
        <v>242</v>
      </c>
      <c r="G7599" s="252" t="s">
        <v>243</v>
      </c>
      <c r="J7599" s="599">
        <f t="shared" si="214"/>
        <v>0</v>
      </c>
    </row>
    <row r="7600" spans="5:10" hidden="1" x14ac:dyDescent="0.25">
      <c r="F7600" s="249" t="s">
        <v>244</v>
      </c>
      <c r="G7600" s="252" t="s">
        <v>245</v>
      </c>
      <c r="J7600" s="599">
        <f t="shared" si="214"/>
        <v>0</v>
      </c>
    </row>
    <row r="7601" spans="5:10" hidden="1" x14ac:dyDescent="0.25">
      <c r="F7601" s="249" t="s">
        <v>246</v>
      </c>
      <c r="G7601" s="252" t="s">
        <v>247</v>
      </c>
      <c r="J7601" s="599">
        <f t="shared" si="214"/>
        <v>0</v>
      </c>
    </row>
    <row r="7602" spans="5:10" hidden="1" x14ac:dyDescent="0.25">
      <c r="F7602" s="249" t="s">
        <v>248</v>
      </c>
      <c r="G7602" s="252" t="s">
        <v>249</v>
      </c>
      <c r="J7602" s="599">
        <f t="shared" si="214"/>
        <v>0</v>
      </c>
    </row>
    <row r="7603" spans="5:10" hidden="1" x14ac:dyDescent="0.25">
      <c r="F7603" s="249" t="s">
        <v>250</v>
      </c>
      <c r="G7603" s="252" t="s">
        <v>57</v>
      </c>
      <c r="J7603" s="599">
        <f t="shared" si="214"/>
        <v>0</v>
      </c>
    </row>
    <row r="7604" spans="5:10" hidden="1" x14ac:dyDescent="0.25">
      <c r="F7604" s="249" t="s">
        <v>251</v>
      </c>
      <c r="G7604" s="252" t="s">
        <v>252</v>
      </c>
      <c r="J7604" s="599">
        <f t="shared" si="214"/>
        <v>0</v>
      </c>
    </row>
    <row r="7605" spans="5:10" hidden="1" x14ac:dyDescent="0.25">
      <c r="F7605" s="249" t="s">
        <v>253</v>
      </c>
      <c r="G7605" s="252" t="s">
        <v>254</v>
      </c>
      <c r="J7605" s="599">
        <f t="shared" si="214"/>
        <v>0</v>
      </c>
    </row>
    <row r="7606" spans="5:10" ht="30" hidden="1" x14ac:dyDescent="0.25">
      <c r="F7606" s="249" t="s">
        <v>255</v>
      </c>
      <c r="G7606" s="252" t="s">
        <v>256</v>
      </c>
      <c r="J7606" s="599">
        <f t="shared" si="214"/>
        <v>0</v>
      </c>
    </row>
    <row r="7607" spans="5:10" hidden="1" x14ac:dyDescent="0.25">
      <c r="F7607" s="249" t="s">
        <v>257</v>
      </c>
      <c r="G7607" s="252" t="s">
        <v>258</v>
      </c>
      <c r="J7607" s="599">
        <f t="shared" si="214"/>
        <v>0</v>
      </c>
    </row>
    <row r="7608" spans="5:10" ht="30" hidden="1" x14ac:dyDescent="0.25">
      <c r="F7608" s="249" t="s">
        <v>259</v>
      </c>
      <c r="G7608" s="252" t="s">
        <v>260</v>
      </c>
      <c r="J7608" s="599">
        <f t="shared" si="214"/>
        <v>0</v>
      </c>
    </row>
    <row r="7609" spans="5:10" hidden="1" x14ac:dyDescent="0.25">
      <c r="F7609" s="249" t="s">
        <v>261</v>
      </c>
      <c r="G7609" s="252" t="s">
        <v>262</v>
      </c>
      <c r="J7609" s="599">
        <f t="shared" si="214"/>
        <v>0</v>
      </c>
    </row>
    <row r="7610" spans="5:10" ht="15.75" hidden="1" thickBot="1" x14ac:dyDescent="0.3">
      <c r="F7610" s="249" t="s">
        <v>263</v>
      </c>
      <c r="G7610" s="252" t="s">
        <v>264</v>
      </c>
      <c r="H7610" s="598"/>
      <c r="I7610" s="599"/>
      <c r="J7610" s="599">
        <f t="shared" si="214"/>
        <v>0</v>
      </c>
    </row>
    <row r="7611" spans="5:10" ht="15.75" hidden="1" thickBot="1" x14ac:dyDescent="0.3">
      <c r="G7611" s="229" t="s">
        <v>4386</v>
      </c>
      <c r="H7611" s="600">
        <f>SUM(H7595:H7610)</f>
        <v>0</v>
      </c>
      <c r="I7611" s="601">
        <f>SUM(I7596:I7610)</f>
        <v>0</v>
      </c>
      <c r="J7611" s="601">
        <f>SUM(J7595:J7610)</f>
        <v>0</v>
      </c>
    </row>
    <row r="7612" spans="5:10" ht="28.5" hidden="1" collapsed="1" x14ac:dyDescent="0.25">
      <c r="E7612" s="260"/>
      <c r="F7612" s="264"/>
      <c r="G7612" s="231" t="s">
        <v>4267</v>
      </c>
      <c r="H7612" s="602"/>
      <c r="I7612" s="623"/>
      <c r="J7612" s="603"/>
    </row>
    <row r="7613" spans="5:10" ht="15.75" hidden="1" thickBot="1" x14ac:dyDescent="0.3">
      <c r="E7613" s="222"/>
      <c r="F7613" s="249" t="s">
        <v>234</v>
      </c>
      <c r="G7613" s="252" t="s">
        <v>235</v>
      </c>
      <c r="H7613" s="598">
        <f>SUM(H7534:H7593)</f>
        <v>0</v>
      </c>
      <c r="I7613" s="599"/>
      <c r="J7613" s="599">
        <f>SUM(H7613:I7613)</f>
        <v>0</v>
      </c>
    </row>
    <row r="7614" spans="5:10" hidden="1" x14ac:dyDescent="0.25">
      <c r="F7614" s="249" t="s">
        <v>236</v>
      </c>
      <c r="G7614" s="252" t="s">
        <v>237</v>
      </c>
      <c r="J7614" s="599">
        <f t="shared" ref="J7614:J7628" si="215">SUM(H7614:I7614)</f>
        <v>0</v>
      </c>
    </row>
    <row r="7615" spans="5:10" hidden="1" x14ac:dyDescent="0.25">
      <c r="F7615" s="249" t="s">
        <v>238</v>
      </c>
      <c r="G7615" s="252" t="s">
        <v>239</v>
      </c>
      <c r="J7615" s="599">
        <f t="shared" si="215"/>
        <v>0</v>
      </c>
    </row>
    <row r="7616" spans="5:10" hidden="1" x14ac:dyDescent="0.25">
      <c r="F7616" s="249" t="s">
        <v>240</v>
      </c>
      <c r="G7616" s="252" t="s">
        <v>241</v>
      </c>
      <c r="J7616" s="599">
        <f t="shared" si="215"/>
        <v>0</v>
      </c>
    </row>
    <row r="7617" spans="1:25" hidden="1" x14ac:dyDescent="0.25">
      <c r="F7617" s="249" t="s">
        <v>242</v>
      </c>
      <c r="G7617" s="252" t="s">
        <v>243</v>
      </c>
      <c r="J7617" s="599">
        <f t="shared" si="215"/>
        <v>0</v>
      </c>
    </row>
    <row r="7618" spans="1:25" hidden="1" x14ac:dyDescent="0.25">
      <c r="F7618" s="249" t="s">
        <v>244</v>
      </c>
      <c r="G7618" s="252" t="s">
        <v>245</v>
      </c>
      <c r="J7618" s="599">
        <f t="shared" si="215"/>
        <v>0</v>
      </c>
    </row>
    <row r="7619" spans="1:25" hidden="1" x14ac:dyDescent="0.25">
      <c r="F7619" s="249" t="s">
        <v>246</v>
      </c>
      <c r="G7619" s="252" t="s">
        <v>247</v>
      </c>
      <c r="J7619" s="599">
        <f t="shared" si="215"/>
        <v>0</v>
      </c>
    </row>
    <row r="7620" spans="1:25" hidden="1" x14ac:dyDescent="0.25">
      <c r="F7620" s="249" t="s">
        <v>248</v>
      </c>
      <c r="G7620" s="252" t="s">
        <v>249</v>
      </c>
      <c r="J7620" s="599">
        <f t="shared" si="215"/>
        <v>0</v>
      </c>
    </row>
    <row r="7621" spans="1:25" hidden="1" x14ac:dyDescent="0.25">
      <c r="F7621" s="249" t="s">
        <v>250</v>
      </c>
      <c r="G7621" s="252" t="s">
        <v>57</v>
      </c>
      <c r="J7621" s="599">
        <f t="shared" si="215"/>
        <v>0</v>
      </c>
    </row>
    <row r="7622" spans="1:25" hidden="1" x14ac:dyDescent="0.25">
      <c r="F7622" s="249" t="s">
        <v>251</v>
      </c>
      <c r="G7622" s="252" t="s">
        <v>252</v>
      </c>
      <c r="J7622" s="599">
        <f t="shared" si="215"/>
        <v>0</v>
      </c>
    </row>
    <row r="7623" spans="1:25" hidden="1" x14ac:dyDescent="0.25">
      <c r="F7623" s="249" t="s">
        <v>253</v>
      </c>
      <c r="G7623" s="252" t="s">
        <v>254</v>
      </c>
      <c r="J7623" s="599">
        <f t="shared" si="215"/>
        <v>0</v>
      </c>
    </row>
    <row r="7624" spans="1:25" ht="30" hidden="1" x14ac:dyDescent="0.25">
      <c r="F7624" s="249" t="s">
        <v>255</v>
      </c>
      <c r="G7624" s="252" t="s">
        <v>256</v>
      </c>
      <c r="J7624" s="599">
        <f t="shared" si="215"/>
        <v>0</v>
      </c>
    </row>
    <row r="7625" spans="1:25" hidden="1" x14ac:dyDescent="0.25">
      <c r="F7625" s="249" t="s">
        <v>257</v>
      </c>
      <c r="G7625" s="252" t="s">
        <v>258</v>
      </c>
      <c r="J7625" s="599">
        <f t="shared" si="215"/>
        <v>0</v>
      </c>
    </row>
    <row r="7626" spans="1:25" ht="30" hidden="1" x14ac:dyDescent="0.25">
      <c r="F7626" s="249" t="s">
        <v>259</v>
      </c>
      <c r="G7626" s="252" t="s">
        <v>260</v>
      </c>
      <c r="J7626" s="599">
        <f t="shared" si="215"/>
        <v>0</v>
      </c>
    </row>
    <row r="7627" spans="1:25" hidden="1" x14ac:dyDescent="0.25">
      <c r="F7627" s="249" t="s">
        <v>261</v>
      </c>
      <c r="G7627" s="252" t="s">
        <v>262</v>
      </c>
      <c r="J7627" s="599">
        <f t="shared" si="215"/>
        <v>0</v>
      </c>
    </row>
    <row r="7628" spans="1:25" ht="15.75" hidden="1" thickBot="1" x14ac:dyDescent="0.3">
      <c r="F7628" s="249" t="s">
        <v>263</v>
      </c>
      <c r="G7628" s="252" t="s">
        <v>264</v>
      </c>
      <c r="H7628" s="598"/>
      <c r="I7628" s="599"/>
      <c r="J7628" s="599">
        <f t="shared" si="215"/>
        <v>0</v>
      </c>
    </row>
    <row r="7629" spans="1:25" ht="15.75" hidden="1" collapsed="1" thickBot="1" x14ac:dyDescent="0.3">
      <c r="G7629" s="229" t="s">
        <v>4268</v>
      </c>
      <c r="H7629" s="600">
        <f>SUM(H7613:H7628)</f>
        <v>0</v>
      </c>
      <c r="I7629" s="601">
        <f>SUM(I7614:I7628)</f>
        <v>0</v>
      </c>
      <c r="J7629" s="601">
        <f>SUM(J7613:J7628)</f>
        <v>0</v>
      </c>
    </row>
    <row r="7630" spans="1:25" s="88" customFormat="1" hidden="1" x14ac:dyDescent="0.25">
      <c r="A7630" s="261"/>
      <c r="B7630" s="256"/>
      <c r="C7630" s="265"/>
      <c r="G7630" s="275"/>
      <c r="H7630" s="611"/>
      <c r="I7630" s="612"/>
      <c r="J7630" s="612"/>
      <c r="K7630" s="533"/>
      <c r="L7630" s="533"/>
      <c r="M7630" s="533"/>
      <c r="N7630" s="533"/>
      <c r="O7630" s="533"/>
      <c r="P7630" s="533"/>
      <c r="Q7630" s="533"/>
      <c r="R7630" s="533"/>
      <c r="S7630" s="533"/>
      <c r="T7630" s="533"/>
      <c r="U7630" s="533"/>
      <c r="V7630" s="533"/>
      <c r="W7630" s="533"/>
      <c r="X7630" s="533"/>
      <c r="Y7630" s="533"/>
    </row>
    <row r="7631" spans="1:25" s="88" customFormat="1" hidden="1" x14ac:dyDescent="0.25">
      <c r="A7631" s="261"/>
      <c r="B7631" s="256"/>
      <c r="C7631" s="316"/>
      <c r="D7631" s="251"/>
      <c r="E7631" s="251"/>
      <c r="F7631" s="264"/>
      <c r="G7631" s="250" t="s">
        <v>4269</v>
      </c>
      <c r="H7631" s="606"/>
      <c r="I7631" s="624"/>
      <c r="J7631" s="607"/>
      <c r="K7631" s="533"/>
      <c r="L7631" s="533"/>
      <c r="M7631" s="533"/>
      <c r="N7631" s="533"/>
      <c r="O7631" s="533"/>
      <c r="P7631" s="533"/>
      <c r="Q7631" s="533"/>
      <c r="R7631" s="533"/>
      <c r="S7631" s="533"/>
      <c r="T7631" s="533"/>
      <c r="U7631" s="533"/>
      <c r="V7631" s="533"/>
      <c r="W7631" s="533"/>
      <c r="X7631" s="533"/>
      <c r="Y7631" s="533"/>
    </row>
    <row r="7632" spans="1:25" s="88" customFormat="1" ht="15.75" hidden="1" thickBot="1" x14ac:dyDescent="0.3">
      <c r="A7632" s="261"/>
      <c r="B7632" s="256"/>
      <c r="C7632" s="316"/>
      <c r="D7632" s="251"/>
      <c r="E7632" s="251"/>
      <c r="F7632" s="249" t="s">
        <v>234</v>
      </c>
      <c r="G7632" s="252" t="s">
        <v>235</v>
      </c>
      <c r="H7632" s="598">
        <f>SUM(H7613)</f>
        <v>0</v>
      </c>
      <c r="I7632" s="599"/>
      <c r="J7632" s="599">
        <f>SUM(H7632:I7632)</f>
        <v>0</v>
      </c>
      <c r="K7632" s="533"/>
      <c r="L7632" s="533"/>
      <c r="M7632" s="533"/>
      <c r="N7632" s="533"/>
      <c r="O7632" s="533"/>
      <c r="P7632" s="533"/>
      <c r="Q7632" s="533"/>
      <c r="R7632" s="533"/>
      <c r="S7632" s="533"/>
      <c r="T7632" s="533"/>
      <c r="U7632" s="533"/>
      <c r="V7632" s="533"/>
      <c r="W7632" s="533"/>
      <c r="X7632" s="533"/>
      <c r="Y7632" s="533"/>
    </row>
    <row r="7633" spans="1:25" s="88" customFormat="1" hidden="1" x14ac:dyDescent="0.25">
      <c r="A7633" s="261"/>
      <c r="B7633" s="256"/>
      <c r="C7633" s="316"/>
      <c r="D7633" s="251"/>
      <c r="E7633" s="251"/>
      <c r="F7633" s="249" t="s">
        <v>236</v>
      </c>
      <c r="G7633" s="252" t="s">
        <v>237</v>
      </c>
      <c r="H7633" s="594"/>
      <c r="I7633" s="595"/>
      <c r="J7633" s="599">
        <f t="shared" ref="J7633:J7647" si="216">SUM(H7633:I7633)</f>
        <v>0</v>
      </c>
      <c r="K7633" s="533"/>
      <c r="L7633" s="533"/>
      <c r="M7633" s="533"/>
      <c r="N7633" s="533"/>
      <c r="O7633" s="533"/>
      <c r="P7633" s="533"/>
      <c r="Q7633" s="533"/>
      <c r="R7633" s="533"/>
      <c r="S7633" s="533"/>
      <c r="T7633" s="533"/>
      <c r="U7633" s="533"/>
      <c r="V7633" s="533"/>
      <c r="W7633" s="533"/>
      <c r="X7633" s="533"/>
      <c r="Y7633" s="533"/>
    </row>
    <row r="7634" spans="1:25" s="88" customFormat="1" hidden="1" x14ac:dyDescent="0.25">
      <c r="A7634" s="261"/>
      <c r="B7634" s="256"/>
      <c r="C7634" s="316"/>
      <c r="D7634" s="251"/>
      <c r="E7634" s="251"/>
      <c r="F7634" s="249" t="s">
        <v>238</v>
      </c>
      <c r="G7634" s="252" t="s">
        <v>239</v>
      </c>
      <c r="H7634" s="594"/>
      <c r="I7634" s="595"/>
      <c r="J7634" s="599">
        <f t="shared" si="216"/>
        <v>0</v>
      </c>
      <c r="K7634" s="533"/>
      <c r="L7634" s="533"/>
      <c r="M7634" s="533"/>
      <c r="N7634" s="533"/>
      <c r="O7634" s="533"/>
      <c r="P7634" s="533"/>
      <c r="Q7634" s="533"/>
      <c r="R7634" s="533"/>
      <c r="S7634" s="533"/>
      <c r="T7634" s="533"/>
      <c r="U7634" s="533"/>
      <c r="V7634" s="533"/>
      <c r="W7634" s="533"/>
      <c r="X7634" s="533"/>
      <c r="Y7634" s="533"/>
    </row>
    <row r="7635" spans="1:25" s="88" customFormat="1" hidden="1" x14ac:dyDescent="0.25">
      <c r="A7635" s="261"/>
      <c r="B7635" s="256"/>
      <c r="C7635" s="316"/>
      <c r="D7635" s="251"/>
      <c r="E7635" s="251"/>
      <c r="F7635" s="249" t="s">
        <v>240</v>
      </c>
      <c r="G7635" s="252" t="s">
        <v>241</v>
      </c>
      <c r="H7635" s="594"/>
      <c r="I7635" s="595"/>
      <c r="J7635" s="599">
        <f t="shared" si="216"/>
        <v>0</v>
      </c>
      <c r="K7635" s="533"/>
      <c r="L7635" s="533"/>
      <c r="M7635" s="533"/>
      <c r="N7635" s="533"/>
      <c r="O7635" s="533"/>
      <c r="P7635" s="533"/>
      <c r="Q7635" s="533"/>
      <c r="R7635" s="533"/>
      <c r="S7635" s="533"/>
      <c r="T7635" s="533"/>
      <c r="U7635" s="533"/>
      <c r="V7635" s="533"/>
      <c r="W7635" s="533"/>
      <c r="X7635" s="533"/>
      <c r="Y7635" s="533"/>
    </row>
    <row r="7636" spans="1:25" s="88" customFormat="1" hidden="1" x14ac:dyDescent="0.25">
      <c r="A7636" s="261"/>
      <c r="B7636" s="256"/>
      <c r="C7636" s="316"/>
      <c r="D7636" s="251"/>
      <c r="E7636" s="251"/>
      <c r="F7636" s="249" t="s">
        <v>242</v>
      </c>
      <c r="G7636" s="252" t="s">
        <v>243</v>
      </c>
      <c r="H7636" s="594"/>
      <c r="I7636" s="595"/>
      <c r="J7636" s="599">
        <f t="shared" si="216"/>
        <v>0</v>
      </c>
      <c r="K7636" s="533"/>
      <c r="L7636" s="533"/>
      <c r="M7636" s="533"/>
      <c r="N7636" s="533"/>
      <c r="O7636" s="533"/>
      <c r="P7636" s="533"/>
      <c r="Q7636" s="533"/>
      <c r="R7636" s="533"/>
      <c r="S7636" s="533"/>
      <c r="T7636" s="533"/>
      <c r="U7636" s="533"/>
      <c r="V7636" s="533"/>
      <c r="W7636" s="533"/>
      <c r="X7636" s="533"/>
      <c r="Y7636" s="533"/>
    </row>
    <row r="7637" spans="1:25" s="88" customFormat="1" hidden="1" x14ac:dyDescent="0.25">
      <c r="A7637" s="261"/>
      <c r="B7637" s="256"/>
      <c r="C7637" s="316"/>
      <c r="D7637" s="251"/>
      <c r="E7637" s="251"/>
      <c r="F7637" s="249" t="s">
        <v>244</v>
      </c>
      <c r="G7637" s="252" t="s">
        <v>245</v>
      </c>
      <c r="H7637" s="594"/>
      <c r="I7637" s="595"/>
      <c r="J7637" s="599">
        <f t="shared" si="216"/>
        <v>0</v>
      </c>
      <c r="K7637" s="533"/>
      <c r="L7637" s="533"/>
      <c r="M7637" s="533"/>
      <c r="N7637" s="533"/>
      <c r="O7637" s="533"/>
      <c r="P7637" s="533"/>
      <c r="Q7637" s="533"/>
      <c r="R7637" s="533"/>
      <c r="S7637" s="533"/>
      <c r="T7637" s="533"/>
      <c r="U7637" s="533"/>
      <c r="V7637" s="533"/>
      <c r="W7637" s="533"/>
      <c r="X7637" s="533"/>
      <c r="Y7637" s="533"/>
    </row>
    <row r="7638" spans="1:25" s="88" customFormat="1" hidden="1" x14ac:dyDescent="0.25">
      <c r="A7638" s="261"/>
      <c r="B7638" s="256"/>
      <c r="C7638" s="316"/>
      <c r="D7638" s="251"/>
      <c r="E7638" s="251"/>
      <c r="F7638" s="249" t="s">
        <v>246</v>
      </c>
      <c r="G7638" s="252" t="s">
        <v>247</v>
      </c>
      <c r="H7638" s="594"/>
      <c r="I7638" s="595"/>
      <c r="J7638" s="599">
        <f t="shared" si="216"/>
        <v>0</v>
      </c>
      <c r="K7638" s="533"/>
      <c r="L7638" s="533"/>
      <c r="M7638" s="533"/>
      <c r="N7638" s="533"/>
      <c r="O7638" s="533"/>
      <c r="P7638" s="533"/>
      <c r="Q7638" s="533"/>
      <c r="R7638" s="533"/>
      <c r="S7638" s="533"/>
      <c r="T7638" s="533"/>
      <c r="U7638" s="533"/>
      <c r="V7638" s="533"/>
      <c r="W7638" s="533"/>
      <c r="X7638" s="533"/>
      <c r="Y7638" s="533"/>
    </row>
    <row r="7639" spans="1:25" s="88" customFormat="1" hidden="1" x14ac:dyDescent="0.25">
      <c r="A7639" s="261"/>
      <c r="B7639" s="256"/>
      <c r="C7639" s="316"/>
      <c r="D7639" s="251"/>
      <c r="E7639" s="251"/>
      <c r="F7639" s="249" t="s">
        <v>248</v>
      </c>
      <c r="G7639" s="252" t="s">
        <v>249</v>
      </c>
      <c r="H7639" s="594"/>
      <c r="I7639" s="595"/>
      <c r="J7639" s="599">
        <f t="shared" si="216"/>
        <v>0</v>
      </c>
      <c r="K7639" s="533"/>
      <c r="L7639" s="533"/>
      <c r="M7639" s="533"/>
      <c r="N7639" s="533"/>
      <c r="O7639" s="533"/>
      <c r="P7639" s="533"/>
      <c r="Q7639" s="533"/>
      <c r="R7639" s="533"/>
      <c r="S7639" s="533"/>
      <c r="T7639" s="533"/>
      <c r="U7639" s="533"/>
      <c r="V7639" s="533"/>
      <c r="W7639" s="533"/>
      <c r="X7639" s="533"/>
      <c r="Y7639" s="533"/>
    </row>
    <row r="7640" spans="1:25" s="88" customFormat="1" hidden="1" x14ac:dyDescent="0.25">
      <c r="A7640" s="261"/>
      <c r="B7640" s="256"/>
      <c r="C7640" s="316"/>
      <c r="D7640" s="251"/>
      <c r="E7640" s="251"/>
      <c r="F7640" s="249" t="s">
        <v>250</v>
      </c>
      <c r="G7640" s="252" t="s">
        <v>57</v>
      </c>
      <c r="H7640" s="594"/>
      <c r="I7640" s="595"/>
      <c r="J7640" s="599">
        <f t="shared" si="216"/>
        <v>0</v>
      </c>
      <c r="K7640" s="533"/>
      <c r="L7640" s="533"/>
      <c r="M7640" s="533"/>
      <c r="N7640" s="533"/>
      <c r="O7640" s="533"/>
      <c r="P7640" s="533"/>
      <c r="Q7640" s="533"/>
      <c r="R7640" s="533"/>
      <c r="S7640" s="533"/>
      <c r="T7640" s="533"/>
      <c r="U7640" s="533"/>
      <c r="V7640" s="533"/>
      <c r="W7640" s="533"/>
      <c r="X7640" s="533"/>
      <c r="Y7640" s="533"/>
    </row>
    <row r="7641" spans="1:25" s="88" customFormat="1" hidden="1" x14ac:dyDescent="0.25">
      <c r="A7641" s="261"/>
      <c r="B7641" s="256"/>
      <c r="C7641" s="316"/>
      <c r="D7641" s="251"/>
      <c r="E7641" s="251"/>
      <c r="F7641" s="249" t="s">
        <v>251</v>
      </c>
      <c r="G7641" s="252" t="s">
        <v>252</v>
      </c>
      <c r="H7641" s="594"/>
      <c r="I7641" s="595"/>
      <c r="J7641" s="599">
        <f t="shared" si="216"/>
        <v>0</v>
      </c>
      <c r="K7641" s="533"/>
      <c r="L7641" s="533"/>
      <c r="M7641" s="533"/>
      <c r="N7641" s="533"/>
      <c r="O7641" s="533"/>
      <c r="P7641" s="533"/>
      <c r="Q7641" s="533"/>
      <c r="R7641" s="533"/>
      <c r="S7641" s="533"/>
      <c r="T7641" s="533"/>
      <c r="U7641" s="533"/>
      <c r="V7641" s="533"/>
      <c r="W7641" s="533"/>
      <c r="X7641" s="533"/>
      <c r="Y7641" s="533"/>
    </row>
    <row r="7642" spans="1:25" s="88" customFormat="1" hidden="1" x14ac:dyDescent="0.25">
      <c r="A7642" s="261"/>
      <c r="B7642" s="256"/>
      <c r="C7642" s="316"/>
      <c r="D7642" s="251"/>
      <c r="E7642" s="251"/>
      <c r="F7642" s="249" t="s">
        <v>253</v>
      </c>
      <c r="G7642" s="252" t="s">
        <v>254</v>
      </c>
      <c r="H7642" s="594"/>
      <c r="I7642" s="595"/>
      <c r="J7642" s="599">
        <f t="shared" si="216"/>
        <v>0</v>
      </c>
      <c r="K7642" s="533"/>
      <c r="L7642" s="533"/>
      <c r="M7642" s="533"/>
      <c r="N7642" s="533"/>
      <c r="O7642" s="533"/>
      <c r="P7642" s="533"/>
      <c r="Q7642" s="533"/>
      <c r="R7642" s="533"/>
      <c r="S7642" s="533"/>
      <c r="T7642" s="533"/>
      <c r="U7642" s="533"/>
      <c r="V7642" s="533"/>
      <c r="W7642" s="533"/>
      <c r="X7642" s="533"/>
      <c r="Y7642" s="533"/>
    </row>
    <row r="7643" spans="1:25" s="88" customFormat="1" ht="30" hidden="1" x14ac:dyDescent="0.25">
      <c r="A7643" s="261"/>
      <c r="B7643" s="256"/>
      <c r="C7643" s="316"/>
      <c r="D7643" s="251"/>
      <c r="E7643" s="251"/>
      <c r="F7643" s="249" t="s">
        <v>255</v>
      </c>
      <c r="G7643" s="252" t="s">
        <v>256</v>
      </c>
      <c r="H7643" s="594"/>
      <c r="I7643" s="595"/>
      <c r="J7643" s="599">
        <f t="shared" si="216"/>
        <v>0</v>
      </c>
      <c r="K7643" s="533"/>
      <c r="L7643" s="533"/>
      <c r="M7643" s="533"/>
      <c r="N7643" s="533"/>
      <c r="O7643" s="533"/>
      <c r="P7643" s="533"/>
      <c r="Q7643" s="533"/>
      <c r="R7643" s="533"/>
      <c r="S7643" s="533"/>
      <c r="T7643" s="533"/>
      <c r="U7643" s="533"/>
      <c r="V7643" s="533"/>
      <c r="W7643" s="533"/>
      <c r="X7643" s="533"/>
      <c r="Y7643" s="533"/>
    </row>
    <row r="7644" spans="1:25" s="88" customFormat="1" hidden="1" x14ac:dyDescent="0.25">
      <c r="A7644" s="261"/>
      <c r="B7644" s="256"/>
      <c r="C7644" s="316"/>
      <c r="D7644" s="251"/>
      <c r="E7644" s="251"/>
      <c r="F7644" s="249" t="s">
        <v>257</v>
      </c>
      <c r="G7644" s="252" t="s">
        <v>258</v>
      </c>
      <c r="H7644" s="594"/>
      <c r="I7644" s="595"/>
      <c r="J7644" s="599">
        <f t="shared" si="216"/>
        <v>0</v>
      </c>
      <c r="K7644" s="533"/>
      <c r="L7644" s="533"/>
      <c r="M7644" s="533"/>
      <c r="N7644" s="533"/>
      <c r="O7644" s="533"/>
      <c r="P7644" s="533"/>
      <c r="Q7644" s="533"/>
      <c r="R7644" s="533"/>
      <c r="S7644" s="533"/>
      <c r="T7644" s="533"/>
      <c r="U7644" s="533"/>
      <c r="V7644" s="533"/>
      <c r="W7644" s="533"/>
      <c r="X7644" s="533"/>
      <c r="Y7644" s="533"/>
    </row>
    <row r="7645" spans="1:25" s="88" customFormat="1" ht="30" hidden="1" x14ac:dyDescent="0.25">
      <c r="A7645" s="261"/>
      <c r="B7645" s="256"/>
      <c r="C7645" s="316"/>
      <c r="D7645" s="251"/>
      <c r="E7645" s="251"/>
      <c r="F7645" s="249" t="s">
        <v>259</v>
      </c>
      <c r="G7645" s="252" t="s">
        <v>260</v>
      </c>
      <c r="H7645" s="594"/>
      <c r="I7645" s="595"/>
      <c r="J7645" s="599">
        <f t="shared" si="216"/>
        <v>0</v>
      </c>
      <c r="K7645" s="533"/>
      <c r="L7645" s="533"/>
      <c r="M7645" s="533"/>
      <c r="N7645" s="533"/>
      <c r="O7645" s="533"/>
      <c r="P7645" s="533"/>
      <c r="Q7645" s="533"/>
      <c r="R7645" s="533"/>
      <c r="S7645" s="533"/>
      <c r="T7645" s="533"/>
      <c r="U7645" s="533"/>
      <c r="V7645" s="533"/>
      <c r="W7645" s="533"/>
      <c r="X7645" s="533"/>
      <c r="Y7645" s="533"/>
    </row>
    <row r="7646" spans="1:25" s="88" customFormat="1" hidden="1" x14ac:dyDescent="0.25">
      <c r="A7646" s="261"/>
      <c r="B7646" s="256"/>
      <c r="C7646" s="316"/>
      <c r="D7646" s="251"/>
      <c r="E7646" s="251"/>
      <c r="F7646" s="249" t="s">
        <v>261</v>
      </c>
      <c r="G7646" s="252" t="s">
        <v>262</v>
      </c>
      <c r="H7646" s="594"/>
      <c r="I7646" s="595"/>
      <c r="J7646" s="599">
        <f t="shared" si="216"/>
        <v>0</v>
      </c>
      <c r="K7646" s="533"/>
      <c r="L7646" s="533"/>
      <c r="M7646" s="533"/>
      <c r="N7646" s="533"/>
      <c r="O7646" s="533"/>
      <c r="P7646" s="533"/>
      <c r="Q7646" s="533"/>
      <c r="R7646" s="533"/>
      <c r="S7646" s="533"/>
      <c r="T7646" s="533"/>
      <c r="U7646" s="533"/>
      <c r="V7646" s="533"/>
      <c r="W7646" s="533"/>
      <c r="X7646" s="533"/>
      <c r="Y7646" s="533"/>
    </row>
    <row r="7647" spans="1:25" s="88" customFormat="1" ht="15.75" hidden="1" thickBot="1" x14ac:dyDescent="0.3">
      <c r="A7647" s="261"/>
      <c r="B7647" s="256"/>
      <c r="C7647" s="316"/>
      <c r="D7647" s="251"/>
      <c r="E7647" s="251"/>
      <c r="F7647" s="249" t="s">
        <v>263</v>
      </c>
      <c r="G7647" s="252" t="s">
        <v>264</v>
      </c>
      <c r="H7647" s="598"/>
      <c r="I7647" s="599"/>
      <c r="J7647" s="599">
        <f t="shared" si="216"/>
        <v>0</v>
      </c>
      <c r="K7647" s="533"/>
      <c r="L7647" s="533"/>
      <c r="M7647" s="533"/>
      <c r="N7647" s="533"/>
      <c r="O7647" s="533"/>
      <c r="P7647" s="533"/>
      <c r="Q7647" s="533"/>
      <c r="R7647" s="533"/>
      <c r="S7647" s="533"/>
      <c r="T7647" s="533"/>
      <c r="U7647" s="533"/>
      <c r="V7647" s="533"/>
      <c r="W7647" s="533"/>
      <c r="X7647" s="533"/>
      <c r="Y7647" s="533"/>
    </row>
    <row r="7648" spans="1:25" s="88" customFormat="1" ht="15.75" hidden="1" thickBot="1" x14ac:dyDescent="0.3">
      <c r="A7648" s="261"/>
      <c r="B7648" s="256"/>
      <c r="C7648" s="316"/>
      <c r="D7648" s="251"/>
      <c r="E7648" s="251"/>
      <c r="F7648" s="218"/>
      <c r="G7648" s="229" t="s">
        <v>4270</v>
      </c>
      <c r="H7648" s="600">
        <f>SUM(H7632:H7647)</f>
        <v>0</v>
      </c>
      <c r="I7648" s="601">
        <f>SUM(I7633:I7647)</f>
        <v>0</v>
      </c>
      <c r="J7648" s="601">
        <f>SUM(J7632:J7647)</f>
        <v>0</v>
      </c>
      <c r="K7648" s="533"/>
      <c r="L7648" s="533"/>
      <c r="M7648" s="533"/>
      <c r="N7648" s="533"/>
      <c r="O7648" s="533"/>
      <c r="P7648" s="533"/>
      <c r="Q7648" s="533"/>
      <c r="R7648" s="533"/>
      <c r="S7648" s="533"/>
      <c r="T7648" s="533"/>
      <c r="U7648" s="533"/>
      <c r="V7648" s="533"/>
      <c r="W7648" s="533"/>
      <c r="X7648" s="533"/>
      <c r="Y7648" s="533"/>
    </row>
    <row r="7649" spans="1:25" hidden="1" x14ac:dyDescent="0.25"/>
    <row r="7650" spans="1:25" s="88" customFormat="1" hidden="1" x14ac:dyDescent="0.25">
      <c r="A7650" s="509"/>
      <c r="B7650" s="256"/>
      <c r="C7650" s="316"/>
      <c r="D7650" s="251"/>
      <c r="E7650" s="251"/>
      <c r="F7650" s="528"/>
      <c r="G7650" s="250" t="s">
        <v>4300</v>
      </c>
      <c r="H7650" s="606"/>
      <c r="I7650" s="624"/>
      <c r="J7650" s="607"/>
      <c r="K7650" s="533"/>
      <c r="L7650" s="533"/>
      <c r="M7650" s="533"/>
      <c r="N7650" s="533"/>
      <c r="O7650" s="533"/>
      <c r="P7650" s="533"/>
      <c r="Q7650" s="533"/>
      <c r="R7650" s="533"/>
      <c r="S7650" s="533"/>
      <c r="T7650" s="533"/>
      <c r="U7650" s="533"/>
      <c r="V7650" s="533"/>
      <c r="W7650" s="533"/>
      <c r="X7650" s="533"/>
      <c r="Y7650" s="533"/>
    </row>
    <row r="7651" spans="1:25" s="88" customFormat="1" ht="15.75" hidden="1" thickBot="1" x14ac:dyDescent="0.3">
      <c r="A7651" s="509"/>
      <c r="B7651" s="256"/>
      <c r="C7651" s="316"/>
      <c r="D7651" s="251"/>
      <c r="E7651" s="251"/>
      <c r="F7651" s="249" t="s">
        <v>234</v>
      </c>
      <c r="G7651" s="252" t="s">
        <v>235</v>
      </c>
      <c r="H7651" s="598">
        <f>SUM(H7632,H7512)</f>
        <v>0</v>
      </c>
      <c r="I7651" s="599"/>
      <c r="J7651" s="599">
        <f>SUM(H7651:I7651)</f>
        <v>0</v>
      </c>
      <c r="K7651" s="533"/>
      <c r="L7651" s="533"/>
      <c r="M7651" s="533"/>
      <c r="N7651" s="533"/>
      <c r="O7651" s="533"/>
      <c r="P7651" s="533"/>
      <c r="Q7651" s="533"/>
      <c r="R7651" s="533"/>
      <c r="S7651" s="533"/>
      <c r="T7651" s="533"/>
      <c r="U7651" s="533"/>
      <c r="V7651" s="533"/>
      <c r="W7651" s="533"/>
      <c r="X7651" s="533"/>
      <c r="Y7651" s="533"/>
    </row>
    <row r="7652" spans="1:25" s="88" customFormat="1" ht="15.75" hidden="1" thickBot="1" x14ac:dyDescent="0.3">
      <c r="A7652" s="509"/>
      <c r="B7652" s="256"/>
      <c r="C7652" s="316"/>
      <c r="D7652" s="251"/>
      <c r="E7652" s="251"/>
      <c r="F7652" s="249" t="s">
        <v>236</v>
      </c>
      <c r="G7652" s="252" t="s">
        <v>237</v>
      </c>
      <c r="H7652" s="594"/>
      <c r="I7652" s="595"/>
      <c r="J7652" s="599">
        <f t="shared" ref="J7652:J7666" si="217">SUM(H7652:I7652)</f>
        <v>0</v>
      </c>
      <c r="K7652" s="533"/>
      <c r="L7652" s="533"/>
      <c r="M7652" s="533"/>
      <c r="N7652" s="533"/>
      <c r="O7652" s="533"/>
      <c r="P7652" s="533"/>
      <c r="Q7652" s="533"/>
      <c r="R7652" s="533"/>
      <c r="S7652" s="533"/>
      <c r="T7652" s="533"/>
      <c r="U7652" s="533"/>
      <c r="V7652" s="533"/>
      <c r="W7652" s="533"/>
      <c r="X7652" s="533"/>
      <c r="Y7652" s="533"/>
    </row>
    <row r="7653" spans="1:25" s="88" customFormat="1" ht="15.75" hidden="1" thickBot="1" x14ac:dyDescent="0.3">
      <c r="A7653" s="509"/>
      <c r="B7653" s="256"/>
      <c r="C7653" s="316"/>
      <c r="D7653" s="251"/>
      <c r="E7653" s="251"/>
      <c r="F7653" s="249" t="s">
        <v>238</v>
      </c>
      <c r="G7653" s="252" t="s">
        <v>239</v>
      </c>
      <c r="H7653" s="594"/>
      <c r="I7653" s="595"/>
      <c r="J7653" s="599">
        <f t="shared" si="217"/>
        <v>0</v>
      </c>
      <c r="K7653" s="533"/>
      <c r="L7653" s="533"/>
      <c r="M7653" s="533"/>
      <c r="N7653" s="533"/>
      <c r="O7653" s="533"/>
      <c r="P7653" s="533"/>
      <c r="Q7653" s="533"/>
      <c r="R7653" s="533"/>
      <c r="S7653" s="533"/>
      <c r="T7653" s="533"/>
      <c r="U7653" s="533"/>
      <c r="V7653" s="533"/>
      <c r="W7653" s="533"/>
      <c r="X7653" s="533"/>
      <c r="Y7653" s="533"/>
    </row>
    <row r="7654" spans="1:25" s="88" customFormat="1" ht="15.75" hidden="1" thickBot="1" x14ac:dyDescent="0.3">
      <c r="A7654" s="509"/>
      <c r="B7654" s="256"/>
      <c r="C7654" s="316"/>
      <c r="D7654" s="251"/>
      <c r="E7654" s="251"/>
      <c r="F7654" s="249" t="s">
        <v>240</v>
      </c>
      <c r="G7654" s="252" t="s">
        <v>241</v>
      </c>
      <c r="H7654" s="594"/>
      <c r="I7654" s="595"/>
      <c r="J7654" s="599">
        <f t="shared" si="217"/>
        <v>0</v>
      </c>
      <c r="K7654" s="533"/>
      <c r="L7654" s="533"/>
      <c r="M7654" s="533"/>
      <c r="N7654" s="533"/>
      <c r="O7654" s="533"/>
      <c r="P7654" s="533"/>
      <c r="Q7654" s="533"/>
      <c r="R7654" s="533"/>
      <c r="S7654" s="533"/>
      <c r="T7654" s="533"/>
      <c r="U7654" s="533"/>
      <c r="V7654" s="533"/>
      <c r="W7654" s="533"/>
      <c r="X7654" s="533"/>
      <c r="Y7654" s="533"/>
    </row>
    <row r="7655" spans="1:25" s="88" customFormat="1" ht="15.75" hidden="1" thickBot="1" x14ac:dyDescent="0.3">
      <c r="A7655" s="509"/>
      <c r="B7655" s="256"/>
      <c r="C7655" s="316"/>
      <c r="D7655" s="251"/>
      <c r="E7655" s="251"/>
      <c r="F7655" s="249" t="s">
        <v>242</v>
      </c>
      <c r="G7655" s="252" t="s">
        <v>243</v>
      </c>
      <c r="H7655" s="594"/>
      <c r="I7655" s="595"/>
      <c r="J7655" s="599">
        <f t="shared" si="217"/>
        <v>0</v>
      </c>
      <c r="K7655" s="533"/>
      <c r="L7655" s="533"/>
      <c r="M7655" s="533"/>
      <c r="N7655" s="533"/>
      <c r="O7655" s="533"/>
      <c r="P7655" s="533"/>
      <c r="Q7655" s="533"/>
      <c r="R7655" s="533"/>
      <c r="S7655" s="533"/>
      <c r="T7655" s="533"/>
      <c r="U7655" s="533"/>
      <c r="V7655" s="533"/>
      <c r="W7655" s="533"/>
      <c r="X7655" s="533"/>
      <c r="Y7655" s="533"/>
    </row>
    <row r="7656" spans="1:25" s="88" customFormat="1" ht="15.75" hidden="1" thickBot="1" x14ac:dyDescent="0.3">
      <c r="A7656" s="509"/>
      <c r="B7656" s="256"/>
      <c r="C7656" s="316"/>
      <c r="D7656" s="251"/>
      <c r="E7656" s="251"/>
      <c r="F7656" s="249" t="s">
        <v>244</v>
      </c>
      <c r="G7656" s="252" t="s">
        <v>245</v>
      </c>
      <c r="H7656" s="594"/>
      <c r="I7656" s="595"/>
      <c r="J7656" s="599">
        <f t="shared" si="217"/>
        <v>0</v>
      </c>
      <c r="K7656" s="533"/>
      <c r="L7656" s="533"/>
      <c r="M7656" s="533"/>
      <c r="N7656" s="533"/>
      <c r="O7656" s="533"/>
      <c r="P7656" s="533"/>
      <c r="Q7656" s="533"/>
      <c r="R7656" s="533"/>
      <c r="S7656" s="533"/>
      <c r="T7656" s="533"/>
      <c r="U7656" s="533"/>
      <c r="V7656" s="533"/>
      <c r="W7656" s="533"/>
      <c r="X7656" s="533"/>
      <c r="Y7656" s="533"/>
    </row>
    <row r="7657" spans="1:25" s="88" customFormat="1" ht="15.75" hidden="1" thickBot="1" x14ac:dyDescent="0.3">
      <c r="A7657" s="509"/>
      <c r="B7657" s="256"/>
      <c r="C7657" s="316"/>
      <c r="D7657" s="251"/>
      <c r="E7657" s="251"/>
      <c r="F7657" s="249" t="s">
        <v>246</v>
      </c>
      <c r="G7657" s="252" t="s">
        <v>247</v>
      </c>
      <c r="H7657" s="594"/>
      <c r="I7657" s="595"/>
      <c r="J7657" s="599">
        <f t="shared" si="217"/>
        <v>0</v>
      </c>
      <c r="K7657" s="533"/>
      <c r="L7657" s="533"/>
      <c r="M7657" s="533"/>
      <c r="N7657" s="533"/>
      <c r="O7657" s="533"/>
      <c r="P7657" s="533"/>
      <c r="Q7657" s="533"/>
      <c r="R7657" s="533"/>
      <c r="S7657" s="533"/>
      <c r="T7657" s="533"/>
      <c r="U7657" s="533"/>
      <c r="V7657" s="533"/>
      <c r="W7657" s="533"/>
      <c r="X7657" s="533"/>
      <c r="Y7657" s="533"/>
    </row>
    <row r="7658" spans="1:25" s="88" customFormat="1" ht="15.75" hidden="1" thickBot="1" x14ac:dyDescent="0.3">
      <c r="A7658" s="509"/>
      <c r="B7658" s="256"/>
      <c r="C7658" s="316"/>
      <c r="D7658" s="251"/>
      <c r="E7658" s="251"/>
      <c r="F7658" s="249" t="s">
        <v>248</v>
      </c>
      <c r="G7658" s="252" t="s">
        <v>249</v>
      </c>
      <c r="H7658" s="594"/>
      <c r="I7658" s="595"/>
      <c r="J7658" s="599">
        <f t="shared" si="217"/>
        <v>0</v>
      </c>
      <c r="K7658" s="533"/>
      <c r="L7658" s="533"/>
      <c r="M7658" s="533"/>
      <c r="N7658" s="533"/>
      <c r="O7658" s="533"/>
      <c r="P7658" s="533"/>
      <c r="Q7658" s="533"/>
      <c r="R7658" s="533"/>
      <c r="S7658" s="533"/>
      <c r="T7658" s="533"/>
      <c r="U7658" s="533"/>
      <c r="V7658" s="533"/>
      <c r="W7658" s="533"/>
      <c r="X7658" s="533"/>
      <c r="Y7658" s="533"/>
    </row>
    <row r="7659" spans="1:25" s="88" customFormat="1" ht="15.75" hidden="1" thickBot="1" x14ac:dyDescent="0.3">
      <c r="A7659" s="509"/>
      <c r="B7659" s="256"/>
      <c r="C7659" s="316"/>
      <c r="D7659" s="251"/>
      <c r="E7659" s="251"/>
      <c r="F7659" s="249" t="s">
        <v>250</v>
      </c>
      <c r="G7659" s="252" t="s">
        <v>57</v>
      </c>
      <c r="H7659" s="594"/>
      <c r="I7659" s="595"/>
      <c r="J7659" s="599">
        <f t="shared" si="217"/>
        <v>0</v>
      </c>
      <c r="K7659" s="533"/>
      <c r="L7659" s="533"/>
      <c r="M7659" s="533"/>
      <c r="N7659" s="533"/>
      <c r="O7659" s="533"/>
      <c r="P7659" s="533"/>
      <c r="Q7659" s="533"/>
      <c r="R7659" s="533"/>
      <c r="S7659" s="533"/>
      <c r="T7659" s="533"/>
      <c r="U7659" s="533"/>
      <c r="V7659" s="533"/>
      <c r="W7659" s="533"/>
      <c r="X7659" s="533"/>
      <c r="Y7659" s="533"/>
    </row>
    <row r="7660" spans="1:25" s="88" customFormat="1" ht="15.75" hidden="1" thickBot="1" x14ac:dyDescent="0.3">
      <c r="A7660" s="509"/>
      <c r="B7660" s="256"/>
      <c r="C7660" s="316"/>
      <c r="D7660" s="251"/>
      <c r="E7660" s="251"/>
      <c r="F7660" s="249" t="s">
        <v>251</v>
      </c>
      <c r="G7660" s="252" t="s">
        <v>252</v>
      </c>
      <c r="H7660" s="594"/>
      <c r="I7660" s="595"/>
      <c r="J7660" s="599">
        <f t="shared" si="217"/>
        <v>0</v>
      </c>
      <c r="K7660" s="533"/>
      <c r="L7660" s="533"/>
      <c r="M7660" s="533"/>
      <c r="N7660" s="533"/>
      <c r="O7660" s="533"/>
      <c r="P7660" s="533"/>
      <c r="Q7660" s="533"/>
      <c r="R7660" s="533"/>
      <c r="S7660" s="533"/>
      <c r="T7660" s="533"/>
      <c r="U7660" s="533"/>
      <c r="V7660" s="533"/>
      <c r="W7660" s="533"/>
      <c r="X7660" s="533"/>
      <c r="Y7660" s="533"/>
    </row>
    <row r="7661" spans="1:25" s="88" customFormat="1" ht="15.75" hidden="1" thickBot="1" x14ac:dyDescent="0.3">
      <c r="A7661" s="509"/>
      <c r="B7661" s="256"/>
      <c r="C7661" s="316"/>
      <c r="D7661" s="251"/>
      <c r="E7661" s="251"/>
      <c r="F7661" s="249" t="s">
        <v>253</v>
      </c>
      <c r="G7661" s="252" t="s">
        <v>254</v>
      </c>
      <c r="H7661" s="594"/>
      <c r="I7661" s="595"/>
      <c r="J7661" s="599">
        <f t="shared" si="217"/>
        <v>0</v>
      </c>
      <c r="K7661" s="533"/>
      <c r="L7661" s="533"/>
      <c r="M7661" s="533"/>
      <c r="N7661" s="533"/>
      <c r="O7661" s="533"/>
      <c r="P7661" s="533"/>
      <c r="Q7661" s="533"/>
      <c r="R7661" s="533"/>
      <c r="S7661" s="533"/>
      <c r="T7661" s="533"/>
      <c r="U7661" s="533"/>
      <c r="V7661" s="533"/>
      <c r="W7661" s="533"/>
      <c r="X7661" s="533"/>
      <c r="Y7661" s="533"/>
    </row>
    <row r="7662" spans="1:25" s="88" customFormat="1" ht="30.75" hidden="1" thickBot="1" x14ac:dyDescent="0.3">
      <c r="A7662" s="509"/>
      <c r="B7662" s="256"/>
      <c r="C7662" s="316"/>
      <c r="D7662" s="251"/>
      <c r="E7662" s="251"/>
      <c r="F7662" s="249" t="s">
        <v>255</v>
      </c>
      <c r="G7662" s="252" t="s">
        <v>256</v>
      </c>
      <c r="H7662" s="594"/>
      <c r="I7662" s="595"/>
      <c r="J7662" s="599">
        <f t="shared" si="217"/>
        <v>0</v>
      </c>
      <c r="K7662" s="533"/>
      <c r="L7662" s="533"/>
      <c r="M7662" s="533"/>
      <c r="N7662" s="533"/>
      <c r="O7662" s="533"/>
      <c r="P7662" s="533"/>
      <c r="Q7662" s="533"/>
      <c r="R7662" s="533"/>
      <c r="S7662" s="533"/>
      <c r="T7662" s="533"/>
      <c r="U7662" s="533"/>
      <c r="V7662" s="533"/>
      <c r="W7662" s="533"/>
      <c r="X7662" s="533"/>
      <c r="Y7662" s="533"/>
    </row>
    <row r="7663" spans="1:25" s="88" customFormat="1" ht="15.75" hidden="1" thickBot="1" x14ac:dyDescent="0.3">
      <c r="A7663" s="509"/>
      <c r="B7663" s="256"/>
      <c r="C7663" s="316"/>
      <c r="D7663" s="251"/>
      <c r="E7663" s="251"/>
      <c r="F7663" s="249" t="s">
        <v>257</v>
      </c>
      <c r="G7663" s="252" t="s">
        <v>258</v>
      </c>
      <c r="H7663" s="594"/>
      <c r="I7663" s="595"/>
      <c r="J7663" s="599">
        <f t="shared" si="217"/>
        <v>0</v>
      </c>
      <c r="K7663" s="533"/>
      <c r="L7663" s="533"/>
      <c r="M7663" s="533"/>
      <c r="N7663" s="533"/>
      <c r="O7663" s="533"/>
      <c r="P7663" s="533"/>
      <c r="Q7663" s="533"/>
      <c r="R7663" s="533"/>
      <c r="S7663" s="533"/>
      <c r="T7663" s="533"/>
      <c r="U7663" s="533"/>
      <c r="V7663" s="533"/>
      <c r="W7663" s="533"/>
      <c r="X7663" s="533"/>
      <c r="Y7663" s="533"/>
    </row>
    <row r="7664" spans="1:25" s="88" customFormat="1" ht="30.75" hidden="1" thickBot="1" x14ac:dyDescent="0.3">
      <c r="A7664" s="509"/>
      <c r="B7664" s="256"/>
      <c r="C7664" s="316"/>
      <c r="D7664" s="251"/>
      <c r="E7664" s="251"/>
      <c r="F7664" s="249" t="s">
        <v>259</v>
      </c>
      <c r="G7664" s="252" t="s">
        <v>260</v>
      </c>
      <c r="H7664" s="594"/>
      <c r="I7664" s="595"/>
      <c r="J7664" s="599">
        <f t="shared" si="217"/>
        <v>0</v>
      </c>
      <c r="K7664" s="533"/>
      <c r="L7664" s="533"/>
      <c r="M7664" s="533"/>
      <c r="N7664" s="533"/>
      <c r="O7664" s="533"/>
      <c r="P7664" s="533"/>
      <c r="Q7664" s="533"/>
      <c r="R7664" s="533"/>
      <c r="S7664" s="533"/>
      <c r="T7664" s="533"/>
      <c r="U7664" s="533"/>
      <c r="V7664" s="533"/>
      <c r="W7664" s="533"/>
      <c r="X7664" s="533"/>
      <c r="Y7664" s="533"/>
    </row>
    <row r="7665" spans="1:25" s="88" customFormat="1" ht="15.75" hidden="1" thickBot="1" x14ac:dyDescent="0.3">
      <c r="A7665" s="509"/>
      <c r="B7665" s="256"/>
      <c r="C7665" s="316"/>
      <c r="D7665" s="251"/>
      <c r="E7665" s="251"/>
      <c r="F7665" s="249" t="s">
        <v>261</v>
      </c>
      <c r="G7665" s="252" t="s">
        <v>262</v>
      </c>
      <c r="H7665" s="594"/>
      <c r="I7665" s="595"/>
      <c r="J7665" s="599">
        <f t="shared" si="217"/>
        <v>0</v>
      </c>
      <c r="K7665" s="533"/>
      <c r="L7665" s="533"/>
      <c r="M7665" s="533"/>
      <c r="N7665" s="533"/>
      <c r="O7665" s="533"/>
      <c r="P7665" s="533"/>
      <c r="Q7665" s="533"/>
      <c r="R7665" s="533"/>
      <c r="S7665" s="533"/>
      <c r="T7665" s="533"/>
      <c r="U7665" s="533"/>
      <c r="V7665" s="533"/>
      <c r="W7665" s="533"/>
      <c r="X7665" s="533"/>
      <c r="Y7665" s="533"/>
    </row>
    <row r="7666" spans="1:25" s="88" customFormat="1" ht="15.75" hidden="1" thickBot="1" x14ac:dyDescent="0.3">
      <c r="A7666" s="509"/>
      <c r="B7666" s="256"/>
      <c r="C7666" s="316"/>
      <c r="D7666" s="251"/>
      <c r="E7666" s="251"/>
      <c r="F7666" s="249" t="s">
        <v>263</v>
      </c>
      <c r="G7666" s="252" t="s">
        <v>264</v>
      </c>
      <c r="H7666" s="598"/>
      <c r="I7666" s="599"/>
      <c r="J7666" s="599">
        <f t="shared" si="217"/>
        <v>0</v>
      </c>
      <c r="K7666" s="533"/>
      <c r="L7666" s="533"/>
      <c r="M7666" s="533"/>
      <c r="N7666" s="533"/>
      <c r="O7666" s="533"/>
      <c r="P7666" s="533"/>
      <c r="Q7666" s="533"/>
      <c r="R7666" s="533"/>
      <c r="S7666" s="533"/>
      <c r="T7666" s="533"/>
      <c r="U7666" s="533"/>
      <c r="V7666" s="533"/>
      <c r="W7666" s="533"/>
      <c r="X7666" s="533"/>
      <c r="Y7666" s="533"/>
    </row>
    <row r="7667" spans="1:25" s="88" customFormat="1" ht="15.75" hidden="1" thickBot="1" x14ac:dyDescent="0.3">
      <c r="A7667" s="509"/>
      <c r="B7667" s="256"/>
      <c r="C7667" s="316"/>
      <c r="D7667" s="251"/>
      <c r="E7667" s="251"/>
      <c r="F7667" s="218"/>
      <c r="G7667" s="229" t="s">
        <v>4301</v>
      </c>
      <c r="H7667" s="600">
        <f>SUM(H7651:H7666)</f>
        <v>0</v>
      </c>
      <c r="I7667" s="601">
        <f>SUM(I7652:I7666)</f>
        <v>0</v>
      </c>
      <c r="J7667" s="601">
        <f>SUM(J7651:J7666)</f>
        <v>0</v>
      </c>
      <c r="K7667" s="533"/>
      <c r="L7667" s="533"/>
      <c r="M7667" s="533"/>
      <c r="N7667" s="533"/>
      <c r="O7667" s="533"/>
      <c r="P7667" s="533"/>
      <c r="Q7667" s="533"/>
      <c r="R7667" s="533"/>
      <c r="S7667" s="533"/>
      <c r="T7667" s="533"/>
      <c r="U7667" s="533"/>
      <c r="V7667" s="533"/>
      <c r="W7667" s="533"/>
      <c r="X7667" s="533"/>
      <c r="Y7667" s="533"/>
    </row>
    <row r="7668" spans="1:25" s="88" customFormat="1" hidden="1" x14ac:dyDescent="0.25">
      <c r="A7668" s="509"/>
      <c r="B7668" s="256"/>
      <c r="C7668" s="316"/>
      <c r="D7668" s="251"/>
      <c r="E7668" s="251"/>
      <c r="F7668" s="218"/>
      <c r="G7668" s="286"/>
      <c r="H7668" s="604"/>
      <c r="I7668" s="605"/>
      <c r="J7668" s="605"/>
      <c r="K7668" s="533"/>
      <c r="L7668" s="533"/>
      <c r="M7668" s="533"/>
      <c r="N7668" s="533"/>
      <c r="O7668" s="533"/>
      <c r="P7668" s="533"/>
      <c r="Q7668" s="533"/>
      <c r="R7668" s="533"/>
      <c r="S7668" s="533"/>
      <c r="T7668" s="533"/>
      <c r="U7668" s="533"/>
      <c r="V7668" s="533"/>
      <c r="W7668" s="533"/>
      <c r="X7668" s="533"/>
      <c r="Y7668" s="533"/>
    </row>
    <row r="7669" spans="1:25" hidden="1" x14ac:dyDescent="0.25"/>
    <row r="7670" spans="1:25" s="88" customFormat="1" ht="16.5" customHeight="1" x14ac:dyDescent="0.25">
      <c r="A7670" s="279"/>
      <c r="B7670" s="638">
        <v>7</v>
      </c>
      <c r="C7670" s="322"/>
      <c r="D7670" s="639"/>
      <c r="E7670" s="639"/>
      <c r="F7670" s="640"/>
      <c r="G7670" s="237" t="s">
        <v>5469</v>
      </c>
      <c r="H7670" s="629"/>
      <c r="I7670" s="593"/>
      <c r="J7670" s="641"/>
      <c r="K7670" s="533"/>
      <c r="L7670" s="533"/>
      <c r="M7670" s="533"/>
      <c r="N7670" s="533"/>
      <c r="O7670" s="533"/>
      <c r="P7670" s="533"/>
      <c r="Q7670" s="533"/>
      <c r="R7670" s="533"/>
      <c r="S7670" s="533"/>
      <c r="T7670" s="533"/>
      <c r="U7670" s="533"/>
      <c r="V7670" s="533"/>
      <c r="W7670" s="533"/>
      <c r="X7670" s="533"/>
      <c r="Y7670" s="533"/>
    </row>
    <row r="7671" spans="1:25" s="88" customFormat="1" hidden="1" x14ac:dyDescent="0.25">
      <c r="A7671" s="261"/>
      <c r="B7671" s="256"/>
      <c r="C7671" s="265" t="s">
        <v>3581</v>
      </c>
      <c r="D7671" s="265"/>
      <c r="E7671" s="248"/>
      <c r="F7671" s="248"/>
      <c r="G7671" s="306" t="s">
        <v>4257</v>
      </c>
      <c r="H7671" s="611"/>
      <c r="I7671" s="612"/>
      <c r="J7671" s="612"/>
      <c r="K7671" s="533"/>
      <c r="L7671" s="533"/>
      <c r="M7671" s="533"/>
      <c r="N7671" s="533"/>
      <c r="O7671" s="533"/>
      <c r="P7671" s="533"/>
      <c r="Q7671" s="533"/>
      <c r="R7671" s="533"/>
      <c r="S7671" s="533"/>
      <c r="T7671" s="533"/>
      <c r="U7671" s="533"/>
      <c r="V7671" s="533"/>
      <c r="W7671" s="533"/>
      <c r="X7671" s="533"/>
      <c r="Y7671" s="533"/>
    </row>
    <row r="7672" spans="1:25" ht="28.5" hidden="1" x14ac:dyDescent="0.25">
      <c r="C7672" s="228" t="s">
        <v>4115</v>
      </c>
      <c r="D7672" s="219"/>
      <c r="G7672" s="262" t="s">
        <v>4116</v>
      </c>
    </row>
    <row r="7673" spans="1:25" s="88" customFormat="1" hidden="1" x14ac:dyDescent="0.25">
      <c r="A7673" s="261"/>
      <c r="B7673" s="256"/>
      <c r="C7673" s="265"/>
      <c r="D7673" s="328">
        <v>550</v>
      </c>
      <c r="E7673" s="329"/>
      <c r="F7673" s="329"/>
      <c r="G7673" s="330" t="s">
        <v>4312</v>
      </c>
      <c r="H7673" s="611"/>
      <c r="I7673" s="612"/>
      <c r="J7673" s="612"/>
      <c r="K7673" s="533"/>
      <c r="L7673" s="533"/>
      <c r="M7673" s="533"/>
      <c r="N7673" s="533"/>
      <c r="O7673" s="533"/>
      <c r="P7673" s="533"/>
      <c r="Q7673" s="533"/>
      <c r="R7673" s="533"/>
      <c r="S7673" s="533"/>
      <c r="T7673" s="533"/>
      <c r="U7673" s="533"/>
      <c r="V7673" s="533"/>
      <c r="W7673" s="533"/>
      <c r="X7673" s="533"/>
      <c r="Y7673" s="533"/>
    </row>
    <row r="7674" spans="1:25" hidden="1" x14ac:dyDescent="0.25">
      <c r="F7674" s="263">
        <v>411</v>
      </c>
      <c r="G7674" s="295" t="s">
        <v>4189</v>
      </c>
      <c r="J7674" s="595">
        <f>SUM(H7674:I7674)</f>
        <v>0</v>
      </c>
    </row>
    <row r="7675" spans="1:25" hidden="1" x14ac:dyDescent="0.25">
      <c r="F7675" s="263">
        <v>412</v>
      </c>
      <c r="G7675" s="292" t="s">
        <v>3784</v>
      </c>
      <c r="J7675" s="595">
        <f t="shared" ref="J7675:J7733" si="218">SUM(H7675:I7675)</f>
        <v>0</v>
      </c>
    </row>
    <row r="7676" spans="1:25" hidden="1" x14ac:dyDescent="0.25">
      <c r="F7676" s="263">
        <v>413</v>
      </c>
      <c r="G7676" s="295" t="s">
        <v>4190</v>
      </c>
      <c r="J7676" s="595">
        <f t="shared" si="218"/>
        <v>0</v>
      </c>
    </row>
    <row r="7677" spans="1:25" hidden="1" x14ac:dyDescent="0.25">
      <c r="F7677" s="263">
        <v>414</v>
      </c>
      <c r="G7677" s="295" t="s">
        <v>3787</v>
      </c>
      <c r="J7677" s="595">
        <f t="shared" si="218"/>
        <v>0</v>
      </c>
    </row>
    <row r="7678" spans="1:25" hidden="1" x14ac:dyDescent="0.25">
      <c r="F7678" s="263">
        <v>415</v>
      </c>
      <c r="G7678" s="295" t="s">
        <v>4199</v>
      </c>
      <c r="J7678" s="595">
        <f t="shared" si="218"/>
        <v>0</v>
      </c>
    </row>
    <row r="7679" spans="1:25" hidden="1" x14ac:dyDescent="0.25">
      <c r="F7679" s="263">
        <v>416</v>
      </c>
      <c r="G7679" s="295" t="s">
        <v>4200</v>
      </c>
      <c r="J7679" s="595">
        <f t="shared" si="218"/>
        <v>0</v>
      </c>
    </row>
    <row r="7680" spans="1:25" hidden="1" x14ac:dyDescent="0.25">
      <c r="F7680" s="263">
        <v>417</v>
      </c>
      <c r="G7680" s="295" t="s">
        <v>4201</v>
      </c>
      <c r="J7680" s="595">
        <f t="shared" si="218"/>
        <v>0</v>
      </c>
    </row>
    <row r="7681" spans="6:10" hidden="1" x14ac:dyDescent="0.25">
      <c r="F7681" s="263">
        <v>418</v>
      </c>
      <c r="G7681" s="295" t="s">
        <v>3793</v>
      </c>
      <c r="J7681" s="595">
        <f t="shared" si="218"/>
        <v>0</v>
      </c>
    </row>
    <row r="7682" spans="6:10" hidden="1" x14ac:dyDescent="0.25">
      <c r="F7682" s="263">
        <v>421</v>
      </c>
      <c r="G7682" s="295" t="s">
        <v>3797</v>
      </c>
      <c r="J7682" s="595">
        <f t="shared" si="218"/>
        <v>0</v>
      </c>
    </row>
    <row r="7683" spans="6:10" hidden="1" x14ac:dyDescent="0.25">
      <c r="F7683" s="263">
        <v>422</v>
      </c>
      <c r="G7683" s="295" t="s">
        <v>3798</v>
      </c>
      <c r="J7683" s="595">
        <f t="shared" si="218"/>
        <v>0</v>
      </c>
    </row>
    <row r="7684" spans="6:10" hidden="1" x14ac:dyDescent="0.25">
      <c r="F7684" s="263">
        <v>423</v>
      </c>
      <c r="G7684" s="295" t="s">
        <v>3799</v>
      </c>
      <c r="J7684" s="595">
        <f t="shared" si="218"/>
        <v>0</v>
      </c>
    </row>
    <row r="7685" spans="6:10" hidden="1" x14ac:dyDescent="0.25">
      <c r="F7685" s="263">
        <v>424</v>
      </c>
      <c r="G7685" s="295" t="s">
        <v>3801</v>
      </c>
      <c r="J7685" s="595">
        <f t="shared" si="218"/>
        <v>0</v>
      </c>
    </row>
    <row r="7686" spans="6:10" hidden="1" x14ac:dyDescent="0.25">
      <c r="F7686" s="263">
        <v>425</v>
      </c>
      <c r="G7686" s="295" t="s">
        <v>4202</v>
      </c>
      <c r="J7686" s="595">
        <f t="shared" si="218"/>
        <v>0</v>
      </c>
    </row>
    <row r="7687" spans="6:10" hidden="1" x14ac:dyDescent="0.25">
      <c r="F7687" s="263">
        <v>426</v>
      </c>
      <c r="G7687" s="295" t="s">
        <v>3805</v>
      </c>
      <c r="J7687" s="595">
        <f t="shared" si="218"/>
        <v>0</v>
      </c>
    </row>
    <row r="7688" spans="6:10" hidden="1" x14ac:dyDescent="0.25">
      <c r="F7688" s="263">
        <v>431</v>
      </c>
      <c r="G7688" s="295" t="s">
        <v>4203</v>
      </c>
      <c r="J7688" s="595">
        <f t="shared" si="218"/>
        <v>0</v>
      </c>
    </row>
    <row r="7689" spans="6:10" hidden="1" x14ac:dyDescent="0.25">
      <c r="F7689" s="263">
        <v>432</v>
      </c>
      <c r="G7689" s="295" t="s">
        <v>4204</v>
      </c>
      <c r="J7689" s="595">
        <f t="shared" si="218"/>
        <v>0</v>
      </c>
    </row>
    <row r="7690" spans="6:10" hidden="1" x14ac:dyDescent="0.25">
      <c r="F7690" s="263">
        <v>433</v>
      </c>
      <c r="G7690" s="295" t="s">
        <v>4205</v>
      </c>
      <c r="J7690" s="595">
        <f t="shared" si="218"/>
        <v>0</v>
      </c>
    </row>
    <row r="7691" spans="6:10" hidden="1" x14ac:dyDescent="0.25">
      <c r="F7691" s="263">
        <v>434</v>
      </c>
      <c r="G7691" s="295" t="s">
        <v>4206</v>
      </c>
      <c r="J7691" s="595">
        <f t="shared" si="218"/>
        <v>0</v>
      </c>
    </row>
    <row r="7692" spans="6:10" hidden="1" x14ac:dyDescent="0.25">
      <c r="F7692" s="263">
        <v>435</v>
      </c>
      <c r="G7692" s="295" t="s">
        <v>3812</v>
      </c>
      <c r="J7692" s="595">
        <f t="shared" si="218"/>
        <v>0</v>
      </c>
    </row>
    <row r="7693" spans="6:10" hidden="1" x14ac:dyDescent="0.25">
      <c r="F7693" s="263">
        <v>441</v>
      </c>
      <c r="G7693" s="295" t="s">
        <v>4207</v>
      </c>
      <c r="J7693" s="595">
        <f t="shared" si="218"/>
        <v>0</v>
      </c>
    </row>
    <row r="7694" spans="6:10" hidden="1" x14ac:dyDescent="0.25">
      <c r="F7694" s="263">
        <v>442</v>
      </c>
      <c r="G7694" s="295" t="s">
        <v>4208</v>
      </c>
      <c r="J7694" s="595">
        <f t="shared" si="218"/>
        <v>0</v>
      </c>
    </row>
    <row r="7695" spans="6:10" hidden="1" x14ac:dyDescent="0.25">
      <c r="F7695" s="263">
        <v>443</v>
      </c>
      <c r="G7695" s="295" t="s">
        <v>3817</v>
      </c>
      <c r="J7695" s="595">
        <f t="shared" si="218"/>
        <v>0</v>
      </c>
    </row>
    <row r="7696" spans="6:10" hidden="1" x14ac:dyDescent="0.25">
      <c r="F7696" s="263">
        <v>444</v>
      </c>
      <c r="G7696" s="295" t="s">
        <v>3818</v>
      </c>
      <c r="J7696" s="595">
        <f t="shared" si="218"/>
        <v>0</v>
      </c>
    </row>
    <row r="7697" spans="6:10" ht="30" hidden="1" x14ac:dyDescent="0.25">
      <c r="F7697" s="263">
        <v>4511</v>
      </c>
      <c r="G7697" s="223" t="s">
        <v>1692</v>
      </c>
      <c r="J7697" s="595">
        <f t="shared" si="218"/>
        <v>0</v>
      </c>
    </row>
    <row r="7698" spans="6:10" ht="19.5" hidden="1" customHeight="1" x14ac:dyDescent="0.25">
      <c r="F7698" s="263">
        <v>4512</v>
      </c>
      <c r="G7698" s="223" t="s">
        <v>1701</v>
      </c>
      <c r="J7698" s="595">
        <f t="shared" si="218"/>
        <v>0</v>
      </c>
    </row>
    <row r="7699" spans="6:10" hidden="1" x14ac:dyDescent="0.25">
      <c r="F7699" s="263">
        <v>452</v>
      </c>
      <c r="G7699" s="295" t="s">
        <v>4209</v>
      </c>
      <c r="J7699" s="595">
        <f t="shared" si="218"/>
        <v>0</v>
      </c>
    </row>
    <row r="7700" spans="6:10" hidden="1" x14ac:dyDescent="0.25">
      <c r="F7700" s="263">
        <v>453</v>
      </c>
      <c r="G7700" s="295" t="s">
        <v>4210</v>
      </c>
      <c r="J7700" s="595">
        <f t="shared" si="218"/>
        <v>0</v>
      </c>
    </row>
    <row r="7701" spans="6:10" hidden="1" x14ac:dyDescent="0.25">
      <c r="F7701" s="263">
        <v>454</v>
      </c>
      <c r="G7701" s="295" t="s">
        <v>3823</v>
      </c>
      <c r="J7701" s="595">
        <f t="shared" si="218"/>
        <v>0</v>
      </c>
    </row>
    <row r="7702" spans="6:10" hidden="1" x14ac:dyDescent="0.25">
      <c r="F7702" s="263">
        <v>461</v>
      </c>
      <c r="G7702" s="295" t="s">
        <v>4191</v>
      </c>
      <c r="J7702" s="595">
        <f t="shared" si="218"/>
        <v>0</v>
      </c>
    </row>
    <row r="7703" spans="6:10" hidden="1" x14ac:dyDescent="0.25">
      <c r="F7703" s="263">
        <v>462</v>
      </c>
      <c r="G7703" s="295" t="s">
        <v>3826</v>
      </c>
      <c r="J7703" s="595">
        <f t="shared" si="218"/>
        <v>0</v>
      </c>
    </row>
    <row r="7704" spans="6:10" hidden="1" x14ac:dyDescent="0.25">
      <c r="F7704" s="263">
        <v>4631</v>
      </c>
      <c r="G7704" s="295" t="s">
        <v>3827</v>
      </c>
      <c r="J7704" s="595">
        <f t="shared" si="218"/>
        <v>0</v>
      </c>
    </row>
    <row r="7705" spans="6:10" hidden="1" x14ac:dyDescent="0.25">
      <c r="F7705" s="263">
        <v>4632</v>
      </c>
      <c r="G7705" s="295" t="s">
        <v>3828</v>
      </c>
      <c r="J7705" s="595">
        <f t="shared" si="218"/>
        <v>0</v>
      </c>
    </row>
    <row r="7706" spans="6:10" hidden="1" x14ac:dyDescent="0.25">
      <c r="F7706" s="263">
        <v>464</v>
      </c>
      <c r="G7706" s="295" t="s">
        <v>3829</v>
      </c>
      <c r="J7706" s="595">
        <f t="shared" si="218"/>
        <v>0</v>
      </c>
    </row>
    <row r="7707" spans="6:10" hidden="1" x14ac:dyDescent="0.25">
      <c r="F7707" s="263">
        <v>465</v>
      </c>
      <c r="G7707" s="295" t="s">
        <v>4192</v>
      </c>
      <c r="J7707" s="595">
        <f t="shared" si="218"/>
        <v>0</v>
      </c>
    </row>
    <row r="7708" spans="6:10" hidden="1" x14ac:dyDescent="0.25">
      <c r="F7708" s="263">
        <v>472</v>
      </c>
      <c r="G7708" s="295" t="s">
        <v>3833</v>
      </c>
      <c r="J7708" s="595">
        <f t="shared" si="218"/>
        <v>0</v>
      </c>
    </row>
    <row r="7709" spans="6:10" ht="15.75" hidden="1" thickBot="1" x14ac:dyDescent="0.3">
      <c r="F7709" s="263">
        <v>481</v>
      </c>
      <c r="G7709" s="295" t="s">
        <v>4211</v>
      </c>
      <c r="J7709" s="595">
        <f t="shared" si="218"/>
        <v>0</v>
      </c>
    </row>
    <row r="7710" spans="6:10" hidden="1" x14ac:dyDescent="0.25">
      <c r="F7710" s="263">
        <v>482</v>
      </c>
      <c r="G7710" s="295" t="s">
        <v>4212</v>
      </c>
      <c r="J7710" s="595">
        <f t="shared" si="218"/>
        <v>0</v>
      </c>
    </row>
    <row r="7711" spans="6:10" hidden="1" x14ac:dyDescent="0.25">
      <c r="F7711" s="263">
        <v>483</v>
      </c>
      <c r="G7711" s="298" t="s">
        <v>4213</v>
      </c>
      <c r="J7711" s="595">
        <f t="shared" si="218"/>
        <v>0</v>
      </c>
    </row>
    <row r="7712" spans="6:10" ht="30" hidden="1" x14ac:dyDescent="0.25">
      <c r="F7712" s="263">
        <v>484</v>
      </c>
      <c r="G7712" s="295" t="s">
        <v>4214</v>
      </c>
      <c r="J7712" s="595">
        <f t="shared" si="218"/>
        <v>0</v>
      </c>
    </row>
    <row r="7713" spans="6:10" ht="30" hidden="1" x14ac:dyDescent="0.25">
      <c r="F7713" s="263">
        <v>485</v>
      </c>
      <c r="G7713" s="295" t="s">
        <v>4215</v>
      </c>
      <c r="J7713" s="595">
        <f t="shared" si="218"/>
        <v>0</v>
      </c>
    </row>
    <row r="7714" spans="6:10" ht="30" hidden="1" x14ac:dyDescent="0.25">
      <c r="F7714" s="263">
        <v>489</v>
      </c>
      <c r="G7714" s="295" t="s">
        <v>3841</v>
      </c>
      <c r="J7714" s="595">
        <f t="shared" si="218"/>
        <v>0</v>
      </c>
    </row>
    <row r="7715" spans="6:10" hidden="1" x14ac:dyDescent="0.25">
      <c r="F7715" s="263">
        <v>494</v>
      </c>
      <c r="G7715" s="295" t="s">
        <v>4193</v>
      </c>
      <c r="J7715" s="595">
        <f t="shared" si="218"/>
        <v>0</v>
      </c>
    </row>
    <row r="7716" spans="6:10" ht="30" hidden="1" x14ac:dyDescent="0.25">
      <c r="F7716" s="263">
        <v>495</v>
      </c>
      <c r="G7716" s="295" t="s">
        <v>4194</v>
      </c>
      <c r="J7716" s="595">
        <f t="shared" si="218"/>
        <v>0</v>
      </c>
    </row>
    <row r="7717" spans="6:10" ht="30" hidden="1" x14ac:dyDescent="0.25">
      <c r="F7717" s="263">
        <v>496</v>
      </c>
      <c r="G7717" s="295" t="s">
        <v>4195</v>
      </c>
      <c r="J7717" s="595">
        <f t="shared" si="218"/>
        <v>0</v>
      </c>
    </row>
    <row r="7718" spans="6:10" hidden="1" x14ac:dyDescent="0.25">
      <c r="F7718" s="263">
        <v>499</v>
      </c>
      <c r="G7718" s="295" t="s">
        <v>4196</v>
      </c>
      <c r="J7718" s="595">
        <f t="shared" si="218"/>
        <v>0</v>
      </c>
    </row>
    <row r="7719" spans="6:10" hidden="1" x14ac:dyDescent="0.25">
      <c r="F7719" s="263">
        <v>511</v>
      </c>
      <c r="G7719" s="298" t="s">
        <v>4216</v>
      </c>
      <c r="J7719" s="595">
        <f t="shared" si="218"/>
        <v>0</v>
      </c>
    </row>
    <row r="7720" spans="6:10" hidden="1" x14ac:dyDescent="0.25">
      <c r="F7720" s="263">
        <v>512</v>
      </c>
      <c r="G7720" s="298" t="s">
        <v>4217</v>
      </c>
      <c r="J7720" s="595">
        <f t="shared" si="218"/>
        <v>0</v>
      </c>
    </row>
    <row r="7721" spans="6:10" hidden="1" x14ac:dyDescent="0.25">
      <c r="F7721" s="263">
        <v>513</v>
      </c>
      <c r="G7721" s="298" t="s">
        <v>4218</v>
      </c>
      <c r="J7721" s="595">
        <f t="shared" si="218"/>
        <v>0</v>
      </c>
    </row>
    <row r="7722" spans="6:10" hidden="1" x14ac:dyDescent="0.25">
      <c r="F7722" s="263">
        <v>514</v>
      </c>
      <c r="G7722" s="295" t="s">
        <v>4219</v>
      </c>
      <c r="J7722" s="595">
        <f t="shared" si="218"/>
        <v>0</v>
      </c>
    </row>
    <row r="7723" spans="6:10" hidden="1" x14ac:dyDescent="0.25">
      <c r="F7723" s="263">
        <v>515</v>
      </c>
      <c r="G7723" s="295" t="s">
        <v>3852</v>
      </c>
      <c r="J7723" s="595">
        <f t="shared" si="218"/>
        <v>0</v>
      </c>
    </row>
    <row r="7724" spans="6:10" hidden="1" x14ac:dyDescent="0.25">
      <c r="F7724" s="263">
        <v>521</v>
      </c>
      <c r="G7724" s="295" t="s">
        <v>4220</v>
      </c>
      <c r="J7724" s="595">
        <f t="shared" si="218"/>
        <v>0</v>
      </c>
    </row>
    <row r="7725" spans="6:10" hidden="1" x14ac:dyDescent="0.25">
      <c r="F7725" s="263">
        <v>522</v>
      </c>
      <c r="G7725" s="295" t="s">
        <v>4221</v>
      </c>
      <c r="J7725" s="595">
        <f t="shared" si="218"/>
        <v>0</v>
      </c>
    </row>
    <row r="7726" spans="6:10" hidden="1" x14ac:dyDescent="0.25">
      <c r="F7726" s="263">
        <v>523</v>
      </c>
      <c r="G7726" s="295" t="s">
        <v>3857</v>
      </c>
      <c r="J7726" s="595">
        <f t="shared" si="218"/>
        <v>0</v>
      </c>
    </row>
    <row r="7727" spans="6:10" hidden="1" x14ac:dyDescent="0.25">
      <c r="F7727" s="263">
        <v>531</v>
      </c>
      <c r="G7727" s="292" t="s">
        <v>4197</v>
      </c>
      <c r="J7727" s="595">
        <f t="shared" si="218"/>
        <v>0</v>
      </c>
    </row>
    <row r="7728" spans="6:10" ht="15.75" hidden="1" thickBot="1" x14ac:dyDescent="0.3">
      <c r="F7728" s="263">
        <v>541</v>
      </c>
      <c r="G7728" s="295" t="s">
        <v>4222</v>
      </c>
      <c r="J7728" s="595">
        <f t="shared" si="218"/>
        <v>0</v>
      </c>
    </row>
    <row r="7729" spans="5:10" hidden="1" x14ac:dyDescent="0.25">
      <c r="F7729" s="263">
        <v>542</v>
      </c>
      <c r="G7729" s="295" t="s">
        <v>4223</v>
      </c>
      <c r="J7729" s="595">
        <f t="shared" si="218"/>
        <v>0</v>
      </c>
    </row>
    <row r="7730" spans="5:10" hidden="1" x14ac:dyDescent="0.25">
      <c r="F7730" s="263">
        <v>543</v>
      </c>
      <c r="G7730" s="295" t="s">
        <v>3862</v>
      </c>
      <c r="J7730" s="595">
        <f t="shared" si="218"/>
        <v>0</v>
      </c>
    </row>
    <row r="7731" spans="5:10" ht="30" hidden="1" x14ac:dyDescent="0.25">
      <c r="F7731" s="263">
        <v>551</v>
      </c>
      <c r="G7731" s="295" t="s">
        <v>4198</v>
      </c>
      <c r="J7731" s="595">
        <f t="shared" si="218"/>
        <v>0</v>
      </c>
    </row>
    <row r="7732" spans="5:10" hidden="1" x14ac:dyDescent="0.25">
      <c r="F7732" s="264">
        <v>611</v>
      </c>
      <c r="G7732" s="299" t="s">
        <v>3868</v>
      </c>
      <c r="J7732" s="595">
        <f t="shared" si="218"/>
        <v>0</v>
      </c>
    </row>
    <row r="7733" spans="5:10" ht="14.25" hidden="1" customHeight="1" thickBot="1" x14ac:dyDescent="0.3">
      <c r="F7733" s="264">
        <v>620</v>
      </c>
      <c r="G7733" s="299" t="s">
        <v>88</v>
      </c>
      <c r="J7733" s="595">
        <f t="shared" si="218"/>
        <v>0</v>
      </c>
    </row>
    <row r="7734" spans="5:10" hidden="1" x14ac:dyDescent="0.25">
      <c r="E7734" s="293"/>
      <c r="F7734" s="301"/>
      <c r="G7734" s="326" t="s">
        <v>4494</v>
      </c>
      <c r="H7734" s="596"/>
      <c r="I7734" s="622"/>
      <c r="J7734" s="597"/>
    </row>
    <row r="7735" spans="5:10" ht="15.75" hidden="1" thickBot="1" x14ac:dyDescent="0.3">
      <c r="E7735" s="222"/>
      <c r="F7735" s="249" t="s">
        <v>234</v>
      </c>
      <c r="G7735" s="252" t="s">
        <v>235</v>
      </c>
      <c r="H7735" s="598">
        <f>SUM(H7674:H7733)</f>
        <v>0</v>
      </c>
      <c r="I7735" s="599"/>
      <c r="J7735" s="599">
        <f>SUM(H7735:I7735)</f>
        <v>0</v>
      </c>
    </row>
    <row r="7736" spans="5:10" hidden="1" x14ac:dyDescent="0.25">
      <c r="F7736" s="249" t="s">
        <v>236</v>
      </c>
      <c r="G7736" s="252" t="s">
        <v>237</v>
      </c>
      <c r="J7736" s="599">
        <f t="shared" ref="J7736:J7750" si="219">SUM(H7736:I7736)</f>
        <v>0</v>
      </c>
    </row>
    <row r="7737" spans="5:10" hidden="1" x14ac:dyDescent="0.25">
      <c r="F7737" s="249" t="s">
        <v>238</v>
      </c>
      <c r="G7737" s="252" t="s">
        <v>239</v>
      </c>
      <c r="J7737" s="599">
        <f t="shared" si="219"/>
        <v>0</v>
      </c>
    </row>
    <row r="7738" spans="5:10" hidden="1" x14ac:dyDescent="0.25">
      <c r="F7738" s="249" t="s">
        <v>240</v>
      </c>
      <c r="G7738" s="252" t="s">
        <v>241</v>
      </c>
      <c r="J7738" s="599">
        <f t="shared" si="219"/>
        <v>0</v>
      </c>
    </row>
    <row r="7739" spans="5:10" hidden="1" x14ac:dyDescent="0.25">
      <c r="F7739" s="249" t="s">
        <v>242</v>
      </c>
      <c r="G7739" s="252" t="s">
        <v>243</v>
      </c>
      <c r="J7739" s="599">
        <f t="shared" si="219"/>
        <v>0</v>
      </c>
    </row>
    <row r="7740" spans="5:10" hidden="1" x14ac:dyDescent="0.25">
      <c r="F7740" s="249" t="s">
        <v>244</v>
      </c>
      <c r="G7740" s="252" t="s">
        <v>245</v>
      </c>
      <c r="J7740" s="599">
        <f t="shared" si="219"/>
        <v>0</v>
      </c>
    </row>
    <row r="7741" spans="5:10" hidden="1" x14ac:dyDescent="0.25">
      <c r="F7741" s="249" t="s">
        <v>246</v>
      </c>
      <c r="G7741" s="252" t="s">
        <v>247</v>
      </c>
      <c r="J7741" s="599">
        <f t="shared" si="219"/>
        <v>0</v>
      </c>
    </row>
    <row r="7742" spans="5:10" hidden="1" x14ac:dyDescent="0.25">
      <c r="F7742" s="249" t="s">
        <v>248</v>
      </c>
      <c r="G7742" s="252" t="s">
        <v>249</v>
      </c>
      <c r="J7742" s="599">
        <f t="shared" si="219"/>
        <v>0</v>
      </c>
    </row>
    <row r="7743" spans="5:10" hidden="1" x14ac:dyDescent="0.25">
      <c r="F7743" s="249" t="s">
        <v>250</v>
      </c>
      <c r="G7743" s="252" t="s">
        <v>57</v>
      </c>
      <c r="J7743" s="599">
        <f t="shared" si="219"/>
        <v>0</v>
      </c>
    </row>
    <row r="7744" spans="5:10" hidden="1" x14ac:dyDescent="0.25">
      <c r="F7744" s="249" t="s">
        <v>251</v>
      </c>
      <c r="G7744" s="252" t="s">
        <v>252</v>
      </c>
      <c r="J7744" s="599">
        <f t="shared" si="219"/>
        <v>0</v>
      </c>
    </row>
    <row r="7745" spans="5:10" hidden="1" x14ac:dyDescent="0.25">
      <c r="F7745" s="249" t="s">
        <v>253</v>
      </c>
      <c r="G7745" s="252" t="s">
        <v>254</v>
      </c>
      <c r="J7745" s="599">
        <f t="shared" si="219"/>
        <v>0</v>
      </c>
    </row>
    <row r="7746" spans="5:10" ht="30" hidden="1" x14ac:dyDescent="0.25">
      <c r="F7746" s="249" t="s">
        <v>255</v>
      </c>
      <c r="G7746" s="252" t="s">
        <v>256</v>
      </c>
      <c r="J7746" s="599">
        <f t="shared" si="219"/>
        <v>0</v>
      </c>
    </row>
    <row r="7747" spans="5:10" hidden="1" x14ac:dyDescent="0.25">
      <c r="F7747" s="249" t="s">
        <v>257</v>
      </c>
      <c r="G7747" s="252" t="s">
        <v>258</v>
      </c>
      <c r="J7747" s="599">
        <f t="shared" si="219"/>
        <v>0</v>
      </c>
    </row>
    <row r="7748" spans="5:10" ht="30" hidden="1" x14ac:dyDescent="0.25">
      <c r="F7748" s="249" t="s">
        <v>259</v>
      </c>
      <c r="G7748" s="252" t="s">
        <v>260</v>
      </c>
      <c r="J7748" s="599">
        <f t="shared" si="219"/>
        <v>0</v>
      </c>
    </row>
    <row r="7749" spans="5:10" hidden="1" x14ac:dyDescent="0.25">
      <c r="F7749" s="249" t="s">
        <v>261</v>
      </c>
      <c r="G7749" s="252" t="s">
        <v>262</v>
      </c>
      <c r="J7749" s="599">
        <f t="shared" si="219"/>
        <v>0</v>
      </c>
    </row>
    <row r="7750" spans="5:10" ht="15.75" hidden="1" thickBot="1" x14ac:dyDescent="0.3">
      <c r="F7750" s="249" t="s">
        <v>263</v>
      </c>
      <c r="G7750" s="252" t="s">
        <v>264</v>
      </c>
      <c r="H7750" s="598"/>
      <c r="I7750" s="599"/>
      <c r="J7750" s="599">
        <f t="shared" si="219"/>
        <v>0</v>
      </c>
    </row>
    <row r="7751" spans="5:10" ht="15.75" hidden="1" thickBot="1" x14ac:dyDescent="0.3">
      <c r="G7751" s="229" t="s">
        <v>4495</v>
      </c>
      <c r="H7751" s="600">
        <f>SUM(H7735:H7750)</f>
        <v>0</v>
      </c>
      <c r="I7751" s="601">
        <f>SUM(I7736:I7750)</f>
        <v>0</v>
      </c>
      <c r="J7751" s="601">
        <f>SUM(J7735:J7750)</f>
        <v>0</v>
      </c>
    </row>
    <row r="7752" spans="5:10" ht="28.5" hidden="1" collapsed="1" x14ac:dyDescent="0.25">
      <c r="E7752" s="260"/>
      <c r="F7752" s="264"/>
      <c r="G7752" s="231" t="s">
        <v>4259</v>
      </c>
      <c r="H7752" s="602"/>
      <c r="I7752" s="623"/>
      <c r="J7752" s="603"/>
    </row>
    <row r="7753" spans="5:10" ht="15.75" hidden="1" thickBot="1" x14ac:dyDescent="0.3">
      <c r="E7753" s="222"/>
      <c r="F7753" s="249" t="s">
        <v>234</v>
      </c>
      <c r="G7753" s="252" t="s">
        <v>235</v>
      </c>
      <c r="H7753" s="598">
        <f>SUM(H7674:H7733)</f>
        <v>0</v>
      </c>
      <c r="I7753" s="599"/>
      <c r="J7753" s="599">
        <f>SUM(H7753:I7753)</f>
        <v>0</v>
      </c>
    </row>
    <row r="7754" spans="5:10" hidden="1" x14ac:dyDescent="0.25">
      <c r="F7754" s="249" t="s">
        <v>236</v>
      </c>
      <c r="G7754" s="252" t="s">
        <v>237</v>
      </c>
      <c r="J7754" s="599">
        <f t="shared" ref="J7754:J7768" si="220">SUM(H7754:I7754)</f>
        <v>0</v>
      </c>
    </row>
    <row r="7755" spans="5:10" hidden="1" x14ac:dyDescent="0.25">
      <c r="F7755" s="249" t="s">
        <v>238</v>
      </c>
      <c r="G7755" s="252" t="s">
        <v>239</v>
      </c>
      <c r="J7755" s="599">
        <f t="shared" si="220"/>
        <v>0</v>
      </c>
    </row>
    <row r="7756" spans="5:10" hidden="1" x14ac:dyDescent="0.25">
      <c r="F7756" s="249" t="s">
        <v>240</v>
      </c>
      <c r="G7756" s="252" t="s">
        <v>241</v>
      </c>
      <c r="J7756" s="599">
        <f t="shared" si="220"/>
        <v>0</v>
      </c>
    </row>
    <row r="7757" spans="5:10" hidden="1" x14ac:dyDescent="0.25">
      <c r="F7757" s="249" t="s">
        <v>242</v>
      </c>
      <c r="G7757" s="252" t="s">
        <v>243</v>
      </c>
      <c r="J7757" s="599">
        <f t="shared" si="220"/>
        <v>0</v>
      </c>
    </row>
    <row r="7758" spans="5:10" hidden="1" x14ac:dyDescent="0.25">
      <c r="F7758" s="249" t="s">
        <v>244</v>
      </c>
      <c r="G7758" s="252" t="s">
        <v>245</v>
      </c>
      <c r="J7758" s="599">
        <f t="shared" si="220"/>
        <v>0</v>
      </c>
    </row>
    <row r="7759" spans="5:10" hidden="1" x14ac:dyDescent="0.25">
      <c r="F7759" s="249" t="s">
        <v>246</v>
      </c>
      <c r="G7759" s="252" t="s">
        <v>247</v>
      </c>
      <c r="J7759" s="599">
        <f t="shared" si="220"/>
        <v>0</v>
      </c>
    </row>
    <row r="7760" spans="5:10" hidden="1" x14ac:dyDescent="0.25">
      <c r="F7760" s="249" t="s">
        <v>248</v>
      </c>
      <c r="G7760" s="252" t="s">
        <v>249</v>
      </c>
      <c r="J7760" s="599">
        <f t="shared" si="220"/>
        <v>0</v>
      </c>
    </row>
    <row r="7761" spans="1:25" hidden="1" x14ac:dyDescent="0.25">
      <c r="F7761" s="249" t="s">
        <v>250</v>
      </c>
      <c r="G7761" s="252" t="s">
        <v>57</v>
      </c>
      <c r="J7761" s="599">
        <f t="shared" si="220"/>
        <v>0</v>
      </c>
    </row>
    <row r="7762" spans="1:25" hidden="1" x14ac:dyDescent="0.25">
      <c r="F7762" s="249" t="s">
        <v>251</v>
      </c>
      <c r="G7762" s="252" t="s">
        <v>252</v>
      </c>
      <c r="J7762" s="599">
        <f t="shared" si="220"/>
        <v>0</v>
      </c>
    </row>
    <row r="7763" spans="1:25" hidden="1" x14ac:dyDescent="0.25">
      <c r="F7763" s="249" t="s">
        <v>253</v>
      </c>
      <c r="G7763" s="252" t="s">
        <v>254</v>
      </c>
      <c r="J7763" s="599">
        <f t="shared" si="220"/>
        <v>0</v>
      </c>
    </row>
    <row r="7764" spans="1:25" ht="30" hidden="1" x14ac:dyDescent="0.25">
      <c r="F7764" s="249" t="s">
        <v>255</v>
      </c>
      <c r="G7764" s="252" t="s">
        <v>256</v>
      </c>
      <c r="J7764" s="599">
        <f t="shared" si="220"/>
        <v>0</v>
      </c>
    </row>
    <row r="7765" spans="1:25" hidden="1" x14ac:dyDescent="0.25">
      <c r="F7765" s="249" t="s">
        <v>257</v>
      </c>
      <c r="G7765" s="252" t="s">
        <v>258</v>
      </c>
      <c r="J7765" s="599">
        <f t="shared" si="220"/>
        <v>0</v>
      </c>
    </row>
    <row r="7766" spans="1:25" ht="30" hidden="1" x14ac:dyDescent="0.25">
      <c r="F7766" s="249" t="s">
        <v>259</v>
      </c>
      <c r="G7766" s="252" t="s">
        <v>260</v>
      </c>
      <c r="J7766" s="599">
        <f t="shared" si="220"/>
        <v>0</v>
      </c>
    </row>
    <row r="7767" spans="1:25" hidden="1" x14ac:dyDescent="0.25">
      <c r="F7767" s="249" t="s">
        <v>261</v>
      </c>
      <c r="G7767" s="252" t="s">
        <v>262</v>
      </c>
      <c r="J7767" s="599">
        <f t="shared" si="220"/>
        <v>0</v>
      </c>
    </row>
    <row r="7768" spans="1:25" ht="15.75" hidden="1" thickBot="1" x14ac:dyDescent="0.3">
      <c r="F7768" s="249" t="s">
        <v>263</v>
      </c>
      <c r="G7768" s="252" t="s">
        <v>264</v>
      </c>
      <c r="H7768" s="598"/>
      <c r="I7768" s="599"/>
      <c r="J7768" s="599">
        <f t="shared" si="220"/>
        <v>0</v>
      </c>
    </row>
    <row r="7769" spans="1:25" ht="15.75" hidden="1" collapsed="1" thickBot="1" x14ac:dyDescent="0.3">
      <c r="G7769" s="229" t="s">
        <v>4258</v>
      </c>
      <c r="H7769" s="600">
        <f>SUM(H7753:H7768)</f>
        <v>0</v>
      </c>
      <c r="I7769" s="601">
        <f>SUM(I7754:I7768)</f>
        <v>0</v>
      </c>
      <c r="J7769" s="601">
        <f>SUM(J7753:J7768)</f>
        <v>0</v>
      </c>
    </row>
    <row r="7770" spans="1:25" s="88" customFormat="1" x14ac:dyDescent="0.25">
      <c r="C7770" s="791" t="s">
        <v>3581</v>
      </c>
      <c r="D7770" s="792"/>
      <c r="E7770" s="792"/>
      <c r="F7770" s="792"/>
      <c r="G7770" s="793" t="s">
        <v>4257</v>
      </c>
      <c r="H7770" s="611"/>
      <c r="I7770" s="612"/>
      <c r="J7770" s="612"/>
      <c r="K7770" s="533"/>
      <c r="L7770" s="533"/>
      <c r="M7770" s="533"/>
      <c r="N7770" s="533"/>
      <c r="O7770" s="533"/>
      <c r="P7770" s="533"/>
      <c r="Q7770" s="533"/>
      <c r="R7770" s="533"/>
      <c r="S7770" s="533"/>
      <c r="T7770" s="533"/>
      <c r="U7770" s="533"/>
      <c r="V7770" s="533"/>
      <c r="W7770" s="533"/>
      <c r="X7770" s="533"/>
      <c r="Y7770" s="533"/>
    </row>
    <row r="7771" spans="1:25" x14ac:dyDescent="0.25">
      <c r="C7771" s="228" t="s">
        <v>4117</v>
      </c>
      <c r="D7771" s="219"/>
      <c r="G7771" s="262" t="s">
        <v>4118</v>
      </c>
    </row>
    <row r="7772" spans="1:25" s="88" customFormat="1" ht="19.5" customHeight="1" x14ac:dyDescent="0.25">
      <c r="A7772" s="297"/>
      <c r="B7772" s="256"/>
      <c r="C7772" s="265"/>
      <c r="D7772" s="328">
        <v>560</v>
      </c>
      <c r="E7772" s="329"/>
      <c r="F7772" s="329"/>
      <c r="G7772" s="314" t="s">
        <v>179</v>
      </c>
      <c r="H7772" s="611"/>
      <c r="I7772" s="612"/>
      <c r="J7772" s="612"/>
      <c r="K7772" s="533"/>
      <c r="L7772" s="533"/>
      <c r="M7772" s="533"/>
      <c r="N7772" s="533"/>
      <c r="O7772" s="533"/>
      <c r="P7772" s="533"/>
      <c r="Q7772" s="533"/>
      <c r="R7772" s="533"/>
      <c r="S7772" s="533"/>
      <c r="T7772" s="533"/>
      <c r="U7772" s="533"/>
      <c r="V7772" s="533"/>
      <c r="W7772" s="533"/>
      <c r="X7772" s="533"/>
      <c r="Y7772" s="533"/>
    </row>
    <row r="7773" spans="1:25" hidden="1" x14ac:dyDescent="0.25">
      <c r="F7773" s="263">
        <v>411</v>
      </c>
      <c r="G7773" s="295" t="s">
        <v>4189</v>
      </c>
      <c r="J7773" s="595">
        <f>SUM(H7773:I7773)</f>
        <v>0</v>
      </c>
    </row>
    <row r="7774" spans="1:25" hidden="1" x14ac:dyDescent="0.25">
      <c r="F7774" s="263">
        <v>412</v>
      </c>
      <c r="G7774" s="292" t="s">
        <v>3784</v>
      </c>
      <c r="J7774" s="595">
        <f t="shared" ref="J7774:J7832" si="221">SUM(H7774:I7774)</f>
        <v>0</v>
      </c>
    </row>
    <row r="7775" spans="1:25" hidden="1" x14ac:dyDescent="0.25">
      <c r="F7775" s="263">
        <v>413</v>
      </c>
      <c r="G7775" s="295" t="s">
        <v>4190</v>
      </c>
      <c r="J7775" s="595">
        <f t="shared" si="221"/>
        <v>0</v>
      </c>
    </row>
    <row r="7776" spans="1:25" hidden="1" x14ac:dyDescent="0.25">
      <c r="F7776" s="263">
        <v>414</v>
      </c>
      <c r="G7776" s="295" t="s">
        <v>3787</v>
      </c>
      <c r="J7776" s="595">
        <f t="shared" si="221"/>
        <v>0</v>
      </c>
    </row>
    <row r="7777" spans="5:10" hidden="1" x14ac:dyDescent="0.25">
      <c r="F7777" s="263">
        <v>415</v>
      </c>
      <c r="G7777" s="295" t="s">
        <v>4199</v>
      </c>
      <c r="J7777" s="595">
        <f t="shared" si="221"/>
        <v>0</v>
      </c>
    </row>
    <row r="7778" spans="5:10" hidden="1" x14ac:dyDescent="0.25">
      <c r="F7778" s="263">
        <v>416</v>
      </c>
      <c r="G7778" s="295" t="s">
        <v>4200</v>
      </c>
      <c r="J7778" s="595">
        <f t="shared" si="221"/>
        <v>0</v>
      </c>
    </row>
    <row r="7779" spans="5:10" hidden="1" x14ac:dyDescent="0.25">
      <c r="F7779" s="263">
        <v>417</v>
      </c>
      <c r="G7779" s="295" t="s">
        <v>4201</v>
      </c>
      <c r="J7779" s="595">
        <f t="shared" si="221"/>
        <v>0</v>
      </c>
    </row>
    <row r="7780" spans="5:10" hidden="1" x14ac:dyDescent="0.25">
      <c r="F7780" s="263">
        <v>418</v>
      </c>
      <c r="G7780" s="295" t="s">
        <v>3793</v>
      </c>
      <c r="J7780" s="595">
        <f t="shared" si="221"/>
        <v>0</v>
      </c>
    </row>
    <row r="7781" spans="5:10" hidden="1" x14ac:dyDescent="0.25">
      <c r="F7781" s="263">
        <v>421</v>
      </c>
      <c r="G7781" s="295" t="s">
        <v>3797</v>
      </c>
      <c r="J7781" s="595">
        <f t="shared" si="221"/>
        <v>0</v>
      </c>
    </row>
    <row r="7782" spans="5:10" hidden="1" x14ac:dyDescent="0.25">
      <c r="F7782" s="263">
        <v>422</v>
      </c>
      <c r="G7782" s="295" t="s">
        <v>3798</v>
      </c>
      <c r="J7782" s="595">
        <f t="shared" si="221"/>
        <v>0</v>
      </c>
    </row>
    <row r="7783" spans="5:10" hidden="1" x14ac:dyDescent="0.25">
      <c r="F7783" s="263">
        <v>423</v>
      </c>
      <c r="G7783" s="295" t="s">
        <v>3799</v>
      </c>
      <c r="J7783" s="595">
        <f t="shared" si="221"/>
        <v>0</v>
      </c>
    </row>
    <row r="7784" spans="5:10" x14ac:dyDescent="0.25">
      <c r="E7784" s="218">
        <v>74</v>
      </c>
      <c r="F7784" s="263">
        <v>424</v>
      </c>
      <c r="G7784" s="295" t="s">
        <v>3801</v>
      </c>
      <c r="H7784" s="594">
        <v>1200000</v>
      </c>
      <c r="J7784" s="595">
        <f t="shared" si="221"/>
        <v>1200000</v>
      </c>
    </row>
    <row r="7785" spans="5:10" x14ac:dyDescent="0.25">
      <c r="E7785" s="218">
        <v>75</v>
      </c>
      <c r="F7785" s="263">
        <v>425</v>
      </c>
      <c r="G7785" s="295" t="s">
        <v>4202</v>
      </c>
      <c r="H7785" s="594">
        <v>300000</v>
      </c>
      <c r="J7785" s="595">
        <f t="shared" si="221"/>
        <v>300000</v>
      </c>
    </row>
    <row r="7786" spans="5:10" ht="15.75" thickBot="1" x14ac:dyDescent="0.3">
      <c r="E7786" s="218">
        <v>76</v>
      </c>
      <c r="F7786" s="263">
        <v>426</v>
      </c>
      <c r="G7786" s="295" t="s">
        <v>3805</v>
      </c>
      <c r="H7786" s="594">
        <v>1500000</v>
      </c>
      <c r="J7786" s="595">
        <f t="shared" si="221"/>
        <v>1500000</v>
      </c>
    </row>
    <row r="7787" spans="5:10" hidden="1" x14ac:dyDescent="0.25">
      <c r="F7787" s="263">
        <v>431</v>
      </c>
      <c r="G7787" s="295" t="s">
        <v>4203</v>
      </c>
      <c r="J7787" s="595">
        <f t="shared" si="221"/>
        <v>0</v>
      </c>
    </row>
    <row r="7788" spans="5:10" hidden="1" x14ac:dyDescent="0.25">
      <c r="F7788" s="263">
        <v>432</v>
      </c>
      <c r="G7788" s="295" t="s">
        <v>4204</v>
      </c>
      <c r="J7788" s="595">
        <f t="shared" si="221"/>
        <v>0</v>
      </c>
    </row>
    <row r="7789" spans="5:10" hidden="1" x14ac:dyDescent="0.25">
      <c r="F7789" s="263">
        <v>433</v>
      </c>
      <c r="G7789" s="295" t="s">
        <v>4205</v>
      </c>
      <c r="J7789" s="595">
        <f t="shared" si="221"/>
        <v>0</v>
      </c>
    </row>
    <row r="7790" spans="5:10" hidden="1" x14ac:dyDescent="0.25">
      <c r="F7790" s="263">
        <v>434</v>
      </c>
      <c r="G7790" s="295" t="s">
        <v>4206</v>
      </c>
      <c r="J7790" s="595">
        <f t="shared" si="221"/>
        <v>0</v>
      </c>
    </row>
    <row r="7791" spans="5:10" hidden="1" x14ac:dyDescent="0.25">
      <c r="F7791" s="263">
        <v>435</v>
      </c>
      <c r="G7791" s="295" t="s">
        <v>3812</v>
      </c>
      <c r="J7791" s="595">
        <f t="shared" si="221"/>
        <v>0</v>
      </c>
    </row>
    <row r="7792" spans="5:10" hidden="1" x14ac:dyDescent="0.25">
      <c r="F7792" s="263">
        <v>441</v>
      </c>
      <c r="G7792" s="295" t="s">
        <v>4207</v>
      </c>
      <c r="J7792" s="595">
        <f t="shared" si="221"/>
        <v>0</v>
      </c>
    </row>
    <row r="7793" spans="6:10" hidden="1" x14ac:dyDescent="0.25">
      <c r="F7793" s="263">
        <v>442</v>
      </c>
      <c r="G7793" s="295" t="s">
        <v>4208</v>
      </c>
      <c r="J7793" s="595">
        <f t="shared" si="221"/>
        <v>0</v>
      </c>
    </row>
    <row r="7794" spans="6:10" hidden="1" x14ac:dyDescent="0.25">
      <c r="F7794" s="263">
        <v>443</v>
      </c>
      <c r="G7794" s="295" t="s">
        <v>3817</v>
      </c>
      <c r="J7794" s="595">
        <f t="shared" si="221"/>
        <v>0</v>
      </c>
    </row>
    <row r="7795" spans="6:10" hidden="1" x14ac:dyDescent="0.25">
      <c r="F7795" s="263">
        <v>444</v>
      </c>
      <c r="G7795" s="295" t="s">
        <v>3818</v>
      </c>
      <c r="J7795" s="595">
        <f t="shared" si="221"/>
        <v>0</v>
      </c>
    </row>
    <row r="7796" spans="6:10" ht="30" hidden="1" x14ac:dyDescent="0.25">
      <c r="F7796" s="263">
        <v>4511</v>
      </c>
      <c r="G7796" s="223" t="s">
        <v>1692</v>
      </c>
      <c r="J7796" s="595">
        <f t="shared" si="221"/>
        <v>0</v>
      </c>
    </row>
    <row r="7797" spans="6:10" ht="12" hidden="1" customHeight="1" x14ac:dyDescent="0.25">
      <c r="F7797" s="263">
        <v>4512</v>
      </c>
      <c r="G7797" s="223" t="s">
        <v>1701</v>
      </c>
      <c r="J7797" s="595">
        <f t="shared" si="221"/>
        <v>0</v>
      </c>
    </row>
    <row r="7798" spans="6:10" hidden="1" x14ac:dyDescent="0.25">
      <c r="F7798" s="263">
        <v>452</v>
      </c>
      <c r="G7798" s="295" t="s">
        <v>4209</v>
      </c>
      <c r="J7798" s="595">
        <f t="shared" si="221"/>
        <v>0</v>
      </c>
    </row>
    <row r="7799" spans="6:10" hidden="1" x14ac:dyDescent="0.25">
      <c r="F7799" s="263">
        <v>453</v>
      </c>
      <c r="G7799" s="295" t="s">
        <v>4210</v>
      </c>
      <c r="J7799" s="595">
        <f t="shared" si="221"/>
        <v>0</v>
      </c>
    </row>
    <row r="7800" spans="6:10" hidden="1" x14ac:dyDescent="0.25">
      <c r="F7800" s="263">
        <v>454</v>
      </c>
      <c r="G7800" s="295" t="s">
        <v>3823</v>
      </c>
      <c r="J7800" s="595">
        <f t="shared" si="221"/>
        <v>0</v>
      </c>
    </row>
    <row r="7801" spans="6:10" hidden="1" x14ac:dyDescent="0.25">
      <c r="F7801" s="263">
        <v>461</v>
      </c>
      <c r="G7801" s="295" t="s">
        <v>4191</v>
      </c>
      <c r="J7801" s="595">
        <f t="shared" si="221"/>
        <v>0</v>
      </c>
    </row>
    <row r="7802" spans="6:10" hidden="1" x14ac:dyDescent="0.25">
      <c r="F7802" s="263">
        <v>462</v>
      </c>
      <c r="G7802" s="295" t="s">
        <v>3826</v>
      </c>
      <c r="J7802" s="595">
        <f t="shared" si="221"/>
        <v>0</v>
      </c>
    </row>
    <row r="7803" spans="6:10" hidden="1" x14ac:dyDescent="0.25">
      <c r="F7803" s="263">
        <v>4631</v>
      </c>
      <c r="G7803" s="295" t="s">
        <v>3827</v>
      </c>
      <c r="J7803" s="595">
        <f t="shared" si="221"/>
        <v>0</v>
      </c>
    </row>
    <row r="7804" spans="6:10" hidden="1" x14ac:dyDescent="0.25">
      <c r="F7804" s="263">
        <v>4632</v>
      </c>
      <c r="G7804" s="295" t="s">
        <v>3828</v>
      </c>
      <c r="J7804" s="595">
        <f t="shared" si="221"/>
        <v>0</v>
      </c>
    </row>
    <row r="7805" spans="6:10" hidden="1" x14ac:dyDescent="0.25">
      <c r="F7805" s="263">
        <v>464</v>
      </c>
      <c r="G7805" s="295" t="s">
        <v>3829</v>
      </c>
      <c r="J7805" s="595">
        <f t="shared" si="221"/>
        <v>0</v>
      </c>
    </row>
    <row r="7806" spans="6:10" hidden="1" x14ac:dyDescent="0.25">
      <c r="F7806" s="263">
        <v>465</v>
      </c>
      <c r="G7806" s="295" t="s">
        <v>4192</v>
      </c>
      <c r="J7806" s="595">
        <f t="shared" si="221"/>
        <v>0</v>
      </c>
    </row>
    <row r="7807" spans="6:10" hidden="1" x14ac:dyDescent="0.25">
      <c r="F7807" s="263">
        <v>472</v>
      </c>
      <c r="G7807" s="295" t="s">
        <v>3833</v>
      </c>
      <c r="J7807" s="595">
        <f t="shared" si="221"/>
        <v>0</v>
      </c>
    </row>
    <row r="7808" spans="6:10" hidden="1" x14ac:dyDescent="0.25">
      <c r="F7808" s="263">
        <v>481</v>
      </c>
      <c r="G7808" s="295" t="s">
        <v>4211</v>
      </c>
      <c r="J7808" s="595">
        <f t="shared" si="221"/>
        <v>0</v>
      </c>
    </row>
    <row r="7809" spans="6:10" hidden="1" x14ac:dyDescent="0.25">
      <c r="F7809" s="263">
        <v>482</v>
      </c>
      <c r="G7809" s="295" t="s">
        <v>4212</v>
      </c>
      <c r="J7809" s="595">
        <f t="shared" si="221"/>
        <v>0</v>
      </c>
    </row>
    <row r="7810" spans="6:10" hidden="1" x14ac:dyDescent="0.25">
      <c r="F7810" s="263">
        <v>483</v>
      </c>
      <c r="G7810" s="298" t="s">
        <v>4213</v>
      </c>
      <c r="J7810" s="595">
        <f t="shared" si="221"/>
        <v>0</v>
      </c>
    </row>
    <row r="7811" spans="6:10" ht="30" hidden="1" x14ac:dyDescent="0.25">
      <c r="F7811" s="263">
        <v>484</v>
      </c>
      <c r="G7811" s="295" t="s">
        <v>4214</v>
      </c>
      <c r="J7811" s="595">
        <f t="shared" si="221"/>
        <v>0</v>
      </c>
    </row>
    <row r="7812" spans="6:10" ht="30" hidden="1" x14ac:dyDescent="0.25">
      <c r="F7812" s="263">
        <v>485</v>
      </c>
      <c r="G7812" s="295" t="s">
        <v>4215</v>
      </c>
      <c r="J7812" s="595">
        <f t="shared" si="221"/>
        <v>0</v>
      </c>
    </row>
    <row r="7813" spans="6:10" ht="30" hidden="1" x14ac:dyDescent="0.25">
      <c r="F7813" s="263">
        <v>489</v>
      </c>
      <c r="G7813" s="295" t="s">
        <v>3841</v>
      </c>
      <c r="J7813" s="595">
        <f t="shared" si="221"/>
        <v>0</v>
      </c>
    </row>
    <row r="7814" spans="6:10" hidden="1" x14ac:dyDescent="0.25">
      <c r="F7814" s="263">
        <v>494</v>
      </c>
      <c r="G7814" s="295" t="s">
        <v>4193</v>
      </c>
      <c r="J7814" s="595">
        <f t="shared" si="221"/>
        <v>0</v>
      </c>
    </row>
    <row r="7815" spans="6:10" ht="30" hidden="1" x14ac:dyDescent="0.25">
      <c r="F7815" s="263">
        <v>495</v>
      </c>
      <c r="G7815" s="295" t="s">
        <v>4194</v>
      </c>
      <c r="J7815" s="595">
        <f t="shared" si="221"/>
        <v>0</v>
      </c>
    </row>
    <row r="7816" spans="6:10" ht="30" hidden="1" x14ac:dyDescent="0.25">
      <c r="F7816" s="263">
        <v>496</v>
      </c>
      <c r="G7816" s="295" t="s">
        <v>4195</v>
      </c>
      <c r="J7816" s="595">
        <f t="shared" si="221"/>
        <v>0</v>
      </c>
    </row>
    <row r="7817" spans="6:10" hidden="1" x14ac:dyDescent="0.25">
      <c r="F7817" s="263">
        <v>499</v>
      </c>
      <c r="G7817" s="295" t="s">
        <v>4196</v>
      </c>
      <c r="J7817" s="595">
        <f t="shared" si="221"/>
        <v>0</v>
      </c>
    </row>
    <row r="7818" spans="6:10" hidden="1" x14ac:dyDescent="0.25">
      <c r="F7818" s="263">
        <v>511</v>
      </c>
      <c r="G7818" s="298" t="s">
        <v>4216</v>
      </c>
      <c r="J7818" s="595">
        <f t="shared" si="221"/>
        <v>0</v>
      </c>
    </row>
    <row r="7819" spans="6:10" hidden="1" x14ac:dyDescent="0.25">
      <c r="F7819" s="263">
        <v>512</v>
      </c>
      <c r="G7819" s="298" t="s">
        <v>4217</v>
      </c>
      <c r="J7819" s="595">
        <f t="shared" si="221"/>
        <v>0</v>
      </c>
    </row>
    <row r="7820" spans="6:10" hidden="1" x14ac:dyDescent="0.25">
      <c r="F7820" s="263">
        <v>513</v>
      </c>
      <c r="G7820" s="298" t="s">
        <v>4218</v>
      </c>
      <c r="J7820" s="595">
        <f t="shared" si="221"/>
        <v>0</v>
      </c>
    </row>
    <row r="7821" spans="6:10" hidden="1" x14ac:dyDescent="0.25">
      <c r="F7821" s="263">
        <v>514</v>
      </c>
      <c r="G7821" s="295" t="s">
        <v>4219</v>
      </c>
      <c r="J7821" s="595">
        <f t="shared" si="221"/>
        <v>0</v>
      </c>
    </row>
    <row r="7822" spans="6:10" hidden="1" x14ac:dyDescent="0.25">
      <c r="F7822" s="263">
        <v>515</v>
      </c>
      <c r="G7822" s="295" t="s">
        <v>3852</v>
      </c>
      <c r="J7822" s="595">
        <f t="shared" si="221"/>
        <v>0</v>
      </c>
    </row>
    <row r="7823" spans="6:10" hidden="1" x14ac:dyDescent="0.25">
      <c r="F7823" s="263">
        <v>521</v>
      </c>
      <c r="G7823" s="295" t="s">
        <v>4220</v>
      </c>
      <c r="J7823" s="595">
        <f t="shared" si="221"/>
        <v>0</v>
      </c>
    </row>
    <row r="7824" spans="6:10" hidden="1" x14ac:dyDescent="0.25">
      <c r="F7824" s="263">
        <v>522</v>
      </c>
      <c r="G7824" s="295" t="s">
        <v>4221</v>
      </c>
      <c r="J7824" s="595">
        <f t="shared" si="221"/>
        <v>0</v>
      </c>
    </row>
    <row r="7825" spans="5:10" hidden="1" x14ac:dyDescent="0.25">
      <c r="F7825" s="263">
        <v>523</v>
      </c>
      <c r="G7825" s="295" t="s">
        <v>3857</v>
      </c>
      <c r="J7825" s="595">
        <f t="shared" si="221"/>
        <v>0</v>
      </c>
    </row>
    <row r="7826" spans="5:10" hidden="1" x14ac:dyDescent="0.25">
      <c r="F7826" s="263">
        <v>531</v>
      </c>
      <c r="G7826" s="292" t="s">
        <v>4197</v>
      </c>
      <c r="J7826" s="595">
        <f t="shared" si="221"/>
        <v>0</v>
      </c>
    </row>
    <row r="7827" spans="5:10" hidden="1" x14ac:dyDescent="0.25">
      <c r="F7827" s="263">
        <v>541</v>
      </c>
      <c r="G7827" s="295" t="s">
        <v>4222</v>
      </c>
      <c r="J7827" s="595">
        <f t="shared" si="221"/>
        <v>0</v>
      </c>
    </row>
    <row r="7828" spans="5:10" hidden="1" x14ac:dyDescent="0.25">
      <c r="F7828" s="263">
        <v>542</v>
      </c>
      <c r="G7828" s="295" t="s">
        <v>4223</v>
      </c>
      <c r="J7828" s="595">
        <f t="shared" si="221"/>
        <v>0</v>
      </c>
    </row>
    <row r="7829" spans="5:10" hidden="1" x14ac:dyDescent="0.25">
      <c r="F7829" s="263">
        <v>543</v>
      </c>
      <c r="G7829" s="295" t="s">
        <v>3862</v>
      </c>
      <c r="J7829" s="595">
        <f t="shared" si="221"/>
        <v>0</v>
      </c>
    </row>
    <row r="7830" spans="5:10" ht="30" hidden="1" x14ac:dyDescent="0.25">
      <c r="F7830" s="263">
        <v>551</v>
      </c>
      <c r="G7830" s="295" t="s">
        <v>4198</v>
      </c>
      <c r="J7830" s="595">
        <f t="shared" si="221"/>
        <v>0</v>
      </c>
    </row>
    <row r="7831" spans="5:10" hidden="1" x14ac:dyDescent="0.25">
      <c r="F7831" s="264">
        <v>611</v>
      </c>
      <c r="G7831" s="299" t="s">
        <v>3868</v>
      </c>
      <c r="J7831" s="595">
        <f t="shared" si="221"/>
        <v>0</v>
      </c>
    </row>
    <row r="7832" spans="5:10" ht="15.75" hidden="1" thickBot="1" x14ac:dyDescent="0.3">
      <c r="F7832" s="264">
        <v>620</v>
      </c>
      <c r="G7832" s="299" t="s">
        <v>88</v>
      </c>
      <c r="J7832" s="595">
        <f t="shared" si="221"/>
        <v>0</v>
      </c>
    </row>
    <row r="7833" spans="5:10" x14ac:dyDescent="0.25">
      <c r="E7833" s="293"/>
      <c r="F7833" s="301"/>
      <c r="G7833" s="326" t="s">
        <v>4384</v>
      </c>
      <c r="H7833" s="596"/>
      <c r="I7833" s="622"/>
      <c r="J7833" s="597"/>
    </row>
    <row r="7834" spans="5:10" ht="15.75" thickBot="1" x14ac:dyDescent="0.3">
      <c r="E7834" s="222"/>
      <c r="F7834" s="249" t="s">
        <v>234</v>
      </c>
      <c r="G7834" s="252" t="s">
        <v>235</v>
      </c>
      <c r="H7834" s="598">
        <f>SUM(H7773:H7832)</f>
        <v>3000000</v>
      </c>
      <c r="I7834" s="599"/>
      <c r="J7834" s="599">
        <f>SUM(H7834:I7834)</f>
        <v>3000000</v>
      </c>
    </row>
    <row r="7835" spans="5:10" hidden="1" x14ac:dyDescent="0.25">
      <c r="F7835" s="249" t="s">
        <v>236</v>
      </c>
      <c r="G7835" s="252" t="s">
        <v>237</v>
      </c>
      <c r="J7835" s="599">
        <f t="shared" ref="J7835:J7849" si="222">SUM(H7835:I7835)</f>
        <v>0</v>
      </c>
    </row>
    <row r="7836" spans="5:10" hidden="1" x14ac:dyDescent="0.25">
      <c r="F7836" s="249" t="s">
        <v>238</v>
      </c>
      <c r="G7836" s="252" t="s">
        <v>239</v>
      </c>
      <c r="J7836" s="599">
        <f t="shared" si="222"/>
        <v>0</v>
      </c>
    </row>
    <row r="7837" spans="5:10" hidden="1" x14ac:dyDescent="0.25">
      <c r="F7837" s="249" t="s">
        <v>240</v>
      </c>
      <c r="G7837" s="252" t="s">
        <v>241</v>
      </c>
      <c r="J7837" s="599">
        <f t="shared" si="222"/>
        <v>0</v>
      </c>
    </row>
    <row r="7838" spans="5:10" hidden="1" x14ac:dyDescent="0.25">
      <c r="F7838" s="249" t="s">
        <v>242</v>
      </c>
      <c r="G7838" s="252" t="s">
        <v>243</v>
      </c>
      <c r="J7838" s="599">
        <f t="shared" si="222"/>
        <v>0</v>
      </c>
    </row>
    <row r="7839" spans="5:10" hidden="1" x14ac:dyDescent="0.25">
      <c r="F7839" s="249" t="s">
        <v>244</v>
      </c>
      <c r="G7839" s="252" t="s">
        <v>245</v>
      </c>
      <c r="J7839" s="599">
        <f t="shared" si="222"/>
        <v>0</v>
      </c>
    </row>
    <row r="7840" spans="5:10" hidden="1" x14ac:dyDescent="0.25">
      <c r="F7840" s="249" t="s">
        <v>246</v>
      </c>
      <c r="G7840" s="252" t="s">
        <v>247</v>
      </c>
      <c r="J7840" s="599">
        <f t="shared" si="222"/>
        <v>0</v>
      </c>
    </row>
    <row r="7841" spans="5:10" hidden="1" x14ac:dyDescent="0.25">
      <c r="F7841" s="249" t="s">
        <v>248</v>
      </c>
      <c r="G7841" s="252" t="s">
        <v>249</v>
      </c>
      <c r="J7841" s="599">
        <f t="shared" si="222"/>
        <v>0</v>
      </c>
    </row>
    <row r="7842" spans="5:10" hidden="1" x14ac:dyDescent="0.25">
      <c r="F7842" s="249" t="s">
        <v>250</v>
      </c>
      <c r="G7842" s="252" t="s">
        <v>57</v>
      </c>
      <c r="J7842" s="599">
        <f t="shared" si="222"/>
        <v>0</v>
      </c>
    </row>
    <row r="7843" spans="5:10" hidden="1" x14ac:dyDescent="0.25">
      <c r="F7843" s="249" t="s">
        <v>251</v>
      </c>
      <c r="G7843" s="252" t="s">
        <v>252</v>
      </c>
      <c r="J7843" s="599">
        <f t="shared" si="222"/>
        <v>0</v>
      </c>
    </row>
    <row r="7844" spans="5:10" hidden="1" x14ac:dyDescent="0.25">
      <c r="F7844" s="249" t="s">
        <v>253</v>
      </c>
      <c r="G7844" s="252" t="s">
        <v>254</v>
      </c>
      <c r="J7844" s="599">
        <f t="shared" si="222"/>
        <v>0</v>
      </c>
    </row>
    <row r="7845" spans="5:10" ht="30" hidden="1" x14ac:dyDescent="0.25">
      <c r="F7845" s="249" t="s">
        <v>255</v>
      </c>
      <c r="G7845" s="252" t="s">
        <v>256</v>
      </c>
      <c r="J7845" s="599">
        <f t="shared" si="222"/>
        <v>0</v>
      </c>
    </row>
    <row r="7846" spans="5:10" hidden="1" x14ac:dyDescent="0.25">
      <c r="F7846" s="249" t="s">
        <v>257</v>
      </c>
      <c r="G7846" s="252" t="s">
        <v>258</v>
      </c>
      <c r="J7846" s="599">
        <f t="shared" si="222"/>
        <v>0</v>
      </c>
    </row>
    <row r="7847" spans="5:10" ht="30" hidden="1" x14ac:dyDescent="0.25">
      <c r="F7847" s="249" t="s">
        <v>259</v>
      </c>
      <c r="G7847" s="252" t="s">
        <v>260</v>
      </c>
      <c r="J7847" s="599">
        <f t="shared" si="222"/>
        <v>0</v>
      </c>
    </row>
    <row r="7848" spans="5:10" hidden="1" x14ac:dyDescent="0.25">
      <c r="F7848" s="249" t="s">
        <v>261</v>
      </c>
      <c r="G7848" s="252" t="s">
        <v>262</v>
      </c>
      <c r="J7848" s="599">
        <f t="shared" si="222"/>
        <v>0</v>
      </c>
    </row>
    <row r="7849" spans="5:10" ht="15.75" hidden="1" thickBot="1" x14ac:dyDescent="0.3">
      <c r="F7849" s="249" t="s">
        <v>263</v>
      </c>
      <c r="G7849" s="252" t="s">
        <v>264</v>
      </c>
      <c r="H7849" s="598"/>
      <c r="I7849" s="599"/>
      <c r="J7849" s="599">
        <f t="shared" si="222"/>
        <v>0</v>
      </c>
    </row>
    <row r="7850" spans="5:10" ht="15.75" thickBot="1" x14ac:dyDescent="0.3">
      <c r="G7850" s="229" t="s">
        <v>4385</v>
      </c>
      <c r="H7850" s="600">
        <f>SUM(H7834:H7849)</f>
        <v>3000000</v>
      </c>
      <c r="I7850" s="601">
        <f>SUM(I7835:I7849)</f>
        <v>0</v>
      </c>
      <c r="J7850" s="601">
        <f>SUM(J7834:J7849)</f>
        <v>3000000</v>
      </c>
    </row>
    <row r="7851" spans="5:10" ht="28.5" collapsed="1" x14ac:dyDescent="0.25">
      <c r="E7851" s="260"/>
      <c r="F7851" s="264"/>
      <c r="G7851" s="231" t="s">
        <v>4260</v>
      </c>
      <c r="H7851" s="602"/>
      <c r="I7851" s="623"/>
      <c r="J7851" s="603"/>
    </row>
    <row r="7852" spans="5:10" ht="15.75" thickBot="1" x14ac:dyDescent="0.3">
      <c r="E7852" s="222"/>
      <c r="F7852" s="249" t="s">
        <v>234</v>
      </c>
      <c r="G7852" s="252" t="s">
        <v>235</v>
      </c>
      <c r="H7852" s="598">
        <f>SUM(H7773:H7832)</f>
        <v>3000000</v>
      </c>
      <c r="I7852" s="599"/>
      <c r="J7852" s="599">
        <f>SUM(H7852:I7852)</f>
        <v>3000000</v>
      </c>
    </row>
    <row r="7853" spans="5:10" hidden="1" x14ac:dyDescent="0.25">
      <c r="F7853" s="249" t="s">
        <v>236</v>
      </c>
      <c r="G7853" s="252" t="s">
        <v>237</v>
      </c>
      <c r="J7853" s="599">
        <f t="shared" ref="J7853:J7867" si="223">SUM(H7853:I7853)</f>
        <v>0</v>
      </c>
    </row>
    <row r="7854" spans="5:10" hidden="1" x14ac:dyDescent="0.25">
      <c r="F7854" s="249" t="s">
        <v>238</v>
      </c>
      <c r="G7854" s="252" t="s">
        <v>239</v>
      </c>
      <c r="J7854" s="599">
        <f t="shared" si="223"/>
        <v>0</v>
      </c>
    </row>
    <row r="7855" spans="5:10" hidden="1" x14ac:dyDescent="0.25">
      <c r="F7855" s="249" t="s">
        <v>240</v>
      </c>
      <c r="G7855" s="252" t="s">
        <v>241</v>
      </c>
      <c r="J7855" s="599">
        <f t="shared" si="223"/>
        <v>0</v>
      </c>
    </row>
    <row r="7856" spans="5:10" hidden="1" x14ac:dyDescent="0.25">
      <c r="F7856" s="249" t="s">
        <v>242</v>
      </c>
      <c r="G7856" s="252" t="s">
        <v>243</v>
      </c>
      <c r="J7856" s="599">
        <f t="shared" si="223"/>
        <v>0</v>
      </c>
    </row>
    <row r="7857" spans="3:25" hidden="1" x14ac:dyDescent="0.25">
      <c r="F7857" s="249" t="s">
        <v>244</v>
      </c>
      <c r="G7857" s="252" t="s">
        <v>245</v>
      </c>
      <c r="J7857" s="599">
        <f t="shared" si="223"/>
        <v>0</v>
      </c>
    </row>
    <row r="7858" spans="3:25" hidden="1" x14ac:dyDescent="0.25">
      <c r="F7858" s="249" t="s">
        <v>246</v>
      </c>
      <c r="G7858" s="252" t="s">
        <v>247</v>
      </c>
      <c r="J7858" s="599">
        <f t="shared" si="223"/>
        <v>0</v>
      </c>
    </row>
    <row r="7859" spans="3:25" hidden="1" x14ac:dyDescent="0.25">
      <c r="F7859" s="249" t="s">
        <v>248</v>
      </c>
      <c r="G7859" s="252" t="s">
        <v>249</v>
      </c>
      <c r="J7859" s="599">
        <f t="shared" si="223"/>
        <v>0</v>
      </c>
    </row>
    <row r="7860" spans="3:25" hidden="1" x14ac:dyDescent="0.25">
      <c r="F7860" s="249" t="s">
        <v>250</v>
      </c>
      <c r="G7860" s="252" t="s">
        <v>57</v>
      </c>
      <c r="J7860" s="599">
        <f t="shared" si="223"/>
        <v>0</v>
      </c>
    </row>
    <row r="7861" spans="3:25" hidden="1" x14ac:dyDescent="0.25">
      <c r="F7861" s="249" t="s">
        <v>251</v>
      </c>
      <c r="G7861" s="252" t="s">
        <v>252</v>
      </c>
      <c r="J7861" s="599">
        <f t="shared" si="223"/>
        <v>0</v>
      </c>
    </row>
    <row r="7862" spans="3:25" hidden="1" x14ac:dyDescent="0.25">
      <c r="F7862" s="249" t="s">
        <v>253</v>
      </c>
      <c r="G7862" s="252" t="s">
        <v>254</v>
      </c>
      <c r="J7862" s="599">
        <f t="shared" si="223"/>
        <v>0</v>
      </c>
    </row>
    <row r="7863" spans="3:25" ht="30" hidden="1" x14ac:dyDescent="0.25">
      <c r="F7863" s="249" t="s">
        <v>255</v>
      </c>
      <c r="G7863" s="252" t="s">
        <v>256</v>
      </c>
      <c r="J7863" s="599">
        <f t="shared" si="223"/>
        <v>0</v>
      </c>
    </row>
    <row r="7864" spans="3:25" hidden="1" x14ac:dyDescent="0.25">
      <c r="F7864" s="249" t="s">
        <v>257</v>
      </c>
      <c r="G7864" s="252" t="s">
        <v>258</v>
      </c>
      <c r="J7864" s="599">
        <f t="shared" si="223"/>
        <v>0</v>
      </c>
    </row>
    <row r="7865" spans="3:25" ht="30" hidden="1" x14ac:dyDescent="0.25">
      <c r="F7865" s="249" t="s">
        <v>259</v>
      </c>
      <c r="G7865" s="252" t="s">
        <v>260</v>
      </c>
      <c r="J7865" s="599">
        <f t="shared" si="223"/>
        <v>0</v>
      </c>
    </row>
    <row r="7866" spans="3:25" hidden="1" x14ac:dyDescent="0.25">
      <c r="F7866" s="249" t="s">
        <v>261</v>
      </c>
      <c r="G7866" s="252" t="s">
        <v>262</v>
      </c>
      <c r="J7866" s="599">
        <f t="shared" si="223"/>
        <v>0</v>
      </c>
    </row>
    <row r="7867" spans="3:25" ht="15.75" hidden="1" thickBot="1" x14ac:dyDescent="0.3">
      <c r="F7867" s="249" t="s">
        <v>263</v>
      </c>
      <c r="G7867" s="252" t="s">
        <v>264</v>
      </c>
      <c r="H7867" s="598"/>
      <c r="I7867" s="599"/>
      <c r="J7867" s="599">
        <f t="shared" si="223"/>
        <v>0</v>
      </c>
    </row>
    <row r="7868" spans="3:25" ht="15.75" collapsed="1" thickBot="1" x14ac:dyDescent="0.3">
      <c r="G7868" s="229" t="s">
        <v>4261</v>
      </c>
      <c r="H7868" s="600">
        <f>SUM(H7852:H7867)</f>
        <v>3000000</v>
      </c>
      <c r="I7868" s="601">
        <f>SUM(I7853:I7867)</f>
        <v>0</v>
      </c>
      <c r="J7868" s="601">
        <f>SUM(J7852:J7867)</f>
        <v>3000000</v>
      </c>
    </row>
    <row r="7869" spans="3:25" s="88" customFormat="1" x14ac:dyDescent="0.25">
      <c r="C7869" s="265"/>
      <c r="D7869" s="265"/>
      <c r="G7869" s="309"/>
      <c r="H7869" s="611"/>
      <c r="I7869" s="612"/>
      <c r="J7869" s="612"/>
      <c r="K7869" s="533"/>
      <c r="L7869" s="533"/>
      <c r="M7869" s="533"/>
      <c r="N7869" s="533"/>
      <c r="O7869" s="533"/>
      <c r="P7869" s="533"/>
      <c r="Q7869" s="533"/>
      <c r="R7869" s="533"/>
      <c r="S7869" s="533"/>
      <c r="T7869" s="533"/>
      <c r="U7869" s="533"/>
      <c r="V7869" s="533"/>
      <c r="W7869" s="533"/>
      <c r="X7869" s="533"/>
      <c r="Y7869" s="533"/>
    </row>
    <row r="7870" spans="3:25" ht="28.5" hidden="1" x14ac:dyDescent="0.25">
      <c r="C7870" s="228" t="s">
        <v>4121</v>
      </c>
      <c r="D7870" s="219"/>
      <c r="G7870" s="262" t="s">
        <v>4122</v>
      </c>
    </row>
    <row r="7871" spans="3:25" hidden="1" x14ac:dyDescent="0.25">
      <c r="C7871" s="228"/>
      <c r="D7871" s="328">
        <v>540</v>
      </c>
      <c r="E7871" s="329"/>
      <c r="F7871" s="329"/>
      <c r="G7871" s="333" t="s">
        <v>3989</v>
      </c>
    </row>
    <row r="7872" spans="3:25" hidden="1" x14ac:dyDescent="0.25">
      <c r="F7872" s="263">
        <v>411</v>
      </c>
      <c r="G7872" s="295" t="s">
        <v>4189</v>
      </c>
      <c r="J7872" s="595">
        <f>SUM(H7872:I7872)</f>
        <v>0</v>
      </c>
    </row>
    <row r="7873" spans="6:10" hidden="1" x14ac:dyDescent="0.25">
      <c r="F7873" s="263">
        <v>412</v>
      </c>
      <c r="G7873" s="292" t="s">
        <v>3784</v>
      </c>
      <c r="J7873" s="595">
        <f t="shared" ref="J7873:J7931" si="224">SUM(H7873:I7873)</f>
        <v>0</v>
      </c>
    </row>
    <row r="7874" spans="6:10" hidden="1" x14ac:dyDescent="0.25">
      <c r="F7874" s="263">
        <v>413</v>
      </c>
      <c r="G7874" s="295" t="s">
        <v>4190</v>
      </c>
      <c r="J7874" s="595">
        <f t="shared" si="224"/>
        <v>0</v>
      </c>
    </row>
    <row r="7875" spans="6:10" hidden="1" x14ac:dyDescent="0.25">
      <c r="F7875" s="263">
        <v>414</v>
      </c>
      <c r="G7875" s="295" t="s">
        <v>3787</v>
      </c>
      <c r="J7875" s="595">
        <f t="shared" si="224"/>
        <v>0</v>
      </c>
    </row>
    <row r="7876" spans="6:10" hidden="1" x14ac:dyDescent="0.25">
      <c r="F7876" s="263">
        <v>415</v>
      </c>
      <c r="G7876" s="295" t="s">
        <v>4199</v>
      </c>
      <c r="J7876" s="595">
        <f t="shared" si="224"/>
        <v>0</v>
      </c>
    </row>
    <row r="7877" spans="6:10" hidden="1" x14ac:dyDescent="0.25">
      <c r="F7877" s="263">
        <v>416</v>
      </c>
      <c r="G7877" s="295" t="s">
        <v>4200</v>
      </c>
      <c r="J7877" s="595">
        <f t="shared" si="224"/>
        <v>0</v>
      </c>
    </row>
    <row r="7878" spans="6:10" hidden="1" x14ac:dyDescent="0.25">
      <c r="F7878" s="263">
        <v>417</v>
      </c>
      <c r="G7878" s="295" t="s">
        <v>4201</v>
      </c>
      <c r="J7878" s="595">
        <f t="shared" si="224"/>
        <v>0</v>
      </c>
    </row>
    <row r="7879" spans="6:10" hidden="1" x14ac:dyDescent="0.25">
      <c r="F7879" s="263">
        <v>418</v>
      </c>
      <c r="G7879" s="295" t="s">
        <v>3793</v>
      </c>
      <c r="J7879" s="595">
        <f t="shared" si="224"/>
        <v>0</v>
      </c>
    </row>
    <row r="7880" spans="6:10" hidden="1" x14ac:dyDescent="0.25">
      <c r="F7880" s="263">
        <v>421</v>
      </c>
      <c r="G7880" s="295" t="s">
        <v>3797</v>
      </c>
      <c r="J7880" s="595">
        <f t="shared" si="224"/>
        <v>0</v>
      </c>
    </row>
    <row r="7881" spans="6:10" hidden="1" x14ac:dyDescent="0.25">
      <c r="F7881" s="263">
        <v>422</v>
      </c>
      <c r="G7881" s="295" t="s">
        <v>3798</v>
      </c>
      <c r="J7881" s="595">
        <f t="shared" si="224"/>
        <v>0</v>
      </c>
    </row>
    <row r="7882" spans="6:10" hidden="1" x14ac:dyDescent="0.25">
      <c r="F7882" s="263">
        <v>423</v>
      </c>
      <c r="G7882" s="295" t="s">
        <v>3799</v>
      </c>
      <c r="J7882" s="595">
        <f t="shared" si="224"/>
        <v>0</v>
      </c>
    </row>
    <row r="7883" spans="6:10" hidden="1" x14ac:dyDescent="0.25">
      <c r="F7883" s="263">
        <v>424</v>
      </c>
      <c r="G7883" s="295" t="s">
        <v>3801</v>
      </c>
      <c r="J7883" s="595">
        <f t="shared" si="224"/>
        <v>0</v>
      </c>
    </row>
    <row r="7884" spans="6:10" hidden="1" x14ac:dyDescent="0.25">
      <c r="F7884" s="263">
        <v>425</v>
      </c>
      <c r="G7884" s="295" t="s">
        <v>4202</v>
      </c>
      <c r="J7884" s="595">
        <f t="shared" si="224"/>
        <v>0</v>
      </c>
    </row>
    <row r="7885" spans="6:10" hidden="1" x14ac:dyDescent="0.25">
      <c r="F7885" s="263">
        <v>426</v>
      </c>
      <c r="G7885" s="295" t="s">
        <v>3805</v>
      </c>
      <c r="J7885" s="595">
        <f t="shared" si="224"/>
        <v>0</v>
      </c>
    </row>
    <row r="7886" spans="6:10" hidden="1" x14ac:dyDescent="0.25">
      <c r="F7886" s="263">
        <v>431</v>
      </c>
      <c r="G7886" s="295" t="s">
        <v>4203</v>
      </c>
      <c r="J7886" s="595">
        <f t="shared" si="224"/>
        <v>0</v>
      </c>
    </row>
    <row r="7887" spans="6:10" hidden="1" x14ac:dyDescent="0.25">
      <c r="F7887" s="263">
        <v>432</v>
      </c>
      <c r="G7887" s="295" t="s">
        <v>4204</v>
      </c>
      <c r="J7887" s="595">
        <f t="shared" si="224"/>
        <v>0</v>
      </c>
    </row>
    <row r="7888" spans="6:10" hidden="1" x14ac:dyDescent="0.25">
      <c r="F7888" s="263">
        <v>433</v>
      </c>
      <c r="G7888" s="295" t="s">
        <v>4205</v>
      </c>
      <c r="J7888" s="595">
        <f t="shared" si="224"/>
        <v>0</v>
      </c>
    </row>
    <row r="7889" spans="6:10" hidden="1" x14ac:dyDescent="0.25">
      <c r="F7889" s="263">
        <v>434</v>
      </c>
      <c r="G7889" s="295" t="s">
        <v>4206</v>
      </c>
      <c r="J7889" s="595">
        <f t="shared" si="224"/>
        <v>0</v>
      </c>
    </row>
    <row r="7890" spans="6:10" hidden="1" x14ac:dyDescent="0.25">
      <c r="F7890" s="263">
        <v>435</v>
      </c>
      <c r="G7890" s="295" t="s">
        <v>3812</v>
      </c>
      <c r="J7890" s="595">
        <f t="shared" si="224"/>
        <v>0</v>
      </c>
    </row>
    <row r="7891" spans="6:10" hidden="1" x14ac:dyDescent="0.25">
      <c r="F7891" s="263">
        <v>441</v>
      </c>
      <c r="G7891" s="295" t="s">
        <v>4207</v>
      </c>
      <c r="J7891" s="595">
        <f t="shared" si="224"/>
        <v>0</v>
      </c>
    </row>
    <row r="7892" spans="6:10" hidden="1" x14ac:dyDescent="0.25">
      <c r="F7892" s="263">
        <v>442</v>
      </c>
      <c r="G7892" s="295" t="s">
        <v>4208</v>
      </c>
      <c r="J7892" s="595">
        <f t="shared" si="224"/>
        <v>0</v>
      </c>
    </row>
    <row r="7893" spans="6:10" hidden="1" x14ac:dyDescent="0.25">
      <c r="F7893" s="263">
        <v>443</v>
      </c>
      <c r="G7893" s="295" t="s">
        <v>3817</v>
      </c>
      <c r="J7893" s="595">
        <f t="shared" si="224"/>
        <v>0</v>
      </c>
    </row>
    <row r="7894" spans="6:10" hidden="1" x14ac:dyDescent="0.25">
      <c r="F7894" s="263">
        <v>444</v>
      </c>
      <c r="G7894" s="295" t="s">
        <v>3818</v>
      </c>
      <c r="J7894" s="595">
        <f t="shared" si="224"/>
        <v>0</v>
      </c>
    </row>
    <row r="7895" spans="6:10" ht="30" hidden="1" x14ac:dyDescent="0.25">
      <c r="F7895" s="263">
        <v>4511</v>
      </c>
      <c r="G7895" s="223" t="s">
        <v>1692</v>
      </c>
      <c r="J7895" s="595">
        <f t="shared" si="224"/>
        <v>0</v>
      </c>
    </row>
    <row r="7896" spans="6:10" ht="30" hidden="1" x14ac:dyDescent="0.25">
      <c r="F7896" s="263">
        <v>4512</v>
      </c>
      <c r="G7896" s="223" t="s">
        <v>1701</v>
      </c>
      <c r="J7896" s="595">
        <f t="shared" si="224"/>
        <v>0</v>
      </c>
    </row>
    <row r="7897" spans="6:10" hidden="1" x14ac:dyDescent="0.25">
      <c r="F7897" s="263">
        <v>452</v>
      </c>
      <c r="G7897" s="295" t="s">
        <v>4209</v>
      </c>
      <c r="J7897" s="595">
        <f t="shared" si="224"/>
        <v>0</v>
      </c>
    </row>
    <row r="7898" spans="6:10" hidden="1" x14ac:dyDescent="0.25">
      <c r="F7898" s="263">
        <v>453</v>
      </c>
      <c r="G7898" s="295" t="s">
        <v>4210</v>
      </c>
      <c r="J7898" s="595">
        <f t="shared" si="224"/>
        <v>0</v>
      </c>
    </row>
    <row r="7899" spans="6:10" hidden="1" x14ac:dyDescent="0.25">
      <c r="F7899" s="263">
        <v>454</v>
      </c>
      <c r="G7899" s="295" t="s">
        <v>3823</v>
      </c>
      <c r="J7899" s="595">
        <f t="shared" si="224"/>
        <v>0</v>
      </c>
    </row>
    <row r="7900" spans="6:10" hidden="1" x14ac:dyDescent="0.25">
      <c r="F7900" s="263">
        <v>461</v>
      </c>
      <c r="G7900" s="295" t="s">
        <v>4191</v>
      </c>
      <c r="J7900" s="595">
        <f t="shared" si="224"/>
        <v>0</v>
      </c>
    </row>
    <row r="7901" spans="6:10" hidden="1" x14ac:dyDescent="0.25">
      <c r="F7901" s="263">
        <v>462</v>
      </c>
      <c r="G7901" s="295" t="s">
        <v>3826</v>
      </c>
      <c r="J7901" s="595">
        <f t="shared" si="224"/>
        <v>0</v>
      </c>
    </row>
    <row r="7902" spans="6:10" hidden="1" x14ac:dyDescent="0.25">
      <c r="F7902" s="263">
        <v>4631</v>
      </c>
      <c r="G7902" s="295" t="s">
        <v>3827</v>
      </c>
      <c r="J7902" s="595">
        <f t="shared" si="224"/>
        <v>0</v>
      </c>
    </row>
    <row r="7903" spans="6:10" hidden="1" x14ac:dyDescent="0.25">
      <c r="F7903" s="263">
        <v>4632</v>
      </c>
      <c r="G7903" s="295" t="s">
        <v>3828</v>
      </c>
      <c r="J7903" s="595">
        <f t="shared" si="224"/>
        <v>0</v>
      </c>
    </row>
    <row r="7904" spans="6:10" hidden="1" x14ac:dyDescent="0.25">
      <c r="F7904" s="263">
        <v>464</v>
      </c>
      <c r="G7904" s="295" t="s">
        <v>3829</v>
      </c>
      <c r="J7904" s="595">
        <f t="shared" si="224"/>
        <v>0</v>
      </c>
    </row>
    <row r="7905" spans="6:10" hidden="1" x14ac:dyDescent="0.25">
      <c r="F7905" s="263">
        <v>465</v>
      </c>
      <c r="G7905" s="295" t="s">
        <v>4192</v>
      </c>
      <c r="J7905" s="595">
        <f t="shared" si="224"/>
        <v>0</v>
      </c>
    </row>
    <row r="7906" spans="6:10" hidden="1" x14ac:dyDescent="0.25">
      <c r="F7906" s="263">
        <v>472</v>
      </c>
      <c r="G7906" s="295" t="s">
        <v>3833</v>
      </c>
      <c r="J7906" s="595">
        <f t="shared" si="224"/>
        <v>0</v>
      </c>
    </row>
    <row r="7907" spans="6:10" hidden="1" x14ac:dyDescent="0.25">
      <c r="F7907" s="263">
        <v>481</v>
      </c>
      <c r="G7907" s="295" t="s">
        <v>4211</v>
      </c>
      <c r="J7907" s="595">
        <f t="shared" si="224"/>
        <v>0</v>
      </c>
    </row>
    <row r="7908" spans="6:10" hidden="1" x14ac:dyDescent="0.25">
      <c r="F7908" s="263">
        <v>482</v>
      </c>
      <c r="G7908" s="295" t="s">
        <v>4212</v>
      </c>
      <c r="J7908" s="595">
        <f t="shared" si="224"/>
        <v>0</v>
      </c>
    </row>
    <row r="7909" spans="6:10" hidden="1" x14ac:dyDescent="0.25">
      <c r="F7909" s="263">
        <v>483</v>
      </c>
      <c r="G7909" s="298" t="s">
        <v>4213</v>
      </c>
      <c r="J7909" s="595">
        <f t="shared" si="224"/>
        <v>0</v>
      </c>
    </row>
    <row r="7910" spans="6:10" ht="30" hidden="1" x14ac:dyDescent="0.25">
      <c r="F7910" s="263">
        <v>484</v>
      </c>
      <c r="G7910" s="295" t="s">
        <v>4214</v>
      </c>
      <c r="J7910" s="595">
        <f t="shared" si="224"/>
        <v>0</v>
      </c>
    </row>
    <row r="7911" spans="6:10" ht="30" hidden="1" x14ac:dyDescent="0.25">
      <c r="F7911" s="263">
        <v>485</v>
      </c>
      <c r="G7911" s="295" t="s">
        <v>4215</v>
      </c>
      <c r="J7911" s="595">
        <f t="shared" si="224"/>
        <v>0</v>
      </c>
    </row>
    <row r="7912" spans="6:10" ht="30" hidden="1" x14ac:dyDescent="0.25">
      <c r="F7912" s="263">
        <v>489</v>
      </c>
      <c r="G7912" s="295" t="s">
        <v>3841</v>
      </c>
      <c r="J7912" s="595">
        <f t="shared" si="224"/>
        <v>0</v>
      </c>
    </row>
    <row r="7913" spans="6:10" hidden="1" x14ac:dyDescent="0.25">
      <c r="F7913" s="263">
        <v>494</v>
      </c>
      <c r="G7913" s="295" t="s">
        <v>4193</v>
      </c>
      <c r="J7913" s="595">
        <f t="shared" si="224"/>
        <v>0</v>
      </c>
    </row>
    <row r="7914" spans="6:10" ht="30" hidden="1" x14ac:dyDescent="0.25">
      <c r="F7914" s="263">
        <v>495</v>
      </c>
      <c r="G7914" s="295" t="s">
        <v>4194</v>
      </c>
      <c r="J7914" s="595">
        <f t="shared" si="224"/>
        <v>0</v>
      </c>
    </row>
    <row r="7915" spans="6:10" ht="30" hidden="1" x14ac:dyDescent="0.25">
      <c r="F7915" s="263">
        <v>496</v>
      </c>
      <c r="G7915" s="295" t="s">
        <v>4195</v>
      </c>
      <c r="J7915" s="595">
        <f t="shared" si="224"/>
        <v>0</v>
      </c>
    </row>
    <row r="7916" spans="6:10" hidden="1" x14ac:dyDescent="0.25">
      <c r="F7916" s="263">
        <v>499</v>
      </c>
      <c r="G7916" s="295" t="s">
        <v>4196</v>
      </c>
      <c r="J7916" s="595">
        <f t="shared" si="224"/>
        <v>0</v>
      </c>
    </row>
    <row r="7917" spans="6:10" hidden="1" x14ac:dyDescent="0.25">
      <c r="F7917" s="263">
        <v>511</v>
      </c>
      <c r="G7917" s="298" t="s">
        <v>4216</v>
      </c>
      <c r="J7917" s="595">
        <f t="shared" si="224"/>
        <v>0</v>
      </c>
    </row>
    <row r="7918" spans="6:10" hidden="1" x14ac:dyDescent="0.25">
      <c r="F7918" s="263">
        <v>512</v>
      </c>
      <c r="G7918" s="298" t="s">
        <v>4217</v>
      </c>
      <c r="J7918" s="595">
        <f t="shared" si="224"/>
        <v>0</v>
      </c>
    </row>
    <row r="7919" spans="6:10" hidden="1" x14ac:dyDescent="0.25">
      <c r="F7919" s="263">
        <v>513</v>
      </c>
      <c r="G7919" s="298" t="s">
        <v>4218</v>
      </c>
      <c r="J7919" s="595">
        <f t="shared" si="224"/>
        <v>0</v>
      </c>
    </row>
    <row r="7920" spans="6:10" hidden="1" x14ac:dyDescent="0.25">
      <c r="F7920" s="263">
        <v>514</v>
      </c>
      <c r="G7920" s="295" t="s">
        <v>4219</v>
      </c>
      <c r="J7920" s="595">
        <f t="shared" si="224"/>
        <v>0</v>
      </c>
    </row>
    <row r="7921" spans="5:10" hidden="1" x14ac:dyDescent="0.25">
      <c r="F7921" s="263">
        <v>515</v>
      </c>
      <c r="G7921" s="295" t="s">
        <v>3852</v>
      </c>
      <c r="J7921" s="595">
        <f t="shared" si="224"/>
        <v>0</v>
      </c>
    </row>
    <row r="7922" spans="5:10" hidden="1" x14ac:dyDescent="0.25">
      <c r="F7922" s="263">
        <v>521</v>
      </c>
      <c r="G7922" s="295" t="s">
        <v>4220</v>
      </c>
      <c r="J7922" s="595">
        <f t="shared" si="224"/>
        <v>0</v>
      </c>
    </row>
    <row r="7923" spans="5:10" hidden="1" x14ac:dyDescent="0.25">
      <c r="F7923" s="263">
        <v>522</v>
      </c>
      <c r="G7923" s="295" t="s">
        <v>4221</v>
      </c>
      <c r="J7923" s="595">
        <f t="shared" si="224"/>
        <v>0</v>
      </c>
    </row>
    <row r="7924" spans="5:10" hidden="1" x14ac:dyDescent="0.25">
      <c r="F7924" s="263">
        <v>523</v>
      </c>
      <c r="G7924" s="295" t="s">
        <v>3857</v>
      </c>
      <c r="J7924" s="595">
        <f t="shared" si="224"/>
        <v>0</v>
      </c>
    </row>
    <row r="7925" spans="5:10" hidden="1" x14ac:dyDescent="0.25">
      <c r="F7925" s="263">
        <v>531</v>
      </c>
      <c r="G7925" s="292" t="s">
        <v>4197</v>
      </c>
      <c r="J7925" s="595">
        <f t="shared" si="224"/>
        <v>0</v>
      </c>
    </row>
    <row r="7926" spans="5:10" hidden="1" x14ac:dyDescent="0.25">
      <c r="F7926" s="263">
        <v>541</v>
      </c>
      <c r="G7926" s="295" t="s">
        <v>4222</v>
      </c>
      <c r="J7926" s="595">
        <f t="shared" si="224"/>
        <v>0</v>
      </c>
    </row>
    <row r="7927" spans="5:10" hidden="1" x14ac:dyDescent="0.25">
      <c r="F7927" s="263">
        <v>542</v>
      </c>
      <c r="G7927" s="295" t="s">
        <v>4223</v>
      </c>
      <c r="J7927" s="595">
        <f t="shared" si="224"/>
        <v>0</v>
      </c>
    </row>
    <row r="7928" spans="5:10" hidden="1" x14ac:dyDescent="0.25">
      <c r="F7928" s="263">
        <v>543</v>
      </c>
      <c r="G7928" s="295" t="s">
        <v>3862</v>
      </c>
      <c r="J7928" s="595">
        <f t="shared" si="224"/>
        <v>0</v>
      </c>
    </row>
    <row r="7929" spans="5:10" ht="30" hidden="1" x14ac:dyDescent="0.25">
      <c r="F7929" s="263">
        <v>551</v>
      </c>
      <c r="G7929" s="295" t="s">
        <v>4198</v>
      </c>
      <c r="J7929" s="595">
        <f t="shared" si="224"/>
        <v>0</v>
      </c>
    </row>
    <row r="7930" spans="5:10" hidden="1" x14ac:dyDescent="0.25">
      <c r="F7930" s="264">
        <v>611</v>
      </c>
      <c r="G7930" s="299" t="s">
        <v>3868</v>
      </c>
      <c r="J7930" s="595">
        <f t="shared" si="224"/>
        <v>0</v>
      </c>
    </row>
    <row r="7931" spans="5:10" ht="15.75" hidden="1" thickBot="1" x14ac:dyDescent="0.3">
      <c r="F7931" s="264">
        <v>620</v>
      </c>
      <c r="G7931" s="299" t="s">
        <v>88</v>
      </c>
      <c r="J7931" s="595">
        <f t="shared" si="224"/>
        <v>0</v>
      </c>
    </row>
    <row r="7932" spans="5:10" hidden="1" x14ac:dyDescent="0.25">
      <c r="E7932" s="293"/>
      <c r="F7932" s="301"/>
      <c r="G7932" s="326" t="s">
        <v>4382</v>
      </c>
      <c r="H7932" s="596"/>
      <c r="I7932" s="622"/>
      <c r="J7932" s="597"/>
    </row>
    <row r="7933" spans="5:10" hidden="1" x14ac:dyDescent="0.25">
      <c r="E7933" s="222"/>
      <c r="F7933" s="249" t="s">
        <v>234</v>
      </c>
      <c r="G7933" s="252" t="s">
        <v>235</v>
      </c>
      <c r="H7933" s="598">
        <f>SUM(H7872:H7931)</f>
        <v>0</v>
      </c>
      <c r="I7933" s="599"/>
      <c r="J7933" s="599">
        <f>SUM(H7933:I7933)</f>
        <v>0</v>
      </c>
    </row>
    <row r="7934" spans="5:10" hidden="1" x14ac:dyDescent="0.25">
      <c r="F7934" s="249" t="s">
        <v>236</v>
      </c>
      <c r="G7934" s="252" t="s">
        <v>237</v>
      </c>
      <c r="J7934" s="599">
        <f t="shared" ref="J7934:J7948" si="225">SUM(H7934:I7934)</f>
        <v>0</v>
      </c>
    </row>
    <row r="7935" spans="5:10" hidden="1" x14ac:dyDescent="0.25">
      <c r="F7935" s="249" t="s">
        <v>238</v>
      </c>
      <c r="G7935" s="252" t="s">
        <v>239</v>
      </c>
      <c r="J7935" s="599">
        <f t="shared" si="225"/>
        <v>0</v>
      </c>
    </row>
    <row r="7936" spans="5:10" hidden="1" x14ac:dyDescent="0.25">
      <c r="F7936" s="249" t="s">
        <v>240</v>
      </c>
      <c r="G7936" s="252" t="s">
        <v>241</v>
      </c>
      <c r="J7936" s="599">
        <f t="shared" si="225"/>
        <v>0</v>
      </c>
    </row>
    <row r="7937" spans="5:10" hidden="1" x14ac:dyDescent="0.25">
      <c r="F7937" s="249" t="s">
        <v>242</v>
      </c>
      <c r="G7937" s="252" t="s">
        <v>243</v>
      </c>
      <c r="J7937" s="599">
        <f t="shared" si="225"/>
        <v>0</v>
      </c>
    </row>
    <row r="7938" spans="5:10" hidden="1" x14ac:dyDescent="0.25">
      <c r="F7938" s="249" t="s">
        <v>244</v>
      </c>
      <c r="G7938" s="252" t="s">
        <v>245</v>
      </c>
      <c r="J7938" s="599">
        <f t="shared" si="225"/>
        <v>0</v>
      </c>
    </row>
    <row r="7939" spans="5:10" hidden="1" x14ac:dyDescent="0.25">
      <c r="F7939" s="249" t="s">
        <v>246</v>
      </c>
      <c r="G7939" s="252" t="s">
        <v>247</v>
      </c>
      <c r="J7939" s="599">
        <f t="shared" si="225"/>
        <v>0</v>
      </c>
    </row>
    <row r="7940" spans="5:10" hidden="1" x14ac:dyDescent="0.25">
      <c r="F7940" s="249" t="s">
        <v>248</v>
      </c>
      <c r="G7940" s="252" t="s">
        <v>249</v>
      </c>
      <c r="J7940" s="599">
        <f t="shared" si="225"/>
        <v>0</v>
      </c>
    </row>
    <row r="7941" spans="5:10" hidden="1" x14ac:dyDescent="0.25">
      <c r="F7941" s="249" t="s">
        <v>250</v>
      </c>
      <c r="G7941" s="252" t="s">
        <v>57</v>
      </c>
      <c r="J7941" s="599">
        <f t="shared" si="225"/>
        <v>0</v>
      </c>
    </row>
    <row r="7942" spans="5:10" hidden="1" x14ac:dyDescent="0.25">
      <c r="F7942" s="249" t="s">
        <v>251</v>
      </c>
      <c r="G7942" s="252" t="s">
        <v>252</v>
      </c>
      <c r="J7942" s="599">
        <f t="shared" si="225"/>
        <v>0</v>
      </c>
    </row>
    <row r="7943" spans="5:10" hidden="1" x14ac:dyDescent="0.25">
      <c r="F7943" s="249" t="s">
        <v>253</v>
      </c>
      <c r="G7943" s="252" t="s">
        <v>254</v>
      </c>
      <c r="J7943" s="599">
        <f t="shared" si="225"/>
        <v>0</v>
      </c>
    </row>
    <row r="7944" spans="5:10" ht="30" hidden="1" x14ac:dyDescent="0.25">
      <c r="F7944" s="249" t="s">
        <v>255</v>
      </c>
      <c r="G7944" s="252" t="s">
        <v>256</v>
      </c>
      <c r="J7944" s="599">
        <f t="shared" si="225"/>
        <v>0</v>
      </c>
    </row>
    <row r="7945" spans="5:10" hidden="1" x14ac:dyDescent="0.25">
      <c r="F7945" s="249" t="s">
        <v>257</v>
      </c>
      <c r="G7945" s="252" t="s">
        <v>258</v>
      </c>
      <c r="J7945" s="599">
        <f t="shared" si="225"/>
        <v>0</v>
      </c>
    </row>
    <row r="7946" spans="5:10" ht="30" hidden="1" x14ac:dyDescent="0.25">
      <c r="F7946" s="249" t="s">
        <v>259</v>
      </c>
      <c r="G7946" s="252" t="s">
        <v>260</v>
      </c>
      <c r="J7946" s="599">
        <f t="shared" si="225"/>
        <v>0</v>
      </c>
    </row>
    <row r="7947" spans="5:10" hidden="1" x14ac:dyDescent="0.25">
      <c r="F7947" s="249" t="s">
        <v>261</v>
      </c>
      <c r="G7947" s="252" t="s">
        <v>262</v>
      </c>
      <c r="J7947" s="599">
        <f t="shared" si="225"/>
        <v>0</v>
      </c>
    </row>
    <row r="7948" spans="5:10" ht="15.75" hidden="1" thickBot="1" x14ac:dyDescent="0.3">
      <c r="F7948" s="249" t="s">
        <v>263</v>
      </c>
      <c r="G7948" s="252" t="s">
        <v>264</v>
      </c>
      <c r="H7948" s="598"/>
      <c r="I7948" s="599"/>
      <c r="J7948" s="599">
        <f t="shared" si="225"/>
        <v>0</v>
      </c>
    </row>
    <row r="7949" spans="5:10" ht="15.75" hidden="1" thickBot="1" x14ac:dyDescent="0.3">
      <c r="G7949" s="229" t="s">
        <v>4383</v>
      </c>
      <c r="H7949" s="600">
        <f>SUM(H7933:H7948)</f>
        <v>0</v>
      </c>
      <c r="I7949" s="601">
        <f>SUM(I7934:I7948)</f>
        <v>0</v>
      </c>
      <c r="J7949" s="601">
        <f>SUM(J7933:J7948)</f>
        <v>0</v>
      </c>
    </row>
    <row r="7950" spans="5:10" ht="28.5" hidden="1" collapsed="1" x14ac:dyDescent="0.25">
      <c r="E7950" s="260"/>
      <c r="F7950" s="264"/>
      <c r="G7950" s="231" t="s">
        <v>4263</v>
      </c>
      <c r="H7950" s="602"/>
      <c r="I7950" s="623"/>
      <c r="J7950" s="603"/>
    </row>
    <row r="7951" spans="5:10" hidden="1" x14ac:dyDescent="0.25">
      <c r="E7951" s="222"/>
      <c r="F7951" s="249" t="s">
        <v>234</v>
      </c>
      <c r="G7951" s="252" t="s">
        <v>235</v>
      </c>
      <c r="H7951" s="598">
        <f>SUM(H7872:H7931)</f>
        <v>0</v>
      </c>
      <c r="I7951" s="599"/>
      <c r="J7951" s="599">
        <f>SUM(H7951:I7951)</f>
        <v>0</v>
      </c>
    </row>
    <row r="7952" spans="5:10" hidden="1" x14ac:dyDescent="0.25">
      <c r="F7952" s="249" t="s">
        <v>236</v>
      </c>
      <c r="G7952" s="252" t="s">
        <v>237</v>
      </c>
      <c r="J7952" s="599">
        <f t="shared" ref="J7952:J7966" si="226">SUM(H7952:I7952)</f>
        <v>0</v>
      </c>
    </row>
    <row r="7953" spans="3:25" hidden="1" x14ac:dyDescent="0.25">
      <c r="F7953" s="249" t="s">
        <v>238</v>
      </c>
      <c r="G7953" s="252" t="s">
        <v>239</v>
      </c>
      <c r="J7953" s="599">
        <f t="shared" si="226"/>
        <v>0</v>
      </c>
    </row>
    <row r="7954" spans="3:25" hidden="1" x14ac:dyDescent="0.25">
      <c r="F7954" s="249" t="s">
        <v>240</v>
      </c>
      <c r="G7954" s="252" t="s">
        <v>241</v>
      </c>
      <c r="J7954" s="599">
        <f t="shared" si="226"/>
        <v>0</v>
      </c>
    </row>
    <row r="7955" spans="3:25" hidden="1" x14ac:dyDescent="0.25">
      <c r="F7955" s="249" t="s">
        <v>242</v>
      </c>
      <c r="G7955" s="252" t="s">
        <v>243</v>
      </c>
      <c r="J7955" s="599">
        <f t="shared" si="226"/>
        <v>0</v>
      </c>
    </row>
    <row r="7956" spans="3:25" hidden="1" x14ac:dyDescent="0.25">
      <c r="F7956" s="249" t="s">
        <v>244</v>
      </c>
      <c r="G7956" s="252" t="s">
        <v>245</v>
      </c>
      <c r="J7956" s="599">
        <f t="shared" si="226"/>
        <v>0</v>
      </c>
    </row>
    <row r="7957" spans="3:25" hidden="1" x14ac:dyDescent="0.25">
      <c r="F7957" s="249" t="s">
        <v>246</v>
      </c>
      <c r="G7957" s="252" t="s">
        <v>247</v>
      </c>
      <c r="J7957" s="599">
        <f t="shared" si="226"/>
        <v>0</v>
      </c>
    </row>
    <row r="7958" spans="3:25" hidden="1" x14ac:dyDescent="0.25">
      <c r="F7958" s="249" t="s">
        <v>248</v>
      </c>
      <c r="G7958" s="252" t="s">
        <v>249</v>
      </c>
      <c r="J7958" s="599">
        <f t="shared" si="226"/>
        <v>0</v>
      </c>
    </row>
    <row r="7959" spans="3:25" hidden="1" x14ac:dyDescent="0.25">
      <c r="F7959" s="249" t="s">
        <v>250</v>
      </c>
      <c r="G7959" s="252" t="s">
        <v>57</v>
      </c>
      <c r="J7959" s="599">
        <f t="shared" si="226"/>
        <v>0</v>
      </c>
    </row>
    <row r="7960" spans="3:25" hidden="1" x14ac:dyDescent="0.25">
      <c r="F7960" s="249" t="s">
        <v>251</v>
      </c>
      <c r="G7960" s="252" t="s">
        <v>252</v>
      </c>
      <c r="J7960" s="599">
        <f t="shared" si="226"/>
        <v>0</v>
      </c>
    </row>
    <row r="7961" spans="3:25" hidden="1" x14ac:dyDescent="0.25">
      <c r="F7961" s="249" t="s">
        <v>253</v>
      </c>
      <c r="G7961" s="252" t="s">
        <v>254</v>
      </c>
      <c r="J7961" s="599">
        <f t="shared" si="226"/>
        <v>0</v>
      </c>
    </row>
    <row r="7962" spans="3:25" ht="30" hidden="1" x14ac:dyDescent="0.25">
      <c r="F7962" s="249" t="s">
        <v>255</v>
      </c>
      <c r="G7962" s="252" t="s">
        <v>256</v>
      </c>
      <c r="J7962" s="599">
        <f t="shared" si="226"/>
        <v>0</v>
      </c>
    </row>
    <row r="7963" spans="3:25" hidden="1" x14ac:dyDescent="0.25">
      <c r="F7963" s="249" t="s">
        <v>257</v>
      </c>
      <c r="G7963" s="252" t="s">
        <v>258</v>
      </c>
      <c r="J7963" s="599">
        <f t="shared" si="226"/>
        <v>0</v>
      </c>
    </row>
    <row r="7964" spans="3:25" ht="30" hidden="1" x14ac:dyDescent="0.25">
      <c r="F7964" s="249" t="s">
        <v>259</v>
      </c>
      <c r="G7964" s="252" t="s">
        <v>260</v>
      </c>
      <c r="J7964" s="599">
        <f t="shared" si="226"/>
        <v>0</v>
      </c>
    </row>
    <row r="7965" spans="3:25" hidden="1" x14ac:dyDescent="0.25">
      <c r="F7965" s="249" t="s">
        <v>261</v>
      </c>
      <c r="G7965" s="252" t="s">
        <v>262</v>
      </c>
      <c r="J7965" s="599">
        <f t="shared" si="226"/>
        <v>0</v>
      </c>
    </row>
    <row r="7966" spans="3:25" ht="15.75" hidden="1" thickBot="1" x14ac:dyDescent="0.3">
      <c r="F7966" s="249" t="s">
        <v>263</v>
      </c>
      <c r="G7966" s="252" t="s">
        <v>264</v>
      </c>
      <c r="H7966" s="598"/>
      <c r="I7966" s="599"/>
      <c r="J7966" s="599">
        <f t="shared" si="226"/>
        <v>0</v>
      </c>
    </row>
    <row r="7967" spans="3:25" ht="15.75" hidden="1" collapsed="1" thickBot="1" x14ac:dyDescent="0.3">
      <c r="G7967" s="229" t="s">
        <v>4262</v>
      </c>
      <c r="H7967" s="600">
        <f>SUM(H7951:H7966)</f>
        <v>0</v>
      </c>
      <c r="I7967" s="601">
        <f>SUM(I7952:I7966)</f>
        <v>0</v>
      </c>
      <c r="J7967" s="601">
        <f>SUM(J7951:J7966)</f>
        <v>0</v>
      </c>
    </row>
    <row r="7968" spans="3:25" s="88" customFormat="1" hidden="1" x14ac:dyDescent="0.25">
      <c r="C7968" s="271"/>
      <c r="G7968" s="310"/>
      <c r="H7968" s="611"/>
      <c r="I7968" s="612"/>
      <c r="J7968" s="612"/>
      <c r="K7968" s="533"/>
      <c r="L7968" s="533"/>
      <c r="M7968" s="533"/>
      <c r="N7968" s="533"/>
      <c r="O7968" s="533"/>
      <c r="P7968" s="533"/>
      <c r="Q7968" s="533"/>
      <c r="R7968" s="533"/>
      <c r="S7968" s="533"/>
      <c r="T7968" s="533"/>
      <c r="U7968" s="533"/>
      <c r="V7968" s="533"/>
      <c r="W7968" s="533"/>
      <c r="X7968" s="533"/>
      <c r="Y7968" s="533"/>
    </row>
    <row r="7969" spans="3:10" x14ac:dyDescent="0.25">
      <c r="C7969" s="228" t="s">
        <v>4648</v>
      </c>
      <c r="D7969" s="219"/>
      <c r="G7969" s="262" t="s">
        <v>5121</v>
      </c>
    </row>
    <row r="7970" spans="3:10" ht="28.5" customHeight="1" x14ac:dyDescent="0.25">
      <c r="C7970" s="228"/>
      <c r="D7970" s="312">
        <v>560</v>
      </c>
      <c r="E7970" s="312"/>
      <c r="F7970" s="312"/>
      <c r="G7970" s="314" t="s">
        <v>179</v>
      </c>
    </row>
    <row r="7971" spans="3:10" hidden="1" x14ac:dyDescent="0.25">
      <c r="F7971" s="263">
        <v>411</v>
      </c>
      <c r="G7971" s="295" t="s">
        <v>4189</v>
      </c>
      <c r="J7971" s="595">
        <f>SUM(H7971:I7971)</f>
        <v>0</v>
      </c>
    </row>
    <row r="7972" spans="3:10" hidden="1" x14ac:dyDescent="0.25">
      <c r="F7972" s="263">
        <v>412</v>
      </c>
      <c r="G7972" s="292" t="s">
        <v>3784</v>
      </c>
      <c r="J7972" s="595">
        <f t="shared" ref="J7972:J8030" si="227">SUM(H7972:I7972)</f>
        <v>0</v>
      </c>
    </row>
    <row r="7973" spans="3:10" hidden="1" x14ac:dyDescent="0.25">
      <c r="F7973" s="263">
        <v>413</v>
      </c>
      <c r="G7973" s="295" t="s">
        <v>4190</v>
      </c>
      <c r="J7973" s="595">
        <f t="shared" si="227"/>
        <v>0</v>
      </c>
    </row>
    <row r="7974" spans="3:10" hidden="1" x14ac:dyDescent="0.25">
      <c r="F7974" s="263">
        <v>414</v>
      </c>
      <c r="G7974" s="295" t="s">
        <v>3787</v>
      </c>
      <c r="J7974" s="595">
        <f t="shared" si="227"/>
        <v>0</v>
      </c>
    </row>
    <row r="7975" spans="3:10" hidden="1" x14ac:dyDescent="0.25">
      <c r="F7975" s="263">
        <v>415</v>
      </c>
      <c r="G7975" s="295" t="s">
        <v>4199</v>
      </c>
      <c r="J7975" s="595">
        <f t="shared" si="227"/>
        <v>0</v>
      </c>
    </row>
    <row r="7976" spans="3:10" hidden="1" x14ac:dyDescent="0.25">
      <c r="F7976" s="263">
        <v>416</v>
      </c>
      <c r="G7976" s="295" t="s">
        <v>4200</v>
      </c>
      <c r="J7976" s="595">
        <f t="shared" si="227"/>
        <v>0</v>
      </c>
    </row>
    <row r="7977" spans="3:10" hidden="1" x14ac:dyDescent="0.25">
      <c r="F7977" s="263">
        <v>417</v>
      </c>
      <c r="G7977" s="295" t="s">
        <v>4201</v>
      </c>
      <c r="J7977" s="595">
        <f t="shared" si="227"/>
        <v>0</v>
      </c>
    </row>
    <row r="7978" spans="3:10" hidden="1" x14ac:dyDescent="0.25">
      <c r="F7978" s="263">
        <v>418</v>
      </c>
      <c r="G7978" s="295" t="s">
        <v>3793</v>
      </c>
      <c r="J7978" s="595">
        <f t="shared" si="227"/>
        <v>0</v>
      </c>
    </row>
    <row r="7979" spans="3:10" hidden="1" x14ac:dyDescent="0.25">
      <c r="F7979" s="263">
        <v>421</v>
      </c>
      <c r="G7979" s="295" t="s">
        <v>3797</v>
      </c>
      <c r="J7979" s="595">
        <f t="shared" si="227"/>
        <v>0</v>
      </c>
    </row>
    <row r="7980" spans="3:10" hidden="1" x14ac:dyDescent="0.25">
      <c r="F7980" s="263">
        <v>422</v>
      </c>
      <c r="G7980" s="295" t="s">
        <v>3798</v>
      </c>
      <c r="J7980" s="595">
        <f t="shared" si="227"/>
        <v>0</v>
      </c>
    </row>
    <row r="7981" spans="3:10" hidden="1" x14ac:dyDescent="0.25">
      <c r="F7981" s="263">
        <v>423</v>
      </c>
      <c r="G7981" s="295" t="s">
        <v>3799</v>
      </c>
      <c r="J7981" s="595">
        <f t="shared" si="227"/>
        <v>0</v>
      </c>
    </row>
    <row r="7982" spans="3:10" hidden="1" x14ac:dyDescent="0.25">
      <c r="F7982" s="263">
        <v>424</v>
      </c>
      <c r="G7982" s="295" t="s">
        <v>3801</v>
      </c>
      <c r="J7982" s="595">
        <f t="shared" si="227"/>
        <v>0</v>
      </c>
    </row>
    <row r="7983" spans="3:10" hidden="1" x14ac:dyDescent="0.25">
      <c r="F7983" s="263">
        <v>425</v>
      </c>
      <c r="G7983" s="295" t="s">
        <v>4202</v>
      </c>
      <c r="J7983" s="595">
        <f t="shared" si="227"/>
        <v>0</v>
      </c>
    </row>
    <row r="7984" spans="3:10" hidden="1" x14ac:dyDescent="0.25">
      <c r="F7984" s="263">
        <v>426</v>
      </c>
      <c r="G7984" s="295" t="s">
        <v>3805</v>
      </c>
      <c r="J7984" s="595">
        <f t="shared" si="227"/>
        <v>0</v>
      </c>
    </row>
    <row r="7985" spans="6:10" hidden="1" x14ac:dyDescent="0.25">
      <c r="F7985" s="263">
        <v>431</v>
      </c>
      <c r="G7985" s="295" t="s">
        <v>4203</v>
      </c>
      <c r="J7985" s="595">
        <f t="shared" si="227"/>
        <v>0</v>
      </c>
    </row>
    <row r="7986" spans="6:10" hidden="1" x14ac:dyDescent="0.25">
      <c r="F7986" s="263">
        <v>432</v>
      </c>
      <c r="G7986" s="295" t="s">
        <v>4204</v>
      </c>
      <c r="J7986" s="595">
        <f t="shared" si="227"/>
        <v>0</v>
      </c>
    </row>
    <row r="7987" spans="6:10" hidden="1" x14ac:dyDescent="0.25">
      <c r="F7987" s="263">
        <v>433</v>
      </c>
      <c r="G7987" s="295" t="s">
        <v>4205</v>
      </c>
      <c r="J7987" s="595">
        <f t="shared" si="227"/>
        <v>0</v>
      </c>
    </row>
    <row r="7988" spans="6:10" hidden="1" x14ac:dyDescent="0.25">
      <c r="F7988" s="263">
        <v>434</v>
      </c>
      <c r="G7988" s="295" t="s">
        <v>4206</v>
      </c>
      <c r="J7988" s="595">
        <f t="shared" si="227"/>
        <v>0</v>
      </c>
    </row>
    <row r="7989" spans="6:10" hidden="1" x14ac:dyDescent="0.25">
      <c r="F7989" s="263">
        <v>435</v>
      </c>
      <c r="G7989" s="295" t="s">
        <v>3812</v>
      </c>
      <c r="J7989" s="595">
        <f t="shared" si="227"/>
        <v>0</v>
      </c>
    </row>
    <row r="7990" spans="6:10" hidden="1" x14ac:dyDescent="0.25">
      <c r="F7990" s="263">
        <v>441</v>
      </c>
      <c r="G7990" s="295" t="s">
        <v>4207</v>
      </c>
      <c r="J7990" s="595">
        <f t="shared" si="227"/>
        <v>0</v>
      </c>
    </row>
    <row r="7991" spans="6:10" hidden="1" x14ac:dyDescent="0.25">
      <c r="F7991" s="263">
        <v>442</v>
      </c>
      <c r="G7991" s="295" t="s">
        <v>4208</v>
      </c>
      <c r="J7991" s="595">
        <f t="shared" si="227"/>
        <v>0</v>
      </c>
    </row>
    <row r="7992" spans="6:10" hidden="1" x14ac:dyDescent="0.25">
      <c r="F7992" s="263">
        <v>443</v>
      </c>
      <c r="G7992" s="295" t="s">
        <v>3817</v>
      </c>
      <c r="J7992" s="595">
        <f t="shared" si="227"/>
        <v>0</v>
      </c>
    </row>
    <row r="7993" spans="6:10" hidden="1" x14ac:dyDescent="0.25">
      <c r="F7993" s="263">
        <v>444</v>
      </c>
      <c r="G7993" s="295" t="s">
        <v>3818</v>
      </c>
      <c r="J7993" s="595">
        <f t="shared" si="227"/>
        <v>0</v>
      </c>
    </row>
    <row r="7994" spans="6:10" ht="30" hidden="1" x14ac:dyDescent="0.25">
      <c r="F7994" s="263">
        <v>4511</v>
      </c>
      <c r="G7994" s="223" t="s">
        <v>1692</v>
      </c>
      <c r="J7994" s="595">
        <f t="shared" si="227"/>
        <v>0</v>
      </c>
    </row>
    <row r="7995" spans="6:10" ht="30" hidden="1" x14ac:dyDescent="0.25">
      <c r="F7995" s="263">
        <v>4512</v>
      </c>
      <c r="G7995" s="223" t="s">
        <v>1701</v>
      </c>
      <c r="J7995" s="595">
        <f t="shared" si="227"/>
        <v>0</v>
      </c>
    </row>
    <row r="7996" spans="6:10" hidden="1" x14ac:dyDescent="0.25">
      <c r="F7996" s="263">
        <v>452</v>
      </c>
      <c r="G7996" s="295" t="s">
        <v>4209</v>
      </c>
      <c r="J7996" s="595">
        <f t="shared" si="227"/>
        <v>0</v>
      </c>
    </row>
    <row r="7997" spans="6:10" hidden="1" x14ac:dyDescent="0.25">
      <c r="F7997" s="263">
        <v>453</v>
      </c>
      <c r="G7997" s="295" t="s">
        <v>4210</v>
      </c>
      <c r="J7997" s="595">
        <f t="shared" si="227"/>
        <v>0</v>
      </c>
    </row>
    <row r="7998" spans="6:10" hidden="1" x14ac:dyDescent="0.25">
      <c r="F7998" s="263">
        <v>454</v>
      </c>
      <c r="G7998" s="295" t="s">
        <v>3823</v>
      </c>
      <c r="J7998" s="595">
        <f t="shared" si="227"/>
        <v>0</v>
      </c>
    </row>
    <row r="7999" spans="6:10" hidden="1" x14ac:dyDescent="0.25">
      <c r="F7999" s="263">
        <v>461</v>
      </c>
      <c r="G7999" s="295" t="s">
        <v>4191</v>
      </c>
      <c r="J7999" s="595">
        <f t="shared" si="227"/>
        <v>0</v>
      </c>
    </row>
    <row r="8000" spans="6:10" hidden="1" x14ac:dyDescent="0.25">
      <c r="F8000" s="263">
        <v>462</v>
      </c>
      <c r="G8000" s="295" t="s">
        <v>3826</v>
      </c>
      <c r="J8000" s="595">
        <f t="shared" si="227"/>
        <v>0</v>
      </c>
    </row>
    <row r="8001" spans="6:10" hidden="1" x14ac:dyDescent="0.25">
      <c r="F8001" s="263">
        <v>4631</v>
      </c>
      <c r="G8001" s="295" t="s">
        <v>3827</v>
      </c>
      <c r="J8001" s="595">
        <f t="shared" si="227"/>
        <v>0</v>
      </c>
    </row>
    <row r="8002" spans="6:10" hidden="1" x14ac:dyDescent="0.25">
      <c r="F8002" s="263">
        <v>4632</v>
      </c>
      <c r="G8002" s="295" t="s">
        <v>3828</v>
      </c>
      <c r="J8002" s="595">
        <f t="shared" si="227"/>
        <v>0</v>
      </c>
    </row>
    <row r="8003" spans="6:10" hidden="1" x14ac:dyDescent="0.25">
      <c r="F8003" s="263">
        <v>464</v>
      </c>
      <c r="G8003" s="295" t="s">
        <v>3829</v>
      </c>
      <c r="J8003" s="595">
        <f t="shared" si="227"/>
        <v>0</v>
      </c>
    </row>
    <row r="8004" spans="6:10" hidden="1" x14ac:dyDescent="0.25">
      <c r="F8004" s="263">
        <v>465</v>
      </c>
      <c r="G8004" s="295" t="s">
        <v>4192</v>
      </c>
      <c r="J8004" s="595">
        <f t="shared" si="227"/>
        <v>0</v>
      </c>
    </row>
    <row r="8005" spans="6:10" hidden="1" x14ac:dyDescent="0.25">
      <c r="F8005" s="263">
        <v>472</v>
      </c>
      <c r="G8005" s="295" t="s">
        <v>3833</v>
      </c>
      <c r="J8005" s="595">
        <f t="shared" si="227"/>
        <v>0</v>
      </c>
    </row>
    <row r="8006" spans="6:10" hidden="1" x14ac:dyDescent="0.25">
      <c r="F8006" s="263">
        <v>481</v>
      </c>
      <c r="G8006" s="295" t="s">
        <v>4211</v>
      </c>
      <c r="J8006" s="595">
        <f t="shared" si="227"/>
        <v>0</v>
      </c>
    </row>
    <row r="8007" spans="6:10" hidden="1" x14ac:dyDescent="0.25">
      <c r="F8007" s="263">
        <v>482</v>
      </c>
      <c r="G8007" s="295" t="s">
        <v>4212</v>
      </c>
      <c r="J8007" s="595">
        <f t="shared" si="227"/>
        <v>0</v>
      </c>
    </row>
    <row r="8008" spans="6:10" hidden="1" x14ac:dyDescent="0.25">
      <c r="F8008" s="263">
        <v>483</v>
      </c>
      <c r="G8008" s="298" t="s">
        <v>4213</v>
      </c>
      <c r="J8008" s="595">
        <f t="shared" si="227"/>
        <v>0</v>
      </c>
    </row>
    <row r="8009" spans="6:10" ht="30" hidden="1" x14ac:dyDescent="0.25">
      <c r="F8009" s="263">
        <v>484</v>
      </c>
      <c r="G8009" s="295" t="s">
        <v>4214</v>
      </c>
      <c r="J8009" s="595">
        <f t="shared" si="227"/>
        <v>0</v>
      </c>
    </row>
    <row r="8010" spans="6:10" ht="30" hidden="1" x14ac:dyDescent="0.25">
      <c r="F8010" s="263">
        <v>485</v>
      </c>
      <c r="G8010" s="295" t="s">
        <v>4215</v>
      </c>
      <c r="J8010" s="595">
        <f t="shared" si="227"/>
        <v>0</v>
      </c>
    </row>
    <row r="8011" spans="6:10" ht="30" hidden="1" x14ac:dyDescent="0.25">
      <c r="F8011" s="263">
        <v>489</v>
      </c>
      <c r="G8011" s="295" t="s">
        <v>3841</v>
      </c>
      <c r="J8011" s="595">
        <f t="shared" si="227"/>
        <v>0</v>
      </c>
    </row>
    <row r="8012" spans="6:10" hidden="1" x14ac:dyDescent="0.25">
      <c r="F8012" s="263">
        <v>494</v>
      </c>
      <c r="G8012" s="295" t="s">
        <v>4193</v>
      </c>
      <c r="J8012" s="595">
        <f t="shared" si="227"/>
        <v>0</v>
      </c>
    </row>
    <row r="8013" spans="6:10" ht="30" hidden="1" x14ac:dyDescent="0.25">
      <c r="F8013" s="263">
        <v>495</v>
      </c>
      <c r="G8013" s="295" t="s">
        <v>4194</v>
      </c>
      <c r="J8013" s="595">
        <f t="shared" si="227"/>
        <v>0</v>
      </c>
    </row>
    <row r="8014" spans="6:10" ht="30" hidden="1" x14ac:dyDescent="0.25">
      <c r="F8014" s="263">
        <v>496</v>
      </c>
      <c r="G8014" s="295" t="s">
        <v>4195</v>
      </c>
      <c r="J8014" s="595">
        <f t="shared" si="227"/>
        <v>0</v>
      </c>
    </row>
    <row r="8015" spans="6:10" hidden="1" x14ac:dyDescent="0.25">
      <c r="F8015" s="263">
        <v>499</v>
      </c>
      <c r="G8015" s="295" t="s">
        <v>4196</v>
      </c>
      <c r="J8015" s="595">
        <f t="shared" si="227"/>
        <v>0</v>
      </c>
    </row>
    <row r="8016" spans="6:10" hidden="1" x14ac:dyDescent="0.25">
      <c r="F8016" s="263">
        <v>511</v>
      </c>
      <c r="G8016" s="298" t="s">
        <v>4216</v>
      </c>
      <c r="J8016" s="595">
        <f t="shared" si="227"/>
        <v>0</v>
      </c>
    </row>
    <row r="8017" spans="5:10" ht="15.75" thickBot="1" x14ac:dyDescent="0.3">
      <c r="E8017" s="218">
        <v>77</v>
      </c>
      <c r="F8017" s="263">
        <v>512</v>
      </c>
      <c r="G8017" s="298" t="s">
        <v>4217</v>
      </c>
      <c r="H8017" s="594">
        <v>800000</v>
      </c>
      <c r="J8017" s="595">
        <f t="shared" si="227"/>
        <v>800000</v>
      </c>
    </row>
    <row r="8018" spans="5:10" hidden="1" x14ac:dyDescent="0.25">
      <c r="F8018" s="263">
        <v>513</v>
      </c>
      <c r="G8018" s="298" t="s">
        <v>4218</v>
      </c>
      <c r="J8018" s="595">
        <f t="shared" si="227"/>
        <v>0</v>
      </c>
    </row>
    <row r="8019" spans="5:10" hidden="1" x14ac:dyDescent="0.25">
      <c r="F8019" s="263">
        <v>514</v>
      </c>
      <c r="G8019" s="295" t="s">
        <v>4219</v>
      </c>
      <c r="J8019" s="595">
        <f t="shared" si="227"/>
        <v>0</v>
      </c>
    </row>
    <row r="8020" spans="5:10" hidden="1" x14ac:dyDescent="0.25">
      <c r="F8020" s="263">
        <v>515</v>
      </c>
      <c r="G8020" s="295" t="s">
        <v>3852</v>
      </c>
      <c r="J8020" s="595">
        <f t="shared" si="227"/>
        <v>0</v>
      </c>
    </row>
    <row r="8021" spans="5:10" hidden="1" x14ac:dyDescent="0.25">
      <c r="F8021" s="263">
        <v>521</v>
      </c>
      <c r="G8021" s="295" t="s">
        <v>4220</v>
      </c>
      <c r="J8021" s="595">
        <f t="shared" si="227"/>
        <v>0</v>
      </c>
    </row>
    <row r="8022" spans="5:10" hidden="1" x14ac:dyDescent="0.25">
      <c r="F8022" s="263">
        <v>522</v>
      </c>
      <c r="G8022" s="295" t="s">
        <v>4221</v>
      </c>
      <c r="J8022" s="595">
        <f t="shared" si="227"/>
        <v>0</v>
      </c>
    </row>
    <row r="8023" spans="5:10" hidden="1" x14ac:dyDescent="0.25">
      <c r="F8023" s="263">
        <v>523</v>
      </c>
      <c r="G8023" s="295" t="s">
        <v>3857</v>
      </c>
      <c r="J8023" s="595">
        <f t="shared" si="227"/>
        <v>0</v>
      </c>
    </row>
    <row r="8024" spans="5:10" hidden="1" x14ac:dyDescent="0.25">
      <c r="F8024" s="263">
        <v>531</v>
      </c>
      <c r="G8024" s="292" t="s">
        <v>4197</v>
      </c>
      <c r="J8024" s="595">
        <f t="shared" si="227"/>
        <v>0</v>
      </c>
    </row>
    <row r="8025" spans="5:10" hidden="1" x14ac:dyDescent="0.25">
      <c r="F8025" s="263">
        <v>541</v>
      </c>
      <c r="G8025" s="295" t="s">
        <v>4222</v>
      </c>
      <c r="J8025" s="595">
        <f t="shared" si="227"/>
        <v>0</v>
      </c>
    </row>
    <row r="8026" spans="5:10" hidden="1" x14ac:dyDescent="0.25">
      <c r="F8026" s="263">
        <v>542</v>
      </c>
      <c r="G8026" s="295" t="s">
        <v>4223</v>
      </c>
      <c r="J8026" s="595">
        <f t="shared" si="227"/>
        <v>0</v>
      </c>
    </row>
    <row r="8027" spans="5:10" hidden="1" x14ac:dyDescent="0.25">
      <c r="F8027" s="263">
        <v>543</v>
      </c>
      <c r="G8027" s="295" t="s">
        <v>3862</v>
      </c>
      <c r="J8027" s="595">
        <f t="shared" si="227"/>
        <v>0</v>
      </c>
    </row>
    <row r="8028" spans="5:10" ht="30" hidden="1" x14ac:dyDescent="0.25">
      <c r="F8028" s="263">
        <v>551</v>
      </c>
      <c r="G8028" s="295" t="s">
        <v>4198</v>
      </c>
      <c r="J8028" s="595">
        <f t="shared" si="227"/>
        <v>0</v>
      </c>
    </row>
    <row r="8029" spans="5:10" hidden="1" x14ac:dyDescent="0.25">
      <c r="F8029" s="264">
        <v>611</v>
      </c>
      <c r="G8029" s="299" t="s">
        <v>3868</v>
      </c>
      <c r="J8029" s="595">
        <f t="shared" si="227"/>
        <v>0</v>
      </c>
    </row>
    <row r="8030" spans="5:10" ht="15.75" hidden="1" thickBot="1" x14ac:dyDescent="0.3">
      <c r="F8030" s="264">
        <v>620</v>
      </c>
      <c r="G8030" s="299" t="s">
        <v>88</v>
      </c>
      <c r="J8030" s="595">
        <f t="shared" si="227"/>
        <v>0</v>
      </c>
    </row>
    <row r="8031" spans="5:10" x14ac:dyDescent="0.25">
      <c r="E8031" s="293"/>
      <c r="F8031" s="301"/>
      <c r="G8031" s="326" t="s">
        <v>4384</v>
      </c>
      <c r="H8031" s="596"/>
      <c r="I8031" s="622"/>
      <c r="J8031" s="597"/>
    </row>
    <row r="8032" spans="5:10" ht="15.75" thickBot="1" x14ac:dyDescent="0.3">
      <c r="E8032" s="222"/>
      <c r="F8032" s="249" t="s">
        <v>234</v>
      </c>
      <c r="G8032" s="252" t="s">
        <v>235</v>
      </c>
      <c r="H8032" s="598">
        <f>SUM(H7971:H8030)</f>
        <v>800000</v>
      </c>
      <c r="I8032" s="599"/>
      <c r="J8032" s="599">
        <f>SUM(H8032:I8032)</f>
        <v>800000</v>
      </c>
    </row>
    <row r="8033" spans="6:10" hidden="1" x14ac:dyDescent="0.25">
      <c r="F8033" s="249" t="s">
        <v>236</v>
      </c>
      <c r="G8033" s="252" t="s">
        <v>237</v>
      </c>
      <c r="J8033" s="599">
        <f t="shared" ref="J8033:J8047" si="228">SUM(H8033:I8033)</f>
        <v>0</v>
      </c>
    </row>
    <row r="8034" spans="6:10" hidden="1" x14ac:dyDescent="0.25">
      <c r="F8034" s="249" t="s">
        <v>238</v>
      </c>
      <c r="G8034" s="252" t="s">
        <v>239</v>
      </c>
      <c r="J8034" s="599">
        <f t="shared" si="228"/>
        <v>0</v>
      </c>
    </row>
    <row r="8035" spans="6:10" hidden="1" x14ac:dyDescent="0.25">
      <c r="F8035" s="249" t="s">
        <v>240</v>
      </c>
      <c r="G8035" s="252" t="s">
        <v>241</v>
      </c>
      <c r="J8035" s="599">
        <f t="shared" si="228"/>
        <v>0</v>
      </c>
    </row>
    <row r="8036" spans="6:10" hidden="1" x14ac:dyDescent="0.25">
      <c r="F8036" s="249" t="s">
        <v>242</v>
      </c>
      <c r="G8036" s="252" t="s">
        <v>243</v>
      </c>
      <c r="J8036" s="599">
        <f t="shared" si="228"/>
        <v>0</v>
      </c>
    </row>
    <row r="8037" spans="6:10" hidden="1" x14ac:dyDescent="0.25">
      <c r="F8037" s="249" t="s">
        <v>244</v>
      </c>
      <c r="G8037" s="252" t="s">
        <v>245</v>
      </c>
      <c r="J8037" s="599">
        <f t="shared" si="228"/>
        <v>0</v>
      </c>
    </row>
    <row r="8038" spans="6:10" hidden="1" x14ac:dyDescent="0.25">
      <c r="F8038" s="249" t="s">
        <v>246</v>
      </c>
      <c r="G8038" s="252" t="s">
        <v>247</v>
      </c>
      <c r="J8038" s="599">
        <f t="shared" si="228"/>
        <v>0</v>
      </c>
    </row>
    <row r="8039" spans="6:10" hidden="1" x14ac:dyDescent="0.25">
      <c r="F8039" s="249" t="s">
        <v>248</v>
      </c>
      <c r="G8039" s="252" t="s">
        <v>249</v>
      </c>
      <c r="J8039" s="599">
        <f t="shared" si="228"/>
        <v>0</v>
      </c>
    </row>
    <row r="8040" spans="6:10" hidden="1" x14ac:dyDescent="0.25">
      <c r="F8040" s="249" t="s">
        <v>250</v>
      </c>
      <c r="G8040" s="252" t="s">
        <v>57</v>
      </c>
      <c r="J8040" s="599">
        <f t="shared" si="228"/>
        <v>0</v>
      </c>
    </row>
    <row r="8041" spans="6:10" hidden="1" x14ac:dyDescent="0.25">
      <c r="F8041" s="249" t="s">
        <v>251</v>
      </c>
      <c r="G8041" s="252" t="s">
        <v>252</v>
      </c>
      <c r="J8041" s="599">
        <f t="shared" si="228"/>
        <v>0</v>
      </c>
    </row>
    <row r="8042" spans="6:10" hidden="1" x14ac:dyDescent="0.25">
      <c r="F8042" s="249" t="s">
        <v>253</v>
      </c>
      <c r="G8042" s="252" t="s">
        <v>254</v>
      </c>
      <c r="J8042" s="599">
        <f t="shared" si="228"/>
        <v>0</v>
      </c>
    </row>
    <row r="8043" spans="6:10" ht="30" hidden="1" x14ac:dyDescent="0.25">
      <c r="F8043" s="249" t="s">
        <v>255</v>
      </c>
      <c r="G8043" s="252" t="s">
        <v>256</v>
      </c>
      <c r="J8043" s="599">
        <f t="shared" si="228"/>
        <v>0</v>
      </c>
    </row>
    <row r="8044" spans="6:10" hidden="1" x14ac:dyDescent="0.25">
      <c r="F8044" s="249" t="s">
        <v>257</v>
      </c>
      <c r="G8044" s="252" t="s">
        <v>258</v>
      </c>
      <c r="J8044" s="599">
        <f t="shared" si="228"/>
        <v>0</v>
      </c>
    </row>
    <row r="8045" spans="6:10" ht="30" hidden="1" x14ac:dyDescent="0.25">
      <c r="F8045" s="249" t="s">
        <v>259</v>
      </c>
      <c r="G8045" s="252" t="s">
        <v>260</v>
      </c>
      <c r="J8045" s="599">
        <f t="shared" si="228"/>
        <v>0</v>
      </c>
    </row>
    <row r="8046" spans="6:10" hidden="1" x14ac:dyDescent="0.25">
      <c r="F8046" s="249" t="s">
        <v>261</v>
      </c>
      <c r="G8046" s="252" t="s">
        <v>262</v>
      </c>
      <c r="J8046" s="599">
        <f t="shared" si="228"/>
        <v>0</v>
      </c>
    </row>
    <row r="8047" spans="6:10" ht="15.75" hidden="1" thickBot="1" x14ac:dyDescent="0.3">
      <c r="F8047" s="249" t="s">
        <v>263</v>
      </c>
      <c r="G8047" s="252" t="s">
        <v>264</v>
      </c>
      <c r="H8047" s="598"/>
      <c r="I8047" s="599"/>
      <c r="J8047" s="599">
        <f t="shared" si="228"/>
        <v>0</v>
      </c>
    </row>
    <row r="8048" spans="6:10" ht="15.75" thickBot="1" x14ac:dyDescent="0.3">
      <c r="G8048" s="229" t="s">
        <v>4385</v>
      </c>
      <c r="H8048" s="600">
        <f>SUM(H8032:H8047)</f>
        <v>800000</v>
      </c>
      <c r="I8048" s="601">
        <f>SUM(I8033:I8047)</f>
        <v>0</v>
      </c>
      <c r="J8048" s="601">
        <f>SUM(J8032:J8047)</f>
        <v>800000</v>
      </c>
    </row>
    <row r="8049" spans="5:10" collapsed="1" x14ac:dyDescent="0.25">
      <c r="E8049" s="260"/>
      <c r="F8049" s="264"/>
      <c r="G8049" s="231" t="s">
        <v>5203</v>
      </c>
      <c r="H8049" s="602"/>
      <c r="I8049" s="623"/>
      <c r="J8049" s="603"/>
    </row>
    <row r="8050" spans="5:10" ht="15.75" thickBot="1" x14ac:dyDescent="0.3">
      <c r="E8050" s="222"/>
      <c r="F8050" s="249" t="s">
        <v>234</v>
      </c>
      <c r="G8050" s="252" t="s">
        <v>235</v>
      </c>
      <c r="H8050" s="598">
        <f>SUM(H7971:H8030)</f>
        <v>800000</v>
      </c>
      <c r="I8050" s="599"/>
      <c r="J8050" s="599">
        <f>SUM(H8050:I8050)</f>
        <v>800000</v>
      </c>
    </row>
    <row r="8051" spans="5:10" hidden="1" x14ac:dyDescent="0.25">
      <c r="F8051" s="249" t="s">
        <v>236</v>
      </c>
      <c r="G8051" s="252" t="s">
        <v>237</v>
      </c>
      <c r="J8051" s="599">
        <f t="shared" ref="J8051:J8065" si="229">SUM(H8051:I8051)</f>
        <v>0</v>
      </c>
    </row>
    <row r="8052" spans="5:10" hidden="1" x14ac:dyDescent="0.25">
      <c r="F8052" s="249" t="s">
        <v>238</v>
      </c>
      <c r="G8052" s="252" t="s">
        <v>239</v>
      </c>
      <c r="J8052" s="599">
        <f t="shared" si="229"/>
        <v>0</v>
      </c>
    </row>
    <row r="8053" spans="5:10" hidden="1" x14ac:dyDescent="0.25">
      <c r="F8053" s="249" t="s">
        <v>240</v>
      </c>
      <c r="G8053" s="252" t="s">
        <v>241</v>
      </c>
      <c r="J8053" s="599">
        <f t="shared" si="229"/>
        <v>0</v>
      </c>
    </row>
    <row r="8054" spans="5:10" hidden="1" x14ac:dyDescent="0.25">
      <c r="F8054" s="249" t="s">
        <v>242</v>
      </c>
      <c r="G8054" s="252" t="s">
        <v>243</v>
      </c>
      <c r="J8054" s="599">
        <f t="shared" si="229"/>
        <v>0</v>
      </c>
    </row>
    <row r="8055" spans="5:10" hidden="1" x14ac:dyDescent="0.25">
      <c r="F8055" s="249" t="s">
        <v>244</v>
      </c>
      <c r="G8055" s="252" t="s">
        <v>245</v>
      </c>
      <c r="J8055" s="599">
        <f t="shared" si="229"/>
        <v>0</v>
      </c>
    </row>
    <row r="8056" spans="5:10" hidden="1" x14ac:dyDescent="0.25">
      <c r="F8056" s="249" t="s">
        <v>246</v>
      </c>
      <c r="G8056" s="252" t="s">
        <v>247</v>
      </c>
      <c r="J8056" s="599">
        <f t="shared" si="229"/>
        <v>0</v>
      </c>
    </row>
    <row r="8057" spans="5:10" hidden="1" x14ac:dyDescent="0.25">
      <c r="F8057" s="249" t="s">
        <v>248</v>
      </c>
      <c r="G8057" s="252" t="s">
        <v>249</v>
      </c>
      <c r="J8057" s="599">
        <f t="shared" si="229"/>
        <v>0</v>
      </c>
    </row>
    <row r="8058" spans="5:10" hidden="1" x14ac:dyDescent="0.25">
      <c r="F8058" s="249" t="s">
        <v>250</v>
      </c>
      <c r="G8058" s="252" t="s">
        <v>57</v>
      </c>
      <c r="J8058" s="599">
        <f t="shared" si="229"/>
        <v>0</v>
      </c>
    </row>
    <row r="8059" spans="5:10" hidden="1" x14ac:dyDescent="0.25">
      <c r="F8059" s="249" t="s">
        <v>251</v>
      </c>
      <c r="G8059" s="252" t="s">
        <v>252</v>
      </c>
      <c r="J8059" s="599">
        <f t="shared" si="229"/>
        <v>0</v>
      </c>
    </row>
    <row r="8060" spans="5:10" hidden="1" x14ac:dyDescent="0.25">
      <c r="F8060" s="249" t="s">
        <v>253</v>
      </c>
      <c r="G8060" s="252" t="s">
        <v>254</v>
      </c>
      <c r="J8060" s="599">
        <f t="shared" si="229"/>
        <v>0</v>
      </c>
    </row>
    <row r="8061" spans="5:10" ht="30" hidden="1" x14ac:dyDescent="0.25">
      <c r="F8061" s="249" t="s">
        <v>255</v>
      </c>
      <c r="G8061" s="252" t="s">
        <v>256</v>
      </c>
      <c r="J8061" s="599">
        <f t="shared" si="229"/>
        <v>0</v>
      </c>
    </row>
    <row r="8062" spans="5:10" hidden="1" x14ac:dyDescent="0.25">
      <c r="F8062" s="249" t="s">
        <v>257</v>
      </c>
      <c r="G8062" s="252" t="s">
        <v>258</v>
      </c>
      <c r="J8062" s="599">
        <f t="shared" si="229"/>
        <v>0</v>
      </c>
    </row>
    <row r="8063" spans="5:10" ht="30" hidden="1" x14ac:dyDescent="0.25">
      <c r="F8063" s="249" t="s">
        <v>259</v>
      </c>
      <c r="G8063" s="252" t="s">
        <v>260</v>
      </c>
      <c r="J8063" s="599">
        <f t="shared" si="229"/>
        <v>0</v>
      </c>
    </row>
    <row r="8064" spans="5:10" hidden="1" x14ac:dyDescent="0.25">
      <c r="F8064" s="249" t="s">
        <v>261</v>
      </c>
      <c r="G8064" s="252" t="s">
        <v>262</v>
      </c>
      <c r="J8064" s="599">
        <f t="shared" si="229"/>
        <v>0</v>
      </c>
    </row>
    <row r="8065" spans="1:25" ht="15.75" hidden="1" thickBot="1" x14ac:dyDescent="0.3">
      <c r="F8065" s="249" t="s">
        <v>263</v>
      </c>
      <c r="G8065" s="252" t="s">
        <v>264</v>
      </c>
      <c r="H8065" s="598"/>
      <c r="I8065" s="599"/>
      <c r="J8065" s="599">
        <f t="shared" si="229"/>
        <v>0</v>
      </c>
    </row>
    <row r="8066" spans="1:25" ht="15.75" collapsed="1" thickBot="1" x14ac:dyDescent="0.3">
      <c r="G8066" s="229" t="s">
        <v>5204</v>
      </c>
      <c r="H8066" s="600">
        <f>SUM(H8050:H8065)</f>
        <v>800000</v>
      </c>
      <c r="I8066" s="601">
        <f>SUM(I8051:I8065)</f>
        <v>0</v>
      </c>
      <c r="J8066" s="601">
        <f>SUM(J8050:J8065)</f>
        <v>800000</v>
      </c>
    </row>
    <row r="8067" spans="1:25" s="88" customFormat="1" x14ac:dyDescent="0.25">
      <c r="A8067" s="261"/>
      <c r="B8067" s="256"/>
      <c r="C8067" s="271"/>
      <c r="D8067" s="248"/>
      <c r="G8067" s="310"/>
      <c r="H8067" s="627"/>
      <c r="I8067" s="610"/>
      <c r="J8067" s="628"/>
      <c r="K8067" s="533"/>
      <c r="L8067" s="533"/>
      <c r="M8067" s="533"/>
      <c r="N8067" s="533"/>
      <c r="O8067" s="533"/>
      <c r="P8067" s="533"/>
      <c r="Q8067" s="533"/>
      <c r="R8067" s="533"/>
      <c r="S8067" s="533"/>
      <c r="T8067" s="533"/>
      <c r="U8067" s="533"/>
      <c r="V8067" s="533"/>
      <c r="W8067" s="533"/>
      <c r="X8067" s="533"/>
      <c r="Y8067" s="533"/>
    </row>
    <row r="8068" spans="1:25" s="88" customFormat="1" x14ac:dyDescent="0.25">
      <c r="A8068" s="261"/>
      <c r="B8068" s="256"/>
      <c r="C8068" s="316"/>
      <c r="D8068" s="251"/>
      <c r="E8068" s="251"/>
      <c r="F8068" s="264"/>
      <c r="G8068" s="250" t="s">
        <v>4264</v>
      </c>
      <c r="H8068" s="606"/>
      <c r="I8068" s="624"/>
      <c r="J8068" s="607"/>
      <c r="K8068" s="533"/>
      <c r="L8068" s="533"/>
      <c r="M8068" s="533"/>
      <c r="N8068" s="533"/>
      <c r="O8068" s="533"/>
      <c r="P8068" s="533"/>
      <c r="Q8068" s="533"/>
      <c r="R8068" s="533"/>
      <c r="S8068" s="533"/>
      <c r="T8068" s="533"/>
      <c r="U8068" s="533"/>
      <c r="V8068" s="533"/>
      <c r="W8068" s="533"/>
      <c r="X8068" s="533"/>
      <c r="Y8068" s="533"/>
    </row>
    <row r="8069" spans="1:25" s="88" customFormat="1" ht="15.75" thickBot="1" x14ac:dyDescent="0.3">
      <c r="A8069" s="261"/>
      <c r="B8069" s="256"/>
      <c r="C8069" s="316"/>
      <c r="D8069" s="251"/>
      <c r="E8069" s="251"/>
      <c r="F8069" s="249" t="s">
        <v>234</v>
      </c>
      <c r="G8069" s="252" t="s">
        <v>235</v>
      </c>
      <c r="H8069" s="598">
        <f>SUM(H8050,H7951,H7852,H7753)</f>
        <v>3800000</v>
      </c>
      <c r="I8069" s="599"/>
      <c r="J8069" s="599">
        <f>SUM(H8069:I8069)</f>
        <v>3800000</v>
      </c>
      <c r="K8069" s="533"/>
      <c r="L8069" s="533"/>
      <c r="M8069" s="533"/>
      <c r="N8069" s="533"/>
      <c r="O8069" s="533"/>
      <c r="P8069" s="533"/>
      <c r="Q8069" s="533"/>
      <c r="R8069" s="533"/>
      <c r="S8069" s="533"/>
      <c r="T8069" s="533"/>
      <c r="U8069" s="533"/>
      <c r="V8069" s="533"/>
      <c r="W8069" s="533"/>
      <c r="X8069" s="533"/>
      <c r="Y8069" s="533"/>
    </row>
    <row r="8070" spans="1:25" s="88" customFormat="1" hidden="1" x14ac:dyDescent="0.25">
      <c r="A8070" s="261"/>
      <c r="B8070" s="256"/>
      <c r="C8070" s="316"/>
      <c r="D8070" s="251"/>
      <c r="E8070" s="251"/>
      <c r="F8070" s="249" t="s">
        <v>236</v>
      </c>
      <c r="G8070" s="252" t="s">
        <v>237</v>
      </c>
      <c r="H8070" s="594"/>
      <c r="I8070" s="595"/>
      <c r="J8070" s="599">
        <f t="shared" ref="J8070:J8084" si="230">SUM(H8070:I8070)</f>
        <v>0</v>
      </c>
      <c r="K8070" s="533"/>
      <c r="L8070" s="533"/>
      <c r="M8070" s="533"/>
      <c r="N8070" s="533"/>
      <c r="O8070" s="533"/>
      <c r="P8070" s="533"/>
      <c r="Q8070" s="533"/>
      <c r="R8070" s="533"/>
      <c r="S8070" s="533"/>
      <c r="T8070" s="533"/>
      <c r="U8070" s="533"/>
      <c r="V8070" s="533"/>
      <c r="W8070" s="533"/>
      <c r="X8070" s="533"/>
      <c r="Y8070" s="533"/>
    </row>
    <row r="8071" spans="1:25" s="88" customFormat="1" hidden="1" x14ac:dyDescent="0.25">
      <c r="A8071" s="261"/>
      <c r="B8071" s="256"/>
      <c r="C8071" s="316"/>
      <c r="D8071" s="251"/>
      <c r="E8071" s="251"/>
      <c r="F8071" s="249" t="s">
        <v>238</v>
      </c>
      <c r="G8071" s="252" t="s">
        <v>239</v>
      </c>
      <c r="H8071" s="594"/>
      <c r="I8071" s="595"/>
      <c r="J8071" s="599">
        <f t="shared" si="230"/>
        <v>0</v>
      </c>
      <c r="K8071" s="533"/>
      <c r="L8071" s="533"/>
      <c r="M8071" s="533"/>
      <c r="N8071" s="533"/>
      <c r="O8071" s="533"/>
      <c r="P8071" s="533"/>
      <c r="Q8071" s="533"/>
      <c r="R8071" s="533"/>
      <c r="S8071" s="533"/>
      <c r="T8071" s="533"/>
      <c r="U8071" s="533"/>
      <c r="V8071" s="533"/>
      <c r="W8071" s="533"/>
      <c r="X8071" s="533"/>
      <c r="Y8071" s="533"/>
    </row>
    <row r="8072" spans="1:25" s="88" customFormat="1" hidden="1" x14ac:dyDescent="0.25">
      <c r="A8072" s="261"/>
      <c r="B8072" s="256"/>
      <c r="C8072" s="316"/>
      <c r="D8072" s="251"/>
      <c r="E8072" s="251"/>
      <c r="F8072" s="249" t="s">
        <v>240</v>
      </c>
      <c r="G8072" s="252" t="s">
        <v>241</v>
      </c>
      <c r="H8072" s="594"/>
      <c r="I8072" s="595"/>
      <c r="J8072" s="599">
        <f t="shared" si="230"/>
        <v>0</v>
      </c>
      <c r="K8072" s="533"/>
      <c r="L8072" s="533"/>
      <c r="M8072" s="533"/>
      <c r="N8072" s="533"/>
      <c r="O8072" s="533"/>
      <c r="P8072" s="533"/>
      <c r="Q8072" s="533"/>
      <c r="R8072" s="533"/>
      <c r="S8072" s="533"/>
      <c r="T8072" s="533"/>
      <c r="U8072" s="533"/>
      <c r="V8072" s="533"/>
      <c r="W8072" s="533"/>
      <c r="X8072" s="533"/>
      <c r="Y8072" s="533"/>
    </row>
    <row r="8073" spans="1:25" s="88" customFormat="1" hidden="1" x14ac:dyDescent="0.25">
      <c r="A8073" s="261"/>
      <c r="B8073" s="256"/>
      <c r="C8073" s="316"/>
      <c r="D8073" s="251"/>
      <c r="E8073" s="251"/>
      <c r="F8073" s="249" t="s">
        <v>242</v>
      </c>
      <c r="G8073" s="252" t="s">
        <v>243</v>
      </c>
      <c r="H8073" s="594"/>
      <c r="I8073" s="595"/>
      <c r="J8073" s="599">
        <f t="shared" si="230"/>
        <v>0</v>
      </c>
      <c r="K8073" s="533"/>
      <c r="L8073" s="533"/>
      <c r="M8073" s="533"/>
      <c r="N8073" s="533"/>
      <c r="O8073" s="533"/>
      <c r="P8073" s="533"/>
      <c r="Q8073" s="533"/>
      <c r="R8073" s="533"/>
      <c r="S8073" s="533"/>
      <c r="T8073" s="533"/>
      <c r="U8073" s="533"/>
      <c r="V8073" s="533"/>
      <c r="W8073" s="533"/>
      <c r="X8073" s="533"/>
      <c r="Y8073" s="533"/>
    </row>
    <row r="8074" spans="1:25" s="88" customFormat="1" hidden="1" x14ac:dyDescent="0.25">
      <c r="A8074" s="261"/>
      <c r="B8074" s="256"/>
      <c r="C8074" s="316"/>
      <c r="D8074" s="251"/>
      <c r="E8074" s="251"/>
      <c r="F8074" s="249" t="s">
        <v>244</v>
      </c>
      <c r="G8074" s="252" t="s">
        <v>245</v>
      </c>
      <c r="H8074" s="594"/>
      <c r="I8074" s="595"/>
      <c r="J8074" s="599">
        <f t="shared" si="230"/>
        <v>0</v>
      </c>
      <c r="K8074" s="533"/>
      <c r="L8074" s="533"/>
      <c r="M8074" s="533"/>
      <c r="N8074" s="533"/>
      <c r="O8074" s="533"/>
      <c r="P8074" s="533"/>
      <c r="Q8074" s="533"/>
      <c r="R8074" s="533"/>
      <c r="S8074" s="533"/>
      <c r="T8074" s="533"/>
      <c r="U8074" s="533"/>
      <c r="V8074" s="533"/>
      <c r="W8074" s="533"/>
      <c r="X8074" s="533"/>
      <c r="Y8074" s="533"/>
    </row>
    <row r="8075" spans="1:25" s="88" customFormat="1" hidden="1" x14ac:dyDescent="0.25">
      <c r="A8075" s="261"/>
      <c r="B8075" s="256"/>
      <c r="C8075" s="316"/>
      <c r="D8075" s="251"/>
      <c r="E8075" s="251"/>
      <c r="F8075" s="249" t="s">
        <v>246</v>
      </c>
      <c r="G8075" s="252" t="s">
        <v>247</v>
      </c>
      <c r="H8075" s="594"/>
      <c r="I8075" s="595"/>
      <c r="J8075" s="599">
        <f t="shared" si="230"/>
        <v>0</v>
      </c>
      <c r="K8075" s="533"/>
      <c r="L8075" s="533"/>
      <c r="M8075" s="533"/>
      <c r="N8075" s="533"/>
      <c r="O8075" s="533"/>
      <c r="P8075" s="533"/>
      <c r="Q8075" s="533"/>
      <c r="R8075" s="533"/>
      <c r="S8075" s="533"/>
      <c r="T8075" s="533"/>
      <c r="U8075" s="533"/>
      <c r="V8075" s="533"/>
      <c r="W8075" s="533"/>
      <c r="X8075" s="533"/>
      <c r="Y8075" s="533"/>
    </row>
    <row r="8076" spans="1:25" s="88" customFormat="1" hidden="1" x14ac:dyDescent="0.25">
      <c r="A8076" s="261"/>
      <c r="B8076" s="256"/>
      <c r="C8076" s="316"/>
      <c r="D8076" s="251"/>
      <c r="E8076" s="251"/>
      <c r="F8076" s="249" t="s">
        <v>248</v>
      </c>
      <c r="G8076" s="252" t="s">
        <v>249</v>
      </c>
      <c r="H8076" s="594"/>
      <c r="I8076" s="595"/>
      <c r="J8076" s="599">
        <f t="shared" si="230"/>
        <v>0</v>
      </c>
      <c r="K8076" s="533"/>
      <c r="L8076" s="533"/>
      <c r="M8076" s="533"/>
      <c r="N8076" s="533"/>
      <c r="O8076" s="533"/>
      <c r="P8076" s="533"/>
      <c r="Q8076" s="533"/>
      <c r="R8076" s="533"/>
      <c r="S8076" s="533"/>
      <c r="T8076" s="533"/>
      <c r="U8076" s="533"/>
      <c r="V8076" s="533"/>
      <c r="W8076" s="533"/>
      <c r="X8076" s="533"/>
      <c r="Y8076" s="533"/>
    </row>
    <row r="8077" spans="1:25" s="88" customFormat="1" hidden="1" x14ac:dyDescent="0.25">
      <c r="A8077" s="261"/>
      <c r="B8077" s="256"/>
      <c r="C8077" s="316"/>
      <c r="D8077" s="251"/>
      <c r="E8077" s="251"/>
      <c r="F8077" s="249" t="s">
        <v>250</v>
      </c>
      <c r="G8077" s="252" t="s">
        <v>57</v>
      </c>
      <c r="H8077" s="594"/>
      <c r="I8077" s="595"/>
      <c r="J8077" s="599">
        <f t="shared" si="230"/>
        <v>0</v>
      </c>
      <c r="K8077" s="533"/>
      <c r="L8077" s="533"/>
      <c r="M8077" s="533"/>
      <c r="N8077" s="533"/>
      <c r="O8077" s="533"/>
      <c r="P8077" s="533"/>
      <c r="Q8077" s="533"/>
      <c r="R8077" s="533"/>
      <c r="S8077" s="533"/>
      <c r="T8077" s="533"/>
      <c r="U8077" s="533"/>
      <c r="V8077" s="533"/>
      <c r="W8077" s="533"/>
      <c r="X8077" s="533"/>
      <c r="Y8077" s="533"/>
    </row>
    <row r="8078" spans="1:25" s="88" customFormat="1" hidden="1" x14ac:dyDescent="0.25">
      <c r="A8078" s="261"/>
      <c r="B8078" s="256"/>
      <c r="C8078" s="316"/>
      <c r="D8078" s="251"/>
      <c r="E8078" s="251"/>
      <c r="F8078" s="249" t="s">
        <v>251</v>
      </c>
      <c r="G8078" s="252" t="s">
        <v>252</v>
      </c>
      <c r="H8078" s="594"/>
      <c r="I8078" s="595"/>
      <c r="J8078" s="599">
        <f t="shared" si="230"/>
        <v>0</v>
      </c>
      <c r="K8078" s="533"/>
      <c r="L8078" s="533"/>
      <c r="M8078" s="533"/>
      <c r="N8078" s="533"/>
      <c r="O8078" s="533"/>
      <c r="P8078" s="533"/>
      <c r="Q8078" s="533"/>
      <c r="R8078" s="533"/>
      <c r="S8078" s="533"/>
      <c r="T8078" s="533"/>
      <c r="U8078" s="533"/>
      <c r="V8078" s="533"/>
      <c r="W8078" s="533"/>
      <c r="X8078" s="533"/>
      <c r="Y8078" s="533"/>
    </row>
    <row r="8079" spans="1:25" s="88" customFormat="1" hidden="1" x14ac:dyDescent="0.25">
      <c r="A8079" s="261"/>
      <c r="B8079" s="256"/>
      <c r="C8079" s="316"/>
      <c r="D8079" s="251"/>
      <c r="E8079" s="251"/>
      <c r="F8079" s="249" t="s">
        <v>253</v>
      </c>
      <c r="G8079" s="252" t="s">
        <v>254</v>
      </c>
      <c r="H8079" s="594"/>
      <c r="I8079" s="595"/>
      <c r="J8079" s="599">
        <f t="shared" si="230"/>
        <v>0</v>
      </c>
      <c r="K8079" s="533"/>
      <c r="L8079" s="533"/>
      <c r="M8079" s="533"/>
      <c r="N8079" s="533"/>
      <c r="O8079" s="533"/>
      <c r="P8079" s="533"/>
      <c r="Q8079" s="533"/>
      <c r="R8079" s="533"/>
      <c r="S8079" s="533"/>
      <c r="T8079" s="533"/>
      <c r="U8079" s="533"/>
      <c r="V8079" s="533"/>
      <c r="W8079" s="533"/>
      <c r="X8079" s="533"/>
      <c r="Y8079" s="533"/>
    </row>
    <row r="8080" spans="1:25" s="88" customFormat="1" ht="30" hidden="1" x14ac:dyDescent="0.25">
      <c r="A8080" s="261"/>
      <c r="B8080" s="256"/>
      <c r="C8080" s="316"/>
      <c r="D8080" s="251"/>
      <c r="E8080" s="251"/>
      <c r="F8080" s="249" t="s">
        <v>255</v>
      </c>
      <c r="G8080" s="252" t="s">
        <v>256</v>
      </c>
      <c r="H8080" s="594"/>
      <c r="I8080" s="595"/>
      <c r="J8080" s="599">
        <f t="shared" si="230"/>
        <v>0</v>
      </c>
      <c r="K8080" s="533"/>
      <c r="L8080" s="533"/>
      <c r="M8080" s="533"/>
      <c r="N8080" s="533"/>
      <c r="O8080" s="533"/>
      <c r="P8080" s="533"/>
      <c r="Q8080" s="533"/>
      <c r="R8080" s="533"/>
      <c r="S8080" s="533"/>
      <c r="T8080" s="533"/>
      <c r="U8080" s="533"/>
      <c r="V8080" s="533"/>
      <c r="W8080" s="533"/>
      <c r="X8080" s="533"/>
      <c r="Y8080" s="533"/>
    </row>
    <row r="8081" spans="1:25" s="88" customFormat="1" hidden="1" x14ac:dyDescent="0.25">
      <c r="A8081" s="261"/>
      <c r="B8081" s="256"/>
      <c r="C8081" s="316"/>
      <c r="D8081" s="251"/>
      <c r="E8081" s="251"/>
      <c r="F8081" s="249" t="s">
        <v>257</v>
      </c>
      <c r="G8081" s="252" t="s">
        <v>258</v>
      </c>
      <c r="H8081" s="594"/>
      <c r="I8081" s="595"/>
      <c r="J8081" s="599">
        <f t="shared" si="230"/>
        <v>0</v>
      </c>
      <c r="K8081" s="533"/>
      <c r="L8081" s="533"/>
      <c r="M8081" s="533"/>
      <c r="N8081" s="533"/>
      <c r="O8081" s="533"/>
      <c r="P8081" s="533"/>
      <c r="Q8081" s="533"/>
      <c r="R8081" s="533"/>
      <c r="S8081" s="533"/>
      <c r="T8081" s="533"/>
      <c r="U8081" s="533"/>
      <c r="V8081" s="533"/>
      <c r="W8081" s="533"/>
      <c r="X8081" s="533"/>
      <c r="Y8081" s="533"/>
    </row>
    <row r="8082" spans="1:25" s="88" customFormat="1" ht="30" hidden="1" x14ac:dyDescent="0.25">
      <c r="A8082" s="261"/>
      <c r="B8082" s="256"/>
      <c r="C8082" s="316"/>
      <c r="D8082" s="251"/>
      <c r="E8082" s="251"/>
      <c r="F8082" s="249" t="s">
        <v>259</v>
      </c>
      <c r="G8082" s="252" t="s">
        <v>260</v>
      </c>
      <c r="H8082" s="594"/>
      <c r="I8082" s="595"/>
      <c r="J8082" s="599">
        <f t="shared" si="230"/>
        <v>0</v>
      </c>
      <c r="K8082" s="533"/>
      <c r="L8082" s="533"/>
      <c r="M8082" s="533"/>
      <c r="N8082" s="533"/>
      <c r="O8082" s="533"/>
      <c r="P8082" s="533"/>
      <c r="Q8082" s="533"/>
      <c r="R8082" s="533"/>
      <c r="S8082" s="533"/>
      <c r="T8082" s="533"/>
      <c r="U8082" s="533"/>
      <c r="V8082" s="533"/>
      <c r="W8082" s="533"/>
      <c r="X8082" s="533"/>
      <c r="Y8082" s="533"/>
    </row>
    <row r="8083" spans="1:25" s="88" customFormat="1" hidden="1" x14ac:dyDescent="0.25">
      <c r="A8083" s="261"/>
      <c r="B8083" s="256"/>
      <c r="C8083" s="316"/>
      <c r="D8083" s="251"/>
      <c r="E8083" s="251"/>
      <c r="F8083" s="249" t="s">
        <v>261</v>
      </c>
      <c r="G8083" s="252" t="s">
        <v>262</v>
      </c>
      <c r="H8083" s="594"/>
      <c r="I8083" s="595"/>
      <c r="J8083" s="599">
        <f t="shared" si="230"/>
        <v>0</v>
      </c>
      <c r="K8083" s="533"/>
      <c r="L8083" s="533"/>
      <c r="M8083" s="533"/>
      <c r="N8083" s="533"/>
      <c r="O8083" s="533"/>
      <c r="P8083" s="533"/>
      <c r="Q8083" s="533"/>
      <c r="R8083" s="533"/>
      <c r="S8083" s="533"/>
      <c r="T8083" s="533"/>
      <c r="U8083" s="533"/>
      <c r="V8083" s="533"/>
      <c r="W8083" s="533"/>
      <c r="X8083" s="533"/>
      <c r="Y8083" s="533"/>
    </row>
    <row r="8084" spans="1:25" s="88" customFormat="1" ht="15.75" hidden="1" thickBot="1" x14ac:dyDescent="0.3">
      <c r="A8084" s="261"/>
      <c r="B8084" s="256"/>
      <c r="C8084" s="316"/>
      <c r="D8084" s="251"/>
      <c r="E8084" s="251"/>
      <c r="F8084" s="249" t="s">
        <v>263</v>
      </c>
      <c r="G8084" s="252" t="s">
        <v>264</v>
      </c>
      <c r="H8084" s="598"/>
      <c r="I8084" s="599"/>
      <c r="J8084" s="599">
        <f t="shared" si="230"/>
        <v>0</v>
      </c>
      <c r="K8084" s="533"/>
      <c r="L8084" s="533"/>
      <c r="M8084" s="533"/>
      <c r="N8084" s="533"/>
      <c r="O8084" s="533"/>
      <c r="P8084" s="533"/>
      <c r="Q8084" s="533"/>
      <c r="R8084" s="533"/>
      <c r="S8084" s="533"/>
      <c r="T8084" s="533"/>
      <c r="U8084" s="533"/>
      <c r="V8084" s="533"/>
      <c r="W8084" s="533"/>
      <c r="X8084" s="533"/>
      <c r="Y8084" s="533"/>
    </row>
    <row r="8085" spans="1:25" s="88" customFormat="1" ht="15.75" thickBot="1" x14ac:dyDescent="0.3">
      <c r="A8085" s="261"/>
      <c r="B8085" s="256"/>
      <c r="C8085" s="316"/>
      <c r="D8085" s="251"/>
      <c r="E8085" s="251"/>
      <c r="F8085" s="218"/>
      <c r="G8085" s="229" t="s">
        <v>4265</v>
      </c>
      <c r="H8085" s="600">
        <f>SUM(H8069:H8084)</f>
        <v>3800000</v>
      </c>
      <c r="I8085" s="601">
        <f>SUM(I8070:I8084)</f>
        <v>0</v>
      </c>
      <c r="J8085" s="601">
        <f>SUM(J8069:J8084)</f>
        <v>3800000</v>
      </c>
      <c r="K8085" s="533"/>
      <c r="L8085" s="533"/>
      <c r="M8085" s="533"/>
      <c r="N8085" s="533"/>
      <c r="O8085" s="533"/>
      <c r="P8085" s="533"/>
      <c r="Q8085" s="533"/>
      <c r="R8085" s="533"/>
      <c r="S8085" s="533"/>
      <c r="T8085" s="533"/>
      <c r="U8085" s="533"/>
      <c r="V8085" s="533"/>
      <c r="W8085" s="533"/>
      <c r="X8085" s="533"/>
      <c r="Y8085" s="533"/>
    </row>
    <row r="8086" spans="1:25" hidden="1" x14ac:dyDescent="0.25"/>
    <row r="8087" spans="1:25" s="88" customFormat="1" x14ac:dyDescent="0.25">
      <c r="A8087" s="509"/>
      <c r="B8087" s="256"/>
      <c r="C8087" s="316"/>
      <c r="D8087" s="251"/>
      <c r="E8087" s="251"/>
      <c r="F8087" s="528"/>
      <c r="G8087" s="250" t="s">
        <v>4456</v>
      </c>
      <c r="H8087" s="606"/>
      <c r="I8087" s="624"/>
      <c r="J8087" s="607"/>
      <c r="K8087" s="533"/>
      <c r="L8087" s="533"/>
      <c r="M8087" s="533"/>
      <c r="N8087" s="533"/>
      <c r="O8087" s="533"/>
      <c r="P8087" s="533"/>
      <c r="Q8087" s="533"/>
      <c r="R8087" s="533"/>
      <c r="S8087" s="533"/>
      <c r="T8087" s="533"/>
      <c r="U8087" s="533"/>
      <c r="V8087" s="533"/>
      <c r="W8087" s="533"/>
      <c r="X8087" s="533"/>
      <c r="Y8087" s="533"/>
    </row>
    <row r="8088" spans="1:25" s="88" customFormat="1" ht="15.75" thickBot="1" x14ac:dyDescent="0.3">
      <c r="A8088" s="509"/>
      <c r="B8088" s="256"/>
      <c r="C8088" s="316"/>
      <c r="D8088" s="251"/>
      <c r="E8088" s="251"/>
      <c r="F8088" s="249" t="s">
        <v>234</v>
      </c>
      <c r="G8088" s="252" t="s">
        <v>235</v>
      </c>
      <c r="H8088" s="598">
        <f>SUM(H8069)</f>
        <v>3800000</v>
      </c>
      <c r="I8088" s="599"/>
      <c r="J8088" s="599">
        <f>SUM(H8088:I8088)</f>
        <v>3800000</v>
      </c>
      <c r="K8088" s="533"/>
      <c r="L8088" s="533"/>
      <c r="M8088" s="533"/>
      <c r="N8088" s="533"/>
      <c r="O8088" s="533"/>
      <c r="P8088" s="533"/>
      <c r="Q8088" s="533"/>
      <c r="R8088" s="533"/>
      <c r="S8088" s="533"/>
      <c r="T8088" s="533"/>
      <c r="U8088" s="533"/>
      <c r="V8088" s="533"/>
      <c r="W8088" s="533"/>
      <c r="X8088" s="533"/>
      <c r="Y8088" s="533"/>
    </row>
    <row r="8089" spans="1:25" s="88" customFormat="1" ht="15.75" hidden="1" thickBot="1" x14ac:dyDescent="0.3">
      <c r="A8089" s="509"/>
      <c r="B8089" s="256"/>
      <c r="C8089" s="316"/>
      <c r="D8089" s="251"/>
      <c r="E8089" s="251"/>
      <c r="F8089" s="249" t="s">
        <v>236</v>
      </c>
      <c r="G8089" s="252" t="s">
        <v>237</v>
      </c>
      <c r="H8089" s="594"/>
      <c r="I8089" s="595"/>
      <c r="J8089" s="599">
        <f t="shared" ref="J8089:J8103" si="231">SUM(H8089:I8089)</f>
        <v>0</v>
      </c>
      <c r="K8089" s="533"/>
      <c r="L8089" s="533"/>
      <c r="M8089" s="533"/>
      <c r="N8089" s="533"/>
      <c r="O8089" s="533"/>
      <c r="P8089" s="533"/>
      <c r="Q8089" s="533"/>
      <c r="R8089" s="533"/>
      <c r="S8089" s="533"/>
      <c r="T8089" s="533"/>
      <c r="U8089" s="533"/>
      <c r="V8089" s="533"/>
      <c r="W8089" s="533"/>
      <c r="X8089" s="533"/>
      <c r="Y8089" s="533"/>
    </row>
    <row r="8090" spans="1:25" s="88" customFormat="1" ht="15.75" hidden="1" thickBot="1" x14ac:dyDescent="0.3">
      <c r="A8090" s="509"/>
      <c r="B8090" s="256"/>
      <c r="C8090" s="316"/>
      <c r="D8090" s="251"/>
      <c r="E8090" s="251"/>
      <c r="F8090" s="249" t="s">
        <v>238</v>
      </c>
      <c r="G8090" s="252" t="s">
        <v>239</v>
      </c>
      <c r="H8090" s="594"/>
      <c r="I8090" s="595"/>
      <c r="J8090" s="599">
        <f t="shared" si="231"/>
        <v>0</v>
      </c>
      <c r="K8090" s="533"/>
      <c r="L8090" s="533"/>
      <c r="M8090" s="533"/>
      <c r="N8090" s="533"/>
      <c r="O8090" s="533"/>
      <c r="P8090" s="533"/>
      <c r="Q8090" s="533"/>
      <c r="R8090" s="533"/>
      <c r="S8090" s="533"/>
      <c r="T8090" s="533"/>
      <c r="U8090" s="533"/>
      <c r="V8090" s="533"/>
      <c r="W8090" s="533"/>
      <c r="X8090" s="533"/>
      <c r="Y8090" s="533"/>
    </row>
    <row r="8091" spans="1:25" s="88" customFormat="1" ht="15.75" hidden="1" thickBot="1" x14ac:dyDescent="0.3">
      <c r="A8091" s="509"/>
      <c r="B8091" s="256"/>
      <c r="C8091" s="316"/>
      <c r="D8091" s="251"/>
      <c r="E8091" s="251"/>
      <c r="F8091" s="249" t="s">
        <v>240</v>
      </c>
      <c r="G8091" s="252" t="s">
        <v>241</v>
      </c>
      <c r="H8091" s="594"/>
      <c r="I8091" s="595"/>
      <c r="J8091" s="599">
        <f t="shared" si="231"/>
        <v>0</v>
      </c>
      <c r="K8091" s="533"/>
      <c r="L8091" s="533"/>
      <c r="M8091" s="533"/>
      <c r="N8091" s="533"/>
      <c r="O8091" s="533"/>
      <c r="P8091" s="533"/>
      <c r="Q8091" s="533"/>
      <c r="R8091" s="533"/>
      <c r="S8091" s="533"/>
      <c r="T8091" s="533"/>
      <c r="U8091" s="533"/>
      <c r="V8091" s="533"/>
      <c r="W8091" s="533"/>
      <c r="X8091" s="533"/>
      <c r="Y8091" s="533"/>
    </row>
    <row r="8092" spans="1:25" s="88" customFormat="1" ht="15.75" hidden="1" thickBot="1" x14ac:dyDescent="0.3">
      <c r="A8092" s="509"/>
      <c r="B8092" s="256"/>
      <c r="C8092" s="316"/>
      <c r="D8092" s="251"/>
      <c r="E8092" s="251"/>
      <c r="F8092" s="249" t="s">
        <v>242</v>
      </c>
      <c r="G8092" s="252" t="s">
        <v>243</v>
      </c>
      <c r="H8092" s="594"/>
      <c r="I8092" s="595"/>
      <c r="J8092" s="599">
        <f t="shared" si="231"/>
        <v>0</v>
      </c>
      <c r="K8092" s="533"/>
      <c r="L8092" s="533"/>
      <c r="M8092" s="533"/>
      <c r="N8092" s="533"/>
      <c r="O8092" s="533"/>
      <c r="P8092" s="533"/>
      <c r="Q8092" s="533"/>
      <c r="R8092" s="533"/>
      <c r="S8092" s="533"/>
      <c r="T8092" s="533"/>
      <c r="U8092" s="533"/>
      <c r="V8092" s="533"/>
      <c r="W8092" s="533"/>
      <c r="X8092" s="533"/>
      <c r="Y8092" s="533"/>
    </row>
    <row r="8093" spans="1:25" s="88" customFormat="1" ht="15.75" hidden="1" thickBot="1" x14ac:dyDescent="0.3">
      <c r="A8093" s="509"/>
      <c r="B8093" s="256"/>
      <c r="C8093" s="316"/>
      <c r="D8093" s="251"/>
      <c r="E8093" s="251"/>
      <c r="F8093" s="249" t="s">
        <v>244</v>
      </c>
      <c r="G8093" s="252" t="s">
        <v>245</v>
      </c>
      <c r="H8093" s="594"/>
      <c r="I8093" s="595"/>
      <c r="J8093" s="599">
        <f t="shared" si="231"/>
        <v>0</v>
      </c>
      <c r="K8093" s="533"/>
      <c r="L8093" s="533"/>
      <c r="M8093" s="533"/>
      <c r="N8093" s="533"/>
      <c r="O8093" s="533"/>
      <c r="P8093" s="533"/>
      <c r="Q8093" s="533"/>
      <c r="R8093" s="533"/>
      <c r="S8093" s="533"/>
      <c r="T8093" s="533"/>
      <c r="U8093" s="533"/>
      <c r="V8093" s="533"/>
      <c r="W8093" s="533"/>
      <c r="X8093" s="533"/>
      <c r="Y8093" s="533"/>
    </row>
    <row r="8094" spans="1:25" s="88" customFormat="1" ht="15.75" hidden="1" thickBot="1" x14ac:dyDescent="0.3">
      <c r="A8094" s="509"/>
      <c r="B8094" s="256"/>
      <c r="C8094" s="316"/>
      <c r="D8094" s="251"/>
      <c r="E8094" s="251"/>
      <c r="F8094" s="249" t="s">
        <v>246</v>
      </c>
      <c r="G8094" s="252" t="s">
        <v>247</v>
      </c>
      <c r="H8094" s="594"/>
      <c r="I8094" s="595"/>
      <c r="J8094" s="599">
        <f t="shared" si="231"/>
        <v>0</v>
      </c>
      <c r="K8094" s="533"/>
      <c r="L8094" s="533"/>
      <c r="M8094" s="533"/>
      <c r="N8094" s="533"/>
      <c r="O8094" s="533"/>
      <c r="P8094" s="533"/>
      <c r="Q8094" s="533"/>
      <c r="R8094" s="533"/>
      <c r="S8094" s="533"/>
      <c r="T8094" s="533"/>
      <c r="U8094" s="533"/>
      <c r="V8094" s="533"/>
      <c r="W8094" s="533"/>
      <c r="X8094" s="533"/>
      <c r="Y8094" s="533"/>
    </row>
    <row r="8095" spans="1:25" s="88" customFormat="1" ht="15.75" hidden="1" thickBot="1" x14ac:dyDescent="0.3">
      <c r="A8095" s="509"/>
      <c r="B8095" s="256"/>
      <c r="C8095" s="316"/>
      <c r="D8095" s="251"/>
      <c r="E8095" s="251"/>
      <c r="F8095" s="249" t="s">
        <v>248</v>
      </c>
      <c r="G8095" s="252" t="s">
        <v>249</v>
      </c>
      <c r="H8095" s="594"/>
      <c r="I8095" s="595"/>
      <c r="J8095" s="599">
        <f t="shared" si="231"/>
        <v>0</v>
      </c>
      <c r="K8095" s="533"/>
      <c r="L8095" s="533"/>
      <c r="M8095" s="533"/>
      <c r="N8095" s="533"/>
      <c r="O8095" s="533"/>
      <c r="P8095" s="533"/>
      <c r="Q8095" s="533"/>
      <c r="R8095" s="533"/>
      <c r="S8095" s="533"/>
      <c r="T8095" s="533"/>
      <c r="U8095" s="533"/>
      <c r="V8095" s="533"/>
      <c r="W8095" s="533"/>
      <c r="X8095" s="533"/>
      <c r="Y8095" s="533"/>
    </row>
    <row r="8096" spans="1:25" s="88" customFormat="1" ht="15.75" hidden="1" thickBot="1" x14ac:dyDescent="0.3">
      <c r="A8096" s="509"/>
      <c r="B8096" s="256"/>
      <c r="C8096" s="316"/>
      <c r="D8096" s="251"/>
      <c r="E8096" s="251"/>
      <c r="F8096" s="249" t="s">
        <v>250</v>
      </c>
      <c r="G8096" s="252" t="s">
        <v>57</v>
      </c>
      <c r="H8096" s="594"/>
      <c r="I8096" s="595"/>
      <c r="J8096" s="599">
        <f t="shared" si="231"/>
        <v>0</v>
      </c>
      <c r="K8096" s="533"/>
      <c r="L8096" s="533"/>
      <c r="M8096" s="533"/>
      <c r="N8096" s="533"/>
      <c r="O8096" s="533"/>
      <c r="P8096" s="533"/>
      <c r="Q8096" s="533"/>
      <c r="R8096" s="533"/>
      <c r="S8096" s="533"/>
      <c r="T8096" s="533"/>
      <c r="U8096" s="533"/>
      <c r="V8096" s="533"/>
      <c r="W8096" s="533"/>
      <c r="X8096" s="533"/>
      <c r="Y8096" s="533"/>
    </row>
    <row r="8097" spans="1:25" s="88" customFormat="1" ht="15.75" hidden="1" thickBot="1" x14ac:dyDescent="0.3">
      <c r="A8097" s="509"/>
      <c r="B8097" s="256"/>
      <c r="C8097" s="316"/>
      <c r="D8097" s="251"/>
      <c r="E8097" s="251"/>
      <c r="F8097" s="249" t="s">
        <v>251</v>
      </c>
      <c r="G8097" s="252" t="s">
        <v>252</v>
      </c>
      <c r="H8097" s="594"/>
      <c r="I8097" s="595"/>
      <c r="J8097" s="599">
        <f t="shared" si="231"/>
        <v>0</v>
      </c>
      <c r="K8097" s="533"/>
      <c r="L8097" s="533"/>
      <c r="M8097" s="533"/>
      <c r="N8097" s="533"/>
      <c r="O8097" s="533"/>
      <c r="P8097" s="533"/>
      <c r="Q8097" s="533"/>
      <c r="R8097" s="533"/>
      <c r="S8097" s="533"/>
      <c r="T8097" s="533"/>
      <c r="U8097" s="533"/>
      <c r="V8097" s="533"/>
      <c r="W8097" s="533"/>
      <c r="X8097" s="533"/>
      <c r="Y8097" s="533"/>
    </row>
    <row r="8098" spans="1:25" s="88" customFormat="1" ht="15.75" hidden="1" thickBot="1" x14ac:dyDescent="0.3">
      <c r="A8098" s="509"/>
      <c r="B8098" s="256"/>
      <c r="C8098" s="316"/>
      <c r="D8098" s="251"/>
      <c r="E8098" s="251"/>
      <c r="F8098" s="249" t="s">
        <v>253</v>
      </c>
      <c r="G8098" s="252" t="s">
        <v>254</v>
      </c>
      <c r="H8098" s="594"/>
      <c r="I8098" s="595"/>
      <c r="J8098" s="599">
        <f t="shared" si="231"/>
        <v>0</v>
      </c>
      <c r="K8098" s="533"/>
      <c r="L8098" s="533"/>
      <c r="M8098" s="533"/>
      <c r="N8098" s="533"/>
      <c r="O8098" s="533"/>
      <c r="P8098" s="533"/>
      <c r="Q8098" s="533"/>
      <c r="R8098" s="533"/>
      <c r="S8098" s="533"/>
      <c r="T8098" s="533"/>
      <c r="U8098" s="533"/>
      <c r="V8098" s="533"/>
      <c r="W8098" s="533"/>
      <c r="X8098" s="533"/>
      <c r="Y8098" s="533"/>
    </row>
    <row r="8099" spans="1:25" s="88" customFormat="1" ht="30.75" hidden="1" thickBot="1" x14ac:dyDescent="0.3">
      <c r="A8099" s="509"/>
      <c r="B8099" s="256"/>
      <c r="C8099" s="316"/>
      <c r="D8099" s="251"/>
      <c r="E8099" s="251"/>
      <c r="F8099" s="249" t="s">
        <v>255</v>
      </c>
      <c r="G8099" s="252" t="s">
        <v>256</v>
      </c>
      <c r="H8099" s="594"/>
      <c r="I8099" s="595"/>
      <c r="J8099" s="599">
        <f t="shared" si="231"/>
        <v>0</v>
      </c>
      <c r="K8099" s="533"/>
      <c r="L8099" s="533"/>
      <c r="M8099" s="533"/>
      <c r="N8099" s="533"/>
      <c r="O8099" s="533"/>
      <c r="P8099" s="533"/>
      <c r="Q8099" s="533"/>
      <c r="R8099" s="533"/>
      <c r="S8099" s="533"/>
      <c r="T8099" s="533"/>
      <c r="U8099" s="533"/>
      <c r="V8099" s="533"/>
      <c r="W8099" s="533"/>
      <c r="X8099" s="533"/>
      <c r="Y8099" s="533"/>
    </row>
    <row r="8100" spans="1:25" s="88" customFormat="1" ht="15.75" hidden="1" thickBot="1" x14ac:dyDescent="0.3">
      <c r="A8100" s="509"/>
      <c r="B8100" s="256"/>
      <c r="C8100" s="316"/>
      <c r="D8100" s="251"/>
      <c r="E8100" s="251"/>
      <c r="F8100" s="249" t="s">
        <v>257</v>
      </c>
      <c r="G8100" s="252" t="s">
        <v>258</v>
      </c>
      <c r="H8100" s="594"/>
      <c r="I8100" s="595"/>
      <c r="J8100" s="599">
        <f t="shared" si="231"/>
        <v>0</v>
      </c>
      <c r="K8100" s="533"/>
      <c r="L8100" s="533"/>
      <c r="M8100" s="533"/>
      <c r="N8100" s="533"/>
      <c r="O8100" s="533"/>
      <c r="P8100" s="533"/>
      <c r="Q8100" s="533"/>
      <c r="R8100" s="533"/>
      <c r="S8100" s="533"/>
      <c r="T8100" s="533"/>
      <c r="U8100" s="533"/>
      <c r="V8100" s="533"/>
      <c r="W8100" s="533"/>
      <c r="X8100" s="533"/>
      <c r="Y8100" s="533"/>
    </row>
    <row r="8101" spans="1:25" s="88" customFormat="1" ht="30.75" hidden="1" thickBot="1" x14ac:dyDescent="0.3">
      <c r="A8101" s="509"/>
      <c r="B8101" s="256"/>
      <c r="C8101" s="316"/>
      <c r="D8101" s="251"/>
      <c r="E8101" s="251"/>
      <c r="F8101" s="249" t="s">
        <v>259</v>
      </c>
      <c r="G8101" s="252" t="s">
        <v>260</v>
      </c>
      <c r="H8101" s="594"/>
      <c r="I8101" s="595"/>
      <c r="J8101" s="599">
        <f t="shared" si="231"/>
        <v>0</v>
      </c>
      <c r="K8101" s="533"/>
      <c r="L8101" s="533"/>
      <c r="M8101" s="533"/>
      <c r="N8101" s="533"/>
      <c r="O8101" s="533"/>
      <c r="P8101" s="533"/>
      <c r="Q8101" s="533"/>
      <c r="R8101" s="533"/>
      <c r="S8101" s="533"/>
      <c r="T8101" s="533"/>
      <c r="U8101" s="533"/>
      <c r="V8101" s="533"/>
      <c r="W8101" s="533"/>
      <c r="X8101" s="533"/>
      <c r="Y8101" s="533"/>
    </row>
    <row r="8102" spans="1:25" s="88" customFormat="1" ht="15.75" hidden="1" thickBot="1" x14ac:dyDescent="0.3">
      <c r="A8102" s="509"/>
      <c r="B8102" s="256"/>
      <c r="C8102" s="316"/>
      <c r="D8102" s="251"/>
      <c r="E8102" s="251"/>
      <c r="F8102" s="249" t="s">
        <v>261</v>
      </c>
      <c r="G8102" s="252" t="s">
        <v>262</v>
      </c>
      <c r="H8102" s="594"/>
      <c r="I8102" s="595"/>
      <c r="J8102" s="599">
        <f t="shared" si="231"/>
        <v>0</v>
      </c>
      <c r="K8102" s="533"/>
      <c r="L8102" s="533"/>
      <c r="M8102" s="533"/>
      <c r="N8102" s="533"/>
      <c r="O8102" s="533"/>
      <c r="P8102" s="533"/>
      <c r="Q8102" s="533"/>
      <c r="R8102" s="533"/>
      <c r="S8102" s="533"/>
      <c r="T8102" s="533"/>
      <c r="U8102" s="533"/>
      <c r="V8102" s="533"/>
      <c r="W8102" s="533"/>
      <c r="X8102" s="533"/>
      <c r="Y8102" s="533"/>
    </row>
    <row r="8103" spans="1:25" s="88" customFormat="1" ht="15.75" hidden="1" thickBot="1" x14ac:dyDescent="0.3">
      <c r="A8103" s="509"/>
      <c r="B8103" s="256"/>
      <c r="C8103" s="316"/>
      <c r="D8103" s="251"/>
      <c r="E8103" s="251"/>
      <c r="F8103" s="249" t="s">
        <v>263</v>
      </c>
      <c r="G8103" s="252" t="s">
        <v>264</v>
      </c>
      <c r="H8103" s="598"/>
      <c r="I8103" s="599"/>
      <c r="J8103" s="599">
        <f t="shared" si="231"/>
        <v>0</v>
      </c>
      <c r="K8103" s="533"/>
      <c r="L8103" s="533"/>
      <c r="M8103" s="533"/>
      <c r="N8103" s="533"/>
      <c r="O8103" s="533"/>
      <c r="P8103" s="533"/>
      <c r="Q8103" s="533"/>
      <c r="R8103" s="533"/>
      <c r="S8103" s="533"/>
      <c r="T8103" s="533"/>
      <c r="U8103" s="533"/>
      <c r="V8103" s="533"/>
      <c r="W8103" s="533"/>
      <c r="X8103" s="533"/>
      <c r="Y8103" s="533"/>
    </row>
    <row r="8104" spans="1:25" s="88" customFormat="1" ht="15.75" thickBot="1" x14ac:dyDescent="0.3">
      <c r="A8104" s="509"/>
      <c r="B8104" s="256"/>
      <c r="C8104" s="316"/>
      <c r="D8104" s="251"/>
      <c r="E8104" s="251"/>
      <c r="F8104" s="218"/>
      <c r="G8104" s="229" t="s">
        <v>4457</v>
      </c>
      <c r="H8104" s="600">
        <f>SUM(H8088:H8103)</f>
        <v>3800000</v>
      </c>
      <c r="I8104" s="601">
        <f>SUM(I8089:I8103)</f>
        <v>0</v>
      </c>
      <c r="J8104" s="601">
        <f>SUM(J8088:J8103)</f>
        <v>3800000</v>
      </c>
      <c r="K8104" s="533"/>
      <c r="L8104" s="533"/>
      <c r="M8104" s="533"/>
      <c r="N8104" s="533"/>
      <c r="O8104" s="533"/>
      <c r="P8104" s="533"/>
      <c r="Q8104" s="533"/>
      <c r="R8104" s="533"/>
      <c r="S8104" s="533"/>
      <c r="T8104" s="533"/>
      <c r="U8104" s="533"/>
      <c r="V8104" s="533"/>
      <c r="W8104" s="533"/>
      <c r="X8104" s="533"/>
      <c r="Y8104" s="533"/>
    </row>
    <row r="8105" spans="1:25" hidden="1" x14ac:dyDescent="0.25"/>
    <row r="8107" spans="1:25" x14ac:dyDescent="0.25">
      <c r="A8107" s="279"/>
      <c r="B8107" s="280">
        <v>8</v>
      </c>
      <c r="C8107" s="322"/>
      <c r="D8107" s="281"/>
      <c r="E8107" s="282"/>
      <c r="F8107" s="282"/>
      <c r="G8107" s="283" t="s">
        <v>5470</v>
      </c>
      <c r="H8107" s="629"/>
      <c r="I8107" s="630"/>
      <c r="J8107" s="617"/>
    </row>
    <row r="8108" spans="1:25" x14ac:dyDescent="0.25">
      <c r="C8108" s="228" t="s">
        <v>3575</v>
      </c>
      <c r="G8108" s="294" t="s">
        <v>4302</v>
      </c>
    </row>
    <row r="8109" spans="1:25" x14ac:dyDescent="0.25">
      <c r="C8109" s="323" t="s">
        <v>4129</v>
      </c>
      <c r="D8109" s="285"/>
      <c r="E8109" s="285"/>
      <c r="F8109" s="222"/>
      <c r="G8109" s="287" t="s">
        <v>4316</v>
      </c>
      <c r="K8109" s="532"/>
      <c r="L8109" s="530"/>
      <c r="M8109" s="533"/>
    </row>
    <row r="8110" spans="1:25" x14ac:dyDescent="0.25">
      <c r="C8110" s="344"/>
      <c r="D8110" s="312">
        <v>473</v>
      </c>
      <c r="E8110" s="312"/>
      <c r="F8110" s="312"/>
      <c r="G8110" s="338" t="s">
        <v>162</v>
      </c>
      <c r="K8110" s="534"/>
      <c r="L8110" s="530"/>
      <c r="M8110" s="533"/>
    </row>
    <row r="8111" spans="1:25" x14ac:dyDescent="0.25">
      <c r="E8111" s="218">
        <v>78</v>
      </c>
      <c r="F8111" s="300">
        <v>411</v>
      </c>
      <c r="G8111" s="295" t="s">
        <v>4189</v>
      </c>
      <c r="H8111" s="594">
        <v>1585000</v>
      </c>
      <c r="J8111" s="595">
        <f>SUM(H8111:I8111)</f>
        <v>1585000</v>
      </c>
      <c r="K8111" s="533"/>
      <c r="L8111" s="533"/>
      <c r="M8111" s="533"/>
    </row>
    <row r="8112" spans="1:25" x14ac:dyDescent="0.25">
      <c r="E8112" s="218">
        <v>79</v>
      </c>
      <c r="F8112" s="300">
        <v>412</v>
      </c>
      <c r="G8112" s="292" t="s">
        <v>3784</v>
      </c>
      <c r="H8112" s="594">
        <v>283000</v>
      </c>
      <c r="J8112" s="595">
        <f t="shared" ref="J8112:J8170" si="232">SUM(H8112:I8112)</f>
        <v>283000</v>
      </c>
      <c r="K8112" s="533"/>
      <c r="L8112" s="533"/>
      <c r="M8112" s="533"/>
    </row>
    <row r="8113" spans="5:13" hidden="1" x14ac:dyDescent="0.25">
      <c r="F8113" s="300">
        <v>413</v>
      </c>
      <c r="G8113" s="295" t="s">
        <v>4190</v>
      </c>
      <c r="J8113" s="595">
        <f t="shared" si="232"/>
        <v>0</v>
      </c>
      <c r="K8113" s="533"/>
      <c r="L8113" s="533"/>
      <c r="M8113" s="533"/>
    </row>
    <row r="8114" spans="5:13" hidden="1" x14ac:dyDescent="0.25">
      <c r="F8114" s="300">
        <v>414</v>
      </c>
      <c r="G8114" s="295" t="s">
        <v>3787</v>
      </c>
      <c r="J8114" s="595">
        <f t="shared" si="232"/>
        <v>0</v>
      </c>
      <c r="K8114" s="533"/>
      <c r="L8114" s="533"/>
      <c r="M8114" s="533"/>
    </row>
    <row r="8115" spans="5:13" hidden="1" x14ac:dyDescent="0.25">
      <c r="F8115" s="300">
        <v>415</v>
      </c>
      <c r="G8115" s="295" t="s">
        <v>4199</v>
      </c>
      <c r="J8115" s="595">
        <f t="shared" si="232"/>
        <v>0</v>
      </c>
      <c r="K8115" s="533"/>
      <c r="L8115" s="533"/>
      <c r="M8115" s="533"/>
    </row>
    <row r="8116" spans="5:13" hidden="1" x14ac:dyDescent="0.25">
      <c r="F8116" s="300">
        <v>416</v>
      </c>
      <c r="G8116" s="295" t="s">
        <v>4200</v>
      </c>
      <c r="J8116" s="595">
        <f t="shared" si="232"/>
        <v>0</v>
      </c>
      <c r="K8116" s="533"/>
      <c r="L8116" s="533"/>
      <c r="M8116" s="533"/>
    </row>
    <row r="8117" spans="5:13" hidden="1" x14ac:dyDescent="0.25">
      <c r="F8117" s="300">
        <v>417</v>
      </c>
      <c r="G8117" s="295" t="s">
        <v>4201</v>
      </c>
      <c r="J8117" s="595">
        <f t="shared" si="232"/>
        <v>0</v>
      </c>
      <c r="K8117" s="533"/>
      <c r="L8117" s="533"/>
      <c r="M8117" s="533"/>
    </row>
    <row r="8118" spans="5:13" hidden="1" x14ac:dyDescent="0.25">
      <c r="F8118" s="300">
        <v>418</v>
      </c>
      <c r="G8118" s="295" t="s">
        <v>3793</v>
      </c>
      <c r="J8118" s="595">
        <f t="shared" si="232"/>
        <v>0</v>
      </c>
      <c r="K8118" s="533"/>
      <c r="L8118" s="533"/>
      <c r="M8118" s="533"/>
    </row>
    <row r="8119" spans="5:13" x14ac:dyDescent="0.25">
      <c r="E8119" s="218">
        <v>80</v>
      </c>
      <c r="F8119" s="300">
        <v>421</v>
      </c>
      <c r="G8119" s="295" t="s">
        <v>3797</v>
      </c>
      <c r="H8119" s="594">
        <v>110000</v>
      </c>
      <c r="J8119" s="595">
        <f t="shared" si="232"/>
        <v>110000</v>
      </c>
      <c r="K8119" s="533"/>
      <c r="L8119" s="533"/>
      <c r="M8119" s="533"/>
    </row>
    <row r="8120" spans="5:13" x14ac:dyDescent="0.25">
      <c r="E8120" s="218">
        <v>81</v>
      </c>
      <c r="F8120" s="300">
        <v>422</v>
      </c>
      <c r="G8120" s="295" t="s">
        <v>3798</v>
      </c>
      <c r="H8120" s="594">
        <v>160000</v>
      </c>
      <c r="J8120" s="595">
        <f t="shared" si="232"/>
        <v>160000</v>
      </c>
      <c r="K8120" s="533"/>
      <c r="L8120" s="533"/>
      <c r="M8120" s="533"/>
    </row>
    <row r="8121" spans="5:13" x14ac:dyDescent="0.25">
      <c r="E8121" s="218">
        <v>82</v>
      </c>
      <c r="F8121" s="300">
        <v>423</v>
      </c>
      <c r="G8121" s="295" t="s">
        <v>3799</v>
      </c>
      <c r="H8121" s="594">
        <v>730000</v>
      </c>
      <c r="J8121" s="595">
        <f t="shared" si="232"/>
        <v>730000</v>
      </c>
      <c r="K8121" s="533"/>
      <c r="L8121" s="533"/>
      <c r="M8121" s="533"/>
    </row>
    <row r="8122" spans="5:13" x14ac:dyDescent="0.25">
      <c r="E8122" s="218">
        <v>83</v>
      </c>
      <c r="F8122" s="300">
        <v>424</v>
      </c>
      <c r="G8122" s="295" t="s">
        <v>3801</v>
      </c>
      <c r="H8122" s="594">
        <v>400000</v>
      </c>
      <c r="J8122" s="595">
        <f t="shared" si="232"/>
        <v>400000</v>
      </c>
      <c r="K8122" s="533"/>
      <c r="L8122" s="533"/>
      <c r="M8122" s="533"/>
    </row>
    <row r="8123" spans="5:13" x14ac:dyDescent="0.25">
      <c r="E8123" s="218">
        <v>84</v>
      </c>
      <c r="F8123" s="300">
        <v>425</v>
      </c>
      <c r="G8123" s="295" t="s">
        <v>4202</v>
      </c>
      <c r="H8123" s="594">
        <v>22000</v>
      </c>
      <c r="J8123" s="595">
        <f t="shared" si="232"/>
        <v>22000</v>
      </c>
      <c r="K8123" s="533"/>
      <c r="L8123" s="533"/>
      <c r="M8123" s="533"/>
    </row>
    <row r="8124" spans="5:13" ht="15.75" customHeight="1" x14ac:dyDescent="0.25">
      <c r="E8124" s="218">
        <v>85</v>
      </c>
      <c r="F8124" s="300">
        <v>426</v>
      </c>
      <c r="G8124" s="295" t="s">
        <v>3805</v>
      </c>
      <c r="H8124" s="594">
        <v>230000</v>
      </c>
      <c r="J8124" s="595">
        <f t="shared" si="232"/>
        <v>230000</v>
      </c>
      <c r="K8124" s="533"/>
      <c r="L8124" s="533"/>
      <c r="M8124" s="533"/>
    </row>
    <row r="8125" spans="5:13" hidden="1" x14ac:dyDescent="0.25">
      <c r="F8125" s="300">
        <v>431</v>
      </c>
      <c r="G8125" s="295" t="s">
        <v>4203</v>
      </c>
      <c r="J8125" s="595">
        <f t="shared" si="232"/>
        <v>0</v>
      </c>
      <c r="K8125" s="533"/>
      <c r="L8125" s="533"/>
      <c r="M8125" s="533"/>
    </row>
    <row r="8126" spans="5:13" hidden="1" x14ac:dyDescent="0.25">
      <c r="F8126" s="300">
        <v>432</v>
      </c>
      <c r="G8126" s="295" t="s">
        <v>4204</v>
      </c>
      <c r="J8126" s="595">
        <f t="shared" si="232"/>
        <v>0</v>
      </c>
      <c r="K8126" s="533"/>
      <c r="L8126" s="533"/>
      <c r="M8126" s="533"/>
    </row>
    <row r="8127" spans="5:13" hidden="1" x14ac:dyDescent="0.25">
      <c r="F8127" s="300">
        <v>433</v>
      </c>
      <c r="G8127" s="295" t="s">
        <v>4205</v>
      </c>
      <c r="J8127" s="595">
        <f t="shared" si="232"/>
        <v>0</v>
      </c>
      <c r="K8127" s="533"/>
      <c r="L8127" s="533"/>
      <c r="M8127" s="533"/>
    </row>
    <row r="8128" spans="5:13" hidden="1" x14ac:dyDescent="0.25">
      <c r="F8128" s="300">
        <v>434</v>
      </c>
      <c r="G8128" s="295" t="s">
        <v>4206</v>
      </c>
      <c r="J8128" s="595">
        <f t="shared" si="232"/>
        <v>0</v>
      </c>
      <c r="K8128" s="533"/>
      <c r="L8128" s="533"/>
      <c r="M8128" s="533"/>
    </row>
    <row r="8129" spans="5:13" hidden="1" x14ac:dyDescent="0.25">
      <c r="F8129" s="300">
        <v>435</v>
      </c>
      <c r="G8129" s="295" t="s">
        <v>3812</v>
      </c>
      <c r="J8129" s="595">
        <f t="shared" si="232"/>
        <v>0</v>
      </c>
      <c r="K8129" s="533"/>
      <c r="L8129" s="533"/>
      <c r="M8129" s="533"/>
    </row>
    <row r="8130" spans="5:13" hidden="1" x14ac:dyDescent="0.25">
      <c r="F8130" s="300">
        <v>441</v>
      </c>
      <c r="G8130" s="295" t="s">
        <v>4207</v>
      </c>
      <c r="J8130" s="595">
        <f t="shared" si="232"/>
        <v>0</v>
      </c>
      <c r="K8130" s="533"/>
      <c r="L8130" s="533"/>
      <c r="M8130" s="533"/>
    </row>
    <row r="8131" spans="5:13" hidden="1" x14ac:dyDescent="0.25">
      <c r="F8131" s="300">
        <v>442</v>
      </c>
      <c r="G8131" s="295" t="s">
        <v>4208</v>
      </c>
      <c r="J8131" s="595">
        <f t="shared" si="232"/>
        <v>0</v>
      </c>
      <c r="K8131" s="533"/>
      <c r="L8131" s="533"/>
      <c r="M8131" s="533"/>
    </row>
    <row r="8132" spans="5:13" hidden="1" x14ac:dyDescent="0.25">
      <c r="F8132" s="300">
        <v>443</v>
      </c>
      <c r="G8132" s="295" t="s">
        <v>3817</v>
      </c>
      <c r="J8132" s="595">
        <f t="shared" si="232"/>
        <v>0</v>
      </c>
      <c r="K8132" s="533"/>
      <c r="L8132" s="533"/>
      <c r="M8132" s="533"/>
    </row>
    <row r="8133" spans="5:13" hidden="1" x14ac:dyDescent="0.25">
      <c r="F8133" s="300">
        <v>444</v>
      </c>
      <c r="G8133" s="295" t="s">
        <v>3818</v>
      </c>
      <c r="J8133" s="595">
        <f t="shared" si="232"/>
        <v>0</v>
      </c>
      <c r="K8133" s="533"/>
      <c r="L8133" s="533"/>
      <c r="M8133" s="533"/>
    </row>
    <row r="8134" spans="5:13" ht="30" hidden="1" x14ac:dyDescent="0.25">
      <c r="F8134" s="300">
        <v>4511</v>
      </c>
      <c r="G8134" s="223" t="s">
        <v>1692</v>
      </c>
      <c r="J8134" s="595">
        <f t="shared" si="232"/>
        <v>0</v>
      </c>
      <c r="K8134" s="533"/>
      <c r="L8134" s="533"/>
      <c r="M8134" s="533"/>
    </row>
    <row r="8135" spans="5:13" ht="30" hidden="1" x14ac:dyDescent="0.25">
      <c r="F8135" s="300">
        <v>4512</v>
      </c>
      <c r="G8135" s="223" t="s">
        <v>1701</v>
      </c>
      <c r="J8135" s="595">
        <f t="shared" si="232"/>
        <v>0</v>
      </c>
      <c r="K8135" s="533"/>
      <c r="L8135" s="533"/>
      <c r="M8135" s="533"/>
    </row>
    <row r="8136" spans="5:13" hidden="1" x14ac:dyDescent="0.25">
      <c r="F8136" s="300">
        <v>452</v>
      </c>
      <c r="G8136" s="295" t="s">
        <v>4209</v>
      </c>
      <c r="J8136" s="595">
        <f t="shared" si="232"/>
        <v>0</v>
      </c>
      <c r="K8136" s="533"/>
      <c r="L8136" s="533"/>
      <c r="M8136" s="533"/>
    </row>
    <row r="8137" spans="5:13" hidden="1" x14ac:dyDescent="0.25">
      <c r="F8137" s="300">
        <v>453</v>
      </c>
      <c r="G8137" s="295" t="s">
        <v>4210</v>
      </c>
      <c r="J8137" s="595">
        <f t="shared" si="232"/>
        <v>0</v>
      </c>
      <c r="K8137" s="533"/>
      <c r="L8137" s="533"/>
      <c r="M8137" s="533"/>
    </row>
    <row r="8138" spans="5:13" hidden="1" x14ac:dyDescent="0.25">
      <c r="F8138" s="300">
        <v>454</v>
      </c>
      <c r="G8138" s="295" t="s">
        <v>3823</v>
      </c>
      <c r="J8138" s="595">
        <f t="shared" si="232"/>
        <v>0</v>
      </c>
      <c r="K8138" s="533"/>
      <c r="L8138" s="533"/>
      <c r="M8138" s="533"/>
    </row>
    <row r="8139" spans="5:13" hidden="1" x14ac:dyDescent="0.25">
      <c r="F8139" s="300">
        <v>461</v>
      </c>
      <c r="G8139" s="295" t="s">
        <v>4191</v>
      </c>
      <c r="J8139" s="595">
        <f t="shared" si="232"/>
        <v>0</v>
      </c>
      <c r="K8139" s="533"/>
      <c r="L8139" s="533"/>
      <c r="M8139" s="533"/>
    </row>
    <row r="8140" spans="5:13" hidden="1" x14ac:dyDescent="0.25">
      <c r="F8140" s="300">
        <v>462</v>
      </c>
      <c r="G8140" s="295" t="s">
        <v>3826</v>
      </c>
      <c r="J8140" s="595">
        <f t="shared" si="232"/>
        <v>0</v>
      </c>
      <c r="K8140" s="533"/>
      <c r="L8140" s="533"/>
      <c r="M8140" s="533"/>
    </row>
    <row r="8141" spans="5:13" hidden="1" x14ac:dyDescent="0.25">
      <c r="F8141" s="300">
        <v>4631</v>
      </c>
      <c r="G8141" s="295" t="s">
        <v>3827</v>
      </c>
      <c r="J8141" s="595">
        <f t="shared" si="232"/>
        <v>0</v>
      </c>
      <c r="K8141" s="533"/>
      <c r="L8141" s="533"/>
      <c r="M8141" s="533"/>
    </row>
    <row r="8142" spans="5:13" hidden="1" x14ac:dyDescent="0.25">
      <c r="F8142" s="300">
        <v>4632</v>
      </c>
      <c r="G8142" s="295" t="s">
        <v>3828</v>
      </c>
      <c r="J8142" s="595">
        <f t="shared" si="232"/>
        <v>0</v>
      </c>
      <c r="K8142" s="533"/>
      <c r="L8142" s="533"/>
      <c r="M8142" s="533"/>
    </row>
    <row r="8143" spans="5:13" hidden="1" x14ac:dyDescent="0.25">
      <c r="F8143" s="300">
        <v>464</v>
      </c>
      <c r="G8143" s="295" t="s">
        <v>3829</v>
      </c>
      <c r="J8143" s="595">
        <f t="shared" si="232"/>
        <v>0</v>
      </c>
      <c r="K8143" s="533"/>
      <c r="L8143" s="533"/>
      <c r="M8143" s="533"/>
    </row>
    <row r="8144" spans="5:13" x14ac:dyDescent="0.25">
      <c r="E8144" s="218">
        <v>86</v>
      </c>
      <c r="F8144" s="300">
        <v>465</v>
      </c>
      <c r="G8144" s="295" t="s">
        <v>4192</v>
      </c>
      <c r="H8144" s="594">
        <v>186000</v>
      </c>
      <c r="J8144" s="595">
        <f t="shared" si="232"/>
        <v>186000</v>
      </c>
      <c r="K8144" s="533"/>
      <c r="L8144" s="533"/>
      <c r="M8144" s="533"/>
    </row>
    <row r="8145" spans="1:25" hidden="1" x14ac:dyDescent="0.25">
      <c r="F8145" s="300">
        <v>472</v>
      </c>
      <c r="G8145" s="295" t="s">
        <v>3833</v>
      </c>
      <c r="J8145" s="595">
        <f t="shared" si="232"/>
        <v>0</v>
      </c>
      <c r="K8145" s="533"/>
      <c r="L8145" s="533"/>
      <c r="M8145" s="533"/>
    </row>
    <row r="8146" spans="1:25" hidden="1" x14ac:dyDescent="0.25">
      <c r="F8146" s="300">
        <v>481</v>
      </c>
      <c r="G8146" s="295" t="s">
        <v>4211</v>
      </c>
      <c r="J8146" s="595">
        <f t="shared" si="232"/>
        <v>0</v>
      </c>
      <c r="K8146" s="533"/>
      <c r="L8146" s="533"/>
      <c r="M8146" s="533"/>
    </row>
    <row r="8147" spans="1:25" x14ac:dyDescent="0.25">
      <c r="E8147" s="218">
        <v>87</v>
      </c>
      <c r="F8147" s="300">
        <v>482</v>
      </c>
      <c r="G8147" s="295" t="s">
        <v>4212</v>
      </c>
      <c r="H8147" s="594">
        <v>20000</v>
      </c>
      <c r="J8147" s="595">
        <f t="shared" si="232"/>
        <v>20000</v>
      </c>
      <c r="K8147" s="533"/>
      <c r="L8147" s="533"/>
      <c r="M8147" s="533"/>
    </row>
    <row r="8148" spans="1:25" s="738" customFormat="1" hidden="1" x14ac:dyDescent="0.25">
      <c r="A8148" s="730"/>
      <c r="B8148" s="730"/>
      <c r="C8148" s="731"/>
      <c r="D8148" s="730"/>
      <c r="E8148" s="730"/>
      <c r="F8148" s="732">
        <v>483</v>
      </c>
      <c r="G8148" s="733" t="s">
        <v>4213</v>
      </c>
      <c r="H8148" s="734"/>
      <c r="I8148" s="735"/>
      <c r="J8148" s="735">
        <f t="shared" si="232"/>
        <v>0</v>
      </c>
      <c r="K8148" s="736"/>
      <c r="L8148" s="736"/>
      <c r="M8148" s="736"/>
      <c r="N8148" s="737"/>
      <c r="O8148" s="737"/>
      <c r="P8148" s="737"/>
      <c r="Q8148" s="737"/>
      <c r="R8148" s="737"/>
      <c r="S8148" s="737"/>
      <c r="T8148" s="737"/>
      <c r="U8148" s="737"/>
      <c r="V8148" s="737"/>
      <c r="W8148" s="737"/>
      <c r="X8148" s="737"/>
      <c r="Y8148" s="737"/>
    </row>
    <row r="8149" spans="1:25" ht="30" hidden="1" x14ac:dyDescent="0.25">
      <c r="F8149" s="300">
        <v>484</v>
      </c>
      <c r="G8149" s="295" t="s">
        <v>4214</v>
      </c>
      <c r="J8149" s="595">
        <f t="shared" si="232"/>
        <v>0</v>
      </c>
      <c r="K8149" s="533"/>
      <c r="L8149" s="533"/>
      <c r="M8149" s="533"/>
    </row>
    <row r="8150" spans="1:25" ht="30" hidden="1" x14ac:dyDescent="0.25">
      <c r="F8150" s="300">
        <v>485</v>
      </c>
      <c r="G8150" s="295" t="s">
        <v>4215</v>
      </c>
      <c r="J8150" s="595">
        <f t="shared" si="232"/>
        <v>0</v>
      </c>
      <c r="K8150" s="533"/>
      <c r="L8150" s="533"/>
      <c r="M8150" s="533"/>
    </row>
    <row r="8151" spans="1:25" ht="30" hidden="1" x14ac:dyDescent="0.25">
      <c r="F8151" s="300">
        <v>489</v>
      </c>
      <c r="G8151" s="295" t="s">
        <v>3841</v>
      </c>
      <c r="J8151" s="595">
        <f t="shared" si="232"/>
        <v>0</v>
      </c>
      <c r="K8151" s="533"/>
      <c r="L8151" s="533"/>
      <c r="M8151" s="533"/>
    </row>
    <row r="8152" spans="1:25" hidden="1" x14ac:dyDescent="0.25">
      <c r="F8152" s="300">
        <v>494</v>
      </c>
      <c r="G8152" s="295" t="s">
        <v>4193</v>
      </c>
      <c r="J8152" s="595">
        <f t="shared" si="232"/>
        <v>0</v>
      </c>
      <c r="K8152" s="533"/>
      <c r="L8152" s="533"/>
      <c r="M8152" s="533"/>
    </row>
    <row r="8153" spans="1:25" ht="30" hidden="1" x14ac:dyDescent="0.25">
      <c r="F8153" s="300">
        <v>495</v>
      </c>
      <c r="G8153" s="295" t="s">
        <v>4194</v>
      </c>
      <c r="J8153" s="595">
        <f t="shared" si="232"/>
        <v>0</v>
      </c>
      <c r="K8153" s="533"/>
      <c r="L8153" s="533"/>
      <c r="M8153" s="533"/>
    </row>
    <row r="8154" spans="1:25" ht="30" hidden="1" x14ac:dyDescent="0.25">
      <c r="F8154" s="300">
        <v>496</v>
      </c>
      <c r="G8154" s="295" t="s">
        <v>4195</v>
      </c>
      <c r="J8154" s="595">
        <f t="shared" si="232"/>
        <v>0</v>
      </c>
      <c r="K8154" s="533"/>
      <c r="L8154" s="533"/>
      <c r="M8154" s="533"/>
    </row>
    <row r="8155" spans="1:25" hidden="1" x14ac:dyDescent="0.25">
      <c r="F8155" s="300">
        <v>499</v>
      </c>
      <c r="G8155" s="295" t="s">
        <v>4196</v>
      </c>
      <c r="J8155" s="595">
        <f t="shared" si="232"/>
        <v>0</v>
      </c>
      <c r="K8155" s="533"/>
      <c r="L8155" s="533"/>
      <c r="M8155" s="533"/>
    </row>
    <row r="8156" spans="1:25" hidden="1" x14ac:dyDescent="0.25">
      <c r="F8156" s="300">
        <v>511</v>
      </c>
      <c r="G8156" s="298" t="s">
        <v>4216</v>
      </c>
      <c r="J8156" s="595">
        <f t="shared" si="232"/>
        <v>0</v>
      </c>
      <c r="K8156" s="533"/>
      <c r="L8156" s="533"/>
      <c r="M8156" s="533"/>
    </row>
    <row r="8157" spans="1:25" ht="15.75" thickBot="1" x14ac:dyDescent="0.3">
      <c r="E8157" s="218">
        <v>88</v>
      </c>
      <c r="F8157" s="300">
        <v>512</v>
      </c>
      <c r="G8157" s="298" t="s">
        <v>4217</v>
      </c>
      <c r="H8157" s="594">
        <v>100000</v>
      </c>
      <c r="J8157" s="595">
        <f t="shared" si="232"/>
        <v>100000</v>
      </c>
      <c r="K8157" s="533"/>
      <c r="L8157" s="533"/>
      <c r="M8157" s="533"/>
    </row>
    <row r="8158" spans="1:25" hidden="1" x14ac:dyDescent="0.25">
      <c r="F8158" s="300">
        <v>513</v>
      </c>
      <c r="G8158" s="298" t="s">
        <v>4218</v>
      </c>
      <c r="J8158" s="595">
        <f t="shared" si="232"/>
        <v>0</v>
      </c>
      <c r="K8158" s="533"/>
      <c r="L8158" s="533"/>
      <c r="M8158" s="533"/>
    </row>
    <row r="8159" spans="1:25" hidden="1" x14ac:dyDescent="0.25">
      <c r="F8159" s="300">
        <v>514</v>
      </c>
      <c r="G8159" s="295" t="s">
        <v>4219</v>
      </c>
      <c r="J8159" s="595">
        <f t="shared" si="232"/>
        <v>0</v>
      </c>
      <c r="K8159" s="533"/>
      <c r="L8159" s="533"/>
      <c r="M8159" s="533"/>
    </row>
    <row r="8160" spans="1:25" hidden="1" x14ac:dyDescent="0.25">
      <c r="F8160" s="300">
        <v>515</v>
      </c>
      <c r="G8160" s="295" t="s">
        <v>3852</v>
      </c>
      <c r="J8160" s="595">
        <f t="shared" si="232"/>
        <v>0</v>
      </c>
      <c r="K8160" s="533"/>
      <c r="L8160" s="533"/>
      <c r="M8160" s="533"/>
    </row>
    <row r="8161" spans="5:13" hidden="1" x14ac:dyDescent="0.25">
      <c r="F8161" s="300">
        <v>521</v>
      </c>
      <c r="G8161" s="295" t="s">
        <v>4220</v>
      </c>
      <c r="J8161" s="595">
        <f t="shared" si="232"/>
        <v>0</v>
      </c>
      <c r="K8161" s="533"/>
      <c r="L8161" s="533"/>
      <c r="M8161" s="533"/>
    </row>
    <row r="8162" spans="5:13" hidden="1" x14ac:dyDescent="0.25">
      <c r="F8162" s="300">
        <v>522</v>
      </c>
      <c r="G8162" s="295" t="s">
        <v>4221</v>
      </c>
      <c r="J8162" s="595">
        <f t="shared" si="232"/>
        <v>0</v>
      </c>
      <c r="K8162" s="533"/>
      <c r="L8162" s="533"/>
      <c r="M8162" s="533"/>
    </row>
    <row r="8163" spans="5:13" hidden="1" x14ac:dyDescent="0.25">
      <c r="F8163" s="300">
        <v>523</v>
      </c>
      <c r="G8163" s="295" t="s">
        <v>3857</v>
      </c>
      <c r="J8163" s="595">
        <f t="shared" si="232"/>
        <v>0</v>
      </c>
      <c r="K8163" s="533"/>
      <c r="L8163" s="533"/>
      <c r="M8163" s="533"/>
    </row>
    <row r="8164" spans="5:13" hidden="1" x14ac:dyDescent="0.25">
      <c r="F8164" s="300">
        <v>531</v>
      </c>
      <c r="G8164" s="292" t="s">
        <v>4197</v>
      </c>
      <c r="J8164" s="595">
        <f t="shared" si="232"/>
        <v>0</v>
      </c>
      <c r="K8164" s="533"/>
      <c r="L8164" s="533"/>
      <c r="M8164" s="533"/>
    </row>
    <row r="8165" spans="5:13" hidden="1" x14ac:dyDescent="0.25">
      <c r="F8165" s="300">
        <v>541</v>
      </c>
      <c r="G8165" s="295" t="s">
        <v>4222</v>
      </c>
      <c r="J8165" s="595">
        <f t="shared" si="232"/>
        <v>0</v>
      </c>
      <c r="K8165" s="533"/>
      <c r="L8165" s="533"/>
      <c r="M8165" s="533"/>
    </row>
    <row r="8166" spans="5:13" hidden="1" x14ac:dyDescent="0.25">
      <c r="F8166" s="300">
        <v>542</v>
      </c>
      <c r="G8166" s="295" t="s">
        <v>4223</v>
      </c>
      <c r="J8166" s="595">
        <f t="shared" si="232"/>
        <v>0</v>
      </c>
      <c r="K8166" s="533"/>
      <c r="L8166" s="533"/>
      <c r="M8166" s="533"/>
    </row>
    <row r="8167" spans="5:13" hidden="1" x14ac:dyDescent="0.25">
      <c r="F8167" s="300">
        <v>543</v>
      </c>
      <c r="G8167" s="295" t="s">
        <v>3862</v>
      </c>
      <c r="J8167" s="595">
        <f t="shared" si="232"/>
        <v>0</v>
      </c>
      <c r="K8167" s="533"/>
      <c r="L8167" s="533"/>
      <c r="M8167" s="533"/>
    </row>
    <row r="8168" spans="5:13" ht="30" hidden="1" x14ac:dyDescent="0.25">
      <c r="F8168" s="300">
        <v>551</v>
      </c>
      <c r="G8168" s="295" t="s">
        <v>4198</v>
      </c>
      <c r="J8168" s="595">
        <f t="shared" si="232"/>
        <v>0</v>
      </c>
      <c r="K8168" s="533"/>
      <c r="L8168" s="533"/>
      <c r="M8168" s="533"/>
    </row>
    <row r="8169" spans="5:13" hidden="1" x14ac:dyDescent="0.25">
      <c r="F8169" s="301">
        <v>611</v>
      </c>
      <c r="G8169" s="299" t="s">
        <v>3868</v>
      </c>
      <c r="J8169" s="595">
        <f t="shared" si="232"/>
        <v>0</v>
      </c>
      <c r="K8169" s="533"/>
      <c r="L8169" s="533"/>
      <c r="M8169" s="533"/>
    </row>
    <row r="8170" spans="5:13" ht="15.75" hidden="1" thickBot="1" x14ac:dyDescent="0.3">
      <c r="F8170" s="301">
        <v>620</v>
      </c>
      <c r="G8170" s="299" t="s">
        <v>88</v>
      </c>
      <c r="J8170" s="595">
        <f t="shared" si="232"/>
        <v>0</v>
      </c>
      <c r="K8170" s="533"/>
      <c r="L8170" s="533"/>
      <c r="M8170" s="533"/>
    </row>
    <row r="8171" spans="5:13" x14ac:dyDescent="0.25">
      <c r="E8171" s="293"/>
      <c r="F8171" s="301"/>
      <c r="G8171" s="327" t="s">
        <v>4416</v>
      </c>
      <c r="H8171" s="596"/>
      <c r="I8171" s="622"/>
      <c r="J8171" s="597"/>
      <c r="K8171" s="533"/>
      <c r="L8171" s="533"/>
      <c r="M8171" s="533"/>
    </row>
    <row r="8172" spans="5:13" ht="15.75" thickBot="1" x14ac:dyDescent="0.3">
      <c r="E8172" s="222"/>
      <c r="F8172" s="249" t="s">
        <v>234</v>
      </c>
      <c r="G8172" s="252" t="s">
        <v>235</v>
      </c>
      <c r="H8172" s="598">
        <f>SUM(H8111:H8170)</f>
        <v>3826000</v>
      </c>
      <c r="I8172" s="599"/>
      <c r="J8172" s="599">
        <f t="shared" ref="J8172:J8187" si="233">SUM(H8172:I8172)</f>
        <v>3826000</v>
      </c>
      <c r="K8172" s="533"/>
      <c r="L8172" s="533"/>
      <c r="M8172" s="533"/>
    </row>
    <row r="8173" spans="5:13" hidden="1" x14ac:dyDescent="0.25">
      <c r="F8173" s="249" t="s">
        <v>236</v>
      </c>
      <c r="G8173" s="252" t="s">
        <v>237</v>
      </c>
      <c r="J8173" s="599">
        <f t="shared" si="233"/>
        <v>0</v>
      </c>
      <c r="K8173" s="533"/>
      <c r="L8173" s="533"/>
      <c r="M8173" s="533"/>
    </row>
    <row r="8174" spans="5:13" hidden="1" x14ac:dyDescent="0.25">
      <c r="F8174" s="249" t="s">
        <v>238</v>
      </c>
      <c r="G8174" s="252" t="s">
        <v>239</v>
      </c>
      <c r="J8174" s="599">
        <f t="shared" si="233"/>
        <v>0</v>
      </c>
      <c r="K8174" s="533"/>
      <c r="L8174" s="533"/>
      <c r="M8174" s="533"/>
    </row>
    <row r="8175" spans="5:13" hidden="1" x14ac:dyDescent="0.25">
      <c r="F8175" s="249" t="s">
        <v>240</v>
      </c>
      <c r="G8175" s="252" t="s">
        <v>241</v>
      </c>
      <c r="J8175" s="599">
        <f t="shared" si="233"/>
        <v>0</v>
      </c>
      <c r="K8175" s="533"/>
      <c r="L8175" s="533"/>
      <c r="M8175" s="533"/>
    </row>
    <row r="8176" spans="5:13" hidden="1" x14ac:dyDescent="0.25">
      <c r="F8176" s="249" t="s">
        <v>242</v>
      </c>
      <c r="G8176" s="252" t="s">
        <v>243</v>
      </c>
      <c r="J8176" s="599">
        <f t="shared" si="233"/>
        <v>0</v>
      </c>
      <c r="K8176" s="533"/>
      <c r="L8176" s="533"/>
      <c r="M8176" s="533"/>
    </row>
    <row r="8177" spans="5:13" hidden="1" x14ac:dyDescent="0.25">
      <c r="F8177" s="249" t="s">
        <v>244</v>
      </c>
      <c r="G8177" s="252" t="s">
        <v>245</v>
      </c>
      <c r="J8177" s="599">
        <f t="shared" si="233"/>
        <v>0</v>
      </c>
      <c r="K8177" s="533"/>
      <c r="L8177" s="533"/>
      <c r="M8177" s="533"/>
    </row>
    <row r="8178" spans="5:13" hidden="1" x14ac:dyDescent="0.25">
      <c r="F8178" s="249" t="s">
        <v>246</v>
      </c>
      <c r="G8178" s="252" t="s">
        <v>247</v>
      </c>
      <c r="J8178" s="599">
        <f t="shared" si="233"/>
        <v>0</v>
      </c>
      <c r="K8178" s="533"/>
      <c r="L8178" s="533"/>
      <c r="M8178" s="533"/>
    </row>
    <row r="8179" spans="5:13" hidden="1" x14ac:dyDescent="0.25">
      <c r="F8179" s="249" t="s">
        <v>248</v>
      </c>
      <c r="G8179" s="252" t="s">
        <v>249</v>
      </c>
      <c r="J8179" s="599">
        <f t="shared" si="233"/>
        <v>0</v>
      </c>
      <c r="K8179" s="533"/>
      <c r="L8179" s="533"/>
      <c r="M8179" s="533"/>
    </row>
    <row r="8180" spans="5:13" hidden="1" x14ac:dyDescent="0.25">
      <c r="F8180" s="249" t="s">
        <v>250</v>
      </c>
      <c r="G8180" s="252" t="s">
        <v>57</v>
      </c>
      <c r="J8180" s="599">
        <f t="shared" si="233"/>
        <v>0</v>
      </c>
      <c r="K8180" s="533"/>
      <c r="L8180" s="533"/>
      <c r="M8180" s="533"/>
    </row>
    <row r="8181" spans="5:13" hidden="1" x14ac:dyDescent="0.25">
      <c r="F8181" s="249" t="s">
        <v>251</v>
      </c>
      <c r="G8181" s="252" t="s">
        <v>252</v>
      </c>
      <c r="J8181" s="599">
        <f t="shared" si="233"/>
        <v>0</v>
      </c>
      <c r="K8181" s="533"/>
      <c r="L8181" s="533"/>
      <c r="M8181" s="533"/>
    </row>
    <row r="8182" spans="5:13" hidden="1" x14ac:dyDescent="0.25">
      <c r="F8182" s="249" t="s">
        <v>253</v>
      </c>
      <c r="G8182" s="252" t="s">
        <v>254</v>
      </c>
      <c r="J8182" s="599">
        <f t="shared" si="233"/>
        <v>0</v>
      </c>
      <c r="K8182" s="533"/>
      <c r="L8182" s="533"/>
      <c r="M8182" s="533"/>
    </row>
    <row r="8183" spans="5:13" ht="30" hidden="1" x14ac:dyDescent="0.25">
      <c r="F8183" s="249" t="s">
        <v>255</v>
      </c>
      <c r="G8183" s="252" t="s">
        <v>256</v>
      </c>
      <c r="J8183" s="599">
        <f t="shared" si="233"/>
        <v>0</v>
      </c>
      <c r="K8183" s="533"/>
      <c r="L8183" s="533"/>
      <c r="M8183" s="533"/>
    </row>
    <row r="8184" spans="5:13" hidden="1" x14ac:dyDescent="0.25">
      <c r="F8184" s="249" t="s">
        <v>257</v>
      </c>
      <c r="G8184" s="252" t="s">
        <v>258</v>
      </c>
      <c r="J8184" s="599">
        <f t="shared" si="233"/>
        <v>0</v>
      </c>
      <c r="K8184" s="533"/>
      <c r="L8184" s="533"/>
      <c r="M8184" s="533"/>
    </row>
    <row r="8185" spans="5:13" ht="30" hidden="1" x14ac:dyDescent="0.25">
      <c r="F8185" s="249" t="s">
        <v>259</v>
      </c>
      <c r="G8185" s="252" t="s">
        <v>260</v>
      </c>
      <c r="J8185" s="599">
        <f t="shared" si="233"/>
        <v>0</v>
      </c>
      <c r="K8185" s="533"/>
      <c r="L8185" s="533"/>
      <c r="M8185" s="533"/>
    </row>
    <row r="8186" spans="5:13" hidden="1" x14ac:dyDescent="0.25">
      <c r="F8186" s="249" t="s">
        <v>261</v>
      </c>
      <c r="G8186" s="252" t="s">
        <v>262</v>
      </c>
      <c r="J8186" s="599">
        <f t="shared" si="233"/>
        <v>0</v>
      </c>
      <c r="K8186" s="533"/>
      <c r="L8186" s="533"/>
      <c r="M8186" s="533"/>
    </row>
    <row r="8187" spans="5:13" ht="15.75" hidden="1" thickBot="1" x14ac:dyDescent="0.3">
      <c r="F8187" s="249" t="s">
        <v>263</v>
      </c>
      <c r="G8187" s="252" t="s">
        <v>264</v>
      </c>
      <c r="H8187" s="598"/>
      <c r="I8187" s="599"/>
      <c r="J8187" s="599">
        <f t="shared" si="233"/>
        <v>0</v>
      </c>
      <c r="K8187" s="533"/>
      <c r="L8187" s="533"/>
      <c r="M8187" s="533"/>
    </row>
    <row r="8188" spans="5:13" ht="15.75" thickBot="1" x14ac:dyDescent="0.3">
      <c r="G8188" s="229" t="s">
        <v>4417</v>
      </c>
      <c r="H8188" s="600">
        <f>SUM(H8172:H8187)</f>
        <v>3826000</v>
      </c>
      <c r="I8188" s="601">
        <f>SUM(I8173:I8187)</f>
        <v>0</v>
      </c>
      <c r="J8188" s="601">
        <f>SUM(J8172:J8187)</f>
        <v>3826000</v>
      </c>
      <c r="K8188" s="533"/>
      <c r="L8188" s="533"/>
      <c r="M8188" s="533"/>
    </row>
    <row r="8189" spans="5:13" ht="28.5" collapsed="1" x14ac:dyDescent="0.25">
      <c r="E8189" s="293"/>
      <c r="F8189" s="301"/>
      <c r="G8189" s="231" t="s">
        <v>4303</v>
      </c>
      <c r="H8189" s="602"/>
      <c r="I8189" s="623"/>
      <c r="J8189" s="603"/>
      <c r="K8189" s="533"/>
      <c r="L8189" s="533"/>
      <c r="M8189" s="533"/>
    </row>
    <row r="8190" spans="5:13" ht="15.75" thickBot="1" x14ac:dyDescent="0.3">
      <c r="E8190" s="222"/>
      <c r="F8190" s="249" t="s">
        <v>234</v>
      </c>
      <c r="G8190" s="252" t="s">
        <v>235</v>
      </c>
      <c r="H8190" s="598">
        <f>SUM(H8111:H8170)</f>
        <v>3826000</v>
      </c>
      <c r="I8190" s="599"/>
      <c r="J8190" s="599">
        <f>SUM(H8190:I8190)</f>
        <v>3826000</v>
      </c>
      <c r="K8190" s="533"/>
      <c r="L8190" s="533"/>
      <c r="M8190" s="533"/>
    </row>
    <row r="8191" spans="5:13" hidden="1" x14ac:dyDescent="0.25">
      <c r="F8191" s="249" t="s">
        <v>236</v>
      </c>
      <c r="G8191" s="252" t="s">
        <v>237</v>
      </c>
      <c r="J8191" s="599">
        <f t="shared" ref="J8191:J8205" si="234">SUM(H8191:I8191)</f>
        <v>0</v>
      </c>
      <c r="K8191" s="533"/>
      <c r="L8191" s="533"/>
      <c r="M8191" s="533"/>
    </row>
    <row r="8192" spans="5:13" hidden="1" x14ac:dyDescent="0.25">
      <c r="F8192" s="249" t="s">
        <v>238</v>
      </c>
      <c r="G8192" s="252" t="s">
        <v>239</v>
      </c>
      <c r="J8192" s="599">
        <f t="shared" si="234"/>
        <v>0</v>
      </c>
      <c r="K8192" s="533"/>
      <c r="L8192" s="533"/>
      <c r="M8192" s="533"/>
    </row>
    <row r="8193" spans="3:13" hidden="1" x14ac:dyDescent="0.25">
      <c r="F8193" s="249" t="s">
        <v>240</v>
      </c>
      <c r="G8193" s="252" t="s">
        <v>241</v>
      </c>
      <c r="J8193" s="599">
        <f t="shared" si="234"/>
        <v>0</v>
      </c>
      <c r="K8193" s="533"/>
      <c r="L8193" s="533"/>
      <c r="M8193" s="533"/>
    </row>
    <row r="8194" spans="3:13" hidden="1" x14ac:dyDescent="0.25">
      <c r="F8194" s="249" t="s">
        <v>242</v>
      </c>
      <c r="G8194" s="252" t="s">
        <v>243</v>
      </c>
      <c r="J8194" s="599">
        <f t="shared" si="234"/>
        <v>0</v>
      </c>
      <c r="K8194" s="533"/>
      <c r="L8194" s="533"/>
      <c r="M8194" s="533"/>
    </row>
    <row r="8195" spans="3:13" hidden="1" x14ac:dyDescent="0.25">
      <c r="F8195" s="249" t="s">
        <v>244</v>
      </c>
      <c r="G8195" s="252" t="s">
        <v>245</v>
      </c>
      <c r="J8195" s="599">
        <f t="shared" si="234"/>
        <v>0</v>
      </c>
      <c r="K8195" s="533"/>
      <c r="L8195" s="533"/>
      <c r="M8195" s="533"/>
    </row>
    <row r="8196" spans="3:13" hidden="1" x14ac:dyDescent="0.25">
      <c r="F8196" s="249" t="s">
        <v>246</v>
      </c>
      <c r="G8196" s="252" t="s">
        <v>247</v>
      </c>
      <c r="J8196" s="599">
        <f t="shared" si="234"/>
        <v>0</v>
      </c>
      <c r="K8196" s="533"/>
      <c r="L8196" s="533"/>
      <c r="M8196" s="533"/>
    </row>
    <row r="8197" spans="3:13" hidden="1" x14ac:dyDescent="0.25">
      <c r="F8197" s="249" t="s">
        <v>248</v>
      </c>
      <c r="G8197" s="252" t="s">
        <v>249</v>
      </c>
      <c r="J8197" s="599">
        <f t="shared" si="234"/>
        <v>0</v>
      </c>
      <c r="K8197" s="533"/>
      <c r="L8197" s="533"/>
      <c r="M8197" s="533"/>
    </row>
    <row r="8198" spans="3:13" hidden="1" x14ac:dyDescent="0.25">
      <c r="F8198" s="249" t="s">
        <v>250</v>
      </c>
      <c r="G8198" s="252" t="s">
        <v>57</v>
      </c>
      <c r="J8198" s="599">
        <f t="shared" si="234"/>
        <v>0</v>
      </c>
      <c r="K8198" s="533"/>
      <c r="L8198" s="533"/>
      <c r="M8198" s="533"/>
    </row>
    <row r="8199" spans="3:13" hidden="1" x14ac:dyDescent="0.25">
      <c r="F8199" s="249" t="s">
        <v>251</v>
      </c>
      <c r="G8199" s="252" t="s">
        <v>252</v>
      </c>
      <c r="J8199" s="599">
        <f t="shared" si="234"/>
        <v>0</v>
      </c>
      <c r="K8199" s="533"/>
      <c r="L8199" s="533"/>
      <c r="M8199" s="533"/>
    </row>
    <row r="8200" spans="3:13" hidden="1" x14ac:dyDescent="0.25">
      <c r="F8200" s="249" t="s">
        <v>253</v>
      </c>
      <c r="G8200" s="252" t="s">
        <v>254</v>
      </c>
      <c r="J8200" s="599">
        <f t="shared" si="234"/>
        <v>0</v>
      </c>
      <c r="K8200" s="533"/>
      <c r="L8200" s="533"/>
      <c r="M8200" s="533"/>
    </row>
    <row r="8201" spans="3:13" ht="30" hidden="1" x14ac:dyDescent="0.25">
      <c r="F8201" s="249" t="s">
        <v>255</v>
      </c>
      <c r="G8201" s="252" t="s">
        <v>256</v>
      </c>
      <c r="J8201" s="599">
        <f t="shared" si="234"/>
        <v>0</v>
      </c>
      <c r="K8201" s="533"/>
      <c r="L8201" s="533"/>
      <c r="M8201" s="533"/>
    </row>
    <row r="8202" spans="3:13" hidden="1" x14ac:dyDescent="0.25">
      <c r="F8202" s="249" t="s">
        <v>257</v>
      </c>
      <c r="G8202" s="252" t="s">
        <v>258</v>
      </c>
      <c r="J8202" s="599">
        <f t="shared" si="234"/>
        <v>0</v>
      </c>
      <c r="K8202" s="533"/>
      <c r="L8202" s="533"/>
      <c r="M8202" s="533"/>
    </row>
    <row r="8203" spans="3:13" ht="30" hidden="1" x14ac:dyDescent="0.25">
      <c r="F8203" s="249" t="s">
        <v>259</v>
      </c>
      <c r="G8203" s="252" t="s">
        <v>260</v>
      </c>
      <c r="J8203" s="599">
        <f t="shared" si="234"/>
        <v>0</v>
      </c>
      <c r="K8203" s="533"/>
      <c r="L8203" s="533"/>
      <c r="M8203" s="533"/>
    </row>
    <row r="8204" spans="3:13" hidden="1" x14ac:dyDescent="0.25">
      <c r="F8204" s="249" t="s">
        <v>261</v>
      </c>
      <c r="G8204" s="252" t="s">
        <v>262</v>
      </c>
      <c r="J8204" s="599">
        <f t="shared" si="234"/>
        <v>0</v>
      </c>
      <c r="K8204" s="533"/>
      <c r="L8204" s="533"/>
      <c r="M8204" s="533"/>
    </row>
    <row r="8205" spans="3:13" ht="15.75" hidden="1" thickBot="1" x14ac:dyDescent="0.3">
      <c r="F8205" s="249" t="s">
        <v>263</v>
      </c>
      <c r="G8205" s="252" t="s">
        <v>264</v>
      </c>
      <c r="H8205" s="598"/>
      <c r="I8205" s="599"/>
      <c r="J8205" s="599">
        <f t="shared" si="234"/>
        <v>0</v>
      </c>
      <c r="K8205" s="533"/>
      <c r="L8205" s="533"/>
      <c r="M8205" s="533"/>
    </row>
    <row r="8206" spans="3:13" ht="15.75" collapsed="1" thickBot="1" x14ac:dyDescent="0.3">
      <c r="G8206" s="229" t="s">
        <v>4419</v>
      </c>
      <c r="H8206" s="600">
        <f>SUM(H8190:H8205)</f>
        <v>3826000</v>
      </c>
      <c r="I8206" s="601">
        <f>SUM(I8191:I8205)</f>
        <v>0</v>
      </c>
      <c r="J8206" s="601">
        <f>SUM(J8190:J8205)</f>
        <v>3826000</v>
      </c>
      <c r="K8206" s="533"/>
      <c r="L8206" s="533"/>
      <c r="M8206" s="533"/>
    </row>
    <row r="8207" spans="3:13" x14ac:dyDescent="0.25">
      <c r="K8207" s="533"/>
      <c r="L8207" s="533"/>
      <c r="M8207" s="533"/>
    </row>
    <row r="8208" spans="3:13" x14ac:dyDescent="0.25">
      <c r="C8208" s="323" t="s">
        <v>4318</v>
      </c>
      <c r="D8208" s="285"/>
      <c r="E8208" s="285"/>
      <c r="F8208" s="222"/>
      <c r="G8208" s="287" t="s">
        <v>4112</v>
      </c>
      <c r="K8208" s="532"/>
      <c r="L8208" s="530"/>
      <c r="M8208" s="533"/>
    </row>
    <row r="8209" spans="3:13" x14ac:dyDescent="0.25">
      <c r="C8209" s="344"/>
      <c r="D8209" s="312">
        <v>473</v>
      </c>
      <c r="E8209" s="312"/>
      <c r="F8209" s="312"/>
      <c r="G8209" s="338" t="s">
        <v>162</v>
      </c>
      <c r="K8209" s="534"/>
      <c r="L8209" s="530"/>
      <c r="M8209" s="533"/>
    </row>
    <row r="8210" spans="3:13" hidden="1" x14ac:dyDescent="0.25">
      <c r="F8210" s="357">
        <v>411</v>
      </c>
      <c r="G8210" s="348" t="s">
        <v>4189</v>
      </c>
      <c r="J8210" s="595">
        <f>SUM(H8210:I8210)</f>
        <v>0</v>
      </c>
      <c r="K8210" s="533"/>
      <c r="L8210" s="533"/>
      <c r="M8210" s="533"/>
    </row>
    <row r="8211" spans="3:13" hidden="1" x14ac:dyDescent="0.25">
      <c r="F8211" s="357">
        <v>412</v>
      </c>
      <c r="G8211" s="345" t="s">
        <v>3784</v>
      </c>
      <c r="J8211" s="595">
        <f t="shared" ref="J8211:J8269" si="235">SUM(H8211:I8211)</f>
        <v>0</v>
      </c>
      <c r="K8211" s="533"/>
      <c r="L8211" s="533"/>
      <c r="M8211" s="533"/>
    </row>
    <row r="8212" spans="3:13" hidden="1" x14ac:dyDescent="0.25">
      <c r="F8212" s="357">
        <v>413</v>
      </c>
      <c r="G8212" s="348" t="s">
        <v>4190</v>
      </c>
      <c r="J8212" s="595">
        <f t="shared" si="235"/>
        <v>0</v>
      </c>
      <c r="K8212" s="533"/>
      <c r="L8212" s="533"/>
      <c r="M8212" s="533"/>
    </row>
    <row r="8213" spans="3:13" hidden="1" x14ac:dyDescent="0.25">
      <c r="F8213" s="357">
        <v>414</v>
      </c>
      <c r="G8213" s="348" t="s">
        <v>3787</v>
      </c>
      <c r="J8213" s="595">
        <f t="shared" si="235"/>
        <v>0</v>
      </c>
      <c r="K8213" s="533"/>
      <c r="L8213" s="533"/>
      <c r="M8213" s="533"/>
    </row>
    <row r="8214" spans="3:13" hidden="1" x14ac:dyDescent="0.25">
      <c r="F8214" s="357">
        <v>415</v>
      </c>
      <c r="G8214" s="348" t="s">
        <v>4199</v>
      </c>
      <c r="J8214" s="595">
        <f t="shared" si="235"/>
        <v>0</v>
      </c>
      <c r="K8214" s="533"/>
      <c r="L8214" s="533"/>
      <c r="M8214" s="533"/>
    </row>
    <row r="8215" spans="3:13" hidden="1" x14ac:dyDescent="0.25">
      <c r="F8215" s="357">
        <v>416</v>
      </c>
      <c r="G8215" s="348" t="s">
        <v>4200</v>
      </c>
      <c r="J8215" s="595">
        <f t="shared" si="235"/>
        <v>0</v>
      </c>
      <c r="K8215" s="533"/>
      <c r="L8215" s="533"/>
      <c r="M8215" s="533"/>
    </row>
    <row r="8216" spans="3:13" hidden="1" x14ac:dyDescent="0.25">
      <c r="F8216" s="357">
        <v>417</v>
      </c>
      <c r="G8216" s="348" t="s">
        <v>4201</v>
      </c>
      <c r="J8216" s="595">
        <f t="shared" si="235"/>
        <v>0</v>
      </c>
      <c r="K8216" s="533"/>
      <c r="L8216" s="533"/>
      <c r="M8216" s="533"/>
    </row>
    <row r="8217" spans="3:13" hidden="1" x14ac:dyDescent="0.25">
      <c r="F8217" s="357">
        <v>418</v>
      </c>
      <c r="G8217" s="348" t="s">
        <v>3793</v>
      </c>
      <c r="J8217" s="595">
        <f t="shared" si="235"/>
        <v>0</v>
      </c>
      <c r="K8217" s="533"/>
      <c r="L8217" s="533"/>
      <c r="M8217" s="533"/>
    </row>
    <row r="8218" spans="3:13" hidden="1" x14ac:dyDescent="0.25">
      <c r="F8218" s="357">
        <v>421</v>
      </c>
      <c r="G8218" s="348" t="s">
        <v>3797</v>
      </c>
      <c r="J8218" s="595">
        <f t="shared" si="235"/>
        <v>0</v>
      </c>
      <c r="K8218" s="533"/>
      <c r="L8218" s="533"/>
      <c r="M8218" s="533"/>
    </row>
    <row r="8219" spans="3:13" hidden="1" x14ac:dyDescent="0.25">
      <c r="F8219" s="357">
        <v>422</v>
      </c>
      <c r="G8219" s="348" t="s">
        <v>3798</v>
      </c>
      <c r="J8219" s="595">
        <f t="shared" si="235"/>
        <v>0</v>
      </c>
      <c r="K8219" s="533"/>
      <c r="L8219" s="533"/>
      <c r="M8219" s="533"/>
    </row>
    <row r="8220" spans="3:13" x14ac:dyDescent="0.25">
      <c r="E8220" s="218">
        <v>89</v>
      </c>
      <c r="F8220" s="357">
        <v>423</v>
      </c>
      <c r="G8220" s="348" t="s">
        <v>3799</v>
      </c>
      <c r="H8220" s="594">
        <v>1800000</v>
      </c>
      <c r="I8220" s="595">
        <v>500000</v>
      </c>
      <c r="J8220" s="595">
        <f t="shared" si="235"/>
        <v>2300000</v>
      </c>
      <c r="K8220" s="533"/>
      <c r="L8220" s="533"/>
      <c r="M8220" s="533"/>
    </row>
    <row r="8221" spans="3:13" hidden="1" x14ac:dyDescent="0.25">
      <c r="F8221" s="357">
        <v>424</v>
      </c>
      <c r="G8221" s="348" t="s">
        <v>3801</v>
      </c>
      <c r="J8221" s="595">
        <f t="shared" si="235"/>
        <v>0</v>
      </c>
      <c r="K8221" s="533"/>
      <c r="L8221" s="533"/>
      <c r="M8221" s="533"/>
    </row>
    <row r="8222" spans="3:13" hidden="1" x14ac:dyDescent="0.25">
      <c r="F8222" s="357">
        <v>425</v>
      </c>
      <c r="G8222" s="348" t="s">
        <v>4202</v>
      </c>
      <c r="J8222" s="595">
        <f t="shared" si="235"/>
        <v>0</v>
      </c>
      <c r="K8222" s="533"/>
      <c r="L8222" s="533"/>
      <c r="M8222" s="533"/>
    </row>
    <row r="8223" spans="3:13" ht="15.75" thickBot="1" x14ac:dyDescent="0.3">
      <c r="E8223" s="218">
        <v>90</v>
      </c>
      <c r="F8223" s="357">
        <v>426</v>
      </c>
      <c r="G8223" s="348" t="s">
        <v>3805</v>
      </c>
      <c r="H8223" s="594">
        <v>700000</v>
      </c>
      <c r="J8223" s="595">
        <f t="shared" si="235"/>
        <v>700000</v>
      </c>
      <c r="K8223" s="533"/>
      <c r="L8223" s="533"/>
      <c r="M8223" s="533"/>
    </row>
    <row r="8224" spans="3:13" hidden="1" x14ac:dyDescent="0.25">
      <c r="F8224" s="357">
        <v>431</v>
      </c>
      <c r="G8224" s="348" t="s">
        <v>4203</v>
      </c>
      <c r="J8224" s="595">
        <f t="shared" si="235"/>
        <v>0</v>
      </c>
      <c r="K8224" s="533"/>
      <c r="L8224" s="533"/>
      <c r="M8224" s="533"/>
    </row>
    <row r="8225" spans="6:13" hidden="1" x14ac:dyDescent="0.25">
      <c r="F8225" s="357">
        <v>432</v>
      </c>
      <c r="G8225" s="348" t="s">
        <v>4204</v>
      </c>
      <c r="J8225" s="595">
        <f t="shared" si="235"/>
        <v>0</v>
      </c>
      <c r="K8225" s="533"/>
      <c r="L8225" s="533"/>
      <c r="M8225" s="533"/>
    </row>
    <row r="8226" spans="6:13" hidden="1" x14ac:dyDescent="0.25">
      <c r="F8226" s="357">
        <v>433</v>
      </c>
      <c r="G8226" s="348" t="s">
        <v>4205</v>
      </c>
      <c r="J8226" s="595">
        <f t="shared" si="235"/>
        <v>0</v>
      </c>
      <c r="K8226" s="533"/>
      <c r="L8226" s="533"/>
      <c r="M8226" s="533"/>
    </row>
    <row r="8227" spans="6:13" hidden="1" x14ac:dyDescent="0.25">
      <c r="F8227" s="357">
        <v>434</v>
      </c>
      <c r="G8227" s="348" t="s">
        <v>4206</v>
      </c>
      <c r="J8227" s="595">
        <f t="shared" si="235"/>
        <v>0</v>
      </c>
      <c r="K8227" s="533"/>
      <c r="L8227" s="533"/>
      <c r="M8227" s="533"/>
    </row>
    <row r="8228" spans="6:13" hidden="1" x14ac:dyDescent="0.25">
      <c r="F8228" s="357">
        <v>435</v>
      </c>
      <c r="G8228" s="348" t="s">
        <v>3812</v>
      </c>
      <c r="J8228" s="595">
        <f t="shared" si="235"/>
        <v>0</v>
      </c>
      <c r="K8228" s="533"/>
      <c r="L8228" s="533"/>
      <c r="M8228" s="533"/>
    </row>
    <row r="8229" spans="6:13" hidden="1" x14ac:dyDescent="0.25">
      <c r="F8229" s="357">
        <v>441</v>
      </c>
      <c r="G8229" s="348" t="s">
        <v>4207</v>
      </c>
      <c r="J8229" s="595">
        <f t="shared" si="235"/>
        <v>0</v>
      </c>
      <c r="K8229" s="533"/>
      <c r="L8229" s="533"/>
      <c r="M8229" s="533"/>
    </row>
    <row r="8230" spans="6:13" hidden="1" x14ac:dyDescent="0.25">
      <c r="F8230" s="357">
        <v>442</v>
      </c>
      <c r="G8230" s="348" t="s">
        <v>4208</v>
      </c>
      <c r="J8230" s="595">
        <f t="shared" si="235"/>
        <v>0</v>
      </c>
      <c r="K8230" s="533"/>
      <c r="L8230" s="533"/>
      <c r="M8230" s="533"/>
    </row>
    <row r="8231" spans="6:13" hidden="1" x14ac:dyDescent="0.25">
      <c r="F8231" s="357">
        <v>443</v>
      </c>
      <c r="G8231" s="348" t="s">
        <v>3817</v>
      </c>
      <c r="J8231" s="595">
        <f t="shared" si="235"/>
        <v>0</v>
      </c>
      <c r="K8231" s="533"/>
      <c r="L8231" s="533"/>
      <c r="M8231" s="533"/>
    </row>
    <row r="8232" spans="6:13" hidden="1" x14ac:dyDescent="0.25">
      <c r="F8232" s="357">
        <v>444</v>
      </c>
      <c r="G8232" s="348" t="s">
        <v>3818</v>
      </c>
      <c r="J8232" s="595">
        <f t="shared" si="235"/>
        <v>0</v>
      </c>
      <c r="K8232" s="533"/>
      <c r="L8232" s="533"/>
      <c r="M8232" s="533"/>
    </row>
    <row r="8233" spans="6:13" ht="30" hidden="1" x14ac:dyDescent="0.25">
      <c r="F8233" s="357">
        <v>4511</v>
      </c>
      <c r="G8233" s="223" t="s">
        <v>1692</v>
      </c>
      <c r="J8233" s="595">
        <f t="shared" si="235"/>
        <v>0</v>
      </c>
      <c r="K8233" s="533"/>
      <c r="L8233" s="533"/>
      <c r="M8233" s="533"/>
    </row>
    <row r="8234" spans="6:13" ht="30" hidden="1" x14ac:dyDescent="0.25">
      <c r="F8234" s="357">
        <v>4512</v>
      </c>
      <c r="G8234" s="223" t="s">
        <v>1701</v>
      </c>
      <c r="J8234" s="595">
        <f t="shared" si="235"/>
        <v>0</v>
      </c>
      <c r="K8234" s="533"/>
      <c r="L8234" s="533"/>
      <c r="M8234" s="533"/>
    </row>
    <row r="8235" spans="6:13" hidden="1" x14ac:dyDescent="0.25">
      <c r="F8235" s="357">
        <v>452</v>
      </c>
      <c r="G8235" s="348" t="s">
        <v>4209</v>
      </c>
      <c r="J8235" s="595">
        <f t="shared" si="235"/>
        <v>0</v>
      </c>
      <c r="K8235" s="533"/>
      <c r="L8235" s="533"/>
      <c r="M8235" s="533"/>
    </row>
    <row r="8236" spans="6:13" hidden="1" x14ac:dyDescent="0.25">
      <c r="F8236" s="357">
        <v>453</v>
      </c>
      <c r="G8236" s="348" t="s">
        <v>4210</v>
      </c>
      <c r="J8236" s="595">
        <f t="shared" si="235"/>
        <v>0</v>
      </c>
      <c r="K8236" s="533"/>
      <c r="L8236" s="533"/>
      <c r="M8236" s="533"/>
    </row>
    <row r="8237" spans="6:13" hidden="1" x14ac:dyDescent="0.25">
      <c r="F8237" s="357">
        <v>454</v>
      </c>
      <c r="G8237" s="348" t="s">
        <v>3823</v>
      </c>
      <c r="J8237" s="595">
        <f t="shared" si="235"/>
        <v>0</v>
      </c>
      <c r="K8237" s="533"/>
      <c r="L8237" s="533"/>
      <c r="M8237" s="533"/>
    </row>
    <row r="8238" spans="6:13" hidden="1" x14ac:dyDescent="0.25">
      <c r="F8238" s="357">
        <v>461</v>
      </c>
      <c r="G8238" s="348" t="s">
        <v>4191</v>
      </c>
      <c r="J8238" s="595">
        <f t="shared" si="235"/>
        <v>0</v>
      </c>
      <c r="K8238" s="533"/>
      <c r="L8238" s="533"/>
      <c r="M8238" s="533"/>
    </row>
    <row r="8239" spans="6:13" hidden="1" x14ac:dyDescent="0.25">
      <c r="F8239" s="357">
        <v>462</v>
      </c>
      <c r="G8239" s="348" t="s">
        <v>3826</v>
      </c>
      <c r="J8239" s="595">
        <f t="shared" si="235"/>
        <v>0</v>
      </c>
      <c r="K8239" s="533"/>
      <c r="L8239" s="533"/>
      <c r="M8239" s="533"/>
    </row>
    <row r="8240" spans="6:13" hidden="1" x14ac:dyDescent="0.25">
      <c r="F8240" s="357">
        <v>4631</v>
      </c>
      <c r="G8240" s="348" t="s">
        <v>3827</v>
      </c>
      <c r="J8240" s="595">
        <f t="shared" si="235"/>
        <v>0</v>
      </c>
      <c r="K8240" s="533"/>
      <c r="L8240" s="533"/>
      <c r="M8240" s="533"/>
    </row>
    <row r="8241" spans="6:13" hidden="1" x14ac:dyDescent="0.25">
      <c r="F8241" s="357">
        <v>4632</v>
      </c>
      <c r="G8241" s="348" t="s">
        <v>3828</v>
      </c>
      <c r="J8241" s="595">
        <f t="shared" si="235"/>
        <v>0</v>
      </c>
      <c r="K8241" s="533"/>
      <c r="L8241" s="533"/>
      <c r="M8241" s="533"/>
    </row>
    <row r="8242" spans="6:13" hidden="1" x14ac:dyDescent="0.25">
      <c r="F8242" s="357">
        <v>464</v>
      </c>
      <c r="G8242" s="348" t="s">
        <v>3829</v>
      </c>
      <c r="J8242" s="595">
        <f t="shared" si="235"/>
        <v>0</v>
      </c>
      <c r="K8242" s="533"/>
      <c r="L8242" s="533"/>
      <c r="M8242" s="533"/>
    </row>
    <row r="8243" spans="6:13" hidden="1" x14ac:dyDescent="0.25">
      <c r="F8243" s="357">
        <v>465</v>
      </c>
      <c r="G8243" s="348" t="s">
        <v>4192</v>
      </c>
      <c r="J8243" s="595">
        <f t="shared" si="235"/>
        <v>0</v>
      </c>
      <c r="K8243" s="533"/>
      <c r="L8243" s="533"/>
      <c r="M8243" s="533"/>
    </row>
    <row r="8244" spans="6:13" hidden="1" x14ac:dyDescent="0.25">
      <c r="F8244" s="357">
        <v>472</v>
      </c>
      <c r="G8244" s="348" t="s">
        <v>3833</v>
      </c>
      <c r="J8244" s="595">
        <f t="shared" si="235"/>
        <v>0</v>
      </c>
      <c r="K8244" s="533"/>
      <c r="L8244" s="533"/>
      <c r="M8244" s="533"/>
    </row>
    <row r="8245" spans="6:13" hidden="1" x14ac:dyDescent="0.25">
      <c r="F8245" s="357">
        <v>481</v>
      </c>
      <c r="G8245" s="348" t="s">
        <v>4211</v>
      </c>
      <c r="J8245" s="595">
        <f t="shared" si="235"/>
        <v>0</v>
      </c>
      <c r="K8245" s="533"/>
      <c r="L8245" s="533"/>
      <c r="M8245" s="533"/>
    </row>
    <row r="8246" spans="6:13" hidden="1" x14ac:dyDescent="0.25">
      <c r="F8246" s="357">
        <v>482</v>
      </c>
      <c r="G8246" s="348" t="s">
        <v>4212</v>
      </c>
      <c r="J8246" s="595">
        <f t="shared" si="235"/>
        <v>0</v>
      </c>
      <c r="K8246" s="533"/>
      <c r="L8246" s="533"/>
      <c r="M8246" s="533"/>
    </row>
    <row r="8247" spans="6:13" hidden="1" x14ac:dyDescent="0.25">
      <c r="F8247" s="357">
        <v>483</v>
      </c>
      <c r="G8247" s="353" t="s">
        <v>4213</v>
      </c>
      <c r="J8247" s="595">
        <f t="shared" si="235"/>
        <v>0</v>
      </c>
      <c r="K8247" s="533"/>
      <c r="L8247" s="533"/>
      <c r="M8247" s="533"/>
    </row>
    <row r="8248" spans="6:13" ht="30" hidden="1" x14ac:dyDescent="0.25">
      <c r="F8248" s="357">
        <v>484</v>
      </c>
      <c r="G8248" s="348" t="s">
        <v>4214</v>
      </c>
      <c r="J8248" s="595">
        <f t="shared" si="235"/>
        <v>0</v>
      </c>
      <c r="K8248" s="533"/>
      <c r="L8248" s="533"/>
      <c r="M8248" s="533"/>
    </row>
    <row r="8249" spans="6:13" ht="30" hidden="1" x14ac:dyDescent="0.25">
      <c r="F8249" s="357">
        <v>485</v>
      </c>
      <c r="G8249" s="348" t="s">
        <v>4215</v>
      </c>
      <c r="J8249" s="595">
        <f t="shared" si="235"/>
        <v>0</v>
      </c>
      <c r="K8249" s="533"/>
      <c r="L8249" s="533"/>
      <c r="M8249" s="533"/>
    </row>
    <row r="8250" spans="6:13" ht="30" hidden="1" x14ac:dyDescent="0.25">
      <c r="F8250" s="357">
        <v>489</v>
      </c>
      <c r="G8250" s="348" t="s">
        <v>3841</v>
      </c>
      <c r="J8250" s="595">
        <f t="shared" si="235"/>
        <v>0</v>
      </c>
      <c r="K8250" s="533"/>
      <c r="L8250" s="533"/>
      <c r="M8250" s="533"/>
    </row>
    <row r="8251" spans="6:13" hidden="1" x14ac:dyDescent="0.25">
      <c r="F8251" s="357">
        <v>494</v>
      </c>
      <c r="G8251" s="348" t="s">
        <v>4193</v>
      </c>
      <c r="J8251" s="595">
        <f t="shared" si="235"/>
        <v>0</v>
      </c>
      <c r="K8251" s="533"/>
      <c r="L8251" s="533"/>
      <c r="M8251" s="533"/>
    </row>
    <row r="8252" spans="6:13" ht="30" hidden="1" x14ac:dyDescent="0.25">
      <c r="F8252" s="357">
        <v>495</v>
      </c>
      <c r="G8252" s="348" t="s">
        <v>4194</v>
      </c>
      <c r="J8252" s="595">
        <f t="shared" si="235"/>
        <v>0</v>
      </c>
      <c r="K8252" s="533"/>
      <c r="L8252" s="533"/>
      <c r="M8252" s="533"/>
    </row>
    <row r="8253" spans="6:13" ht="30" hidden="1" x14ac:dyDescent="0.25">
      <c r="F8253" s="357">
        <v>496</v>
      </c>
      <c r="G8253" s="348" t="s">
        <v>4195</v>
      </c>
      <c r="J8253" s="595">
        <f t="shared" si="235"/>
        <v>0</v>
      </c>
      <c r="K8253" s="533"/>
      <c r="L8253" s="533"/>
      <c r="M8253" s="533"/>
    </row>
    <row r="8254" spans="6:13" hidden="1" x14ac:dyDescent="0.25">
      <c r="F8254" s="357">
        <v>499</v>
      </c>
      <c r="G8254" s="348" t="s">
        <v>4196</v>
      </c>
      <c r="J8254" s="595">
        <f t="shared" si="235"/>
        <v>0</v>
      </c>
      <c r="K8254" s="533"/>
      <c r="L8254" s="533"/>
      <c r="M8254" s="533"/>
    </row>
    <row r="8255" spans="6:13" hidden="1" x14ac:dyDescent="0.25">
      <c r="F8255" s="357">
        <v>511</v>
      </c>
      <c r="G8255" s="353" t="s">
        <v>4216</v>
      </c>
      <c r="J8255" s="595">
        <f t="shared" si="235"/>
        <v>0</v>
      </c>
      <c r="K8255" s="533"/>
      <c r="L8255" s="533"/>
      <c r="M8255" s="533"/>
    </row>
    <row r="8256" spans="6:13" hidden="1" x14ac:dyDescent="0.25">
      <c r="F8256" s="357">
        <v>512</v>
      </c>
      <c r="G8256" s="353" t="s">
        <v>4217</v>
      </c>
      <c r="J8256" s="595">
        <f t="shared" si="235"/>
        <v>0</v>
      </c>
      <c r="K8256" s="533"/>
      <c r="L8256" s="533"/>
      <c r="M8256" s="533"/>
    </row>
    <row r="8257" spans="5:13" hidden="1" x14ac:dyDescent="0.25">
      <c r="F8257" s="357">
        <v>513</v>
      </c>
      <c r="G8257" s="353" t="s">
        <v>4218</v>
      </c>
      <c r="J8257" s="595">
        <f t="shared" si="235"/>
        <v>0</v>
      </c>
      <c r="K8257" s="533"/>
      <c r="L8257" s="533"/>
      <c r="M8257" s="533"/>
    </row>
    <row r="8258" spans="5:13" hidden="1" x14ac:dyDescent="0.25">
      <c r="F8258" s="357">
        <v>514</v>
      </c>
      <c r="G8258" s="348" t="s">
        <v>4219</v>
      </c>
      <c r="J8258" s="595">
        <f t="shared" si="235"/>
        <v>0</v>
      </c>
      <c r="K8258" s="533"/>
      <c r="L8258" s="533"/>
      <c r="M8258" s="533"/>
    </row>
    <row r="8259" spans="5:13" hidden="1" x14ac:dyDescent="0.25">
      <c r="F8259" s="357">
        <v>515</v>
      </c>
      <c r="G8259" s="348" t="s">
        <v>3852</v>
      </c>
      <c r="J8259" s="595">
        <f t="shared" si="235"/>
        <v>0</v>
      </c>
      <c r="K8259" s="533"/>
      <c r="L8259" s="533"/>
      <c r="M8259" s="533"/>
    </row>
    <row r="8260" spans="5:13" hidden="1" x14ac:dyDescent="0.25">
      <c r="F8260" s="357">
        <v>521</v>
      </c>
      <c r="G8260" s="348" t="s">
        <v>4220</v>
      </c>
      <c r="J8260" s="595">
        <f t="shared" si="235"/>
        <v>0</v>
      </c>
      <c r="K8260" s="533"/>
      <c r="L8260" s="533"/>
      <c r="M8260" s="533"/>
    </row>
    <row r="8261" spans="5:13" hidden="1" x14ac:dyDescent="0.25">
      <c r="F8261" s="357">
        <v>522</v>
      </c>
      <c r="G8261" s="348" t="s">
        <v>4221</v>
      </c>
      <c r="J8261" s="595">
        <f t="shared" si="235"/>
        <v>0</v>
      </c>
      <c r="K8261" s="533"/>
      <c r="L8261" s="533"/>
      <c r="M8261" s="533"/>
    </row>
    <row r="8262" spans="5:13" hidden="1" x14ac:dyDescent="0.25">
      <c r="F8262" s="357">
        <v>523</v>
      </c>
      <c r="G8262" s="348" t="s">
        <v>3857</v>
      </c>
      <c r="J8262" s="595">
        <f t="shared" si="235"/>
        <v>0</v>
      </c>
      <c r="K8262" s="533"/>
      <c r="L8262" s="533"/>
      <c r="M8262" s="533"/>
    </row>
    <row r="8263" spans="5:13" hidden="1" x14ac:dyDescent="0.25">
      <c r="F8263" s="357">
        <v>531</v>
      </c>
      <c r="G8263" s="345" t="s">
        <v>4197</v>
      </c>
      <c r="J8263" s="595">
        <f t="shared" si="235"/>
        <v>0</v>
      </c>
      <c r="K8263" s="533"/>
      <c r="L8263" s="533"/>
      <c r="M8263" s="533"/>
    </row>
    <row r="8264" spans="5:13" hidden="1" x14ac:dyDescent="0.25">
      <c r="F8264" s="357">
        <v>541</v>
      </c>
      <c r="G8264" s="348" t="s">
        <v>4222</v>
      </c>
      <c r="J8264" s="595">
        <f t="shared" si="235"/>
        <v>0</v>
      </c>
      <c r="K8264" s="533"/>
      <c r="L8264" s="533"/>
      <c r="M8264" s="533"/>
    </row>
    <row r="8265" spans="5:13" hidden="1" x14ac:dyDescent="0.25">
      <c r="F8265" s="357">
        <v>542</v>
      </c>
      <c r="G8265" s="348" t="s">
        <v>4223</v>
      </c>
      <c r="J8265" s="595">
        <f t="shared" si="235"/>
        <v>0</v>
      </c>
      <c r="K8265" s="533"/>
      <c r="L8265" s="533"/>
      <c r="M8265" s="533"/>
    </row>
    <row r="8266" spans="5:13" hidden="1" x14ac:dyDescent="0.25">
      <c r="F8266" s="357">
        <v>543</v>
      </c>
      <c r="G8266" s="348" t="s">
        <v>3862</v>
      </c>
      <c r="J8266" s="595">
        <f t="shared" si="235"/>
        <v>0</v>
      </c>
      <c r="K8266" s="533"/>
      <c r="L8266" s="533"/>
      <c r="M8266" s="533"/>
    </row>
    <row r="8267" spans="5:13" ht="30" hidden="1" x14ac:dyDescent="0.25">
      <c r="F8267" s="357">
        <v>551</v>
      </c>
      <c r="G8267" s="348" t="s">
        <v>4198</v>
      </c>
      <c r="J8267" s="595">
        <f t="shared" si="235"/>
        <v>0</v>
      </c>
      <c r="K8267" s="533"/>
      <c r="L8267" s="533"/>
      <c r="M8267" s="533"/>
    </row>
    <row r="8268" spans="5:13" hidden="1" x14ac:dyDescent="0.25">
      <c r="F8268" s="358">
        <v>611</v>
      </c>
      <c r="G8268" s="356" t="s">
        <v>3868</v>
      </c>
      <c r="J8268" s="595">
        <f t="shared" si="235"/>
        <v>0</v>
      </c>
      <c r="K8268" s="533"/>
      <c r="L8268" s="533"/>
      <c r="M8268" s="533"/>
    </row>
    <row r="8269" spans="5:13" ht="15.75" hidden="1" thickBot="1" x14ac:dyDescent="0.3">
      <c r="F8269" s="358">
        <v>620</v>
      </c>
      <c r="G8269" s="356" t="s">
        <v>88</v>
      </c>
      <c r="J8269" s="595">
        <f t="shared" si="235"/>
        <v>0</v>
      </c>
      <c r="K8269" s="533"/>
      <c r="L8269" s="533"/>
      <c r="M8269" s="533"/>
    </row>
    <row r="8270" spans="5:13" x14ac:dyDescent="0.25">
      <c r="E8270" s="346"/>
      <c r="F8270" s="358"/>
      <c r="G8270" s="327" t="s">
        <v>4416</v>
      </c>
      <c r="H8270" s="596"/>
      <c r="I8270" s="622"/>
      <c r="J8270" s="597"/>
      <c r="K8270" s="533"/>
      <c r="L8270" s="533"/>
      <c r="M8270" s="533"/>
    </row>
    <row r="8271" spans="5:13" x14ac:dyDescent="0.25">
      <c r="E8271" s="222"/>
      <c r="F8271" s="249" t="s">
        <v>234</v>
      </c>
      <c r="G8271" s="252" t="s">
        <v>235</v>
      </c>
      <c r="H8271" s="598">
        <f>SUM(H8210:H8269)</f>
        <v>2500000</v>
      </c>
      <c r="I8271" s="599"/>
      <c r="J8271" s="599">
        <f t="shared" ref="J8271:J8286" si="236">SUM(H8271:I8271)</f>
        <v>2500000</v>
      </c>
      <c r="K8271" s="533"/>
      <c r="L8271" s="533"/>
      <c r="M8271" s="533"/>
    </row>
    <row r="8272" spans="5:13" hidden="1" x14ac:dyDescent="0.25">
      <c r="F8272" s="249" t="s">
        <v>236</v>
      </c>
      <c r="G8272" s="252" t="s">
        <v>237</v>
      </c>
      <c r="J8272" s="599">
        <f t="shared" si="236"/>
        <v>0</v>
      </c>
    </row>
    <row r="8273" spans="5:10" hidden="1" x14ac:dyDescent="0.25">
      <c r="F8273" s="249" t="s">
        <v>238</v>
      </c>
      <c r="G8273" s="252" t="s">
        <v>239</v>
      </c>
      <c r="J8273" s="599">
        <f t="shared" si="236"/>
        <v>0</v>
      </c>
    </row>
    <row r="8274" spans="5:10" ht="15.75" thickBot="1" x14ac:dyDescent="0.3">
      <c r="F8274" s="249" t="s">
        <v>240</v>
      </c>
      <c r="G8274" s="252" t="s">
        <v>241</v>
      </c>
      <c r="I8274" s="595">
        <v>500000</v>
      </c>
      <c r="J8274" s="599">
        <f t="shared" si="236"/>
        <v>500000</v>
      </c>
    </row>
    <row r="8275" spans="5:10" hidden="1" x14ac:dyDescent="0.25">
      <c r="F8275" s="249" t="s">
        <v>242</v>
      </c>
      <c r="G8275" s="252" t="s">
        <v>243</v>
      </c>
      <c r="J8275" s="599">
        <f t="shared" si="236"/>
        <v>0</v>
      </c>
    </row>
    <row r="8276" spans="5:10" hidden="1" x14ac:dyDescent="0.25">
      <c r="F8276" s="249" t="s">
        <v>244</v>
      </c>
      <c r="G8276" s="252" t="s">
        <v>245</v>
      </c>
      <c r="J8276" s="599">
        <f t="shared" si="236"/>
        <v>0</v>
      </c>
    </row>
    <row r="8277" spans="5:10" hidden="1" x14ac:dyDescent="0.25">
      <c r="F8277" s="249" t="s">
        <v>246</v>
      </c>
      <c r="G8277" s="252" t="s">
        <v>247</v>
      </c>
      <c r="J8277" s="599">
        <f t="shared" si="236"/>
        <v>0</v>
      </c>
    </row>
    <row r="8278" spans="5:10" hidden="1" x14ac:dyDescent="0.25">
      <c r="F8278" s="249" t="s">
        <v>248</v>
      </c>
      <c r="G8278" s="252" t="s">
        <v>249</v>
      </c>
      <c r="J8278" s="599">
        <f t="shared" si="236"/>
        <v>0</v>
      </c>
    </row>
    <row r="8279" spans="5:10" hidden="1" x14ac:dyDescent="0.25">
      <c r="F8279" s="249" t="s">
        <v>250</v>
      </c>
      <c r="G8279" s="252" t="s">
        <v>57</v>
      </c>
      <c r="J8279" s="599">
        <f t="shared" si="236"/>
        <v>0</v>
      </c>
    </row>
    <row r="8280" spans="5:10" hidden="1" x14ac:dyDescent="0.25">
      <c r="F8280" s="249" t="s">
        <v>251</v>
      </c>
      <c r="G8280" s="252" t="s">
        <v>252</v>
      </c>
      <c r="J8280" s="599">
        <f t="shared" si="236"/>
        <v>0</v>
      </c>
    </row>
    <row r="8281" spans="5:10" hidden="1" x14ac:dyDescent="0.25">
      <c r="F8281" s="249" t="s">
        <v>253</v>
      </c>
      <c r="G8281" s="252" t="s">
        <v>254</v>
      </c>
      <c r="J8281" s="599">
        <f t="shared" si="236"/>
        <v>0</v>
      </c>
    </row>
    <row r="8282" spans="5:10" ht="30" hidden="1" x14ac:dyDescent="0.25">
      <c r="F8282" s="249" t="s">
        <v>255</v>
      </c>
      <c r="G8282" s="252" t="s">
        <v>256</v>
      </c>
      <c r="J8282" s="599">
        <f t="shared" si="236"/>
        <v>0</v>
      </c>
    </row>
    <row r="8283" spans="5:10" hidden="1" x14ac:dyDescent="0.25">
      <c r="F8283" s="249" t="s">
        <v>257</v>
      </c>
      <c r="G8283" s="252" t="s">
        <v>258</v>
      </c>
      <c r="J8283" s="599">
        <f t="shared" si="236"/>
        <v>0</v>
      </c>
    </row>
    <row r="8284" spans="5:10" ht="30" hidden="1" x14ac:dyDescent="0.25">
      <c r="F8284" s="249" t="s">
        <v>259</v>
      </c>
      <c r="G8284" s="252" t="s">
        <v>260</v>
      </c>
      <c r="J8284" s="599">
        <f t="shared" si="236"/>
        <v>0</v>
      </c>
    </row>
    <row r="8285" spans="5:10" hidden="1" x14ac:dyDescent="0.25">
      <c r="F8285" s="249" t="s">
        <v>261</v>
      </c>
      <c r="G8285" s="252" t="s">
        <v>262</v>
      </c>
      <c r="J8285" s="599">
        <f t="shared" si="236"/>
        <v>0</v>
      </c>
    </row>
    <row r="8286" spans="5:10" ht="15.75" hidden="1" thickBot="1" x14ac:dyDescent="0.3">
      <c r="F8286" s="249" t="s">
        <v>263</v>
      </c>
      <c r="G8286" s="252" t="s">
        <v>264</v>
      </c>
      <c r="H8286" s="598"/>
      <c r="I8286" s="599"/>
      <c r="J8286" s="599">
        <f t="shared" si="236"/>
        <v>0</v>
      </c>
    </row>
    <row r="8287" spans="5:10" ht="15.75" thickBot="1" x14ac:dyDescent="0.3">
      <c r="G8287" s="229" t="s">
        <v>4417</v>
      </c>
      <c r="H8287" s="600">
        <f>SUM(H8271:H8286)</f>
        <v>2500000</v>
      </c>
      <c r="I8287" s="601">
        <v>500000</v>
      </c>
      <c r="J8287" s="601">
        <f>SUM(J8271:J8286)</f>
        <v>3000000</v>
      </c>
    </row>
    <row r="8288" spans="5:10" ht="28.5" collapsed="1" x14ac:dyDescent="0.25">
      <c r="E8288" s="346"/>
      <c r="F8288" s="358"/>
      <c r="G8288" s="231" t="s">
        <v>4319</v>
      </c>
      <c r="H8288" s="602"/>
      <c r="I8288" s="623"/>
      <c r="J8288" s="603"/>
    </row>
    <row r="8289" spans="5:10" x14ac:dyDescent="0.25">
      <c r="E8289" s="222"/>
      <c r="F8289" s="249" t="s">
        <v>234</v>
      </c>
      <c r="G8289" s="252" t="s">
        <v>235</v>
      </c>
      <c r="H8289" s="598">
        <f>SUM(H8210:H8269)</f>
        <v>2500000</v>
      </c>
      <c r="I8289" s="599"/>
      <c r="J8289" s="599">
        <f>SUM(H8289:I8289)</f>
        <v>2500000</v>
      </c>
    </row>
    <row r="8290" spans="5:10" hidden="1" x14ac:dyDescent="0.25">
      <c r="F8290" s="249" t="s">
        <v>236</v>
      </c>
      <c r="G8290" s="252" t="s">
        <v>237</v>
      </c>
      <c r="J8290" s="599">
        <f t="shared" ref="J8290:J8304" si="237">SUM(H8290:I8290)</f>
        <v>0</v>
      </c>
    </row>
    <row r="8291" spans="5:10" hidden="1" x14ac:dyDescent="0.25">
      <c r="F8291" s="249" t="s">
        <v>238</v>
      </c>
      <c r="G8291" s="252" t="s">
        <v>239</v>
      </c>
      <c r="J8291" s="599">
        <f t="shared" si="237"/>
        <v>0</v>
      </c>
    </row>
    <row r="8292" spans="5:10" ht="15.75" thickBot="1" x14ac:dyDescent="0.3">
      <c r="F8292" s="249" t="s">
        <v>240</v>
      </c>
      <c r="G8292" s="252" t="s">
        <v>241</v>
      </c>
      <c r="I8292" s="595">
        <v>500000</v>
      </c>
      <c r="J8292" s="599">
        <f t="shared" si="237"/>
        <v>500000</v>
      </c>
    </row>
    <row r="8293" spans="5:10" hidden="1" x14ac:dyDescent="0.25">
      <c r="F8293" s="249" t="s">
        <v>242</v>
      </c>
      <c r="G8293" s="252" t="s">
        <v>243</v>
      </c>
      <c r="J8293" s="599">
        <f t="shared" si="237"/>
        <v>0</v>
      </c>
    </row>
    <row r="8294" spans="5:10" hidden="1" x14ac:dyDescent="0.25">
      <c r="F8294" s="249" t="s">
        <v>244</v>
      </c>
      <c r="G8294" s="252" t="s">
        <v>245</v>
      </c>
      <c r="J8294" s="599">
        <f t="shared" si="237"/>
        <v>0</v>
      </c>
    </row>
    <row r="8295" spans="5:10" hidden="1" x14ac:dyDescent="0.25">
      <c r="F8295" s="249" t="s">
        <v>246</v>
      </c>
      <c r="G8295" s="252" t="s">
        <v>247</v>
      </c>
      <c r="J8295" s="599">
        <f t="shared" si="237"/>
        <v>0</v>
      </c>
    </row>
    <row r="8296" spans="5:10" hidden="1" x14ac:dyDescent="0.25">
      <c r="F8296" s="249" t="s">
        <v>248</v>
      </c>
      <c r="G8296" s="252" t="s">
        <v>249</v>
      </c>
      <c r="J8296" s="599">
        <f t="shared" si="237"/>
        <v>0</v>
      </c>
    </row>
    <row r="8297" spans="5:10" hidden="1" x14ac:dyDescent="0.25">
      <c r="F8297" s="249" t="s">
        <v>250</v>
      </c>
      <c r="G8297" s="252" t="s">
        <v>57</v>
      </c>
      <c r="J8297" s="599">
        <f t="shared" si="237"/>
        <v>0</v>
      </c>
    </row>
    <row r="8298" spans="5:10" hidden="1" x14ac:dyDescent="0.25">
      <c r="F8298" s="249" t="s">
        <v>251</v>
      </c>
      <c r="G8298" s="252" t="s">
        <v>252</v>
      </c>
      <c r="J8298" s="599">
        <f t="shared" si="237"/>
        <v>0</v>
      </c>
    </row>
    <row r="8299" spans="5:10" hidden="1" x14ac:dyDescent="0.25">
      <c r="F8299" s="249" t="s">
        <v>253</v>
      </c>
      <c r="G8299" s="252" t="s">
        <v>254</v>
      </c>
      <c r="J8299" s="599">
        <f t="shared" si="237"/>
        <v>0</v>
      </c>
    </row>
    <row r="8300" spans="5:10" ht="30" hidden="1" x14ac:dyDescent="0.25">
      <c r="F8300" s="249" t="s">
        <v>255</v>
      </c>
      <c r="G8300" s="252" t="s">
        <v>256</v>
      </c>
      <c r="J8300" s="599">
        <f t="shared" si="237"/>
        <v>0</v>
      </c>
    </row>
    <row r="8301" spans="5:10" hidden="1" x14ac:dyDescent="0.25">
      <c r="F8301" s="249" t="s">
        <v>257</v>
      </c>
      <c r="G8301" s="252" t="s">
        <v>258</v>
      </c>
      <c r="J8301" s="599">
        <f t="shared" si="237"/>
        <v>0</v>
      </c>
    </row>
    <row r="8302" spans="5:10" ht="30" hidden="1" x14ac:dyDescent="0.25">
      <c r="F8302" s="249" t="s">
        <v>259</v>
      </c>
      <c r="G8302" s="252" t="s">
        <v>260</v>
      </c>
      <c r="J8302" s="599">
        <f t="shared" si="237"/>
        <v>0</v>
      </c>
    </row>
    <row r="8303" spans="5:10" hidden="1" x14ac:dyDescent="0.25">
      <c r="F8303" s="249" t="s">
        <v>261</v>
      </c>
      <c r="G8303" s="252" t="s">
        <v>262</v>
      </c>
      <c r="J8303" s="599">
        <f t="shared" si="237"/>
        <v>0</v>
      </c>
    </row>
    <row r="8304" spans="5:10" ht="15.75" hidden="1" thickBot="1" x14ac:dyDescent="0.3">
      <c r="F8304" s="249" t="s">
        <v>263</v>
      </c>
      <c r="G8304" s="252" t="s">
        <v>264</v>
      </c>
      <c r="H8304" s="598"/>
      <c r="I8304" s="599"/>
      <c r="J8304" s="599">
        <f t="shared" si="237"/>
        <v>0</v>
      </c>
    </row>
    <row r="8305" spans="3:10" ht="15.75" collapsed="1" thickBot="1" x14ac:dyDescent="0.3">
      <c r="G8305" s="229" t="s">
        <v>4418</v>
      </c>
      <c r="H8305" s="600">
        <f>SUM(H8289:H8304)</f>
        <v>2500000</v>
      </c>
      <c r="I8305" s="601">
        <v>500000</v>
      </c>
      <c r="J8305" s="601">
        <f>SUM(J8289:J8304)</f>
        <v>3000000</v>
      </c>
    </row>
    <row r="8307" spans="3:10" x14ac:dyDescent="0.25">
      <c r="C8307" s="228" t="s">
        <v>4608</v>
      </c>
      <c r="D8307" s="219"/>
      <c r="G8307" s="296" t="s">
        <v>5154</v>
      </c>
    </row>
    <row r="8308" spans="3:10" x14ac:dyDescent="0.25">
      <c r="C8308" s="228"/>
      <c r="D8308" s="312">
        <v>473</v>
      </c>
      <c r="E8308" s="312"/>
      <c r="F8308" s="312"/>
      <c r="G8308" s="338" t="s">
        <v>162</v>
      </c>
    </row>
    <row r="8309" spans="3:10" hidden="1" x14ac:dyDescent="0.25">
      <c r="F8309" s="300">
        <v>411</v>
      </c>
      <c r="G8309" s="295" t="s">
        <v>4189</v>
      </c>
      <c r="J8309" s="595">
        <f>SUM(H8309:I8309)</f>
        <v>0</v>
      </c>
    </row>
    <row r="8310" spans="3:10" hidden="1" x14ac:dyDescent="0.25">
      <c r="F8310" s="300">
        <v>412</v>
      </c>
      <c r="G8310" s="292" t="s">
        <v>3784</v>
      </c>
      <c r="J8310" s="595">
        <f t="shared" ref="J8310:J8368" si="238">SUM(H8310:I8310)</f>
        <v>0</v>
      </c>
    </row>
    <row r="8311" spans="3:10" hidden="1" x14ac:dyDescent="0.25">
      <c r="F8311" s="300">
        <v>413</v>
      </c>
      <c r="G8311" s="295" t="s">
        <v>4190</v>
      </c>
      <c r="J8311" s="595">
        <f t="shared" si="238"/>
        <v>0</v>
      </c>
    </row>
    <row r="8312" spans="3:10" hidden="1" x14ac:dyDescent="0.25">
      <c r="F8312" s="300">
        <v>414</v>
      </c>
      <c r="G8312" s="295" t="s">
        <v>3787</v>
      </c>
      <c r="J8312" s="595">
        <f t="shared" si="238"/>
        <v>0</v>
      </c>
    </row>
    <row r="8313" spans="3:10" hidden="1" x14ac:dyDescent="0.25">
      <c r="F8313" s="300">
        <v>415</v>
      </c>
      <c r="G8313" s="295" t="s">
        <v>4199</v>
      </c>
      <c r="J8313" s="595">
        <f t="shared" si="238"/>
        <v>0</v>
      </c>
    </row>
    <row r="8314" spans="3:10" hidden="1" x14ac:dyDescent="0.25">
      <c r="F8314" s="300">
        <v>416</v>
      </c>
      <c r="G8314" s="295" t="s">
        <v>4200</v>
      </c>
      <c r="J8314" s="595">
        <f t="shared" si="238"/>
        <v>0</v>
      </c>
    </row>
    <row r="8315" spans="3:10" hidden="1" x14ac:dyDescent="0.25">
      <c r="F8315" s="300">
        <v>417</v>
      </c>
      <c r="G8315" s="295" t="s">
        <v>4201</v>
      </c>
      <c r="J8315" s="595">
        <f t="shared" si="238"/>
        <v>0</v>
      </c>
    </row>
    <row r="8316" spans="3:10" hidden="1" x14ac:dyDescent="0.25">
      <c r="F8316" s="300">
        <v>418</v>
      </c>
      <c r="G8316" s="295" t="s">
        <v>3793</v>
      </c>
      <c r="J8316" s="595">
        <f t="shared" si="238"/>
        <v>0</v>
      </c>
    </row>
    <row r="8317" spans="3:10" x14ac:dyDescent="0.25">
      <c r="E8317" s="218">
        <v>91</v>
      </c>
      <c r="F8317" s="300">
        <v>421</v>
      </c>
      <c r="G8317" s="295" t="s">
        <v>3797</v>
      </c>
      <c r="H8317" s="594">
        <v>20000</v>
      </c>
      <c r="J8317" s="595">
        <f t="shared" si="238"/>
        <v>20000</v>
      </c>
    </row>
    <row r="8318" spans="3:10" hidden="1" x14ac:dyDescent="0.25">
      <c r="F8318" s="300">
        <v>422</v>
      </c>
      <c r="G8318" s="295" t="s">
        <v>3798</v>
      </c>
      <c r="J8318" s="595">
        <f>SUM(H8318:I8318)</f>
        <v>0</v>
      </c>
    </row>
    <row r="8319" spans="3:10" ht="15.75" thickBot="1" x14ac:dyDescent="0.3">
      <c r="E8319" s="218">
        <v>92</v>
      </c>
      <c r="F8319" s="300">
        <v>423</v>
      </c>
      <c r="G8319" s="295" t="s">
        <v>3799</v>
      </c>
      <c r="H8319" s="594">
        <v>4500000</v>
      </c>
      <c r="J8319" s="595">
        <f t="shared" si="238"/>
        <v>4500000</v>
      </c>
    </row>
    <row r="8320" spans="3:10" hidden="1" x14ac:dyDescent="0.25">
      <c r="F8320" s="300">
        <v>424</v>
      </c>
      <c r="G8320" s="295" t="s">
        <v>3801</v>
      </c>
      <c r="J8320" s="595">
        <f t="shared" si="238"/>
        <v>0</v>
      </c>
    </row>
    <row r="8321" spans="6:10" hidden="1" x14ac:dyDescent="0.25">
      <c r="F8321" s="300">
        <v>425</v>
      </c>
      <c r="G8321" s="295" t="s">
        <v>4202</v>
      </c>
      <c r="J8321" s="595">
        <f t="shared" si="238"/>
        <v>0</v>
      </c>
    </row>
    <row r="8322" spans="6:10" ht="15.75" hidden="1" thickBot="1" x14ac:dyDescent="0.3">
      <c r="F8322" s="300">
        <v>426</v>
      </c>
      <c r="G8322" s="295" t="s">
        <v>3805</v>
      </c>
      <c r="J8322" s="595">
        <f t="shared" si="238"/>
        <v>0</v>
      </c>
    </row>
    <row r="8323" spans="6:10" hidden="1" x14ac:dyDescent="0.25">
      <c r="F8323" s="300">
        <v>431</v>
      </c>
      <c r="G8323" s="295" t="s">
        <v>4203</v>
      </c>
      <c r="J8323" s="595">
        <f t="shared" si="238"/>
        <v>0</v>
      </c>
    </row>
    <row r="8324" spans="6:10" hidden="1" x14ac:dyDescent="0.25">
      <c r="F8324" s="300">
        <v>432</v>
      </c>
      <c r="G8324" s="295" t="s">
        <v>4204</v>
      </c>
      <c r="J8324" s="595">
        <f t="shared" si="238"/>
        <v>0</v>
      </c>
    </row>
    <row r="8325" spans="6:10" hidden="1" x14ac:dyDescent="0.25">
      <c r="F8325" s="300">
        <v>433</v>
      </c>
      <c r="G8325" s="295" t="s">
        <v>4205</v>
      </c>
      <c r="J8325" s="595">
        <f t="shared" si="238"/>
        <v>0</v>
      </c>
    </row>
    <row r="8326" spans="6:10" hidden="1" x14ac:dyDescent="0.25">
      <c r="F8326" s="300">
        <v>434</v>
      </c>
      <c r="G8326" s="295" t="s">
        <v>4206</v>
      </c>
      <c r="J8326" s="595">
        <f t="shared" si="238"/>
        <v>0</v>
      </c>
    </row>
    <row r="8327" spans="6:10" hidden="1" x14ac:dyDescent="0.25">
      <c r="F8327" s="300">
        <v>435</v>
      </c>
      <c r="G8327" s="295" t="s">
        <v>3812</v>
      </c>
      <c r="J8327" s="595">
        <f t="shared" si="238"/>
        <v>0</v>
      </c>
    </row>
    <row r="8328" spans="6:10" hidden="1" x14ac:dyDescent="0.25">
      <c r="F8328" s="300">
        <v>441</v>
      </c>
      <c r="G8328" s="295" t="s">
        <v>4207</v>
      </c>
      <c r="J8328" s="595">
        <f t="shared" si="238"/>
        <v>0</v>
      </c>
    </row>
    <row r="8329" spans="6:10" hidden="1" x14ac:dyDescent="0.25">
      <c r="F8329" s="300">
        <v>442</v>
      </c>
      <c r="G8329" s="295" t="s">
        <v>4208</v>
      </c>
      <c r="J8329" s="595">
        <f t="shared" si="238"/>
        <v>0</v>
      </c>
    </row>
    <row r="8330" spans="6:10" hidden="1" x14ac:dyDescent="0.25">
      <c r="F8330" s="300">
        <v>443</v>
      </c>
      <c r="G8330" s="295" t="s">
        <v>3817</v>
      </c>
      <c r="J8330" s="595">
        <f t="shared" si="238"/>
        <v>0</v>
      </c>
    </row>
    <row r="8331" spans="6:10" hidden="1" x14ac:dyDescent="0.25">
      <c r="F8331" s="300">
        <v>444</v>
      </c>
      <c r="G8331" s="295" t="s">
        <v>3818</v>
      </c>
      <c r="J8331" s="595">
        <f t="shared" si="238"/>
        <v>0</v>
      </c>
    </row>
    <row r="8332" spans="6:10" ht="30" hidden="1" x14ac:dyDescent="0.25">
      <c r="F8332" s="300">
        <v>4511</v>
      </c>
      <c r="G8332" s="223" t="s">
        <v>1692</v>
      </c>
      <c r="J8332" s="595">
        <f t="shared" si="238"/>
        <v>0</v>
      </c>
    </row>
    <row r="8333" spans="6:10" ht="30" hidden="1" x14ac:dyDescent="0.25">
      <c r="F8333" s="300">
        <v>4512</v>
      </c>
      <c r="G8333" s="223" t="s">
        <v>1701</v>
      </c>
      <c r="J8333" s="595">
        <f t="shared" si="238"/>
        <v>0</v>
      </c>
    </row>
    <row r="8334" spans="6:10" hidden="1" x14ac:dyDescent="0.25">
      <c r="F8334" s="300">
        <v>452</v>
      </c>
      <c r="G8334" s="295" t="s">
        <v>4209</v>
      </c>
      <c r="J8334" s="595">
        <f t="shared" si="238"/>
        <v>0</v>
      </c>
    </row>
    <row r="8335" spans="6:10" hidden="1" x14ac:dyDescent="0.25">
      <c r="F8335" s="300">
        <v>453</v>
      </c>
      <c r="G8335" s="295" t="s">
        <v>4210</v>
      </c>
      <c r="J8335" s="595">
        <f t="shared" si="238"/>
        <v>0</v>
      </c>
    </row>
    <row r="8336" spans="6:10" hidden="1" x14ac:dyDescent="0.25">
      <c r="F8336" s="300">
        <v>454</v>
      </c>
      <c r="G8336" s="295" t="s">
        <v>3823</v>
      </c>
      <c r="J8336" s="595">
        <f t="shared" si="238"/>
        <v>0</v>
      </c>
    </row>
    <row r="8337" spans="6:10" hidden="1" x14ac:dyDescent="0.25">
      <c r="F8337" s="300">
        <v>461</v>
      </c>
      <c r="G8337" s="295" t="s">
        <v>4191</v>
      </c>
      <c r="J8337" s="595">
        <f t="shared" si="238"/>
        <v>0</v>
      </c>
    </row>
    <row r="8338" spans="6:10" hidden="1" x14ac:dyDescent="0.25">
      <c r="F8338" s="300">
        <v>462</v>
      </c>
      <c r="G8338" s="295" t="s">
        <v>3826</v>
      </c>
      <c r="J8338" s="595">
        <f t="shared" si="238"/>
        <v>0</v>
      </c>
    </row>
    <row r="8339" spans="6:10" hidden="1" x14ac:dyDescent="0.25">
      <c r="F8339" s="300">
        <v>4631</v>
      </c>
      <c r="G8339" s="295" t="s">
        <v>3827</v>
      </c>
      <c r="J8339" s="595">
        <f t="shared" si="238"/>
        <v>0</v>
      </c>
    </row>
    <row r="8340" spans="6:10" hidden="1" x14ac:dyDescent="0.25">
      <c r="F8340" s="300">
        <v>4632</v>
      </c>
      <c r="G8340" s="295" t="s">
        <v>3828</v>
      </c>
      <c r="J8340" s="595">
        <f t="shared" si="238"/>
        <v>0</v>
      </c>
    </row>
    <row r="8341" spans="6:10" hidden="1" x14ac:dyDescent="0.25">
      <c r="F8341" s="300">
        <v>464</v>
      </c>
      <c r="G8341" s="295" t="s">
        <v>3829</v>
      </c>
      <c r="J8341" s="595">
        <f t="shared" si="238"/>
        <v>0</v>
      </c>
    </row>
    <row r="8342" spans="6:10" hidden="1" x14ac:dyDescent="0.25">
      <c r="F8342" s="300">
        <v>465</v>
      </c>
      <c r="G8342" s="295" t="s">
        <v>4192</v>
      </c>
      <c r="J8342" s="595">
        <f t="shared" si="238"/>
        <v>0</v>
      </c>
    </row>
    <row r="8343" spans="6:10" hidden="1" x14ac:dyDescent="0.25">
      <c r="F8343" s="300">
        <v>472</v>
      </c>
      <c r="G8343" s="295" t="s">
        <v>3833</v>
      </c>
      <c r="J8343" s="595">
        <f t="shared" si="238"/>
        <v>0</v>
      </c>
    </row>
    <row r="8344" spans="6:10" hidden="1" x14ac:dyDescent="0.25">
      <c r="F8344" s="300">
        <v>481</v>
      </c>
      <c r="G8344" s="295" t="s">
        <v>4211</v>
      </c>
      <c r="J8344" s="595">
        <f t="shared" si="238"/>
        <v>0</v>
      </c>
    </row>
    <row r="8345" spans="6:10" hidden="1" x14ac:dyDescent="0.25">
      <c r="F8345" s="300">
        <v>482</v>
      </c>
      <c r="G8345" s="295" t="s">
        <v>4212</v>
      </c>
      <c r="J8345" s="595">
        <f t="shared" si="238"/>
        <v>0</v>
      </c>
    </row>
    <row r="8346" spans="6:10" hidden="1" x14ac:dyDescent="0.25">
      <c r="F8346" s="300">
        <v>483</v>
      </c>
      <c r="G8346" s="298" t="s">
        <v>4213</v>
      </c>
      <c r="J8346" s="595">
        <f t="shared" si="238"/>
        <v>0</v>
      </c>
    </row>
    <row r="8347" spans="6:10" ht="30" hidden="1" x14ac:dyDescent="0.25">
      <c r="F8347" s="300">
        <v>484</v>
      </c>
      <c r="G8347" s="295" t="s">
        <v>4214</v>
      </c>
      <c r="J8347" s="595">
        <f t="shared" si="238"/>
        <v>0</v>
      </c>
    </row>
    <row r="8348" spans="6:10" ht="30" hidden="1" x14ac:dyDescent="0.25">
      <c r="F8348" s="300">
        <v>485</v>
      </c>
      <c r="G8348" s="295" t="s">
        <v>4215</v>
      </c>
      <c r="J8348" s="595">
        <f t="shared" si="238"/>
        <v>0</v>
      </c>
    </row>
    <row r="8349" spans="6:10" ht="30" hidden="1" x14ac:dyDescent="0.25">
      <c r="F8349" s="300">
        <v>489</v>
      </c>
      <c r="G8349" s="295" t="s">
        <v>3841</v>
      </c>
      <c r="J8349" s="595">
        <f t="shared" si="238"/>
        <v>0</v>
      </c>
    </row>
    <row r="8350" spans="6:10" hidden="1" x14ac:dyDescent="0.25">
      <c r="F8350" s="300">
        <v>494</v>
      </c>
      <c r="G8350" s="295" t="s">
        <v>4193</v>
      </c>
      <c r="J8350" s="595">
        <f t="shared" si="238"/>
        <v>0</v>
      </c>
    </row>
    <row r="8351" spans="6:10" ht="30" hidden="1" x14ac:dyDescent="0.25">
      <c r="F8351" s="300">
        <v>495</v>
      </c>
      <c r="G8351" s="295" t="s">
        <v>4194</v>
      </c>
      <c r="J8351" s="595">
        <f t="shared" si="238"/>
        <v>0</v>
      </c>
    </row>
    <row r="8352" spans="6:10" ht="30" hidden="1" x14ac:dyDescent="0.25">
      <c r="F8352" s="300">
        <v>496</v>
      </c>
      <c r="G8352" s="295" t="s">
        <v>4195</v>
      </c>
      <c r="J8352" s="595">
        <f t="shared" si="238"/>
        <v>0</v>
      </c>
    </row>
    <row r="8353" spans="6:10" hidden="1" x14ac:dyDescent="0.25">
      <c r="F8353" s="300">
        <v>499</v>
      </c>
      <c r="G8353" s="295" t="s">
        <v>4196</v>
      </c>
      <c r="J8353" s="595">
        <f t="shared" si="238"/>
        <v>0</v>
      </c>
    </row>
    <row r="8354" spans="6:10" hidden="1" x14ac:dyDescent="0.25">
      <c r="F8354" s="300">
        <v>511</v>
      </c>
      <c r="G8354" s="298" t="s">
        <v>4216</v>
      </c>
      <c r="J8354" s="595">
        <f t="shared" si="238"/>
        <v>0</v>
      </c>
    </row>
    <row r="8355" spans="6:10" hidden="1" x14ac:dyDescent="0.25">
      <c r="F8355" s="300">
        <v>512</v>
      </c>
      <c r="G8355" s="298" t="s">
        <v>4217</v>
      </c>
      <c r="J8355" s="595">
        <f t="shared" si="238"/>
        <v>0</v>
      </c>
    </row>
    <row r="8356" spans="6:10" hidden="1" x14ac:dyDescent="0.25">
      <c r="F8356" s="300">
        <v>513</v>
      </c>
      <c r="G8356" s="298" t="s">
        <v>4218</v>
      </c>
      <c r="J8356" s="595">
        <f t="shared" si="238"/>
        <v>0</v>
      </c>
    </row>
    <row r="8357" spans="6:10" hidden="1" x14ac:dyDescent="0.25">
      <c r="F8357" s="300">
        <v>514</v>
      </c>
      <c r="G8357" s="295" t="s">
        <v>4219</v>
      </c>
      <c r="J8357" s="595">
        <f t="shared" si="238"/>
        <v>0</v>
      </c>
    </row>
    <row r="8358" spans="6:10" hidden="1" x14ac:dyDescent="0.25">
      <c r="F8358" s="300">
        <v>515</v>
      </c>
      <c r="G8358" s="295" t="s">
        <v>3852</v>
      </c>
      <c r="J8358" s="595">
        <f t="shared" si="238"/>
        <v>0</v>
      </c>
    </row>
    <row r="8359" spans="6:10" hidden="1" x14ac:dyDescent="0.25">
      <c r="F8359" s="300">
        <v>521</v>
      </c>
      <c r="G8359" s="295" t="s">
        <v>4220</v>
      </c>
      <c r="J8359" s="595">
        <f t="shared" si="238"/>
        <v>0</v>
      </c>
    </row>
    <row r="8360" spans="6:10" hidden="1" x14ac:dyDescent="0.25">
      <c r="F8360" s="300">
        <v>522</v>
      </c>
      <c r="G8360" s="295" t="s">
        <v>4221</v>
      </c>
      <c r="J8360" s="595">
        <f t="shared" si="238"/>
        <v>0</v>
      </c>
    </row>
    <row r="8361" spans="6:10" hidden="1" x14ac:dyDescent="0.25">
      <c r="F8361" s="300">
        <v>523</v>
      </c>
      <c r="G8361" s="295" t="s">
        <v>3857</v>
      </c>
      <c r="J8361" s="595">
        <f t="shared" si="238"/>
        <v>0</v>
      </c>
    </row>
    <row r="8362" spans="6:10" hidden="1" x14ac:dyDescent="0.25">
      <c r="F8362" s="300">
        <v>531</v>
      </c>
      <c r="G8362" s="292" t="s">
        <v>4197</v>
      </c>
      <c r="J8362" s="595">
        <f t="shared" si="238"/>
        <v>0</v>
      </c>
    </row>
    <row r="8363" spans="6:10" hidden="1" x14ac:dyDescent="0.25">
      <c r="F8363" s="300">
        <v>541</v>
      </c>
      <c r="G8363" s="295" t="s">
        <v>4222</v>
      </c>
      <c r="J8363" s="595">
        <f t="shared" si="238"/>
        <v>0</v>
      </c>
    </row>
    <row r="8364" spans="6:10" hidden="1" x14ac:dyDescent="0.25">
      <c r="F8364" s="300">
        <v>542</v>
      </c>
      <c r="G8364" s="295" t="s">
        <v>4223</v>
      </c>
      <c r="J8364" s="595">
        <f t="shared" si="238"/>
        <v>0</v>
      </c>
    </row>
    <row r="8365" spans="6:10" hidden="1" x14ac:dyDescent="0.25">
      <c r="F8365" s="300">
        <v>543</v>
      </c>
      <c r="G8365" s="295" t="s">
        <v>3862</v>
      </c>
      <c r="J8365" s="595">
        <f t="shared" si="238"/>
        <v>0</v>
      </c>
    </row>
    <row r="8366" spans="6:10" ht="30" hidden="1" x14ac:dyDescent="0.25">
      <c r="F8366" s="300">
        <v>551</v>
      </c>
      <c r="G8366" s="295" t="s">
        <v>4198</v>
      </c>
      <c r="J8366" s="595">
        <f t="shared" si="238"/>
        <v>0</v>
      </c>
    </row>
    <row r="8367" spans="6:10" hidden="1" x14ac:dyDescent="0.25">
      <c r="F8367" s="301">
        <v>611</v>
      </c>
      <c r="G8367" s="299" t="s">
        <v>3868</v>
      </c>
      <c r="J8367" s="595">
        <f t="shared" si="238"/>
        <v>0</v>
      </c>
    </row>
    <row r="8368" spans="6:10" ht="15.75" hidden="1" thickBot="1" x14ac:dyDescent="0.3">
      <c r="F8368" s="301">
        <v>620</v>
      </c>
      <c r="G8368" s="299" t="s">
        <v>88</v>
      </c>
      <c r="J8368" s="595">
        <f t="shared" si="238"/>
        <v>0</v>
      </c>
    </row>
    <row r="8369" spans="5:10" x14ac:dyDescent="0.25">
      <c r="E8369" s="293"/>
      <c r="F8369" s="301"/>
      <c r="G8369" s="327" t="s">
        <v>4416</v>
      </c>
      <c r="H8369" s="596"/>
      <c r="I8369" s="622"/>
      <c r="J8369" s="597"/>
    </row>
    <row r="8370" spans="5:10" ht="15.75" thickBot="1" x14ac:dyDescent="0.3">
      <c r="E8370" s="222"/>
      <c r="F8370" s="249" t="s">
        <v>234</v>
      </c>
      <c r="G8370" s="252" t="s">
        <v>235</v>
      </c>
      <c r="H8370" s="598">
        <f>SUM(H8309:H8368)</f>
        <v>4520000</v>
      </c>
      <c r="I8370" s="599"/>
      <c r="J8370" s="599">
        <f t="shared" ref="J8370:J8385" si="239">SUM(H8370:I8370)</f>
        <v>4520000</v>
      </c>
    </row>
    <row r="8371" spans="5:10" hidden="1" x14ac:dyDescent="0.25">
      <c r="F8371" s="249" t="s">
        <v>236</v>
      </c>
      <c r="G8371" s="252" t="s">
        <v>237</v>
      </c>
      <c r="J8371" s="599">
        <f t="shared" si="239"/>
        <v>0</v>
      </c>
    </row>
    <row r="8372" spans="5:10" hidden="1" x14ac:dyDescent="0.25">
      <c r="F8372" s="249" t="s">
        <v>238</v>
      </c>
      <c r="G8372" s="252" t="s">
        <v>239</v>
      </c>
      <c r="J8372" s="599">
        <f t="shared" si="239"/>
        <v>0</v>
      </c>
    </row>
    <row r="8373" spans="5:10" hidden="1" x14ac:dyDescent="0.25">
      <c r="F8373" s="249" t="s">
        <v>240</v>
      </c>
      <c r="G8373" s="252" t="s">
        <v>241</v>
      </c>
      <c r="J8373" s="599">
        <f t="shared" si="239"/>
        <v>0</v>
      </c>
    </row>
    <row r="8374" spans="5:10" hidden="1" x14ac:dyDescent="0.25">
      <c r="F8374" s="249" t="s">
        <v>242</v>
      </c>
      <c r="G8374" s="252" t="s">
        <v>243</v>
      </c>
      <c r="J8374" s="599">
        <f t="shared" si="239"/>
        <v>0</v>
      </c>
    </row>
    <row r="8375" spans="5:10" hidden="1" x14ac:dyDescent="0.25">
      <c r="F8375" s="249" t="s">
        <v>244</v>
      </c>
      <c r="G8375" s="252" t="s">
        <v>245</v>
      </c>
      <c r="J8375" s="599">
        <f t="shared" si="239"/>
        <v>0</v>
      </c>
    </row>
    <row r="8376" spans="5:10" hidden="1" x14ac:dyDescent="0.25">
      <c r="F8376" s="249" t="s">
        <v>246</v>
      </c>
      <c r="G8376" s="252" t="s">
        <v>247</v>
      </c>
      <c r="J8376" s="599">
        <f t="shared" si="239"/>
        <v>0</v>
      </c>
    </row>
    <row r="8377" spans="5:10" hidden="1" x14ac:dyDescent="0.25">
      <c r="F8377" s="249" t="s">
        <v>248</v>
      </c>
      <c r="G8377" s="252" t="s">
        <v>249</v>
      </c>
      <c r="J8377" s="599">
        <f t="shared" si="239"/>
        <v>0</v>
      </c>
    </row>
    <row r="8378" spans="5:10" hidden="1" x14ac:dyDescent="0.25">
      <c r="F8378" s="249" t="s">
        <v>250</v>
      </c>
      <c r="G8378" s="252" t="s">
        <v>57</v>
      </c>
      <c r="J8378" s="599">
        <f t="shared" si="239"/>
        <v>0</v>
      </c>
    </row>
    <row r="8379" spans="5:10" hidden="1" x14ac:dyDescent="0.25">
      <c r="F8379" s="249" t="s">
        <v>251</v>
      </c>
      <c r="G8379" s="252" t="s">
        <v>252</v>
      </c>
      <c r="J8379" s="599">
        <f t="shared" si="239"/>
        <v>0</v>
      </c>
    </row>
    <row r="8380" spans="5:10" hidden="1" x14ac:dyDescent="0.25">
      <c r="F8380" s="249" t="s">
        <v>253</v>
      </c>
      <c r="G8380" s="252" t="s">
        <v>254</v>
      </c>
      <c r="J8380" s="599">
        <f t="shared" si="239"/>
        <v>0</v>
      </c>
    </row>
    <row r="8381" spans="5:10" ht="30" hidden="1" x14ac:dyDescent="0.25">
      <c r="F8381" s="249" t="s">
        <v>255</v>
      </c>
      <c r="G8381" s="252" t="s">
        <v>256</v>
      </c>
      <c r="J8381" s="599">
        <f t="shared" si="239"/>
        <v>0</v>
      </c>
    </row>
    <row r="8382" spans="5:10" hidden="1" x14ac:dyDescent="0.25">
      <c r="F8382" s="249" t="s">
        <v>257</v>
      </c>
      <c r="G8382" s="252" t="s">
        <v>258</v>
      </c>
      <c r="J8382" s="599">
        <f t="shared" si="239"/>
        <v>0</v>
      </c>
    </row>
    <row r="8383" spans="5:10" ht="30" hidden="1" x14ac:dyDescent="0.25">
      <c r="F8383" s="249" t="s">
        <v>259</v>
      </c>
      <c r="G8383" s="252" t="s">
        <v>260</v>
      </c>
      <c r="J8383" s="599">
        <f t="shared" si="239"/>
        <v>0</v>
      </c>
    </row>
    <row r="8384" spans="5:10" hidden="1" x14ac:dyDescent="0.25">
      <c r="F8384" s="249" t="s">
        <v>261</v>
      </c>
      <c r="G8384" s="252" t="s">
        <v>262</v>
      </c>
      <c r="J8384" s="599">
        <f t="shared" si="239"/>
        <v>0</v>
      </c>
    </row>
    <row r="8385" spans="5:10" ht="15.75" hidden="1" thickBot="1" x14ac:dyDescent="0.3">
      <c r="F8385" s="249" t="s">
        <v>263</v>
      </c>
      <c r="G8385" s="252" t="s">
        <v>264</v>
      </c>
      <c r="H8385" s="598"/>
      <c r="I8385" s="599"/>
      <c r="J8385" s="599">
        <f t="shared" si="239"/>
        <v>0</v>
      </c>
    </row>
    <row r="8386" spans="5:10" ht="15.75" thickBot="1" x14ac:dyDescent="0.3">
      <c r="G8386" s="229" t="s">
        <v>4417</v>
      </c>
      <c r="H8386" s="600">
        <f>SUM(H8370:H8385)</f>
        <v>4520000</v>
      </c>
      <c r="I8386" s="601">
        <f>SUM(I8371:I8385)</f>
        <v>0</v>
      </c>
      <c r="J8386" s="601">
        <f>SUM(J8370:J8385)</f>
        <v>4520000</v>
      </c>
    </row>
    <row r="8387" spans="5:10" x14ac:dyDescent="0.25">
      <c r="E8387" s="293"/>
      <c r="F8387" s="301"/>
      <c r="G8387" s="231" t="s">
        <v>5075</v>
      </c>
      <c r="H8387" s="602"/>
      <c r="I8387" s="623"/>
      <c r="J8387" s="603"/>
    </row>
    <row r="8388" spans="5:10" ht="15.75" thickBot="1" x14ac:dyDescent="0.3">
      <c r="E8388" s="222"/>
      <c r="F8388" s="249" t="s">
        <v>234</v>
      </c>
      <c r="G8388" s="252" t="s">
        <v>235</v>
      </c>
      <c r="H8388" s="598">
        <f>SUM(H8309:H8368)</f>
        <v>4520000</v>
      </c>
      <c r="I8388" s="599"/>
      <c r="J8388" s="599">
        <f>SUM(H8388:I8388)</f>
        <v>4520000</v>
      </c>
    </row>
    <row r="8389" spans="5:10" hidden="1" x14ac:dyDescent="0.25">
      <c r="F8389" s="249" t="s">
        <v>236</v>
      </c>
      <c r="G8389" s="252" t="s">
        <v>237</v>
      </c>
      <c r="J8389" s="599">
        <f t="shared" ref="J8389:J8403" si="240">SUM(H8389:I8389)</f>
        <v>0</v>
      </c>
    </row>
    <row r="8390" spans="5:10" hidden="1" x14ac:dyDescent="0.25">
      <c r="F8390" s="249" t="s">
        <v>238</v>
      </c>
      <c r="G8390" s="252" t="s">
        <v>239</v>
      </c>
      <c r="J8390" s="599">
        <f t="shared" si="240"/>
        <v>0</v>
      </c>
    </row>
    <row r="8391" spans="5:10" hidden="1" x14ac:dyDescent="0.25">
      <c r="F8391" s="249" t="s">
        <v>240</v>
      </c>
      <c r="G8391" s="252" t="s">
        <v>241</v>
      </c>
      <c r="J8391" s="599">
        <f t="shared" si="240"/>
        <v>0</v>
      </c>
    </row>
    <row r="8392" spans="5:10" hidden="1" x14ac:dyDescent="0.25">
      <c r="F8392" s="249" t="s">
        <v>242</v>
      </c>
      <c r="G8392" s="252" t="s">
        <v>243</v>
      </c>
      <c r="J8392" s="599">
        <f t="shared" si="240"/>
        <v>0</v>
      </c>
    </row>
    <row r="8393" spans="5:10" hidden="1" x14ac:dyDescent="0.25">
      <c r="F8393" s="249" t="s">
        <v>244</v>
      </c>
      <c r="G8393" s="252" t="s">
        <v>245</v>
      </c>
      <c r="J8393" s="599">
        <f t="shared" si="240"/>
        <v>0</v>
      </c>
    </row>
    <row r="8394" spans="5:10" hidden="1" x14ac:dyDescent="0.25">
      <c r="F8394" s="249" t="s">
        <v>246</v>
      </c>
      <c r="G8394" s="252" t="s">
        <v>247</v>
      </c>
      <c r="J8394" s="599">
        <f t="shared" si="240"/>
        <v>0</v>
      </c>
    </row>
    <row r="8395" spans="5:10" hidden="1" x14ac:dyDescent="0.25">
      <c r="F8395" s="249" t="s">
        <v>248</v>
      </c>
      <c r="G8395" s="252" t="s">
        <v>249</v>
      </c>
      <c r="J8395" s="599">
        <f t="shared" si="240"/>
        <v>0</v>
      </c>
    </row>
    <row r="8396" spans="5:10" hidden="1" x14ac:dyDescent="0.25">
      <c r="F8396" s="249" t="s">
        <v>250</v>
      </c>
      <c r="G8396" s="252" t="s">
        <v>57</v>
      </c>
      <c r="J8396" s="599">
        <f t="shared" si="240"/>
        <v>0</v>
      </c>
    </row>
    <row r="8397" spans="5:10" hidden="1" x14ac:dyDescent="0.25">
      <c r="F8397" s="249" t="s">
        <v>251</v>
      </c>
      <c r="G8397" s="252" t="s">
        <v>252</v>
      </c>
      <c r="J8397" s="599">
        <f t="shared" si="240"/>
        <v>0</v>
      </c>
    </row>
    <row r="8398" spans="5:10" hidden="1" x14ac:dyDescent="0.25">
      <c r="F8398" s="249" t="s">
        <v>253</v>
      </c>
      <c r="G8398" s="252" t="s">
        <v>254</v>
      </c>
      <c r="J8398" s="599">
        <f t="shared" si="240"/>
        <v>0</v>
      </c>
    </row>
    <row r="8399" spans="5:10" ht="30" hidden="1" x14ac:dyDescent="0.25">
      <c r="F8399" s="249" t="s">
        <v>255</v>
      </c>
      <c r="G8399" s="252" t="s">
        <v>256</v>
      </c>
      <c r="J8399" s="599">
        <f t="shared" si="240"/>
        <v>0</v>
      </c>
    </row>
    <row r="8400" spans="5:10" hidden="1" x14ac:dyDescent="0.25">
      <c r="F8400" s="249" t="s">
        <v>257</v>
      </c>
      <c r="G8400" s="252" t="s">
        <v>258</v>
      </c>
      <c r="J8400" s="599">
        <f t="shared" si="240"/>
        <v>0</v>
      </c>
    </row>
    <row r="8401" spans="3:10" ht="30" hidden="1" x14ac:dyDescent="0.25">
      <c r="F8401" s="249" t="s">
        <v>259</v>
      </c>
      <c r="G8401" s="252" t="s">
        <v>260</v>
      </c>
      <c r="J8401" s="599">
        <f t="shared" si="240"/>
        <v>0</v>
      </c>
    </row>
    <row r="8402" spans="3:10" hidden="1" x14ac:dyDescent="0.25">
      <c r="F8402" s="249" t="s">
        <v>261</v>
      </c>
      <c r="G8402" s="252" t="s">
        <v>262</v>
      </c>
      <c r="J8402" s="599">
        <f t="shared" si="240"/>
        <v>0</v>
      </c>
    </row>
    <row r="8403" spans="3:10" ht="15.75" hidden="1" thickBot="1" x14ac:dyDescent="0.3">
      <c r="F8403" s="249" t="s">
        <v>263</v>
      </c>
      <c r="G8403" s="252" t="s">
        <v>264</v>
      </c>
      <c r="H8403" s="598"/>
      <c r="I8403" s="599"/>
      <c r="J8403" s="599">
        <f t="shared" si="240"/>
        <v>0</v>
      </c>
    </row>
    <row r="8404" spans="3:10" ht="15.75" thickBot="1" x14ac:dyDescent="0.3">
      <c r="G8404" s="229" t="s">
        <v>5036</v>
      </c>
      <c r="H8404" s="600">
        <f>SUM(H8388:H8403)</f>
        <v>4520000</v>
      </c>
      <c r="I8404" s="601">
        <f>SUM(I8389:I8403)</f>
        <v>0</v>
      </c>
      <c r="J8404" s="601">
        <f>SUM(J8388:J8403)</f>
        <v>4520000</v>
      </c>
    </row>
    <row r="8406" spans="3:10" hidden="1" x14ac:dyDescent="0.25">
      <c r="C8406" s="228" t="s">
        <v>4609</v>
      </c>
      <c r="D8406" s="219"/>
      <c r="G8406" s="296" t="s">
        <v>5107</v>
      </c>
    </row>
    <row r="8407" spans="3:10" hidden="1" x14ac:dyDescent="0.25">
      <c r="C8407" s="228"/>
      <c r="D8407" s="312">
        <v>473</v>
      </c>
      <c r="E8407" s="312"/>
      <c r="F8407" s="312"/>
      <c r="G8407" s="338" t="s">
        <v>162</v>
      </c>
    </row>
    <row r="8408" spans="3:10" hidden="1" x14ac:dyDescent="0.25">
      <c r="F8408" s="300">
        <v>411</v>
      </c>
      <c r="G8408" s="295" t="s">
        <v>4189</v>
      </c>
      <c r="J8408" s="595">
        <f>SUM(H8408:I8408)</f>
        <v>0</v>
      </c>
    </row>
    <row r="8409" spans="3:10" hidden="1" x14ac:dyDescent="0.25">
      <c r="F8409" s="300">
        <v>412</v>
      </c>
      <c r="G8409" s="292" t="s">
        <v>3784</v>
      </c>
      <c r="J8409" s="595">
        <f t="shared" ref="J8409:J8416" si="241">SUM(H8409:I8409)</f>
        <v>0</v>
      </c>
    </row>
    <row r="8410" spans="3:10" hidden="1" x14ac:dyDescent="0.25">
      <c r="F8410" s="300">
        <v>413</v>
      </c>
      <c r="G8410" s="295" t="s">
        <v>4190</v>
      </c>
      <c r="J8410" s="595">
        <f t="shared" si="241"/>
        <v>0</v>
      </c>
    </row>
    <row r="8411" spans="3:10" hidden="1" x14ac:dyDescent="0.25">
      <c r="F8411" s="300">
        <v>414</v>
      </c>
      <c r="G8411" s="295" t="s">
        <v>3787</v>
      </c>
      <c r="J8411" s="595">
        <f t="shared" si="241"/>
        <v>0</v>
      </c>
    </row>
    <row r="8412" spans="3:10" hidden="1" x14ac:dyDescent="0.25">
      <c r="F8412" s="300">
        <v>415</v>
      </c>
      <c r="G8412" s="295" t="s">
        <v>4199</v>
      </c>
      <c r="J8412" s="595">
        <f t="shared" si="241"/>
        <v>0</v>
      </c>
    </row>
    <row r="8413" spans="3:10" hidden="1" x14ac:dyDescent="0.25">
      <c r="F8413" s="300">
        <v>416</v>
      </c>
      <c r="G8413" s="295" t="s">
        <v>4200</v>
      </c>
      <c r="J8413" s="595">
        <f t="shared" si="241"/>
        <v>0</v>
      </c>
    </row>
    <row r="8414" spans="3:10" hidden="1" x14ac:dyDescent="0.25">
      <c r="F8414" s="300">
        <v>417</v>
      </c>
      <c r="G8414" s="295" t="s">
        <v>4201</v>
      </c>
      <c r="J8414" s="595">
        <f t="shared" si="241"/>
        <v>0</v>
      </c>
    </row>
    <row r="8415" spans="3:10" hidden="1" x14ac:dyDescent="0.25">
      <c r="F8415" s="300">
        <v>418</v>
      </c>
      <c r="G8415" s="295" t="s">
        <v>3793</v>
      </c>
      <c r="J8415" s="595">
        <f t="shared" si="241"/>
        <v>0</v>
      </c>
    </row>
    <row r="8416" spans="3:10" hidden="1" x14ac:dyDescent="0.25">
      <c r="F8416" s="300">
        <v>421</v>
      </c>
      <c r="G8416" s="295" t="s">
        <v>3797</v>
      </c>
      <c r="J8416" s="595">
        <f t="shared" si="241"/>
        <v>0</v>
      </c>
    </row>
    <row r="8417" spans="6:10" hidden="1" x14ac:dyDescent="0.25">
      <c r="F8417" s="300">
        <v>422</v>
      </c>
      <c r="G8417" s="295" t="s">
        <v>3798</v>
      </c>
      <c r="J8417" s="595">
        <f>SUM(H8417:I8417)</f>
        <v>0</v>
      </c>
    </row>
    <row r="8418" spans="6:10" ht="15.75" hidden="1" thickBot="1" x14ac:dyDescent="0.3">
      <c r="F8418" s="300">
        <v>423</v>
      </c>
      <c r="G8418" s="295" t="s">
        <v>3799</v>
      </c>
      <c r="J8418" s="595">
        <f t="shared" ref="J8418:J8467" si="242">SUM(H8418:I8418)</f>
        <v>0</v>
      </c>
    </row>
    <row r="8419" spans="6:10" hidden="1" x14ac:dyDescent="0.25">
      <c r="F8419" s="300">
        <v>424</v>
      </c>
      <c r="G8419" s="295" t="s">
        <v>3801</v>
      </c>
      <c r="J8419" s="595">
        <f t="shared" si="242"/>
        <v>0</v>
      </c>
    </row>
    <row r="8420" spans="6:10" hidden="1" x14ac:dyDescent="0.25">
      <c r="F8420" s="300">
        <v>425</v>
      </c>
      <c r="G8420" s="295" t="s">
        <v>4202</v>
      </c>
      <c r="J8420" s="595">
        <f t="shared" si="242"/>
        <v>0</v>
      </c>
    </row>
    <row r="8421" spans="6:10" hidden="1" x14ac:dyDescent="0.25">
      <c r="F8421" s="300">
        <v>426</v>
      </c>
      <c r="G8421" s="295" t="s">
        <v>3805</v>
      </c>
      <c r="J8421" s="595">
        <f t="shared" si="242"/>
        <v>0</v>
      </c>
    </row>
    <row r="8422" spans="6:10" hidden="1" x14ac:dyDescent="0.25">
      <c r="F8422" s="300">
        <v>431</v>
      </c>
      <c r="G8422" s="295" t="s">
        <v>4203</v>
      </c>
      <c r="J8422" s="595">
        <f t="shared" si="242"/>
        <v>0</v>
      </c>
    </row>
    <row r="8423" spans="6:10" hidden="1" x14ac:dyDescent="0.25">
      <c r="F8423" s="300">
        <v>432</v>
      </c>
      <c r="G8423" s="295" t="s">
        <v>4204</v>
      </c>
      <c r="J8423" s="595">
        <f t="shared" si="242"/>
        <v>0</v>
      </c>
    </row>
    <row r="8424" spans="6:10" hidden="1" x14ac:dyDescent="0.25">
      <c r="F8424" s="300">
        <v>433</v>
      </c>
      <c r="G8424" s="295" t="s">
        <v>4205</v>
      </c>
      <c r="J8424" s="595">
        <f t="shared" si="242"/>
        <v>0</v>
      </c>
    </row>
    <row r="8425" spans="6:10" hidden="1" x14ac:dyDescent="0.25">
      <c r="F8425" s="300">
        <v>434</v>
      </c>
      <c r="G8425" s="295" t="s">
        <v>4206</v>
      </c>
      <c r="J8425" s="595">
        <f t="shared" si="242"/>
        <v>0</v>
      </c>
    </row>
    <row r="8426" spans="6:10" hidden="1" x14ac:dyDescent="0.25">
      <c r="F8426" s="300">
        <v>435</v>
      </c>
      <c r="G8426" s="295" t="s">
        <v>3812</v>
      </c>
      <c r="J8426" s="595">
        <f t="shared" si="242"/>
        <v>0</v>
      </c>
    </row>
    <row r="8427" spans="6:10" hidden="1" x14ac:dyDescent="0.25">
      <c r="F8427" s="300">
        <v>441</v>
      </c>
      <c r="G8427" s="295" t="s">
        <v>4207</v>
      </c>
      <c r="J8427" s="595">
        <f t="shared" si="242"/>
        <v>0</v>
      </c>
    </row>
    <row r="8428" spans="6:10" hidden="1" x14ac:dyDescent="0.25">
      <c r="F8428" s="300">
        <v>442</v>
      </c>
      <c r="G8428" s="295" t="s">
        <v>4208</v>
      </c>
      <c r="J8428" s="595">
        <f t="shared" si="242"/>
        <v>0</v>
      </c>
    </row>
    <row r="8429" spans="6:10" hidden="1" x14ac:dyDescent="0.25">
      <c r="F8429" s="300">
        <v>443</v>
      </c>
      <c r="G8429" s="295" t="s">
        <v>3817</v>
      </c>
      <c r="J8429" s="595">
        <f t="shared" si="242"/>
        <v>0</v>
      </c>
    </row>
    <row r="8430" spans="6:10" hidden="1" x14ac:dyDescent="0.25">
      <c r="F8430" s="300">
        <v>444</v>
      </c>
      <c r="G8430" s="295" t="s">
        <v>3818</v>
      </c>
      <c r="J8430" s="595">
        <f t="shared" si="242"/>
        <v>0</v>
      </c>
    </row>
    <row r="8431" spans="6:10" ht="30" hidden="1" x14ac:dyDescent="0.25">
      <c r="F8431" s="300">
        <v>4511</v>
      </c>
      <c r="G8431" s="223" t="s">
        <v>1692</v>
      </c>
      <c r="J8431" s="595">
        <f t="shared" si="242"/>
        <v>0</v>
      </c>
    </row>
    <row r="8432" spans="6:10" ht="30" hidden="1" x14ac:dyDescent="0.25">
      <c r="F8432" s="300">
        <v>4512</v>
      </c>
      <c r="G8432" s="223" t="s">
        <v>1701</v>
      </c>
      <c r="J8432" s="595">
        <f t="shared" si="242"/>
        <v>0</v>
      </c>
    </row>
    <row r="8433" spans="6:10" hidden="1" x14ac:dyDescent="0.25">
      <c r="F8433" s="300">
        <v>452</v>
      </c>
      <c r="G8433" s="295" t="s">
        <v>4209</v>
      </c>
      <c r="J8433" s="595">
        <f t="shared" si="242"/>
        <v>0</v>
      </c>
    </row>
    <row r="8434" spans="6:10" hidden="1" x14ac:dyDescent="0.25">
      <c r="F8434" s="300">
        <v>453</v>
      </c>
      <c r="G8434" s="295" t="s">
        <v>4210</v>
      </c>
      <c r="J8434" s="595">
        <f t="shared" si="242"/>
        <v>0</v>
      </c>
    </row>
    <row r="8435" spans="6:10" hidden="1" x14ac:dyDescent="0.25">
      <c r="F8435" s="300">
        <v>454</v>
      </c>
      <c r="G8435" s="295" t="s">
        <v>3823</v>
      </c>
      <c r="J8435" s="595">
        <f t="shared" si="242"/>
        <v>0</v>
      </c>
    </row>
    <row r="8436" spans="6:10" hidden="1" x14ac:dyDescent="0.25">
      <c r="F8436" s="300">
        <v>461</v>
      </c>
      <c r="G8436" s="295" t="s">
        <v>4191</v>
      </c>
      <c r="J8436" s="595">
        <f t="shared" si="242"/>
        <v>0</v>
      </c>
    </row>
    <row r="8437" spans="6:10" hidden="1" x14ac:dyDescent="0.25">
      <c r="F8437" s="300">
        <v>462</v>
      </c>
      <c r="G8437" s="295" t="s">
        <v>3826</v>
      </c>
      <c r="J8437" s="595">
        <f t="shared" si="242"/>
        <v>0</v>
      </c>
    </row>
    <row r="8438" spans="6:10" hidden="1" x14ac:dyDescent="0.25">
      <c r="F8438" s="300">
        <v>4631</v>
      </c>
      <c r="G8438" s="295" t="s">
        <v>3827</v>
      </c>
      <c r="J8438" s="595">
        <f t="shared" si="242"/>
        <v>0</v>
      </c>
    </row>
    <row r="8439" spans="6:10" hidden="1" x14ac:dyDescent="0.25">
      <c r="F8439" s="300">
        <v>4632</v>
      </c>
      <c r="G8439" s="295" t="s">
        <v>3828</v>
      </c>
      <c r="J8439" s="595">
        <f t="shared" si="242"/>
        <v>0</v>
      </c>
    </row>
    <row r="8440" spans="6:10" hidden="1" x14ac:dyDescent="0.25">
      <c r="F8440" s="300">
        <v>464</v>
      </c>
      <c r="G8440" s="295" t="s">
        <v>3829</v>
      </c>
      <c r="J8440" s="595">
        <f t="shared" si="242"/>
        <v>0</v>
      </c>
    </row>
    <row r="8441" spans="6:10" hidden="1" x14ac:dyDescent="0.25">
      <c r="F8441" s="300">
        <v>465</v>
      </c>
      <c r="G8441" s="295" t="s">
        <v>4192</v>
      </c>
      <c r="J8441" s="595">
        <f t="shared" si="242"/>
        <v>0</v>
      </c>
    </row>
    <row r="8442" spans="6:10" hidden="1" x14ac:dyDescent="0.25">
      <c r="F8442" s="300">
        <v>472</v>
      </c>
      <c r="G8442" s="295" t="s">
        <v>3833</v>
      </c>
      <c r="J8442" s="595">
        <f t="shared" si="242"/>
        <v>0</v>
      </c>
    </row>
    <row r="8443" spans="6:10" hidden="1" x14ac:dyDescent="0.25">
      <c r="F8443" s="300">
        <v>481</v>
      </c>
      <c r="G8443" s="295" t="s">
        <v>4211</v>
      </c>
      <c r="J8443" s="595">
        <f t="shared" si="242"/>
        <v>0</v>
      </c>
    </row>
    <row r="8444" spans="6:10" hidden="1" x14ac:dyDescent="0.25">
      <c r="F8444" s="300">
        <v>482</v>
      </c>
      <c r="G8444" s="295" t="s">
        <v>4212</v>
      </c>
      <c r="J8444" s="595">
        <f t="shared" si="242"/>
        <v>0</v>
      </c>
    </row>
    <row r="8445" spans="6:10" hidden="1" x14ac:dyDescent="0.25">
      <c r="F8445" s="300">
        <v>483</v>
      </c>
      <c r="G8445" s="298" t="s">
        <v>4213</v>
      </c>
      <c r="J8445" s="595">
        <f t="shared" si="242"/>
        <v>0</v>
      </c>
    </row>
    <row r="8446" spans="6:10" ht="30" hidden="1" x14ac:dyDescent="0.25">
      <c r="F8446" s="300">
        <v>484</v>
      </c>
      <c r="G8446" s="295" t="s">
        <v>4214</v>
      </c>
      <c r="J8446" s="595">
        <f t="shared" si="242"/>
        <v>0</v>
      </c>
    </row>
    <row r="8447" spans="6:10" ht="30" hidden="1" x14ac:dyDescent="0.25">
      <c r="F8447" s="300">
        <v>485</v>
      </c>
      <c r="G8447" s="295" t="s">
        <v>4215</v>
      </c>
      <c r="J8447" s="595">
        <f t="shared" si="242"/>
        <v>0</v>
      </c>
    </row>
    <row r="8448" spans="6:10" ht="30" hidden="1" x14ac:dyDescent="0.25">
      <c r="F8448" s="300">
        <v>489</v>
      </c>
      <c r="G8448" s="295" t="s">
        <v>3841</v>
      </c>
      <c r="J8448" s="595">
        <f t="shared" si="242"/>
        <v>0</v>
      </c>
    </row>
    <row r="8449" spans="6:10" hidden="1" x14ac:dyDescent="0.25">
      <c r="F8449" s="300">
        <v>494</v>
      </c>
      <c r="G8449" s="295" t="s">
        <v>4193</v>
      </c>
      <c r="J8449" s="595">
        <f t="shared" si="242"/>
        <v>0</v>
      </c>
    </row>
    <row r="8450" spans="6:10" ht="30" hidden="1" x14ac:dyDescent="0.25">
      <c r="F8450" s="300">
        <v>495</v>
      </c>
      <c r="G8450" s="295" t="s">
        <v>4194</v>
      </c>
      <c r="J8450" s="595">
        <f t="shared" si="242"/>
        <v>0</v>
      </c>
    </row>
    <row r="8451" spans="6:10" ht="30" hidden="1" x14ac:dyDescent="0.25">
      <c r="F8451" s="300">
        <v>496</v>
      </c>
      <c r="G8451" s="295" t="s">
        <v>4195</v>
      </c>
      <c r="J8451" s="595">
        <f t="shared" si="242"/>
        <v>0</v>
      </c>
    </row>
    <row r="8452" spans="6:10" hidden="1" x14ac:dyDescent="0.25">
      <c r="F8452" s="300">
        <v>499</v>
      </c>
      <c r="G8452" s="295" t="s">
        <v>4196</v>
      </c>
      <c r="J8452" s="595">
        <f t="shared" si="242"/>
        <v>0</v>
      </c>
    </row>
    <row r="8453" spans="6:10" hidden="1" x14ac:dyDescent="0.25">
      <c r="F8453" s="300">
        <v>511</v>
      </c>
      <c r="G8453" s="298" t="s">
        <v>4216</v>
      </c>
      <c r="J8453" s="595">
        <f t="shared" si="242"/>
        <v>0</v>
      </c>
    </row>
    <row r="8454" spans="6:10" hidden="1" x14ac:dyDescent="0.25">
      <c r="F8454" s="300">
        <v>512</v>
      </c>
      <c r="G8454" s="298" t="s">
        <v>4217</v>
      </c>
      <c r="J8454" s="595">
        <f t="shared" si="242"/>
        <v>0</v>
      </c>
    </row>
    <row r="8455" spans="6:10" hidden="1" x14ac:dyDescent="0.25">
      <c r="F8455" s="300">
        <v>513</v>
      </c>
      <c r="G8455" s="298" t="s">
        <v>4218</v>
      </c>
      <c r="J8455" s="595">
        <f t="shared" si="242"/>
        <v>0</v>
      </c>
    </row>
    <row r="8456" spans="6:10" hidden="1" x14ac:dyDescent="0.25">
      <c r="F8456" s="300">
        <v>514</v>
      </c>
      <c r="G8456" s="295" t="s">
        <v>4219</v>
      </c>
      <c r="J8456" s="595">
        <f t="shared" si="242"/>
        <v>0</v>
      </c>
    </row>
    <row r="8457" spans="6:10" hidden="1" x14ac:dyDescent="0.25">
      <c r="F8457" s="300">
        <v>515</v>
      </c>
      <c r="G8457" s="295" t="s">
        <v>3852</v>
      </c>
      <c r="J8457" s="595">
        <f t="shared" si="242"/>
        <v>0</v>
      </c>
    </row>
    <row r="8458" spans="6:10" hidden="1" x14ac:dyDescent="0.25">
      <c r="F8458" s="300">
        <v>521</v>
      </c>
      <c r="G8458" s="295" t="s">
        <v>4220</v>
      </c>
      <c r="J8458" s="595">
        <f t="shared" si="242"/>
        <v>0</v>
      </c>
    </row>
    <row r="8459" spans="6:10" hidden="1" x14ac:dyDescent="0.25">
      <c r="F8459" s="300">
        <v>522</v>
      </c>
      <c r="G8459" s="295" t="s">
        <v>4221</v>
      </c>
      <c r="J8459" s="595">
        <f t="shared" si="242"/>
        <v>0</v>
      </c>
    </row>
    <row r="8460" spans="6:10" hidden="1" x14ac:dyDescent="0.25">
      <c r="F8460" s="300">
        <v>523</v>
      </c>
      <c r="G8460" s="295" t="s">
        <v>3857</v>
      </c>
      <c r="J8460" s="595">
        <f t="shared" si="242"/>
        <v>0</v>
      </c>
    </row>
    <row r="8461" spans="6:10" hidden="1" x14ac:dyDescent="0.25">
      <c r="F8461" s="300">
        <v>531</v>
      </c>
      <c r="G8461" s="292" t="s">
        <v>4197</v>
      </c>
      <c r="J8461" s="595">
        <f t="shared" si="242"/>
        <v>0</v>
      </c>
    </row>
    <row r="8462" spans="6:10" hidden="1" x14ac:dyDescent="0.25">
      <c r="F8462" s="300">
        <v>541</v>
      </c>
      <c r="G8462" s="295" t="s">
        <v>4222</v>
      </c>
      <c r="J8462" s="595">
        <f t="shared" si="242"/>
        <v>0</v>
      </c>
    </row>
    <row r="8463" spans="6:10" hidden="1" x14ac:dyDescent="0.25">
      <c r="F8463" s="300">
        <v>542</v>
      </c>
      <c r="G8463" s="295" t="s">
        <v>4223</v>
      </c>
      <c r="J8463" s="595">
        <f t="shared" si="242"/>
        <v>0</v>
      </c>
    </row>
    <row r="8464" spans="6:10" hidden="1" x14ac:dyDescent="0.25">
      <c r="F8464" s="300">
        <v>543</v>
      </c>
      <c r="G8464" s="295" t="s">
        <v>3862</v>
      </c>
      <c r="J8464" s="595">
        <f t="shared" si="242"/>
        <v>0</v>
      </c>
    </row>
    <row r="8465" spans="5:10" ht="30" hidden="1" x14ac:dyDescent="0.25">
      <c r="F8465" s="300">
        <v>551</v>
      </c>
      <c r="G8465" s="295" t="s">
        <v>4198</v>
      </c>
      <c r="J8465" s="595">
        <f t="shared" si="242"/>
        <v>0</v>
      </c>
    </row>
    <row r="8466" spans="5:10" hidden="1" x14ac:dyDescent="0.25">
      <c r="F8466" s="301">
        <v>611</v>
      </c>
      <c r="G8466" s="299" t="s">
        <v>3868</v>
      </c>
      <c r="J8466" s="595">
        <f t="shared" si="242"/>
        <v>0</v>
      </c>
    </row>
    <row r="8467" spans="5:10" ht="15.75" hidden="1" thickBot="1" x14ac:dyDescent="0.3">
      <c r="F8467" s="301">
        <v>620</v>
      </c>
      <c r="G8467" s="299" t="s">
        <v>88</v>
      </c>
      <c r="J8467" s="595">
        <f t="shared" si="242"/>
        <v>0</v>
      </c>
    </row>
    <row r="8468" spans="5:10" hidden="1" x14ac:dyDescent="0.25">
      <c r="E8468" s="293"/>
      <c r="F8468" s="301"/>
      <c r="G8468" s="327" t="s">
        <v>4416</v>
      </c>
      <c r="H8468" s="596"/>
      <c r="I8468" s="622"/>
      <c r="J8468" s="597"/>
    </row>
    <row r="8469" spans="5:10" ht="15.75" hidden="1" thickBot="1" x14ac:dyDescent="0.3">
      <c r="E8469" s="222"/>
      <c r="F8469" s="249" t="s">
        <v>234</v>
      </c>
      <c r="G8469" s="252" t="s">
        <v>235</v>
      </c>
      <c r="H8469" s="598">
        <f>SUM(H8408:H8467)</f>
        <v>0</v>
      </c>
      <c r="I8469" s="599"/>
      <c r="J8469" s="599">
        <f t="shared" ref="J8469:J8484" si="243">SUM(H8469:I8469)</f>
        <v>0</v>
      </c>
    </row>
    <row r="8470" spans="5:10" hidden="1" x14ac:dyDescent="0.25">
      <c r="F8470" s="249" t="s">
        <v>236</v>
      </c>
      <c r="G8470" s="252" t="s">
        <v>237</v>
      </c>
      <c r="J8470" s="599">
        <f t="shared" si="243"/>
        <v>0</v>
      </c>
    </row>
    <row r="8471" spans="5:10" hidden="1" x14ac:dyDescent="0.25">
      <c r="F8471" s="249" t="s">
        <v>238</v>
      </c>
      <c r="G8471" s="252" t="s">
        <v>239</v>
      </c>
      <c r="J8471" s="599">
        <f t="shared" si="243"/>
        <v>0</v>
      </c>
    </row>
    <row r="8472" spans="5:10" hidden="1" x14ac:dyDescent="0.25">
      <c r="F8472" s="249" t="s">
        <v>240</v>
      </c>
      <c r="G8472" s="252" t="s">
        <v>241</v>
      </c>
      <c r="J8472" s="599">
        <f t="shared" si="243"/>
        <v>0</v>
      </c>
    </row>
    <row r="8473" spans="5:10" hidden="1" x14ac:dyDescent="0.25">
      <c r="F8473" s="249" t="s">
        <v>242</v>
      </c>
      <c r="G8473" s="252" t="s">
        <v>243</v>
      </c>
      <c r="J8473" s="599">
        <f t="shared" si="243"/>
        <v>0</v>
      </c>
    </row>
    <row r="8474" spans="5:10" hidden="1" x14ac:dyDescent="0.25">
      <c r="F8474" s="249" t="s">
        <v>244</v>
      </c>
      <c r="G8474" s="252" t="s">
        <v>245</v>
      </c>
      <c r="J8474" s="599">
        <f t="shared" si="243"/>
        <v>0</v>
      </c>
    </row>
    <row r="8475" spans="5:10" hidden="1" x14ac:dyDescent="0.25">
      <c r="F8475" s="249" t="s">
        <v>246</v>
      </c>
      <c r="G8475" s="252" t="s">
        <v>247</v>
      </c>
      <c r="J8475" s="599">
        <f t="shared" si="243"/>
        <v>0</v>
      </c>
    </row>
    <row r="8476" spans="5:10" hidden="1" x14ac:dyDescent="0.25">
      <c r="F8476" s="249" t="s">
        <v>248</v>
      </c>
      <c r="G8476" s="252" t="s">
        <v>249</v>
      </c>
      <c r="J8476" s="599">
        <f t="shared" si="243"/>
        <v>0</v>
      </c>
    </row>
    <row r="8477" spans="5:10" hidden="1" x14ac:dyDescent="0.25">
      <c r="F8477" s="249" t="s">
        <v>250</v>
      </c>
      <c r="G8477" s="252" t="s">
        <v>57</v>
      </c>
      <c r="J8477" s="599">
        <f t="shared" si="243"/>
        <v>0</v>
      </c>
    </row>
    <row r="8478" spans="5:10" hidden="1" x14ac:dyDescent="0.25">
      <c r="F8478" s="249" t="s">
        <v>251</v>
      </c>
      <c r="G8478" s="252" t="s">
        <v>252</v>
      </c>
      <c r="J8478" s="599">
        <f t="shared" si="243"/>
        <v>0</v>
      </c>
    </row>
    <row r="8479" spans="5:10" hidden="1" x14ac:dyDescent="0.25">
      <c r="F8479" s="249" t="s">
        <v>253</v>
      </c>
      <c r="G8479" s="252" t="s">
        <v>254</v>
      </c>
      <c r="J8479" s="599">
        <f t="shared" si="243"/>
        <v>0</v>
      </c>
    </row>
    <row r="8480" spans="5:10" ht="30" hidden="1" x14ac:dyDescent="0.25">
      <c r="F8480" s="249" t="s">
        <v>255</v>
      </c>
      <c r="G8480" s="252" t="s">
        <v>256</v>
      </c>
      <c r="J8480" s="599">
        <f t="shared" si="243"/>
        <v>0</v>
      </c>
    </row>
    <row r="8481" spans="5:10" hidden="1" x14ac:dyDescent="0.25">
      <c r="F8481" s="249" t="s">
        <v>257</v>
      </c>
      <c r="G8481" s="252" t="s">
        <v>258</v>
      </c>
      <c r="J8481" s="599">
        <f t="shared" si="243"/>
        <v>0</v>
      </c>
    </row>
    <row r="8482" spans="5:10" ht="30" hidden="1" x14ac:dyDescent="0.25">
      <c r="F8482" s="249" t="s">
        <v>259</v>
      </c>
      <c r="G8482" s="252" t="s">
        <v>260</v>
      </c>
      <c r="J8482" s="599">
        <f t="shared" si="243"/>
        <v>0</v>
      </c>
    </row>
    <row r="8483" spans="5:10" hidden="1" x14ac:dyDescent="0.25">
      <c r="F8483" s="249" t="s">
        <v>261</v>
      </c>
      <c r="G8483" s="252" t="s">
        <v>262</v>
      </c>
      <c r="J8483" s="599">
        <f t="shared" si="243"/>
        <v>0</v>
      </c>
    </row>
    <row r="8484" spans="5:10" ht="15.75" hidden="1" thickBot="1" x14ac:dyDescent="0.3">
      <c r="F8484" s="249" t="s">
        <v>263</v>
      </c>
      <c r="G8484" s="252" t="s">
        <v>264</v>
      </c>
      <c r="H8484" s="598"/>
      <c r="I8484" s="599"/>
      <c r="J8484" s="599">
        <f t="shared" si="243"/>
        <v>0</v>
      </c>
    </row>
    <row r="8485" spans="5:10" ht="15.75" hidden="1" thickBot="1" x14ac:dyDescent="0.3">
      <c r="G8485" s="229" t="s">
        <v>4417</v>
      </c>
      <c r="H8485" s="600">
        <f>SUM(H8469:H8484)</f>
        <v>0</v>
      </c>
      <c r="I8485" s="601">
        <f>SUM(I8470:I8484)</f>
        <v>0</v>
      </c>
      <c r="J8485" s="601">
        <f>SUM(J8469:J8484)</f>
        <v>0</v>
      </c>
    </row>
    <row r="8486" spans="5:10" hidden="1" x14ac:dyDescent="0.25">
      <c r="E8486" s="293"/>
      <c r="F8486" s="301"/>
      <c r="G8486" s="231" t="s">
        <v>5076</v>
      </c>
      <c r="H8486" s="602"/>
      <c r="I8486" s="623"/>
      <c r="J8486" s="603"/>
    </row>
    <row r="8487" spans="5:10" ht="15.75" hidden="1" thickBot="1" x14ac:dyDescent="0.3">
      <c r="E8487" s="222"/>
      <c r="F8487" s="249" t="s">
        <v>234</v>
      </c>
      <c r="G8487" s="252" t="s">
        <v>235</v>
      </c>
      <c r="H8487" s="598">
        <f>SUM(H8408:H8467)</f>
        <v>0</v>
      </c>
      <c r="I8487" s="599"/>
      <c r="J8487" s="599">
        <f>SUM(H8487:I8487)</f>
        <v>0</v>
      </c>
    </row>
    <row r="8488" spans="5:10" hidden="1" x14ac:dyDescent="0.25">
      <c r="F8488" s="249" t="s">
        <v>236</v>
      </c>
      <c r="G8488" s="252" t="s">
        <v>237</v>
      </c>
      <c r="J8488" s="599">
        <f t="shared" ref="J8488:J8502" si="244">SUM(H8488:I8488)</f>
        <v>0</v>
      </c>
    </row>
    <row r="8489" spans="5:10" hidden="1" x14ac:dyDescent="0.25">
      <c r="F8489" s="249" t="s">
        <v>238</v>
      </c>
      <c r="G8489" s="252" t="s">
        <v>239</v>
      </c>
      <c r="J8489" s="599">
        <f t="shared" si="244"/>
        <v>0</v>
      </c>
    </row>
    <row r="8490" spans="5:10" hidden="1" x14ac:dyDescent="0.25">
      <c r="F8490" s="249" t="s">
        <v>240</v>
      </c>
      <c r="G8490" s="252" t="s">
        <v>241</v>
      </c>
      <c r="J8490" s="599">
        <f t="shared" si="244"/>
        <v>0</v>
      </c>
    </row>
    <row r="8491" spans="5:10" hidden="1" x14ac:dyDescent="0.25">
      <c r="F8491" s="249" t="s">
        <v>242</v>
      </c>
      <c r="G8491" s="252" t="s">
        <v>243</v>
      </c>
      <c r="J8491" s="599">
        <f t="shared" si="244"/>
        <v>0</v>
      </c>
    </row>
    <row r="8492" spans="5:10" hidden="1" x14ac:dyDescent="0.25">
      <c r="F8492" s="249" t="s">
        <v>244</v>
      </c>
      <c r="G8492" s="252" t="s">
        <v>245</v>
      </c>
      <c r="J8492" s="599">
        <f t="shared" si="244"/>
        <v>0</v>
      </c>
    </row>
    <row r="8493" spans="5:10" hidden="1" x14ac:dyDescent="0.25">
      <c r="F8493" s="249" t="s">
        <v>246</v>
      </c>
      <c r="G8493" s="252" t="s">
        <v>247</v>
      </c>
      <c r="J8493" s="599">
        <f t="shared" si="244"/>
        <v>0</v>
      </c>
    </row>
    <row r="8494" spans="5:10" hidden="1" x14ac:dyDescent="0.25">
      <c r="F8494" s="249" t="s">
        <v>248</v>
      </c>
      <c r="G8494" s="252" t="s">
        <v>249</v>
      </c>
      <c r="J8494" s="599">
        <f t="shared" si="244"/>
        <v>0</v>
      </c>
    </row>
    <row r="8495" spans="5:10" hidden="1" x14ac:dyDescent="0.25">
      <c r="F8495" s="249" t="s">
        <v>250</v>
      </c>
      <c r="G8495" s="252" t="s">
        <v>57</v>
      </c>
      <c r="J8495" s="599">
        <f t="shared" si="244"/>
        <v>0</v>
      </c>
    </row>
    <row r="8496" spans="5:10" hidden="1" x14ac:dyDescent="0.25">
      <c r="F8496" s="249" t="s">
        <v>251</v>
      </c>
      <c r="G8496" s="252" t="s">
        <v>252</v>
      </c>
      <c r="J8496" s="599">
        <f t="shared" si="244"/>
        <v>0</v>
      </c>
    </row>
    <row r="8497" spans="3:10" hidden="1" x14ac:dyDescent="0.25">
      <c r="F8497" s="249" t="s">
        <v>253</v>
      </c>
      <c r="G8497" s="252" t="s">
        <v>254</v>
      </c>
      <c r="J8497" s="599">
        <f t="shared" si="244"/>
        <v>0</v>
      </c>
    </row>
    <row r="8498" spans="3:10" ht="30" hidden="1" x14ac:dyDescent="0.25">
      <c r="F8498" s="249" t="s">
        <v>255</v>
      </c>
      <c r="G8498" s="252" t="s">
        <v>256</v>
      </c>
      <c r="J8498" s="599">
        <f t="shared" si="244"/>
        <v>0</v>
      </c>
    </row>
    <row r="8499" spans="3:10" hidden="1" x14ac:dyDescent="0.25">
      <c r="F8499" s="249" t="s">
        <v>257</v>
      </c>
      <c r="G8499" s="252" t="s">
        <v>258</v>
      </c>
      <c r="J8499" s="599">
        <f t="shared" si="244"/>
        <v>0</v>
      </c>
    </row>
    <row r="8500" spans="3:10" ht="30" hidden="1" x14ac:dyDescent="0.25">
      <c r="F8500" s="249" t="s">
        <v>259</v>
      </c>
      <c r="G8500" s="252" t="s">
        <v>260</v>
      </c>
      <c r="J8500" s="599">
        <f t="shared" si="244"/>
        <v>0</v>
      </c>
    </row>
    <row r="8501" spans="3:10" hidden="1" x14ac:dyDescent="0.25">
      <c r="F8501" s="249" t="s">
        <v>261</v>
      </c>
      <c r="G8501" s="252" t="s">
        <v>262</v>
      </c>
      <c r="J8501" s="599">
        <f t="shared" si="244"/>
        <v>0</v>
      </c>
    </row>
    <row r="8502" spans="3:10" ht="15.75" hidden="1" thickBot="1" x14ac:dyDescent="0.3">
      <c r="F8502" s="249" t="s">
        <v>263</v>
      </c>
      <c r="G8502" s="252" t="s">
        <v>264</v>
      </c>
      <c r="H8502" s="598"/>
      <c r="I8502" s="599"/>
      <c r="J8502" s="599">
        <f t="shared" si="244"/>
        <v>0</v>
      </c>
    </row>
    <row r="8503" spans="3:10" ht="15.75" hidden="1" thickBot="1" x14ac:dyDescent="0.3">
      <c r="G8503" s="229" t="s">
        <v>5037</v>
      </c>
      <c r="H8503" s="600">
        <f>SUM(H8487:H8502)</f>
        <v>0</v>
      </c>
      <c r="I8503" s="601">
        <f>SUM(I8488:I8502)</f>
        <v>0</v>
      </c>
      <c r="J8503" s="601">
        <f>SUM(J8487:J8502)</f>
        <v>0</v>
      </c>
    </row>
    <row r="8504" spans="3:10" hidden="1" x14ac:dyDescent="0.25"/>
    <row r="8505" spans="3:10" hidden="1" x14ac:dyDescent="0.25">
      <c r="C8505" s="228" t="s">
        <v>4610</v>
      </c>
      <c r="D8505" s="219"/>
      <c r="G8505" s="296" t="s">
        <v>5108</v>
      </c>
    </row>
    <row r="8506" spans="3:10" hidden="1" x14ac:dyDescent="0.25">
      <c r="C8506" s="228"/>
      <c r="D8506" s="312">
        <v>473</v>
      </c>
      <c r="E8506" s="312"/>
      <c r="F8506" s="312"/>
      <c r="G8506" s="338" t="s">
        <v>162</v>
      </c>
    </row>
    <row r="8507" spans="3:10" hidden="1" x14ac:dyDescent="0.25">
      <c r="F8507" s="300">
        <v>411</v>
      </c>
      <c r="G8507" s="295" t="s">
        <v>4189</v>
      </c>
      <c r="J8507" s="595">
        <f>SUM(H8507:I8507)</f>
        <v>0</v>
      </c>
    </row>
    <row r="8508" spans="3:10" hidden="1" x14ac:dyDescent="0.25">
      <c r="F8508" s="300">
        <v>412</v>
      </c>
      <c r="G8508" s="292" t="s">
        <v>3784</v>
      </c>
      <c r="J8508" s="595">
        <f t="shared" ref="J8508:J8515" si="245">SUM(H8508:I8508)</f>
        <v>0</v>
      </c>
    </row>
    <row r="8509" spans="3:10" hidden="1" x14ac:dyDescent="0.25">
      <c r="F8509" s="300">
        <v>413</v>
      </c>
      <c r="G8509" s="295" t="s">
        <v>4190</v>
      </c>
      <c r="J8509" s="595">
        <f t="shared" si="245"/>
        <v>0</v>
      </c>
    </row>
    <row r="8510" spans="3:10" hidden="1" x14ac:dyDescent="0.25">
      <c r="F8510" s="300">
        <v>414</v>
      </c>
      <c r="G8510" s="295" t="s">
        <v>3787</v>
      </c>
      <c r="J8510" s="595">
        <f t="shared" si="245"/>
        <v>0</v>
      </c>
    </row>
    <row r="8511" spans="3:10" hidden="1" x14ac:dyDescent="0.25">
      <c r="F8511" s="300">
        <v>415</v>
      </c>
      <c r="G8511" s="295" t="s">
        <v>4199</v>
      </c>
      <c r="J8511" s="595">
        <f t="shared" si="245"/>
        <v>0</v>
      </c>
    </row>
    <row r="8512" spans="3:10" hidden="1" x14ac:dyDescent="0.25">
      <c r="F8512" s="300">
        <v>416</v>
      </c>
      <c r="G8512" s="295" t="s">
        <v>4200</v>
      </c>
      <c r="J8512" s="595">
        <f t="shared" si="245"/>
        <v>0</v>
      </c>
    </row>
    <row r="8513" spans="6:10" hidden="1" x14ac:dyDescent="0.25">
      <c r="F8513" s="300">
        <v>417</v>
      </c>
      <c r="G8513" s="295" t="s">
        <v>4201</v>
      </c>
      <c r="J8513" s="595">
        <f t="shared" si="245"/>
        <v>0</v>
      </c>
    </row>
    <row r="8514" spans="6:10" hidden="1" x14ac:dyDescent="0.25">
      <c r="F8514" s="300">
        <v>418</v>
      </c>
      <c r="G8514" s="295" t="s">
        <v>3793</v>
      </c>
      <c r="J8514" s="595">
        <f t="shared" si="245"/>
        <v>0</v>
      </c>
    </row>
    <row r="8515" spans="6:10" hidden="1" x14ac:dyDescent="0.25">
      <c r="F8515" s="300">
        <v>421</v>
      </c>
      <c r="G8515" s="295" t="s">
        <v>3797</v>
      </c>
      <c r="J8515" s="595">
        <f t="shared" si="245"/>
        <v>0</v>
      </c>
    </row>
    <row r="8516" spans="6:10" hidden="1" x14ac:dyDescent="0.25">
      <c r="F8516" s="300">
        <v>422</v>
      </c>
      <c r="G8516" s="295" t="s">
        <v>3798</v>
      </c>
      <c r="J8516" s="595">
        <f>SUM(H8516:I8516)</f>
        <v>0</v>
      </c>
    </row>
    <row r="8517" spans="6:10" ht="15.75" hidden="1" thickBot="1" x14ac:dyDescent="0.3">
      <c r="F8517" s="300">
        <v>423</v>
      </c>
      <c r="G8517" s="295" t="s">
        <v>3799</v>
      </c>
      <c r="J8517" s="595">
        <f t="shared" ref="J8517:J8566" si="246">SUM(H8517:I8517)</f>
        <v>0</v>
      </c>
    </row>
    <row r="8518" spans="6:10" hidden="1" x14ac:dyDescent="0.25">
      <c r="F8518" s="300">
        <v>424</v>
      </c>
      <c r="G8518" s="295" t="s">
        <v>3801</v>
      </c>
      <c r="J8518" s="595">
        <f t="shared" si="246"/>
        <v>0</v>
      </c>
    </row>
    <row r="8519" spans="6:10" hidden="1" x14ac:dyDescent="0.25">
      <c r="F8519" s="300">
        <v>425</v>
      </c>
      <c r="G8519" s="295" t="s">
        <v>4202</v>
      </c>
      <c r="J8519" s="595">
        <f t="shared" si="246"/>
        <v>0</v>
      </c>
    </row>
    <row r="8520" spans="6:10" hidden="1" x14ac:dyDescent="0.25">
      <c r="F8520" s="300">
        <v>426</v>
      </c>
      <c r="G8520" s="295" t="s">
        <v>3805</v>
      </c>
      <c r="J8520" s="595">
        <f t="shared" si="246"/>
        <v>0</v>
      </c>
    </row>
    <row r="8521" spans="6:10" hidden="1" x14ac:dyDescent="0.25">
      <c r="F8521" s="300">
        <v>431</v>
      </c>
      <c r="G8521" s="295" t="s">
        <v>4203</v>
      </c>
      <c r="J8521" s="595">
        <f t="shared" si="246"/>
        <v>0</v>
      </c>
    </row>
    <row r="8522" spans="6:10" hidden="1" x14ac:dyDescent="0.25">
      <c r="F8522" s="300">
        <v>432</v>
      </c>
      <c r="G8522" s="295" t="s">
        <v>4204</v>
      </c>
      <c r="J8522" s="595">
        <f t="shared" si="246"/>
        <v>0</v>
      </c>
    </row>
    <row r="8523" spans="6:10" hidden="1" x14ac:dyDescent="0.25">
      <c r="F8523" s="300">
        <v>433</v>
      </c>
      <c r="G8523" s="295" t="s">
        <v>4205</v>
      </c>
      <c r="J8523" s="595">
        <f t="shared" si="246"/>
        <v>0</v>
      </c>
    </row>
    <row r="8524" spans="6:10" hidden="1" x14ac:dyDescent="0.25">
      <c r="F8524" s="300">
        <v>434</v>
      </c>
      <c r="G8524" s="295" t="s">
        <v>4206</v>
      </c>
      <c r="J8524" s="595">
        <f t="shared" si="246"/>
        <v>0</v>
      </c>
    </row>
    <row r="8525" spans="6:10" hidden="1" x14ac:dyDescent="0.25">
      <c r="F8525" s="300">
        <v>435</v>
      </c>
      <c r="G8525" s="295" t="s">
        <v>3812</v>
      </c>
      <c r="J8525" s="595">
        <f t="shared" si="246"/>
        <v>0</v>
      </c>
    </row>
    <row r="8526" spans="6:10" hidden="1" x14ac:dyDescent="0.25">
      <c r="F8526" s="300">
        <v>441</v>
      </c>
      <c r="G8526" s="295" t="s">
        <v>4207</v>
      </c>
      <c r="J8526" s="595">
        <f t="shared" si="246"/>
        <v>0</v>
      </c>
    </row>
    <row r="8527" spans="6:10" hidden="1" x14ac:dyDescent="0.25">
      <c r="F8527" s="300">
        <v>442</v>
      </c>
      <c r="G8527" s="295" t="s">
        <v>4208</v>
      </c>
      <c r="J8527" s="595">
        <f t="shared" si="246"/>
        <v>0</v>
      </c>
    </row>
    <row r="8528" spans="6:10" hidden="1" x14ac:dyDescent="0.25">
      <c r="F8528" s="300">
        <v>443</v>
      </c>
      <c r="G8528" s="295" t="s">
        <v>3817</v>
      </c>
      <c r="J8528" s="595">
        <f t="shared" si="246"/>
        <v>0</v>
      </c>
    </row>
    <row r="8529" spans="6:10" hidden="1" x14ac:dyDescent="0.25">
      <c r="F8529" s="300">
        <v>444</v>
      </c>
      <c r="G8529" s="295" t="s">
        <v>3818</v>
      </c>
      <c r="J8529" s="595">
        <f t="shared" si="246"/>
        <v>0</v>
      </c>
    </row>
    <row r="8530" spans="6:10" ht="30" hidden="1" x14ac:dyDescent="0.25">
      <c r="F8530" s="300">
        <v>4511</v>
      </c>
      <c r="G8530" s="223" t="s">
        <v>1692</v>
      </c>
      <c r="J8530" s="595">
        <f t="shared" si="246"/>
        <v>0</v>
      </c>
    </row>
    <row r="8531" spans="6:10" ht="30" hidden="1" x14ac:dyDescent="0.25">
      <c r="F8531" s="300">
        <v>4512</v>
      </c>
      <c r="G8531" s="223" t="s">
        <v>1701</v>
      </c>
      <c r="J8531" s="595">
        <f t="shared" si="246"/>
        <v>0</v>
      </c>
    </row>
    <row r="8532" spans="6:10" hidden="1" x14ac:dyDescent="0.25">
      <c r="F8532" s="300">
        <v>452</v>
      </c>
      <c r="G8532" s="295" t="s">
        <v>4209</v>
      </c>
      <c r="J8532" s="595">
        <f t="shared" si="246"/>
        <v>0</v>
      </c>
    </row>
    <row r="8533" spans="6:10" hidden="1" x14ac:dyDescent="0.25">
      <c r="F8533" s="300">
        <v>453</v>
      </c>
      <c r="G8533" s="295" t="s">
        <v>4210</v>
      </c>
      <c r="J8533" s="595">
        <f t="shared" si="246"/>
        <v>0</v>
      </c>
    </row>
    <row r="8534" spans="6:10" hidden="1" x14ac:dyDescent="0.25">
      <c r="F8534" s="300">
        <v>454</v>
      </c>
      <c r="G8534" s="295" t="s">
        <v>3823</v>
      </c>
      <c r="J8534" s="595">
        <f t="shared" si="246"/>
        <v>0</v>
      </c>
    </row>
    <row r="8535" spans="6:10" hidden="1" x14ac:dyDescent="0.25">
      <c r="F8535" s="300">
        <v>461</v>
      </c>
      <c r="G8535" s="295" t="s">
        <v>4191</v>
      </c>
      <c r="J8535" s="595">
        <f t="shared" si="246"/>
        <v>0</v>
      </c>
    </row>
    <row r="8536" spans="6:10" hidden="1" x14ac:dyDescent="0.25">
      <c r="F8536" s="300">
        <v>462</v>
      </c>
      <c r="G8536" s="295" t="s">
        <v>3826</v>
      </c>
      <c r="J8536" s="595">
        <f t="shared" si="246"/>
        <v>0</v>
      </c>
    </row>
    <row r="8537" spans="6:10" hidden="1" x14ac:dyDescent="0.25">
      <c r="F8537" s="300">
        <v>4631</v>
      </c>
      <c r="G8537" s="295" t="s">
        <v>3827</v>
      </c>
      <c r="J8537" s="595">
        <f t="shared" si="246"/>
        <v>0</v>
      </c>
    </row>
    <row r="8538" spans="6:10" hidden="1" x14ac:dyDescent="0.25">
      <c r="F8538" s="300">
        <v>4632</v>
      </c>
      <c r="G8538" s="295" t="s">
        <v>3828</v>
      </c>
      <c r="J8538" s="595">
        <f t="shared" si="246"/>
        <v>0</v>
      </c>
    </row>
    <row r="8539" spans="6:10" hidden="1" x14ac:dyDescent="0.25">
      <c r="F8539" s="300">
        <v>464</v>
      </c>
      <c r="G8539" s="295" t="s">
        <v>3829</v>
      </c>
      <c r="J8539" s="595">
        <f t="shared" si="246"/>
        <v>0</v>
      </c>
    </row>
    <row r="8540" spans="6:10" hidden="1" x14ac:dyDescent="0.25">
      <c r="F8540" s="300">
        <v>465</v>
      </c>
      <c r="G8540" s="295" t="s">
        <v>4192</v>
      </c>
      <c r="J8540" s="595">
        <f t="shared" si="246"/>
        <v>0</v>
      </c>
    </row>
    <row r="8541" spans="6:10" hidden="1" x14ac:dyDescent="0.25">
      <c r="F8541" s="300">
        <v>472</v>
      </c>
      <c r="G8541" s="295" t="s">
        <v>3833</v>
      </c>
      <c r="J8541" s="595">
        <f t="shared" si="246"/>
        <v>0</v>
      </c>
    </row>
    <row r="8542" spans="6:10" hidden="1" x14ac:dyDescent="0.25">
      <c r="F8542" s="300">
        <v>481</v>
      </c>
      <c r="G8542" s="295" t="s">
        <v>4211</v>
      </c>
      <c r="J8542" s="595">
        <f t="shared" si="246"/>
        <v>0</v>
      </c>
    </row>
    <row r="8543" spans="6:10" hidden="1" x14ac:dyDescent="0.25">
      <c r="F8543" s="300">
        <v>482</v>
      </c>
      <c r="G8543" s="295" t="s">
        <v>4212</v>
      </c>
      <c r="J8543" s="595">
        <f t="shared" si="246"/>
        <v>0</v>
      </c>
    </row>
    <row r="8544" spans="6:10" hidden="1" x14ac:dyDescent="0.25">
      <c r="F8544" s="300">
        <v>483</v>
      </c>
      <c r="G8544" s="298" t="s">
        <v>4213</v>
      </c>
      <c r="J8544" s="595">
        <f t="shared" si="246"/>
        <v>0</v>
      </c>
    </row>
    <row r="8545" spans="6:10" ht="30" hidden="1" x14ac:dyDescent="0.25">
      <c r="F8545" s="300">
        <v>484</v>
      </c>
      <c r="G8545" s="295" t="s">
        <v>4214</v>
      </c>
      <c r="J8545" s="595">
        <f t="shared" si="246"/>
        <v>0</v>
      </c>
    </row>
    <row r="8546" spans="6:10" ht="30" hidden="1" x14ac:dyDescent="0.25">
      <c r="F8546" s="300">
        <v>485</v>
      </c>
      <c r="G8546" s="295" t="s">
        <v>4215</v>
      </c>
      <c r="J8546" s="595">
        <f t="shared" si="246"/>
        <v>0</v>
      </c>
    </row>
    <row r="8547" spans="6:10" ht="30" hidden="1" x14ac:dyDescent="0.25">
      <c r="F8547" s="300">
        <v>489</v>
      </c>
      <c r="G8547" s="295" t="s">
        <v>3841</v>
      </c>
      <c r="J8547" s="595">
        <f t="shared" si="246"/>
        <v>0</v>
      </c>
    </row>
    <row r="8548" spans="6:10" hidden="1" x14ac:dyDescent="0.25">
      <c r="F8548" s="300">
        <v>494</v>
      </c>
      <c r="G8548" s="295" t="s">
        <v>4193</v>
      </c>
      <c r="J8548" s="595">
        <f t="shared" si="246"/>
        <v>0</v>
      </c>
    </row>
    <row r="8549" spans="6:10" ht="30" hidden="1" x14ac:dyDescent="0.25">
      <c r="F8549" s="300">
        <v>495</v>
      </c>
      <c r="G8549" s="295" t="s">
        <v>4194</v>
      </c>
      <c r="J8549" s="595">
        <f t="shared" si="246"/>
        <v>0</v>
      </c>
    </row>
    <row r="8550" spans="6:10" ht="30" hidden="1" x14ac:dyDescent="0.25">
      <c r="F8550" s="300">
        <v>496</v>
      </c>
      <c r="G8550" s="295" t="s">
        <v>4195</v>
      </c>
      <c r="J8550" s="595">
        <f t="shared" si="246"/>
        <v>0</v>
      </c>
    </row>
    <row r="8551" spans="6:10" hidden="1" x14ac:dyDescent="0.25">
      <c r="F8551" s="300">
        <v>499</v>
      </c>
      <c r="G8551" s="295" t="s">
        <v>4196</v>
      </c>
      <c r="J8551" s="595">
        <f t="shared" si="246"/>
        <v>0</v>
      </c>
    </row>
    <row r="8552" spans="6:10" hidden="1" x14ac:dyDescent="0.25">
      <c r="F8552" s="300">
        <v>511</v>
      </c>
      <c r="G8552" s="298" t="s">
        <v>4216</v>
      </c>
      <c r="J8552" s="595">
        <f t="shared" si="246"/>
        <v>0</v>
      </c>
    </row>
    <row r="8553" spans="6:10" hidden="1" x14ac:dyDescent="0.25">
      <c r="F8553" s="300">
        <v>512</v>
      </c>
      <c r="G8553" s="298" t="s">
        <v>4217</v>
      </c>
      <c r="J8553" s="595">
        <f t="shared" si="246"/>
        <v>0</v>
      </c>
    </row>
    <row r="8554" spans="6:10" hidden="1" x14ac:dyDescent="0.25">
      <c r="F8554" s="300">
        <v>513</v>
      </c>
      <c r="G8554" s="298" t="s">
        <v>4218</v>
      </c>
      <c r="J8554" s="595">
        <f t="shared" si="246"/>
        <v>0</v>
      </c>
    </row>
    <row r="8555" spans="6:10" hidden="1" x14ac:dyDescent="0.25">
      <c r="F8555" s="300">
        <v>514</v>
      </c>
      <c r="G8555" s="295" t="s">
        <v>4219</v>
      </c>
      <c r="J8555" s="595">
        <f t="shared" si="246"/>
        <v>0</v>
      </c>
    </row>
    <row r="8556" spans="6:10" hidden="1" x14ac:dyDescent="0.25">
      <c r="F8556" s="300">
        <v>515</v>
      </c>
      <c r="G8556" s="295" t="s">
        <v>3852</v>
      </c>
      <c r="J8556" s="595">
        <f t="shared" si="246"/>
        <v>0</v>
      </c>
    </row>
    <row r="8557" spans="6:10" hidden="1" x14ac:dyDescent="0.25">
      <c r="F8557" s="300">
        <v>521</v>
      </c>
      <c r="G8557" s="295" t="s">
        <v>4220</v>
      </c>
      <c r="J8557" s="595">
        <f t="shared" si="246"/>
        <v>0</v>
      </c>
    </row>
    <row r="8558" spans="6:10" hidden="1" x14ac:dyDescent="0.25">
      <c r="F8558" s="300">
        <v>522</v>
      </c>
      <c r="G8558" s="295" t="s">
        <v>4221</v>
      </c>
      <c r="J8558" s="595">
        <f t="shared" si="246"/>
        <v>0</v>
      </c>
    </row>
    <row r="8559" spans="6:10" hidden="1" x14ac:dyDescent="0.25">
      <c r="F8559" s="300">
        <v>523</v>
      </c>
      <c r="G8559" s="295" t="s">
        <v>3857</v>
      </c>
      <c r="J8559" s="595">
        <f t="shared" si="246"/>
        <v>0</v>
      </c>
    </row>
    <row r="8560" spans="6:10" hidden="1" x14ac:dyDescent="0.25">
      <c r="F8560" s="300">
        <v>531</v>
      </c>
      <c r="G8560" s="292" t="s">
        <v>4197</v>
      </c>
      <c r="J8560" s="595">
        <f t="shared" si="246"/>
        <v>0</v>
      </c>
    </row>
    <row r="8561" spans="5:10" hidden="1" x14ac:dyDescent="0.25">
      <c r="F8561" s="300">
        <v>541</v>
      </c>
      <c r="G8561" s="295" t="s">
        <v>4222</v>
      </c>
      <c r="J8561" s="595">
        <f t="shared" si="246"/>
        <v>0</v>
      </c>
    </row>
    <row r="8562" spans="5:10" hidden="1" x14ac:dyDescent="0.25">
      <c r="F8562" s="300">
        <v>542</v>
      </c>
      <c r="G8562" s="295" t="s">
        <v>4223</v>
      </c>
      <c r="J8562" s="595">
        <f t="shared" si="246"/>
        <v>0</v>
      </c>
    </row>
    <row r="8563" spans="5:10" hidden="1" x14ac:dyDescent="0.25">
      <c r="F8563" s="300">
        <v>543</v>
      </c>
      <c r="G8563" s="295" t="s">
        <v>3862</v>
      </c>
      <c r="J8563" s="595">
        <f t="shared" si="246"/>
        <v>0</v>
      </c>
    </row>
    <row r="8564" spans="5:10" ht="30" hidden="1" x14ac:dyDescent="0.25">
      <c r="F8564" s="300">
        <v>551</v>
      </c>
      <c r="G8564" s="295" t="s">
        <v>4198</v>
      </c>
      <c r="J8564" s="595">
        <f t="shared" si="246"/>
        <v>0</v>
      </c>
    </row>
    <row r="8565" spans="5:10" hidden="1" x14ac:dyDescent="0.25">
      <c r="F8565" s="301">
        <v>611</v>
      </c>
      <c r="G8565" s="299" t="s">
        <v>3868</v>
      </c>
      <c r="J8565" s="595">
        <f t="shared" si="246"/>
        <v>0</v>
      </c>
    </row>
    <row r="8566" spans="5:10" ht="15.75" hidden="1" thickBot="1" x14ac:dyDescent="0.3">
      <c r="F8566" s="301">
        <v>620</v>
      </c>
      <c r="G8566" s="299" t="s">
        <v>88</v>
      </c>
      <c r="J8566" s="595">
        <f t="shared" si="246"/>
        <v>0</v>
      </c>
    </row>
    <row r="8567" spans="5:10" hidden="1" x14ac:dyDescent="0.25">
      <c r="E8567" s="293"/>
      <c r="F8567" s="301"/>
      <c r="G8567" s="327" t="s">
        <v>4416</v>
      </c>
      <c r="H8567" s="596"/>
      <c r="I8567" s="622"/>
      <c r="J8567" s="597"/>
    </row>
    <row r="8568" spans="5:10" ht="15.75" hidden="1" thickBot="1" x14ac:dyDescent="0.3">
      <c r="E8568" s="222"/>
      <c r="F8568" s="249" t="s">
        <v>234</v>
      </c>
      <c r="G8568" s="252" t="s">
        <v>235</v>
      </c>
      <c r="H8568" s="598">
        <f>SUM(H8507:H8566)</f>
        <v>0</v>
      </c>
      <c r="I8568" s="599"/>
      <c r="J8568" s="599">
        <f t="shared" ref="J8568:J8583" si="247">SUM(H8568:I8568)</f>
        <v>0</v>
      </c>
    </row>
    <row r="8569" spans="5:10" hidden="1" x14ac:dyDescent="0.25">
      <c r="F8569" s="249" t="s">
        <v>236</v>
      </c>
      <c r="G8569" s="252" t="s">
        <v>237</v>
      </c>
      <c r="J8569" s="599">
        <f t="shared" si="247"/>
        <v>0</v>
      </c>
    </row>
    <row r="8570" spans="5:10" hidden="1" x14ac:dyDescent="0.25">
      <c r="F8570" s="249" t="s">
        <v>238</v>
      </c>
      <c r="G8570" s="252" t="s">
        <v>239</v>
      </c>
      <c r="J8570" s="599">
        <f t="shared" si="247"/>
        <v>0</v>
      </c>
    </row>
    <row r="8571" spans="5:10" hidden="1" x14ac:dyDescent="0.25">
      <c r="F8571" s="249" t="s">
        <v>240</v>
      </c>
      <c r="G8571" s="252" t="s">
        <v>241</v>
      </c>
      <c r="J8571" s="599">
        <f t="shared" si="247"/>
        <v>0</v>
      </c>
    </row>
    <row r="8572" spans="5:10" hidden="1" x14ac:dyDescent="0.25">
      <c r="F8572" s="249" t="s">
        <v>242</v>
      </c>
      <c r="G8572" s="252" t="s">
        <v>243</v>
      </c>
      <c r="J8572" s="599">
        <f t="shared" si="247"/>
        <v>0</v>
      </c>
    </row>
    <row r="8573" spans="5:10" hidden="1" x14ac:dyDescent="0.25">
      <c r="F8573" s="249" t="s">
        <v>244</v>
      </c>
      <c r="G8573" s="252" t="s">
        <v>245</v>
      </c>
      <c r="J8573" s="599">
        <f t="shared" si="247"/>
        <v>0</v>
      </c>
    </row>
    <row r="8574" spans="5:10" hidden="1" x14ac:dyDescent="0.25">
      <c r="F8574" s="249" t="s">
        <v>246</v>
      </c>
      <c r="G8574" s="252" t="s">
        <v>247</v>
      </c>
      <c r="J8574" s="599">
        <f t="shared" si="247"/>
        <v>0</v>
      </c>
    </row>
    <row r="8575" spans="5:10" hidden="1" x14ac:dyDescent="0.25">
      <c r="F8575" s="249" t="s">
        <v>248</v>
      </c>
      <c r="G8575" s="252" t="s">
        <v>249</v>
      </c>
      <c r="J8575" s="599">
        <f t="shared" si="247"/>
        <v>0</v>
      </c>
    </row>
    <row r="8576" spans="5:10" hidden="1" x14ac:dyDescent="0.25">
      <c r="F8576" s="249" t="s">
        <v>250</v>
      </c>
      <c r="G8576" s="252" t="s">
        <v>57</v>
      </c>
      <c r="J8576" s="599">
        <f t="shared" si="247"/>
        <v>0</v>
      </c>
    </row>
    <row r="8577" spans="5:10" hidden="1" x14ac:dyDescent="0.25">
      <c r="F8577" s="249" t="s">
        <v>251</v>
      </c>
      <c r="G8577" s="252" t="s">
        <v>252</v>
      </c>
      <c r="J8577" s="599">
        <f t="shared" si="247"/>
        <v>0</v>
      </c>
    </row>
    <row r="8578" spans="5:10" hidden="1" x14ac:dyDescent="0.25">
      <c r="F8578" s="249" t="s">
        <v>253</v>
      </c>
      <c r="G8578" s="252" t="s">
        <v>254</v>
      </c>
      <c r="J8578" s="599">
        <f t="shared" si="247"/>
        <v>0</v>
      </c>
    </row>
    <row r="8579" spans="5:10" ht="30" hidden="1" x14ac:dyDescent="0.25">
      <c r="F8579" s="249" t="s">
        <v>255</v>
      </c>
      <c r="G8579" s="252" t="s">
        <v>256</v>
      </c>
      <c r="J8579" s="599">
        <f t="shared" si="247"/>
        <v>0</v>
      </c>
    </row>
    <row r="8580" spans="5:10" hidden="1" x14ac:dyDescent="0.25">
      <c r="F8580" s="249" t="s">
        <v>257</v>
      </c>
      <c r="G8580" s="252" t="s">
        <v>258</v>
      </c>
      <c r="J8580" s="599">
        <f t="shared" si="247"/>
        <v>0</v>
      </c>
    </row>
    <row r="8581" spans="5:10" ht="30" hidden="1" x14ac:dyDescent="0.25">
      <c r="F8581" s="249" t="s">
        <v>259</v>
      </c>
      <c r="G8581" s="252" t="s">
        <v>260</v>
      </c>
      <c r="J8581" s="599">
        <f t="shared" si="247"/>
        <v>0</v>
      </c>
    </row>
    <row r="8582" spans="5:10" hidden="1" x14ac:dyDescent="0.25">
      <c r="F8582" s="249" t="s">
        <v>261</v>
      </c>
      <c r="G8582" s="252" t="s">
        <v>262</v>
      </c>
      <c r="J8582" s="599">
        <f t="shared" si="247"/>
        <v>0</v>
      </c>
    </row>
    <row r="8583" spans="5:10" ht="15.75" hidden="1" thickBot="1" x14ac:dyDescent="0.3">
      <c r="F8583" s="249" t="s">
        <v>263</v>
      </c>
      <c r="G8583" s="252" t="s">
        <v>264</v>
      </c>
      <c r="H8583" s="598"/>
      <c r="I8583" s="599"/>
      <c r="J8583" s="599">
        <f t="shared" si="247"/>
        <v>0</v>
      </c>
    </row>
    <row r="8584" spans="5:10" ht="15.75" hidden="1" thickBot="1" x14ac:dyDescent="0.3">
      <c r="G8584" s="229" t="s">
        <v>4417</v>
      </c>
      <c r="H8584" s="600">
        <f>SUM(H8568:H8583)</f>
        <v>0</v>
      </c>
      <c r="I8584" s="601">
        <f>SUM(I8569:I8583)</f>
        <v>0</v>
      </c>
      <c r="J8584" s="601">
        <f>SUM(J8568:J8583)</f>
        <v>0</v>
      </c>
    </row>
    <row r="8585" spans="5:10" hidden="1" x14ac:dyDescent="0.25">
      <c r="E8585" s="293"/>
      <c r="F8585" s="301"/>
      <c r="G8585" s="231" t="s">
        <v>5077</v>
      </c>
      <c r="H8585" s="602"/>
      <c r="I8585" s="623"/>
      <c r="J8585" s="603"/>
    </row>
    <row r="8586" spans="5:10" ht="15.75" hidden="1" thickBot="1" x14ac:dyDescent="0.3">
      <c r="E8586" s="222"/>
      <c r="F8586" s="249" t="s">
        <v>234</v>
      </c>
      <c r="G8586" s="252" t="s">
        <v>235</v>
      </c>
      <c r="H8586" s="598">
        <f>SUM(H8507:H8566)</f>
        <v>0</v>
      </c>
      <c r="I8586" s="599"/>
      <c r="J8586" s="599">
        <f>SUM(H8586:I8586)</f>
        <v>0</v>
      </c>
    </row>
    <row r="8587" spans="5:10" hidden="1" x14ac:dyDescent="0.25">
      <c r="F8587" s="249" t="s">
        <v>236</v>
      </c>
      <c r="G8587" s="252" t="s">
        <v>237</v>
      </c>
      <c r="J8587" s="599">
        <f t="shared" ref="J8587:J8601" si="248">SUM(H8587:I8587)</f>
        <v>0</v>
      </c>
    </row>
    <row r="8588" spans="5:10" hidden="1" x14ac:dyDescent="0.25">
      <c r="F8588" s="249" t="s">
        <v>238</v>
      </c>
      <c r="G8588" s="252" t="s">
        <v>239</v>
      </c>
      <c r="J8588" s="599">
        <f t="shared" si="248"/>
        <v>0</v>
      </c>
    </row>
    <row r="8589" spans="5:10" hidden="1" x14ac:dyDescent="0.25">
      <c r="F8589" s="249" t="s">
        <v>240</v>
      </c>
      <c r="G8589" s="252" t="s">
        <v>241</v>
      </c>
      <c r="J8589" s="599">
        <f t="shared" si="248"/>
        <v>0</v>
      </c>
    </row>
    <row r="8590" spans="5:10" hidden="1" x14ac:dyDescent="0.25">
      <c r="F8590" s="249" t="s">
        <v>242</v>
      </c>
      <c r="G8590" s="252" t="s">
        <v>243</v>
      </c>
      <c r="J8590" s="599">
        <f t="shared" si="248"/>
        <v>0</v>
      </c>
    </row>
    <row r="8591" spans="5:10" hidden="1" x14ac:dyDescent="0.25">
      <c r="F8591" s="249" t="s">
        <v>244</v>
      </c>
      <c r="G8591" s="252" t="s">
        <v>245</v>
      </c>
      <c r="J8591" s="599">
        <f t="shared" si="248"/>
        <v>0</v>
      </c>
    </row>
    <row r="8592" spans="5:10" hidden="1" x14ac:dyDescent="0.25">
      <c r="F8592" s="249" t="s">
        <v>246</v>
      </c>
      <c r="G8592" s="252" t="s">
        <v>247</v>
      </c>
      <c r="J8592" s="599">
        <f t="shared" si="248"/>
        <v>0</v>
      </c>
    </row>
    <row r="8593" spans="3:10" hidden="1" x14ac:dyDescent="0.25">
      <c r="F8593" s="249" t="s">
        <v>248</v>
      </c>
      <c r="G8593" s="252" t="s">
        <v>249</v>
      </c>
      <c r="J8593" s="599">
        <f t="shared" si="248"/>
        <v>0</v>
      </c>
    </row>
    <row r="8594" spans="3:10" hidden="1" x14ac:dyDescent="0.25">
      <c r="F8594" s="249" t="s">
        <v>250</v>
      </c>
      <c r="G8594" s="252" t="s">
        <v>57</v>
      </c>
      <c r="J8594" s="599">
        <f t="shared" si="248"/>
        <v>0</v>
      </c>
    </row>
    <row r="8595" spans="3:10" hidden="1" x14ac:dyDescent="0.25">
      <c r="F8595" s="249" t="s">
        <v>251</v>
      </c>
      <c r="G8595" s="252" t="s">
        <v>252</v>
      </c>
      <c r="J8595" s="599">
        <f t="shared" si="248"/>
        <v>0</v>
      </c>
    </row>
    <row r="8596" spans="3:10" hidden="1" x14ac:dyDescent="0.25">
      <c r="F8596" s="249" t="s">
        <v>253</v>
      </c>
      <c r="G8596" s="252" t="s">
        <v>254</v>
      </c>
      <c r="J8596" s="599">
        <f t="shared" si="248"/>
        <v>0</v>
      </c>
    </row>
    <row r="8597" spans="3:10" ht="30" hidden="1" x14ac:dyDescent="0.25">
      <c r="F8597" s="249" t="s">
        <v>255</v>
      </c>
      <c r="G8597" s="252" t="s">
        <v>256</v>
      </c>
      <c r="J8597" s="599">
        <f t="shared" si="248"/>
        <v>0</v>
      </c>
    </row>
    <row r="8598" spans="3:10" hidden="1" x14ac:dyDescent="0.25">
      <c r="F8598" s="249" t="s">
        <v>257</v>
      </c>
      <c r="G8598" s="252" t="s">
        <v>258</v>
      </c>
      <c r="J8598" s="599">
        <f t="shared" si="248"/>
        <v>0</v>
      </c>
    </row>
    <row r="8599" spans="3:10" ht="30" hidden="1" x14ac:dyDescent="0.25">
      <c r="F8599" s="249" t="s">
        <v>259</v>
      </c>
      <c r="G8599" s="252" t="s">
        <v>260</v>
      </c>
      <c r="J8599" s="599">
        <f t="shared" si="248"/>
        <v>0</v>
      </c>
    </row>
    <row r="8600" spans="3:10" hidden="1" x14ac:dyDescent="0.25">
      <c r="F8600" s="249" t="s">
        <v>261</v>
      </c>
      <c r="G8600" s="252" t="s">
        <v>262</v>
      </c>
      <c r="J8600" s="599">
        <f t="shared" si="248"/>
        <v>0</v>
      </c>
    </row>
    <row r="8601" spans="3:10" ht="15.75" hidden="1" thickBot="1" x14ac:dyDescent="0.3">
      <c r="F8601" s="249" t="s">
        <v>263</v>
      </c>
      <c r="G8601" s="252" t="s">
        <v>264</v>
      </c>
      <c r="H8601" s="598"/>
      <c r="I8601" s="599"/>
      <c r="J8601" s="599">
        <f t="shared" si="248"/>
        <v>0</v>
      </c>
    </row>
    <row r="8602" spans="3:10" ht="15.75" hidden="1" thickBot="1" x14ac:dyDescent="0.3">
      <c r="G8602" s="229" t="s">
        <v>5038</v>
      </c>
      <c r="H8602" s="600">
        <f>SUM(H8586:H8601)</f>
        <v>0</v>
      </c>
      <c r="I8602" s="601">
        <f>SUM(I8587:I8601)</f>
        <v>0</v>
      </c>
      <c r="J8602" s="601">
        <f>SUM(J8586:J8601)</f>
        <v>0</v>
      </c>
    </row>
    <row r="8603" spans="3:10" hidden="1" x14ac:dyDescent="0.25">
      <c r="G8603" s="286"/>
      <c r="H8603" s="604"/>
      <c r="I8603" s="605"/>
      <c r="J8603" s="605"/>
    </row>
    <row r="8604" spans="3:10" hidden="1" x14ac:dyDescent="0.25">
      <c r="C8604" s="228" t="s">
        <v>4611</v>
      </c>
      <c r="D8604" s="219"/>
      <c r="G8604" s="521" t="s">
        <v>5109</v>
      </c>
    </row>
    <row r="8605" spans="3:10" hidden="1" x14ac:dyDescent="0.25">
      <c r="C8605" s="228"/>
      <c r="D8605" s="312">
        <v>473</v>
      </c>
      <c r="E8605" s="312"/>
      <c r="F8605" s="312"/>
      <c r="G8605" s="338" t="s">
        <v>162</v>
      </c>
    </row>
    <row r="8606" spans="3:10" hidden="1" x14ac:dyDescent="0.25">
      <c r="F8606" s="527">
        <v>411</v>
      </c>
      <c r="G8606" s="520" t="s">
        <v>4189</v>
      </c>
      <c r="J8606" s="595">
        <f>SUM(H8606:I8606)</f>
        <v>0</v>
      </c>
    </row>
    <row r="8607" spans="3:10" hidden="1" x14ac:dyDescent="0.25">
      <c r="F8607" s="527">
        <v>412</v>
      </c>
      <c r="G8607" s="516" t="s">
        <v>3784</v>
      </c>
      <c r="J8607" s="595">
        <f t="shared" ref="J8607:J8614" si="249">SUM(H8607:I8607)</f>
        <v>0</v>
      </c>
    </row>
    <row r="8608" spans="3:10" hidden="1" x14ac:dyDescent="0.25">
      <c r="F8608" s="527">
        <v>413</v>
      </c>
      <c r="G8608" s="520" t="s">
        <v>4190</v>
      </c>
      <c r="J8608" s="595">
        <f t="shared" si="249"/>
        <v>0</v>
      </c>
    </row>
    <row r="8609" spans="6:10" hidden="1" x14ac:dyDescent="0.25">
      <c r="F8609" s="527">
        <v>414</v>
      </c>
      <c r="G8609" s="520" t="s">
        <v>3787</v>
      </c>
      <c r="J8609" s="595">
        <f t="shared" si="249"/>
        <v>0</v>
      </c>
    </row>
    <row r="8610" spans="6:10" hidden="1" x14ac:dyDescent="0.25">
      <c r="F8610" s="527">
        <v>415</v>
      </c>
      <c r="G8610" s="520" t="s">
        <v>4199</v>
      </c>
      <c r="J8610" s="595">
        <f t="shared" si="249"/>
        <v>0</v>
      </c>
    </row>
    <row r="8611" spans="6:10" hidden="1" x14ac:dyDescent="0.25">
      <c r="F8611" s="527">
        <v>416</v>
      </c>
      <c r="G8611" s="520" t="s">
        <v>4200</v>
      </c>
      <c r="J8611" s="595">
        <f t="shared" si="249"/>
        <v>0</v>
      </c>
    </row>
    <row r="8612" spans="6:10" hidden="1" x14ac:dyDescent="0.25">
      <c r="F8612" s="527">
        <v>417</v>
      </c>
      <c r="G8612" s="520" t="s">
        <v>4201</v>
      </c>
      <c r="J8612" s="595">
        <f t="shared" si="249"/>
        <v>0</v>
      </c>
    </row>
    <row r="8613" spans="6:10" hidden="1" x14ac:dyDescent="0.25">
      <c r="F8613" s="527">
        <v>418</v>
      </c>
      <c r="G8613" s="520" t="s">
        <v>3793</v>
      </c>
      <c r="J8613" s="595">
        <f t="shared" si="249"/>
        <v>0</v>
      </c>
    </row>
    <row r="8614" spans="6:10" hidden="1" x14ac:dyDescent="0.25">
      <c r="F8614" s="527">
        <v>421</v>
      </c>
      <c r="G8614" s="520" t="s">
        <v>3797</v>
      </c>
      <c r="J8614" s="595">
        <f t="shared" si="249"/>
        <v>0</v>
      </c>
    </row>
    <row r="8615" spans="6:10" hidden="1" x14ac:dyDescent="0.25">
      <c r="F8615" s="527">
        <v>422</v>
      </c>
      <c r="G8615" s="520" t="s">
        <v>3798</v>
      </c>
      <c r="J8615" s="595">
        <f>SUM(H8615:I8615)</f>
        <v>0</v>
      </c>
    </row>
    <row r="8616" spans="6:10" ht="15.75" hidden="1" thickBot="1" x14ac:dyDescent="0.3">
      <c r="F8616" s="527">
        <v>423</v>
      </c>
      <c r="G8616" s="520" t="s">
        <v>3799</v>
      </c>
      <c r="J8616" s="595">
        <f t="shared" ref="J8616:J8665" si="250">SUM(H8616:I8616)</f>
        <v>0</v>
      </c>
    </row>
    <row r="8617" spans="6:10" ht="15.75" hidden="1" thickBot="1" x14ac:dyDescent="0.3">
      <c r="F8617" s="527">
        <v>424</v>
      </c>
      <c r="G8617" s="520" t="s">
        <v>3801</v>
      </c>
      <c r="J8617" s="595">
        <f t="shared" si="250"/>
        <v>0</v>
      </c>
    </row>
    <row r="8618" spans="6:10" ht="15.75" hidden="1" thickBot="1" x14ac:dyDescent="0.3">
      <c r="F8618" s="527">
        <v>425</v>
      </c>
      <c r="G8618" s="520" t="s">
        <v>4202</v>
      </c>
      <c r="J8618" s="595">
        <f t="shared" si="250"/>
        <v>0</v>
      </c>
    </row>
    <row r="8619" spans="6:10" ht="15.75" hidden="1" thickBot="1" x14ac:dyDescent="0.3">
      <c r="F8619" s="527">
        <v>426</v>
      </c>
      <c r="G8619" s="520" t="s">
        <v>3805</v>
      </c>
      <c r="J8619" s="595">
        <f t="shared" si="250"/>
        <v>0</v>
      </c>
    </row>
    <row r="8620" spans="6:10" ht="15.75" hidden="1" thickBot="1" x14ac:dyDescent="0.3">
      <c r="F8620" s="527">
        <v>431</v>
      </c>
      <c r="G8620" s="520" t="s">
        <v>4203</v>
      </c>
      <c r="J8620" s="595">
        <f t="shared" si="250"/>
        <v>0</v>
      </c>
    </row>
    <row r="8621" spans="6:10" ht="15.75" hidden="1" thickBot="1" x14ac:dyDescent="0.3">
      <c r="F8621" s="527">
        <v>432</v>
      </c>
      <c r="G8621" s="520" t="s">
        <v>4204</v>
      </c>
      <c r="J8621" s="595">
        <f t="shared" si="250"/>
        <v>0</v>
      </c>
    </row>
    <row r="8622" spans="6:10" ht="15.75" hidden="1" thickBot="1" x14ac:dyDescent="0.3">
      <c r="F8622" s="527">
        <v>433</v>
      </c>
      <c r="G8622" s="520" t="s">
        <v>4205</v>
      </c>
      <c r="J8622" s="595">
        <f t="shared" si="250"/>
        <v>0</v>
      </c>
    </row>
    <row r="8623" spans="6:10" ht="15.75" hidden="1" thickBot="1" x14ac:dyDescent="0.3">
      <c r="F8623" s="527">
        <v>434</v>
      </c>
      <c r="G8623" s="520" t="s">
        <v>4206</v>
      </c>
      <c r="J8623" s="595">
        <f t="shared" si="250"/>
        <v>0</v>
      </c>
    </row>
    <row r="8624" spans="6:10" ht="15.75" hidden="1" thickBot="1" x14ac:dyDescent="0.3">
      <c r="F8624" s="527">
        <v>435</v>
      </c>
      <c r="G8624" s="520" t="s">
        <v>3812</v>
      </c>
      <c r="J8624" s="595">
        <f t="shared" si="250"/>
        <v>0</v>
      </c>
    </row>
    <row r="8625" spans="6:10" ht="15.75" hidden="1" thickBot="1" x14ac:dyDescent="0.3">
      <c r="F8625" s="527">
        <v>441</v>
      </c>
      <c r="G8625" s="520" t="s">
        <v>4207</v>
      </c>
      <c r="J8625" s="595">
        <f t="shared" si="250"/>
        <v>0</v>
      </c>
    </row>
    <row r="8626" spans="6:10" ht="15.75" hidden="1" thickBot="1" x14ac:dyDescent="0.3">
      <c r="F8626" s="527">
        <v>442</v>
      </c>
      <c r="G8626" s="520" t="s">
        <v>4208</v>
      </c>
      <c r="J8626" s="595">
        <f t="shared" si="250"/>
        <v>0</v>
      </c>
    </row>
    <row r="8627" spans="6:10" ht="15.75" hidden="1" thickBot="1" x14ac:dyDescent="0.3">
      <c r="F8627" s="527">
        <v>443</v>
      </c>
      <c r="G8627" s="520" t="s">
        <v>3817</v>
      </c>
      <c r="J8627" s="595">
        <f t="shared" si="250"/>
        <v>0</v>
      </c>
    </row>
    <row r="8628" spans="6:10" ht="15.75" hidden="1" thickBot="1" x14ac:dyDescent="0.3">
      <c r="F8628" s="527">
        <v>444</v>
      </c>
      <c r="G8628" s="520" t="s">
        <v>3818</v>
      </c>
      <c r="J8628" s="595">
        <f t="shared" si="250"/>
        <v>0</v>
      </c>
    </row>
    <row r="8629" spans="6:10" ht="30.75" hidden="1" thickBot="1" x14ac:dyDescent="0.3">
      <c r="F8629" s="527">
        <v>4511</v>
      </c>
      <c r="G8629" s="223" t="s">
        <v>1692</v>
      </c>
      <c r="J8629" s="595">
        <f t="shared" si="250"/>
        <v>0</v>
      </c>
    </row>
    <row r="8630" spans="6:10" ht="30.75" hidden="1" thickBot="1" x14ac:dyDescent="0.3">
      <c r="F8630" s="527">
        <v>4512</v>
      </c>
      <c r="G8630" s="223" t="s">
        <v>1701</v>
      </c>
      <c r="J8630" s="595">
        <f t="shared" si="250"/>
        <v>0</v>
      </c>
    </row>
    <row r="8631" spans="6:10" ht="15.75" hidden="1" thickBot="1" x14ac:dyDescent="0.3">
      <c r="F8631" s="527">
        <v>452</v>
      </c>
      <c r="G8631" s="520" t="s">
        <v>4209</v>
      </c>
      <c r="J8631" s="595">
        <f t="shared" si="250"/>
        <v>0</v>
      </c>
    </row>
    <row r="8632" spans="6:10" ht="15.75" hidden="1" thickBot="1" x14ac:dyDescent="0.3">
      <c r="F8632" s="527">
        <v>453</v>
      </c>
      <c r="G8632" s="520" t="s">
        <v>4210</v>
      </c>
      <c r="J8632" s="595">
        <f t="shared" si="250"/>
        <v>0</v>
      </c>
    </row>
    <row r="8633" spans="6:10" ht="15.75" hidden="1" thickBot="1" x14ac:dyDescent="0.3">
      <c r="F8633" s="527">
        <v>454</v>
      </c>
      <c r="G8633" s="520" t="s">
        <v>3823</v>
      </c>
      <c r="J8633" s="595">
        <f t="shared" si="250"/>
        <v>0</v>
      </c>
    </row>
    <row r="8634" spans="6:10" ht="15.75" hidden="1" thickBot="1" x14ac:dyDescent="0.3">
      <c r="F8634" s="527">
        <v>461</v>
      </c>
      <c r="G8634" s="520" t="s">
        <v>4191</v>
      </c>
      <c r="J8634" s="595">
        <f t="shared" si="250"/>
        <v>0</v>
      </c>
    </row>
    <row r="8635" spans="6:10" ht="15.75" hidden="1" thickBot="1" x14ac:dyDescent="0.3">
      <c r="F8635" s="527">
        <v>462</v>
      </c>
      <c r="G8635" s="520" t="s">
        <v>3826</v>
      </c>
      <c r="J8635" s="595">
        <f t="shared" si="250"/>
        <v>0</v>
      </c>
    </row>
    <row r="8636" spans="6:10" ht="15.75" hidden="1" thickBot="1" x14ac:dyDescent="0.3">
      <c r="F8636" s="527">
        <v>4631</v>
      </c>
      <c r="G8636" s="520" t="s">
        <v>3827</v>
      </c>
      <c r="J8636" s="595">
        <f t="shared" si="250"/>
        <v>0</v>
      </c>
    </row>
    <row r="8637" spans="6:10" ht="15.75" hidden="1" thickBot="1" x14ac:dyDescent="0.3">
      <c r="F8637" s="527">
        <v>4632</v>
      </c>
      <c r="G8637" s="520" t="s">
        <v>3828</v>
      </c>
      <c r="J8637" s="595">
        <f t="shared" si="250"/>
        <v>0</v>
      </c>
    </row>
    <row r="8638" spans="6:10" ht="15.75" hidden="1" thickBot="1" x14ac:dyDescent="0.3">
      <c r="F8638" s="527">
        <v>464</v>
      </c>
      <c r="G8638" s="520" t="s">
        <v>3829</v>
      </c>
      <c r="J8638" s="595">
        <f t="shared" si="250"/>
        <v>0</v>
      </c>
    </row>
    <row r="8639" spans="6:10" ht="15.75" hidden="1" thickBot="1" x14ac:dyDescent="0.3">
      <c r="F8639" s="527">
        <v>465</v>
      </c>
      <c r="G8639" s="520" t="s">
        <v>4192</v>
      </c>
      <c r="J8639" s="595">
        <f t="shared" si="250"/>
        <v>0</v>
      </c>
    </row>
    <row r="8640" spans="6:10" ht="15.75" hidden="1" thickBot="1" x14ac:dyDescent="0.3">
      <c r="F8640" s="527">
        <v>472</v>
      </c>
      <c r="G8640" s="520" t="s">
        <v>3833</v>
      </c>
      <c r="J8640" s="595">
        <f t="shared" si="250"/>
        <v>0</v>
      </c>
    </row>
    <row r="8641" spans="6:10" ht="15.75" hidden="1" thickBot="1" x14ac:dyDescent="0.3">
      <c r="F8641" s="527">
        <v>481</v>
      </c>
      <c r="G8641" s="520" t="s">
        <v>4211</v>
      </c>
      <c r="J8641" s="595">
        <f t="shared" si="250"/>
        <v>0</v>
      </c>
    </row>
    <row r="8642" spans="6:10" ht="15.75" hidden="1" thickBot="1" x14ac:dyDescent="0.3">
      <c r="F8642" s="527">
        <v>482</v>
      </c>
      <c r="G8642" s="520" t="s">
        <v>4212</v>
      </c>
      <c r="J8642" s="595">
        <f t="shared" si="250"/>
        <v>0</v>
      </c>
    </row>
    <row r="8643" spans="6:10" ht="15.75" hidden="1" thickBot="1" x14ac:dyDescent="0.3">
      <c r="F8643" s="527">
        <v>483</v>
      </c>
      <c r="G8643" s="524" t="s">
        <v>4213</v>
      </c>
      <c r="J8643" s="595">
        <f t="shared" si="250"/>
        <v>0</v>
      </c>
    </row>
    <row r="8644" spans="6:10" ht="30.75" hidden="1" thickBot="1" x14ac:dyDescent="0.3">
      <c r="F8644" s="527">
        <v>484</v>
      </c>
      <c r="G8644" s="520" t="s">
        <v>4214</v>
      </c>
      <c r="J8644" s="595">
        <f t="shared" si="250"/>
        <v>0</v>
      </c>
    </row>
    <row r="8645" spans="6:10" ht="30.75" hidden="1" thickBot="1" x14ac:dyDescent="0.3">
      <c r="F8645" s="527">
        <v>485</v>
      </c>
      <c r="G8645" s="520" t="s">
        <v>4215</v>
      </c>
      <c r="J8645" s="595">
        <f t="shared" si="250"/>
        <v>0</v>
      </c>
    </row>
    <row r="8646" spans="6:10" ht="30.75" hidden="1" thickBot="1" x14ac:dyDescent="0.3">
      <c r="F8646" s="527">
        <v>489</v>
      </c>
      <c r="G8646" s="520" t="s">
        <v>3841</v>
      </c>
      <c r="J8646" s="595">
        <f t="shared" si="250"/>
        <v>0</v>
      </c>
    </row>
    <row r="8647" spans="6:10" ht="15.75" hidden="1" thickBot="1" x14ac:dyDescent="0.3">
      <c r="F8647" s="527">
        <v>494</v>
      </c>
      <c r="G8647" s="520" t="s">
        <v>4193</v>
      </c>
      <c r="J8647" s="595">
        <f t="shared" si="250"/>
        <v>0</v>
      </c>
    </row>
    <row r="8648" spans="6:10" ht="30.75" hidden="1" thickBot="1" x14ac:dyDescent="0.3">
      <c r="F8648" s="527">
        <v>495</v>
      </c>
      <c r="G8648" s="520" t="s">
        <v>4194</v>
      </c>
      <c r="J8648" s="595">
        <f t="shared" si="250"/>
        <v>0</v>
      </c>
    </row>
    <row r="8649" spans="6:10" ht="30.75" hidden="1" thickBot="1" x14ac:dyDescent="0.3">
      <c r="F8649" s="527">
        <v>496</v>
      </c>
      <c r="G8649" s="520" t="s">
        <v>4195</v>
      </c>
      <c r="J8649" s="595">
        <f t="shared" si="250"/>
        <v>0</v>
      </c>
    </row>
    <row r="8650" spans="6:10" ht="15.75" hidden="1" thickBot="1" x14ac:dyDescent="0.3">
      <c r="F8650" s="527">
        <v>499</v>
      </c>
      <c r="G8650" s="520" t="s">
        <v>4196</v>
      </c>
      <c r="J8650" s="595">
        <f t="shared" si="250"/>
        <v>0</v>
      </c>
    </row>
    <row r="8651" spans="6:10" ht="15.75" hidden="1" thickBot="1" x14ac:dyDescent="0.3">
      <c r="F8651" s="527">
        <v>511</v>
      </c>
      <c r="G8651" s="524" t="s">
        <v>4216</v>
      </c>
      <c r="J8651" s="595">
        <f t="shared" si="250"/>
        <v>0</v>
      </c>
    </row>
    <row r="8652" spans="6:10" ht="15.75" hidden="1" thickBot="1" x14ac:dyDescent="0.3">
      <c r="F8652" s="527">
        <v>512</v>
      </c>
      <c r="G8652" s="524" t="s">
        <v>4217</v>
      </c>
      <c r="J8652" s="595">
        <f t="shared" si="250"/>
        <v>0</v>
      </c>
    </row>
    <row r="8653" spans="6:10" ht="15.75" hidden="1" thickBot="1" x14ac:dyDescent="0.3">
      <c r="F8653" s="527">
        <v>513</v>
      </c>
      <c r="G8653" s="524" t="s">
        <v>4218</v>
      </c>
      <c r="J8653" s="595">
        <f t="shared" si="250"/>
        <v>0</v>
      </c>
    </row>
    <row r="8654" spans="6:10" ht="15.75" hidden="1" thickBot="1" x14ac:dyDescent="0.3">
      <c r="F8654" s="527">
        <v>514</v>
      </c>
      <c r="G8654" s="520" t="s">
        <v>4219</v>
      </c>
      <c r="J8654" s="595">
        <f t="shared" si="250"/>
        <v>0</v>
      </c>
    </row>
    <row r="8655" spans="6:10" ht="15.75" hidden="1" thickBot="1" x14ac:dyDescent="0.3">
      <c r="F8655" s="527">
        <v>515</v>
      </c>
      <c r="G8655" s="520" t="s">
        <v>3852</v>
      </c>
      <c r="J8655" s="595">
        <f t="shared" si="250"/>
        <v>0</v>
      </c>
    </row>
    <row r="8656" spans="6:10" ht="15.75" hidden="1" thickBot="1" x14ac:dyDescent="0.3">
      <c r="F8656" s="527">
        <v>521</v>
      </c>
      <c r="G8656" s="520" t="s">
        <v>4220</v>
      </c>
      <c r="J8656" s="595">
        <f t="shared" si="250"/>
        <v>0</v>
      </c>
    </row>
    <row r="8657" spans="5:10" ht="15.75" hidden="1" thickBot="1" x14ac:dyDescent="0.3">
      <c r="F8657" s="527">
        <v>522</v>
      </c>
      <c r="G8657" s="520" t="s">
        <v>4221</v>
      </c>
      <c r="J8657" s="595">
        <f t="shared" si="250"/>
        <v>0</v>
      </c>
    </row>
    <row r="8658" spans="5:10" ht="15.75" hidden="1" thickBot="1" x14ac:dyDescent="0.3">
      <c r="F8658" s="527">
        <v>523</v>
      </c>
      <c r="G8658" s="520" t="s">
        <v>3857</v>
      </c>
      <c r="J8658" s="595">
        <f t="shared" si="250"/>
        <v>0</v>
      </c>
    </row>
    <row r="8659" spans="5:10" ht="15.75" hidden="1" thickBot="1" x14ac:dyDescent="0.3">
      <c r="F8659" s="527">
        <v>531</v>
      </c>
      <c r="G8659" s="516" t="s">
        <v>4197</v>
      </c>
      <c r="J8659" s="595">
        <f t="shared" si="250"/>
        <v>0</v>
      </c>
    </row>
    <row r="8660" spans="5:10" ht="15.75" hidden="1" thickBot="1" x14ac:dyDescent="0.3">
      <c r="F8660" s="527">
        <v>541</v>
      </c>
      <c r="G8660" s="520" t="s">
        <v>4222</v>
      </c>
      <c r="J8660" s="595">
        <f t="shared" si="250"/>
        <v>0</v>
      </c>
    </row>
    <row r="8661" spans="5:10" ht="15.75" hidden="1" thickBot="1" x14ac:dyDescent="0.3">
      <c r="F8661" s="527">
        <v>542</v>
      </c>
      <c r="G8661" s="520" t="s">
        <v>4223</v>
      </c>
      <c r="J8661" s="595">
        <f t="shared" si="250"/>
        <v>0</v>
      </c>
    </row>
    <row r="8662" spans="5:10" ht="15.75" hidden="1" thickBot="1" x14ac:dyDescent="0.3">
      <c r="F8662" s="527">
        <v>543</v>
      </c>
      <c r="G8662" s="520" t="s">
        <v>3862</v>
      </c>
      <c r="J8662" s="595">
        <f t="shared" si="250"/>
        <v>0</v>
      </c>
    </row>
    <row r="8663" spans="5:10" ht="30.75" hidden="1" thickBot="1" x14ac:dyDescent="0.3">
      <c r="F8663" s="527">
        <v>551</v>
      </c>
      <c r="G8663" s="520" t="s">
        <v>4198</v>
      </c>
      <c r="J8663" s="595">
        <f t="shared" si="250"/>
        <v>0</v>
      </c>
    </row>
    <row r="8664" spans="5:10" ht="15.75" hidden="1" thickBot="1" x14ac:dyDescent="0.3">
      <c r="F8664" s="528">
        <v>611</v>
      </c>
      <c r="G8664" s="526" t="s">
        <v>3868</v>
      </c>
      <c r="J8664" s="595">
        <f t="shared" si="250"/>
        <v>0</v>
      </c>
    </row>
    <row r="8665" spans="5:10" ht="15.75" hidden="1" thickBot="1" x14ac:dyDescent="0.3">
      <c r="F8665" s="528">
        <v>620</v>
      </c>
      <c r="G8665" s="526" t="s">
        <v>88</v>
      </c>
      <c r="J8665" s="595">
        <f t="shared" si="250"/>
        <v>0</v>
      </c>
    </row>
    <row r="8666" spans="5:10" hidden="1" x14ac:dyDescent="0.25">
      <c r="E8666" s="517"/>
      <c r="F8666" s="528"/>
      <c r="G8666" s="327" t="s">
        <v>4416</v>
      </c>
      <c r="H8666" s="596"/>
      <c r="I8666" s="622"/>
      <c r="J8666" s="597"/>
    </row>
    <row r="8667" spans="5:10" ht="15.75" hidden="1" thickBot="1" x14ac:dyDescent="0.3">
      <c r="E8667" s="222"/>
      <c r="F8667" s="249" t="s">
        <v>234</v>
      </c>
      <c r="G8667" s="252" t="s">
        <v>235</v>
      </c>
      <c r="H8667" s="598">
        <f>SUM(H8606:H8665)</f>
        <v>0</v>
      </c>
      <c r="I8667" s="599"/>
      <c r="J8667" s="599">
        <f t="shared" ref="J8667:J8682" si="251">SUM(H8667:I8667)</f>
        <v>0</v>
      </c>
    </row>
    <row r="8668" spans="5:10" ht="15.75" hidden="1" thickBot="1" x14ac:dyDescent="0.3">
      <c r="F8668" s="249" t="s">
        <v>236</v>
      </c>
      <c r="G8668" s="252" t="s">
        <v>237</v>
      </c>
      <c r="J8668" s="599">
        <f t="shared" si="251"/>
        <v>0</v>
      </c>
    </row>
    <row r="8669" spans="5:10" ht="15.75" hidden="1" thickBot="1" x14ac:dyDescent="0.3">
      <c r="F8669" s="249" t="s">
        <v>238</v>
      </c>
      <c r="G8669" s="252" t="s">
        <v>239</v>
      </c>
      <c r="J8669" s="599">
        <f t="shared" si="251"/>
        <v>0</v>
      </c>
    </row>
    <row r="8670" spans="5:10" ht="15.75" hidden="1" thickBot="1" x14ac:dyDescent="0.3">
      <c r="F8670" s="249" t="s">
        <v>240</v>
      </c>
      <c r="G8670" s="252" t="s">
        <v>241</v>
      </c>
      <c r="J8670" s="599">
        <f t="shared" si="251"/>
        <v>0</v>
      </c>
    </row>
    <row r="8671" spans="5:10" ht="15.75" hidden="1" thickBot="1" x14ac:dyDescent="0.3">
      <c r="F8671" s="249" t="s">
        <v>242</v>
      </c>
      <c r="G8671" s="252" t="s">
        <v>243</v>
      </c>
      <c r="J8671" s="599">
        <f t="shared" si="251"/>
        <v>0</v>
      </c>
    </row>
    <row r="8672" spans="5:10" ht="15.75" hidden="1" thickBot="1" x14ac:dyDescent="0.3">
      <c r="F8672" s="249" t="s">
        <v>244</v>
      </c>
      <c r="G8672" s="252" t="s">
        <v>245</v>
      </c>
      <c r="J8672" s="599">
        <f t="shared" si="251"/>
        <v>0</v>
      </c>
    </row>
    <row r="8673" spans="5:10" ht="15.75" hidden="1" thickBot="1" x14ac:dyDescent="0.3">
      <c r="F8673" s="249" t="s">
        <v>246</v>
      </c>
      <c r="G8673" s="252" t="s">
        <v>247</v>
      </c>
      <c r="J8673" s="599">
        <f t="shared" si="251"/>
        <v>0</v>
      </c>
    </row>
    <row r="8674" spans="5:10" ht="15.75" hidden="1" thickBot="1" x14ac:dyDescent="0.3">
      <c r="F8674" s="249" t="s">
        <v>248</v>
      </c>
      <c r="G8674" s="252" t="s">
        <v>249</v>
      </c>
      <c r="J8674" s="599">
        <f t="shared" si="251"/>
        <v>0</v>
      </c>
    </row>
    <row r="8675" spans="5:10" ht="15.75" hidden="1" thickBot="1" x14ac:dyDescent="0.3">
      <c r="F8675" s="249" t="s">
        <v>250</v>
      </c>
      <c r="G8675" s="252" t="s">
        <v>57</v>
      </c>
      <c r="J8675" s="599">
        <f t="shared" si="251"/>
        <v>0</v>
      </c>
    </row>
    <row r="8676" spans="5:10" ht="15.75" hidden="1" thickBot="1" x14ac:dyDescent="0.3">
      <c r="F8676" s="249" t="s">
        <v>251</v>
      </c>
      <c r="G8676" s="252" t="s">
        <v>252</v>
      </c>
      <c r="J8676" s="599">
        <f t="shared" si="251"/>
        <v>0</v>
      </c>
    </row>
    <row r="8677" spans="5:10" ht="15.75" hidden="1" thickBot="1" x14ac:dyDescent="0.3">
      <c r="F8677" s="249" t="s">
        <v>253</v>
      </c>
      <c r="G8677" s="252" t="s">
        <v>254</v>
      </c>
      <c r="J8677" s="599">
        <f t="shared" si="251"/>
        <v>0</v>
      </c>
    </row>
    <row r="8678" spans="5:10" ht="30.75" hidden="1" thickBot="1" x14ac:dyDescent="0.3">
      <c r="F8678" s="249" t="s">
        <v>255</v>
      </c>
      <c r="G8678" s="252" t="s">
        <v>256</v>
      </c>
      <c r="J8678" s="599">
        <f t="shared" si="251"/>
        <v>0</v>
      </c>
    </row>
    <row r="8679" spans="5:10" ht="15.75" hidden="1" thickBot="1" x14ac:dyDescent="0.3">
      <c r="F8679" s="249" t="s">
        <v>257</v>
      </c>
      <c r="G8679" s="252" t="s">
        <v>258</v>
      </c>
      <c r="J8679" s="599">
        <f t="shared" si="251"/>
        <v>0</v>
      </c>
    </row>
    <row r="8680" spans="5:10" ht="30.75" hidden="1" thickBot="1" x14ac:dyDescent="0.3">
      <c r="F8680" s="249" t="s">
        <v>259</v>
      </c>
      <c r="G8680" s="252" t="s">
        <v>260</v>
      </c>
      <c r="J8680" s="599">
        <f t="shared" si="251"/>
        <v>0</v>
      </c>
    </row>
    <row r="8681" spans="5:10" ht="15.75" hidden="1" thickBot="1" x14ac:dyDescent="0.3">
      <c r="F8681" s="249" t="s">
        <v>261</v>
      </c>
      <c r="G8681" s="252" t="s">
        <v>262</v>
      </c>
      <c r="J8681" s="599">
        <f t="shared" si="251"/>
        <v>0</v>
      </c>
    </row>
    <row r="8682" spans="5:10" ht="15.75" hidden="1" thickBot="1" x14ac:dyDescent="0.3">
      <c r="F8682" s="249" t="s">
        <v>263</v>
      </c>
      <c r="G8682" s="252" t="s">
        <v>264</v>
      </c>
      <c r="H8682" s="598"/>
      <c r="I8682" s="599"/>
      <c r="J8682" s="599">
        <f t="shared" si="251"/>
        <v>0</v>
      </c>
    </row>
    <row r="8683" spans="5:10" ht="15.75" hidden="1" thickBot="1" x14ac:dyDescent="0.3">
      <c r="G8683" s="229" t="s">
        <v>4417</v>
      </c>
      <c r="H8683" s="600">
        <f>SUM(H8667:H8682)</f>
        <v>0</v>
      </c>
      <c r="I8683" s="601">
        <f>SUM(I8668:I8682)</f>
        <v>0</v>
      </c>
      <c r="J8683" s="601">
        <f>SUM(J8667:J8682)</f>
        <v>0</v>
      </c>
    </row>
    <row r="8684" spans="5:10" hidden="1" x14ac:dyDescent="0.25">
      <c r="E8684" s="517"/>
      <c r="F8684" s="528"/>
      <c r="G8684" s="231" t="s">
        <v>5078</v>
      </c>
      <c r="H8684" s="602"/>
      <c r="I8684" s="623"/>
      <c r="J8684" s="603"/>
    </row>
    <row r="8685" spans="5:10" ht="15.75" hidden="1" thickBot="1" x14ac:dyDescent="0.3">
      <c r="E8685" s="222"/>
      <c r="F8685" s="249" t="s">
        <v>234</v>
      </c>
      <c r="G8685" s="252" t="s">
        <v>235</v>
      </c>
      <c r="H8685" s="598">
        <f>SUM(H8606:H8665)</f>
        <v>0</v>
      </c>
      <c r="I8685" s="599"/>
      <c r="J8685" s="599">
        <f>SUM(H8685:I8685)</f>
        <v>0</v>
      </c>
    </row>
    <row r="8686" spans="5:10" ht="15.75" hidden="1" thickBot="1" x14ac:dyDescent="0.3">
      <c r="F8686" s="249" t="s">
        <v>236</v>
      </c>
      <c r="G8686" s="252" t="s">
        <v>237</v>
      </c>
      <c r="J8686" s="599">
        <f t="shared" ref="J8686:J8700" si="252">SUM(H8686:I8686)</f>
        <v>0</v>
      </c>
    </row>
    <row r="8687" spans="5:10" ht="15.75" hidden="1" thickBot="1" x14ac:dyDescent="0.3">
      <c r="F8687" s="249" t="s">
        <v>238</v>
      </c>
      <c r="G8687" s="252" t="s">
        <v>239</v>
      </c>
      <c r="J8687" s="599">
        <f t="shared" si="252"/>
        <v>0</v>
      </c>
    </row>
    <row r="8688" spans="5:10" ht="15.75" hidden="1" thickBot="1" x14ac:dyDescent="0.3">
      <c r="F8688" s="249" t="s">
        <v>240</v>
      </c>
      <c r="G8688" s="252" t="s">
        <v>241</v>
      </c>
      <c r="J8688" s="599">
        <f t="shared" si="252"/>
        <v>0</v>
      </c>
    </row>
    <row r="8689" spans="3:10" ht="15.75" hidden="1" thickBot="1" x14ac:dyDescent="0.3">
      <c r="F8689" s="249" t="s">
        <v>242</v>
      </c>
      <c r="G8689" s="252" t="s">
        <v>243</v>
      </c>
      <c r="J8689" s="599">
        <f t="shared" si="252"/>
        <v>0</v>
      </c>
    </row>
    <row r="8690" spans="3:10" ht="15.75" hidden="1" thickBot="1" x14ac:dyDescent="0.3">
      <c r="F8690" s="249" t="s">
        <v>244</v>
      </c>
      <c r="G8690" s="252" t="s">
        <v>245</v>
      </c>
      <c r="J8690" s="599">
        <f t="shared" si="252"/>
        <v>0</v>
      </c>
    </row>
    <row r="8691" spans="3:10" ht="15.75" hidden="1" thickBot="1" x14ac:dyDescent="0.3">
      <c r="F8691" s="249" t="s">
        <v>246</v>
      </c>
      <c r="G8691" s="252" t="s">
        <v>247</v>
      </c>
      <c r="J8691" s="599">
        <f t="shared" si="252"/>
        <v>0</v>
      </c>
    </row>
    <row r="8692" spans="3:10" ht="15.75" hidden="1" thickBot="1" x14ac:dyDescent="0.3">
      <c r="F8692" s="249" t="s">
        <v>248</v>
      </c>
      <c r="G8692" s="252" t="s">
        <v>249</v>
      </c>
      <c r="J8692" s="599">
        <f t="shared" si="252"/>
        <v>0</v>
      </c>
    </row>
    <row r="8693" spans="3:10" ht="15.75" hidden="1" thickBot="1" x14ac:dyDescent="0.3">
      <c r="F8693" s="249" t="s">
        <v>250</v>
      </c>
      <c r="G8693" s="252" t="s">
        <v>57</v>
      </c>
      <c r="J8693" s="599">
        <f t="shared" si="252"/>
        <v>0</v>
      </c>
    </row>
    <row r="8694" spans="3:10" ht="15.75" hidden="1" thickBot="1" x14ac:dyDescent="0.3">
      <c r="F8694" s="249" t="s">
        <v>251</v>
      </c>
      <c r="G8694" s="252" t="s">
        <v>252</v>
      </c>
      <c r="J8694" s="599">
        <f t="shared" si="252"/>
        <v>0</v>
      </c>
    </row>
    <row r="8695" spans="3:10" ht="15.75" hidden="1" thickBot="1" x14ac:dyDescent="0.3">
      <c r="F8695" s="249" t="s">
        <v>253</v>
      </c>
      <c r="G8695" s="252" t="s">
        <v>254</v>
      </c>
      <c r="J8695" s="599">
        <f t="shared" si="252"/>
        <v>0</v>
      </c>
    </row>
    <row r="8696" spans="3:10" ht="30.75" hidden="1" thickBot="1" x14ac:dyDescent="0.3">
      <c r="F8696" s="249" t="s">
        <v>255</v>
      </c>
      <c r="G8696" s="252" t="s">
        <v>256</v>
      </c>
      <c r="J8696" s="599">
        <f t="shared" si="252"/>
        <v>0</v>
      </c>
    </row>
    <row r="8697" spans="3:10" ht="15.75" hidden="1" thickBot="1" x14ac:dyDescent="0.3">
      <c r="F8697" s="249" t="s">
        <v>257</v>
      </c>
      <c r="G8697" s="252" t="s">
        <v>258</v>
      </c>
      <c r="J8697" s="599">
        <f t="shared" si="252"/>
        <v>0</v>
      </c>
    </row>
    <row r="8698" spans="3:10" ht="30.75" hidden="1" thickBot="1" x14ac:dyDescent="0.3">
      <c r="F8698" s="249" t="s">
        <v>259</v>
      </c>
      <c r="G8698" s="252" t="s">
        <v>260</v>
      </c>
      <c r="J8698" s="599">
        <f t="shared" si="252"/>
        <v>0</v>
      </c>
    </row>
    <row r="8699" spans="3:10" ht="15.75" hidden="1" thickBot="1" x14ac:dyDescent="0.3">
      <c r="F8699" s="249" t="s">
        <v>261</v>
      </c>
      <c r="G8699" s="252" t="s">
        <v>262</v>
      </c>
      <c r="J8699" s="599">
        <f t="shared" si="252"/>
        <v>0</v>
      </c>
    </row>
    <row r="8700" spans="3:10" ht="15.75" hidden="1" thickBot="1" x14ac:dyDescent="0.3">
      <c r="F8700" s="249" t="s">
        <v>263</v>
      </c>
      <c r="G8700" s="252" t="s">
        <v>264</v>
      </c>
      <c r="H8700" s="598"/>
      <c r="I8700" s="599"/>
      <c r="J8700" s="599">
        <f t="shared" si="252"/>
        <v>0</v>
      </c>
    </row>
    <row r="8701" spans="3:10" ht="15.75" hidden="1" thickBot="1" x14ac:dyDescent="0.3">
      <c r="G8701" s="229" t="s">
        <v>5039</v>
      </c>
      <c r="H8701" s="600">
        <f>SUM(H8685:H8700)</f>
        <v>0</v>
      </c>
      <c r="I8701" s="601">
        <f>SUM(I8686:I8700)</f>
        <v>0</v>
      </c>
      <c r="J8701" s="601">
        <f>SUM(J8685:J8700)</f>
        <v>0</v>
      </c>
    </row>
    <row r="8702" spans="3:10" hidden="1" x14ac:dyDescent="0.25">
      <c r="G8702" s="286"/>
      <c r="H8702" s="604"/>
      <c r="I8702" s="605"/>
      <c r="J8702" s="605"/>
    </row>
    <row r="8703" spans="3:10" hidden="1" x14ac:dyDescent="0.25">
      <c r="C8703" s="228" t="s">
        <v>4612</v>
      </c>
      <c r="D8703" s="219"/>
      <c r="G8703" s="521" t="s">
        <v>5110</v>
      </c>
    </row>
    <row r="8704" spans="3:10" hidden="1" x14ac:dyDescent="0.25">
      <c r="C8704" s="228"/>
      <c r="D8704" s="312">
        <v>473</v>
      </c>
      <c r="E8704" s="312"/>
      <c r="F8704" s="312"/>
      <c r="G8704" s="338" t="s">
        <v>162</v>
      </c>
    </row>
    <row r="8705" spans="6:10" hidden="1" x14ac:dyDescent="0.25">
      <c r="F8705" s="527">
        <v>411</v>
      </c>
      <c r="G8705" s="520" t="s">
        <v>4189</v>
      </c>
      <c r="J8705" s="595">
        <f>SUM(H8705:I8705)</f>
        <v>0</v>
      </c>
    </row>
    <row r="8706" spans="6:10" hidden="1" x14ac:dyDescent="0.25">
      <c r="F8706" s="527">
        <v>412</v>
      </c>
      <c r="G8706" s="516" t="s">
        <v>3784</v>
      </c>
      <c r="J8706" s="595">
        <f t="shared" ref="J8706:J8713" si="253">SUM(H8706:I8706)</f>
        <v>0</v>
      </c>
    </row>
    <row r="8707" spans="6:10" hidden="1" x14ac:dyDescent="0.25">
      <c r="F8707" s="527">
        <v>413</v>
      </c>
      <c r="G8707" s="520" t="s">
        <v>4190</v>
      </c>
      <c r="J8707" s="595">
        <f t="shared" si="253"/>
        <v>0</v>
      </c>
    </row>
    <row r="8708" spans="6:10" hidden="1" x14ac:dyDescent="0.25">
      <c r="F8708" s="527">
        <v>414</v>
      </c>
      <c r="G8708" s="520" t="s">
        <v>3787</v>
      </c>
      <c r="J8708" s="595">
        <f t="shared" si="253"/>
        <v>0</v>
      </c>
    </row>
    <row r="8709" spans="6:10" hidden="1" x14ac:dyDescent="0.25">
      <c r="F8709" s="527">
        <v>415</v>
      </c>
      <c r="G8709" s="520" t="s">
        <v>4199</v>
      </c>
      <c r="J8709" s="595">
        <f t="shared" si="253"/>
        <v>0</v>
      </c>
    </row>
    <row r="8710" spans="6:10" hidden="1" x14ac:dyDescent="0.25">
      <c r="F8710" s="527">
        <v>416</v>
      </c>
      <c r="G8710" s="520" t="s">
        <v>4200</v>
      </c>
      <c r="J8710" s="595">
        <f t="shared" si="253"/>
        <v>0</v>
      </c>
    </row>
    <row r="8711" spans="6:10" hidden="1" x14ac:dyDescent="0.25">
      <c r="F8711" s="527">
        <v>417</v>
      </c>
      <c r="G8711" s="520" t="s">
        <v>4201</v>
      </c>
      <c r="J8711" s="595">
        <f t="shared" si="253"/>
        <v>0</v>
      </c>
    </row>
    <row r="8712" spans="6:10" hidden="1" x14ac:dyDescent="0.25">
      <c r="F8712" s="527">
        <v>418</v>
      </c>
      <c r="G8712" s="520" t="s">
        <v>3793</v>
      </c>
      <c r="J8712" s="595">
        <f t="shared" si="253"/>
        <v>0</v>
      </c>
    </row>
    <row r="8713" spans="6:10" hidden="1" x14ac:dyDescent="0.25">
      <c r="F8713" s="527">
        <v>421</v>
      </c>
      <c r="G8713" s="520" t="s">
        <v>3797</v>
      </c>
      <c r="J8713" s="595">
        <f t="shared" si="253"/>
        <v>0</v>
      </c>
    </row>
    <row r="8714" spans="6:10" hidden="1" x14ac:dyDescent="0.25">
      <c r="F8714" s="527">
        <v>422</v>
      </c>
      <c r="G8714" s="520" t="s">
        <v>3798</v>
      </c>
      <c r="J8714" s="595">
        <f>SUM(H8714:I8714)</f>
        <v>0</v>
      </c>
    </row>
    <row r="8715" spans="6:10" hidden="1" x14ac:dyDescent="0.25">
      <c r="F8715" s="527">
        <v>423</v>
      </c>
      <c r="G8715" s="520" t="s">
        <v>3799</v>
      </c>
      <c r="J8715" s="595">
        <f t="shared" ref="J8715:J8764" si="254">SUM(H8715:I8715)</f>
        <v>0</v>
      </c>
    </row>
    <row r="8716" spans="6:10" ht="15.75" hidden="1" thickBot="1" x14ac:dyDescent="0.3">
      <c r="F8716" s="527">
        <v>424</v>
      </c>
      <c r="G8716" s="520" t="s">
        <v>3801</v>
      </c>
      <c r="J8716" s="595">
        <f t="shared" si="254"/>
        <v>0</v>
      </c>
    </row>
    <row r="8717" spans="6:10" hidden="1" x14ac:dyDescent="0.25">
      <c r="F8717" s="527">
        <v>425</v>
      </c>
      <c r="G8717" s="520" t="s">
        <v>4202</v>
      </c>
      <c r="J8717" s="595">
        <f t="shared" si="254"/>
        <v>0</v>
      </c>
    </row>
    <row r="8718" spans="6:10" hidden="1" x14ac:dyDescent="0.25">
      <c r="F8718" s="527">
        <v>426</v>
      </c>
      <c r="G8718" s="520" t="s">
        <v>3805</v>
      </c>
      <c r="J8718" s="595">
        <f t="shared" si="254"/>
        <v>0</v>
      </c>
    </row>
    <row r="8719" spans="6:10" hidden="1" x14ac:dyDescent="0.25">
      <c r="F8719" s="527">
        <v>431</v>
      </c>
      <c r="G8719" s="520" t="s">
        <v>4203</v>
      </c>
      <c r="J8719" s="595">
        <f t="shared" si="254"/>
        <v>0</v>
      </c>
    </row>
    <row r="8720" spans="6:10" hidden="1" x14ac:dyDescent="0.25">
      <c r="F8720" s="527">
        <v>432</v>
      </c>
      <c r="G8720" s="520" t="s">
        <v>4204</v>
      </c>
      <c r="J8720" s="595">
        <f t="shared" si="254"/>
        <v>0</v>
      </c>
    </row>
    <row r="8721" spans="6:10" hidden="1" x14ac:dyDescent="0.25">
      <c r="F8721" s="527">
        <v>433</v>
      </c>
      <c r="G8721" s="520" t="s">
        <v>4205</v>
      </c>
      <c r="J8721" s="595">
        <f t="shared" si="254"/>
        <v>0</v>
      </c>
    </row>
    <row r="8722" spans="6:10" hidden="1" x14ac:dyDescent="0.25">
      <c r="F8722" s="527">
        <v>434</v>
      </c>
      <c r="G8722" s="520" t="s">
        <v>4206</v>
      </c>
      <c r="J8722" s="595">
        <f t="shared" si="254"/>
        <v>0</v>
      </c>
    </row>
    <row r="8723" spans="6:10" hidden="1" x14ac:dyDescent="0.25">
      <c r="F8723" s="527">
        <v>435</v>
      </c>
      <c r="G8723" s="520" t="s">
        <v>3812</v>
      </c>
      <c r="J8723" s="595">
        <f t="shared" si="254"/>
        <v>0</v>
      </c>
    </row>
    <row r="8724" spans="6:10" hidden="1" x14ac:dyDescent="0.25">
      <c r="F8724" s="527">
        <v>441</v>
      </c>
      <c r="G8724" s="520" t="s">
        <v>4207</v>
      </c>
      <c r="J8724" s="595">
        <f t="shared" si="254"/>
        <v>0</v>
      </c>
    </row>
    <row r="8725" spans="6:10" hidden="1" x14ac:dyDescent="0.25">
      <c r="F8725" s="527">
        <v>442</v>
      </c>
      <c r="G8725" s="520" t="s">
        <v>4208</v>
      </c>
      <c r="J8725" s="595">
        <f t="shared" si="254"/>
        <v>0</v>
      </c>
    </row>
    <row r="8726" spans="6:10" hidden="1" x14ac:dyDescent="0.25">
      <c r="F8726" s="527">
        <v>443</v>
      </c>
      <c r="G8726" s="520" t="s">
        <v>3817</v>
      </c>
      <c r="J8726" s="595">
        <f t="shared" si="254"/>
        <v>0</v>
      </c>
    </row>
    <row r="8727" spans="6:10" hidden="1" x14ac:dyDescent="0.25">
      <c r="F8727" s="527">
        <v>444</v>
      </c>
      <c r="G8727" s="520" t="s">
        <v>3818</v>
      </c>
      <c r="J8727" s="595">
        <f t="shared" si="254"/>
        <v>0</v>
      </c>
    </row>
    <row r="8728" spans="6:10" ht="30" hidden="1" x14ac:dyDescent="0.25">
      <c r="F8728" s="527">
        <v>4511</v>
      </c>
      <c r="G8728" s="223" t="s">
        <v>1692</v>
      </c>
      <c r="J8728" s="595">
        <f t="shared" si="254"/>
        <v>0</v>
      </c>
    </row>
    <row r="8729" spans="6:10" ht="30" hidden="1" x14ac:dyDescent="0.25">
      <c r="F8729" s="527">
        <v>4512</v>
      </c>
      <c r="G8729" s="223" t="s">
        <v>1701</v>
      </c>
      <c r="J8729" s="595">
        <f t="shared" si="254"/>
        <v>0</v>
      </c>
    </row>
    <row r="8730" spans="6:10" hidden="1" x14ac:dyDescent="0.25">
      <c r="F8730" s="527">
        <v>452</v>
      </c>
      <c r="G8730" s="520" t="s">
        <v>4209</v>
      </c>
      <c r="J8730" s="595">
        <f t="shared" si="254"/>
        <v>0</v>
      </c>
    </row>
    <row r="8731" spans="6:10" hidden="1" x14ac:dyDescent="0.25">
      <c r="F8731" s="527">
        <v>453</v>
      </c>
      <c r="G8731" s="520" t="s">
        <v>4210</v>
      </c>
      <c r="J8731" s="595">
        <f t="shared" si="254"/>
        <v>0</v>
      </c>
    </row>
    <row r="8732" spans="6:10" hidden="1" x14ac:dyDescent="0.25">
      <c r="F8732" s="527">
        <v>454</v>
      </c>
      <c r="G8732" s="520" t="s">
        <v>3823</v>
      </c>
      <c r="J8732" s="595">
        <f t="shared" si="254"/>
        <v>0</v>
      </c>
    </row>
    <row r="8733" spans="6:10" hidden="1" x14ac:dyDescent="0.25">
      <c r="F8733" s="527">
        <v>461</v>
      </c>
      <c r="G8733" s="520" t="s">
        <v>4191</v>
      </c>
      <c r="J8733" s="595">
        <f t="shared" si="254"/>
        <v>0</v>
      </c>
    </row>
    <row r="8734" spans="6:10" hidden="1" x14ac:dyDescent="0.25">
      <c r="F8734" s="527">
        <v>462</v>
      </c>
      <c r="G8734" s="520" t="s">
        <v>3826</v>
      </c>
      <c r="J8734" s="595">
        <f t="shared" si="254"/>
        <v>0</v>
      </c>
    </row>
    <row r="8735" spans="6:10" hidden="1" x14ac:dyDescent="0.25">
      <c r="F8735" s="527">
        <v>4631</v>
      </c>
      <c r="G8735" s="520" t="s">
        <v>3827</v>
      </c>
      <c r="J8735" s="595">
        <f t="shared" si="254"/>
        <v>0</v>
      </c>
    </row>
    <row r="8736" spans="6:10" hidden="1" x14ac:dyDescent="0.25">
      <c r="F8736" s="527">
        <v>4632</v>
      </c>
      <c r="G8736" s="520" t="s">
        <v>3828</v>
      </c>
      <c r="J8736" s="595">
        <f t="shared" si="254"/>
        <v>0</v>
      </c>
    </row>
    <row r="8737" spans="6:10" hidden="1" x14ac:dyDescent="0.25">
      <c r="F8737" s="527">
        <v>464</v>
      </c>
      <c r="G8737" s="520" t="s">
        <v>3829</v>
      </c>
      <c r="J8737" s="595">
        <f t="shared" si="254"/>
        <v>0</v>
      </c>
    </row>
    <row r="8738" spans="6:10" hidden="1" x14ac:dyDescent="0.25">
      <c r="F8738" s="527">
        <v>465</v>
      </c>
      <c r="G8738" s="520" t="s">
        <v>4192</v>
      </c>
      <c r="J8738" s="595">
        <f t="shared" si="254"/>
        <v>0</v>
      </c>
    </row>
    <row r="8739" spans="6:10" hidden="1" x14ac:dyDescent="0.25">
      <c r="F8739" s="527">
        <v>472</v>
      </c>
      <c r="G8739" s="520" t="s">
        <v>3833</v>
      </c>
      <c r="J8739" s="595">
        <f t="shared" si="254"/>
        <v>0</v>
      </c>
    </row>
    <row r="8740" spans="6:10" hidden="1" x14ac:dyDescent="0.25">
      <c r="F8740" s="527">
        <v>481</v>
      </c>
      <c r="G8740" s="520" t="s">
        <v>4211</v>
      </c>
      <c r="J8740" s="595">
        <f t="shared" si="254"/>
        <v>0</v>
      </c>
    </row>
    <row r="8741" spans="6:10" hidden="1" x14ac:dyDescent="0.25">
      <c r="F8741" s="527">
        <v>482</v>
      </c>
      <c r="G8741" s="520" t="s">
        <v>4212</v>
      </c>
      <c r="J8741" s="595">
        <f t="shared" si="254"/>
        <v>0</v>
      </c>
    </row>
    <row r="8742" spans="6:10" hidden="1" x14ac:dyDescent="0.25">
      <c r="F8742" s="527">
        <v>483</v>
      </c>
      <c r="G8742" s="524" t="s">
        <v>4213</v>
      </c>
      <c r="J8742" s="595">
        <f t="shared" si="254"/>
        <v>0</v>
      </c>
    </row>
    <row r="8743" spans="6:10" ht="30" hidden="1" x14ac:dyDescent="0.25">
      <c r="F8743" s="527">
        <v>484</v>
      </c>
      <c r="G8743" s="520" t="s">
        <v>4214</v>
      </c>
      <c r="J8743" s="595">
        <f t="shared" si="254"/>
        <v>0</v>
      </c>
    </row>
    <row r="8744" spans="6:10" ht="30" hidden="1" x14ac:dyDescent="0.25">
      <c r="F8744" s="527">
        <v>485</v>
      </c>
      <c r="G8744" s="520" t="s">
        <v>4215</v>
      </c>
      <c r="J8744" s="595">
        <f t="shared" si="254"/>
        <v>0</v>
      </c>
    </row>
    <row r="8745" spans="6:10" ht="30" hidden="1" x14ac:dyDescent="0.25">
      <c r="F8745" s="527">
        <v>489</v>
      </c>
      <c r="G8745" s="520" t="s">
        <v>3841</v>
      </c>
      <c r="J8745" s="595">
        <f t="shared" si="254"/>
        <v>0</v>
      </c>
    </row>
    <row r="8746" spans="6:10" hidden="1" x14ac:dyDescent="0.25">
      <c r="F8746" s="527">
        <v>494</v>
      </c>
      <c r="G8746" s="520" t="s">
        <v>4193</v>
      </c>
      <c r="J8746" s="595">
        <f t="shared" si="254"/>
        <v>0</v>
      </c>
    </row>
    <row r="8747" spans="6:10" ht="30" hidden="1" x14ac:dyDescent="0.25">
      <c r="F8747" s="527">
        <v>495</v>
      </c>
      <c r="G8747" s="520" t="s">
        <v>4194</v>
      </c>
      <c r="J8747" s="595">
        <f t="shared" si="254"/>
        <v>0</v>
      </c>
    </row>
    <row r="8748" spans="6:10" ht="30" hidden="1" x14ac:dyDescent="0.25">
      <c r="F8748" s="527">
        <v>496</v>
      </c>
      <c r="G8748" s="520" t="s">
        <v>4195</v>
      </c>
      <c r="J8748" s="595">
        <f t="shared" si="254"/>
        <v>0</v>
      </c>
    </row>
    <row r="8749" spans="6:10" hidden="1" x14ac:dyDescent="0.25">
      <c r="F8749" s="527">
        <v>499</v>
      </c>
      <c r="G8749" s="520" t="s">
        <v>4196</v>
      </c>
      <c r="J8749" s="595">
        <f t="shared" si="254"/>
        <v>0</v>
      </c>
    </row>
    <row r="8750" spans="6:10" hidden="1" x14ac:dyDescent="0.25">
      <c r="F8750" s="527">
        <v>511</v>
      </c>
      <c r="G8750" s="524" t="s">
        <v>4216</v>
      </c>
      <c r="J8750" s="595">
        <f t="shared" si="254"/>
        <v>0</v>
      </c>
    </row>
    <row r="8751" spans="6:10" hidden="1" x14ac:dyDescent="0.25">
      <c r="F8751" s="527">
        <v>512</v>
      </c>
      <c r="G8751" s="524" t="s">
        <v>4217</v>
      </c>
      <c r="J8751" s="595">
        <f t="shared" si="254"/>
        <v>0</v>
      </c>
    </row>
    <row r="8752" spans="6:10" hidden="1" x14ac:dyDescent="0.25">
      <c r="F8752" s="527">
        <v>513</v>
      </c>
      <c r="G8752" s="524" t="s">
        <v>4218</v>
      </c>
      <c r="J8752" s="595">
        <f t="shared" si="254"/>
        <v>0</v>
      </c>
    </row>
    <row r="8753" spans="5:10" hidden="1" x14ac:dyDescent="0.25">
      <c r="F8753" s="527">
        <v>514</v>
      </c>
      <c r="G8753" s="520" t="s">
        <v>4219</v>
      </c>
      <c r="J8753" s="595">
        <f t="shared" si="254"/>
        <v>0</v>
      </c>
    </row>
    <row r="8754" spans="5:10" hidden="1" x14ac:dyDescent="0.25">
      <c r="F8754" s="527">
        <v>515</v>
      </c>
      <c r="G8754" s="520" t="s">
        <v>3852</v>
      </c>
      <c r="J8754" s="595">
        <f t="shared" si="254"/>
        <v>0</v>
      </c>
    </row>
    <row r="8755" spans="5:10" hidden="1" x14ac:dyDescent="0.25">
      <c r="F8755" s="527">
        <v>521</v>
      </c>
      <c r="G8755" s="520" t="s">
        <v>4220</v>
      </c>
      <c r="J8755" s="595">
        <f t="shared" si="254"/>
        <v>0</v>
      </c>
    </row>
    <row r="8756" spans="5:10" hidden="1" x14ac:dyDescent="0.25">
      <c r="F8756" s="527">
        <v>522</v>
      </c>
      <c r="G8756" s="520" t="s">
        <v>4221</v>
      </c>
      <c r="J8756" s="595">
        <f t="shared" si="254"/>
        <v>0</v>
      </c>
    </row>
    <row r="8757" spans="5:10" hidden="1" x14ac:dyDescent="0.25">
      <c r="F8757" s="527">
        <v>523</v>
      </c>
      <c r="G8757" s="520" t="s">
        <v>3857</v>
      </c>
      <c r="J8757" s="595">
        <f t="shared" si="254"/>
        <v>0</v>
      </c>
    </row>
    <row r="8758" spans="5:10" hidden="1" x14ac:dyDescent="0.25">
      <c r="F8758" s="527">
        <v>531</v>
      </c>
      <c r="G8758" s="516" t="s">
        <v>4197</v>
      </c>
      <c r="J8758" s="595">
        <f t="shared" si="254"/>
        <v>0</v>
      </c>
    </row>
    <row r="8759" spans="5:10" hidden="1" x14ac:dyDescent="0.25">
      <c r="F8759" s="527">
        <v>541</v>
      </c>
      <c r="G8759" s="520" t="s">
        <v>4222</v>
      </c>
      <c r="J8759" s="595">
        <f t="shared" si="254"/>
        <v>0</v>
      </c>
    </row>
    <row r="8760" spans="5:10" hidden="1" x14ac:dyDescent="0.25">
      <c r="F8760" s="527">
        <v>542</v>
      </c>
      <c r="G8760" s="520" t="s">
        <v>4223</v>
      </c>
      <c r="J8760" s="595">
        <f t="shared" si="254"/>
        <v>0</v>
      </c>
    </row>
    <row r="8761" spans="5:10" hidden="1" x14ac:dyDescent="0.25">
      <c r="F8761" s="527">
        <v>543</v>
      </c>
      <c r="G8761" s="520" t="s">
        <v>3862</v>
      </c>
      <c r="J8761" s="595">
        <f t="shared" si="254"/>
        <v>0</v>
      </c>
    </row>
    <row r="8762" spans="5:10" ht="30" hidden="1" x14ac:dyDescent="0.25">
      <c r="F8762" s="527">
        <v>551</v>
      </c>
      <c r="G8762" s="520" t="s">
        <v>4198</v>
      </c>
      <c r="J8762" s="595">
        <f t="shared" si="254"/>
        <v>0</v>
      </c>
    </row>
    <row r="8763" spans="5:10" hidden="1" x14ac:dyDescent="0.25">
      <c r="F8763" s="528">
        <v>611</v>
      </c>
      <c r="G8763" s="526" t="s">
        <v>3868</v>
      </c>
      <c r="J8763" s="595">
        <f t="shared" si="254"/>
        <v>0</v>
      </c>
    </row>
    <row r="8764" spans="5:10" ht="15.75" hidden="1" thickBot="1" x14ac:dyDescent="0.3">
      <c r="F8764" s="528">
        <v>620</v>
      </c>
      <c r="G8764" s="526" t="s">
        <v>88</v>
      </c>
      <c r="J8764" s="595">
        <f t="shared" si="254"/>
        <v>0</v>
      </c>
    </row>
    <row r="8765" spans="5:10" hidden="1" x14ac:dyDescent="0.25">
      <c r="E8765" s="517"/>
      <c r="F8765" s="528"/>
      <c r="G8765" s="327" t="s">
        <v>4416</v>
      </c>
      <c r="H8765" s="596"/>
      <c r="I8765" s="622"/>
      <c r="J8765" s="597"/>
    </row>
    <row r="8766" spans="5:10" ht="15.75" hidden="1" thickBot="1" x14ac:dyDescent="0.3">
      <c r="E8766" s="222"/>
      <c r="F8766" s="249" t="s">
        <v>234</v>
      </c>
      <c r="G8766" s="252" t="s">
        <v>235</v>
      </c>
      <c r="H8766" s="598">
        <f>SUM(H8705:H8764)</f>
        <v>0</v>
      </c>
      <c r="I8766" s="599"/>
      <c r="J8766" s="599">
        <f t="shared" ref="J8766:J8781" si="255">SUM(H8766:I8766)</f>
        <v>0</v>
      </c>
    </row>
    <row r="8767" spans="5:10" ht="15.75" hidden="1" thickBot="1" x14ac:dyDescent="0.3">
      <c r="F8767" s="249" t="s">
        <v>236</v>
      </c>
      <c r="G8767" s="252" t="s">
        <v>237</v>
      </c>
      <c r="J8767" s="599">
        <f t="shared" si="255"/>
        <v>0</v>
      </c>
    </row>
    <row r="8768" spans="5:10" ht="15.75" hidden="1" thickBot="1" x14ac:dyDescent="0.3">
      <c r="F8768" s="249" t="s">
        <v>238</v>
      </c>
      <c r="G8768" s="252" t="s">
        <v>239</v>
      </c>
      <c r="J8768" s="599">
        <f t="shared" si="255"/>
        <v>0</v>
      </c>
    </row>
    <row r="8769" spans="5:10" ht="15.75" hidden="1" thickBot="1" x14ac:dyDescent="0.3">
      <c r="F8769" s="249" t="s">
        <v>240</v>
      </c>
      <c r="G8769" s="252" t="s">
        <v>241</v>
      </c>
      <c r="J8769" s="599">
        <f t="shared" si="255"/>
        <v>0</v>
      </c>
    </row>
    <row r="8770" spans="5:10" ht="15.75" hidden="1" thickBot="1" x14ac:dyDescent="0.3">
      <c r="F8770" s="249" t="s">
        <v>242</v>
      </c>
      <c r="G8770" s="252" t="s">
        <v>243</v>
      </c>
      <c r="J8770" s="599">
        <f t="shared" si="255"/>
        <v>0</v>
      </c>
    </row>
    <row r="8771" spans="5:10" ht="15.75" hidden="1" thickBot="1" x14ac:dyDescent="0.3">
      <c r="F8771" s="249" t="s">
        <v>244</v>
      </c>
      <c r="G8771" s="252" t="s">
        <v>245</v>
      </c>
      <c r="J8771" s="599">
        <f t="shared" si="255"/>
        <v>0</v>
      </c>
    </row>
    <row r="8772" spans="5:10" ht="15.75" hidden="1" thickBot="1" x14ac:dyDescent="0.3">
      <c r="F8772" s="249" t="s">
        <v>246</v>
      </c>
      <c r="G8772" s="252" t="s">
        <v>247</v>
      </c>
      <c r="J8772" s="599">
        <f t="shared" si="255"/>
        <v>0</v>
      </c>
    </row>
    <row r="8773" spans="5:10" ht="15.75" hidden="1" thickBot="1" x14ac:dyDescent="0.3">
      <c r="F8773" s="249" t="s">
        <v>248</v>
      </c>
      <c r="G8773" s="252" t="s">
        <v>249</v>
      </c>
      <c r="J8773" s="599">
        <f t="shared" si="255"/>
        <v>0</v>
      </c>
    </row>
    <row r="8774" spans="5:10" ht="15.75" hidden="1" thickBot="1" x14ac:dyDescent="0.3">
      <c r="F8774" s="249" t="s">
        <v>250</v>
      </c>
      <c r="G8774" s="252" t="s">
        <v>57</v>
      </c>
      <c r="J8774" s="599">
        <f t="shared" si="255"/>
        <v>0</v>
      </c>
    </row>
    <row r="8775" spans="5:10" ht="15.75" hidden="1" thickBot="1" x14ac:dyDescent="0.3">
      <c r="F8775" s="249" t="s">
        <v>251</v>
      </c>
      <c r="G8775" s="252" t="s">
        <v>252</v>
      </c>
      <c r="J8775" s="599">
        <f t="shared" si="255"/>
        <v>0</v>
      </c>
    </row>
    <row r="8776" spans="5:10" ht="15.75" hidden="1" thickBot="1" x14ac:dyDescent="0.3">
      <c r="F8776" s="249" t="s">
        <v>253</v>
      </c>
      <c r="G8776" s="252" t="s">
        <v>254</v>
      </c>
      <c r="J8776" s="599">
        <f t="shared" si="255"/>
        <v>0</v>
      </c>
    </row>
    <row r="8777" spans="5:10" ht="30.75" hidden="1" thickBot="1" x14ac:dyDescent="0.3">
      <c r="F8777" s="249" t="s">
        <v>255</v>
      </c>
      <c r="G8777" s="252" t="s">
        <v>256</v>
      </c>
      <c r="J8777" s="599">
        <f t="shared" si="255"/>
        <v>0</v>
      </c>
    </row>
    <row r="8778" spans="5:10" ht="15.75" hidden="1" thickBot="1" x14ac:dyDescent="0.3">
      <c r="F8778" s="249" t="s">
        <v>257</v>
      </c>
      <c r="G8778" s="252" t="s">
        <v>258</v>
      </c>
      <c r="J8778" s="599">
        <f t="shared" si="255"/>
        <v>0</v>
      </c>
    </row>
    <row r="8779" spans="5:10" ht="30.75" hidden="1" thickBot="1" x14ac:dyDescent="0.3">
      <c r="F8779" s="249" t="s">
        <v>259</v>
      </c>
      <c r="G8779" s="252" t="s">
        <v>260</v>
      </c>
      <c r="J8779" s="599">
        <f t="shared" si="255"/>
        <v>0</v>
      </c>
    </row>
    <row r="8780" spans="5:10" ht="15.75" hidden="1" thickBot="1" x14ac:dyDescent="0.3">
      <c r="F8780" s="249" t="s">
        <v>261</v>
      </c>
      <c r="G8780" s="252" t="s">
        <v>262</v>
      </c>
      <c r="J8780" s="599">
        <f t="shared" si="255"/>
        <v>0</v>
      </c>
    </row>
    <row r="8781" spans="5:10" ht="15.75" hidden="1" thickBot="1" x14ac:dyDescent="0.3">
      <c r="F8781" s="249" t="s">
        <v>263</v>
      </c>
      <c r="G8781" s="252" t="s">
        <v>264</v>
      </c>
      <c r="H8781" s="598"/>
      <c r="I8781" s="599"/>
      <c r="J8781" s="599">
        <f t="shared" si="255"/>
        <v>0</v>
      </c>
    </row>
    <row r="8782" spans="5:10" ht="15.75" hidden="1" thickBot="1" x14ac:dyDescent="0.3">
      <c r="G8782" s="229" t="s">
        <v>4417</v>
      </c>
      <c r="H8782" s="600">
        <f>SUM(H8766:H8781)</f>
        <v>0</v>
      </c>
      <c r="I8782" s="601">
        <f>SUM(I8767:I8781)</f>
        <v>0</v>
      </c>
      <c r="J8782" s="601">
        <f>SUM(J8766:J8781)</f>
        <v>0</v>
      </c>
    </row>
    <row r="8783" spans="5:10" hidden="1" x14ac:dyDescent="0.25">
      <c r="E8783" s="517"/>
      <c r="F8783" s="528"/>
      <c r="G8783" s="231" t="s">
        <v>5111</v>
      </c>
      <c r="H8783" s="602"/>
      <c r="I8783" s="623"/>
      <c r="J8783" s="603"/>
    </row>
    <row r="8784" spans="5:10" ht="15.75" hidden="1" thickBot="1" x14ac:dyDescent="0.3">
      <c r="E8784" s="222"/>
      <c r="F8784" s="249" t="s">
        <v>234</v>
      </c>
      <c r="G8784" s="252" t="s">
        <v>235</v>
      </c>
      <c r="H8784" s="598">
        <f>SUM(H8705:H8764)</f>
        <v>0</v>
      </c>
      <c r="I8784" s="599"/>
      <c r="J8784" s="599">
        <f>SUM(H8784:I8784)</f>
        <v>0</v>
      </c>
    </row>
    <row r="8785" spans="6:10" ht="15.75" hidden="1" thickBot="1" x14ac:dyDescent="0.3">
      <c r="F8785" s="249" t="s">
        <v>236</v>
      </c>
      <c r="G8785" s="252" t="s">
        <v>237</v>
      </c>
      <c r="J8785" s="599">
        <f t="shared" ref="J8785:J8799" si="256">SUM(H8785:I8785)</f>
        <v>0</v>
      </c>
    </row>
    <row r="8786" spans="6:10" ht="15.75" hidden="1" thickBot="1" x14ac:dyDescent="0.3">
      <c r="F8786" s="249" t="s">
        <v>238</v>
      </c>
      <c r="G8786" s="252" t="s">
        <v>239</v>
      </c>
      <c r="J8786" s="599">
        <f t="shared" si="256"/>
        <v>0</v>
      </c>
    </row>
    <row r="8787" spans="6:10" ht="15.75" hidden="1" thickBot="1" x14ac:dyDescent="0.3">
      <c r="F8787" s="249" t="s">
        <v>240</v>
      </c>
      <c r="G8787" s="252" t="s">
        <v>241</v>
      </c>
      <c r="J8787" s="599">
        <f t="shared" si="256"/>
        <v>0</v>
      </c>
    </row>
    <row r="8788" spans="6:10" ht="15.75" hidden="1" thickBot="1" x14ac:dyDescent="0.3">
      <c r="F8788" s="249" t="s">
        <v>242</v>
      </c>
      <c r="G8788" s="252" t="s">
        <v>243</v>
      </c>
      <c r="J8788" s="599">
        <f t="shared" si="256"/>
        <v>0</v>
      </c>
    </row>
    <row r="8789" spans="6:10" ht="15.75" hidden="1" thickBot="1" x14ac:dyDescent="0.3">
      <c r="F8789" s="249" t="s">
        <v>244</v>
      </c>
      <c r="G8789" s="252" t="s">
        <v>245</v>
      </c>
      <c r="J8789" s="599">
        <f t="shared" si="256"/>
        <v>0</v>
      </c>
    </row>
    <row r="8790" spans="6:10" ht="15.75" hidden="1" thickBot="1" x14ac:dyDescent="0.3">
      <c r="F8790" s="249" t="s">
        <v>246</v>
      </c>
      <c r="G8790" s="252" t="s">
        <v>247</v>
      </c>
      <c r="J8790" s="599">
        <f t="shared" si="256"/>
        <v>0</v>
      </c>
    </row>
    <row r="8791" spans="6:10" ht="15.75" hidden="1" thickBot="1" x14ac:dyDescent="0.3">
      <c r="F8791" s="249" t="s">
        <v>248</v>
      </c>
      <c r="G8791" s="252" t="s">
        <v>249</v>
      </c>
      <c r="J8791" s="599">
        <f t="shared" si="256"/>
        <v>0</v>
      </c>
    </row>
    <row r="8792" spans="6:10" ht="15.75" hidden="1" thickBot="1" x14ac:dyDescent="0.3">
      <c r="F8792" s="249" t="s">
        <v>250</v>
      </c>
      <c r="G8792" s="252" t="s">
        <v>57</v>
      </c>
      <c r="J8792" s="599">
        <f t="shared" si="256"/>
        <v>0</v>
      </c>
    </row>
    <row r="8793" spans="6:10" ht="15.75" hidden="1" thickBot="1" x14ac:dyDescent="0.3">
      <c r="F8793" s="249" t="s">
        <v>251</v>
      </c>
      <c r="G8793" s="252" t="s">
        <v>252</v>
      </c>
      <c r="J8793" s="599">
        <f t="shared" si="256"/>
        <v>0</v>
      </c>
    </row>
    <row r="8794" spans="6:10" ht="15.75" hidden="1" thickBot="1" x14ac:dyDescent="0.3">
      <c r="F8794" s="249" t="s">
        <v>253</v>
      </c>
      <c r="G8794" s="252" t="s">
        <v>254</v>
      </c>
      <c r="J8794" s="599">
        <f t="shared" si="256"/>
        <v>0</v>
      </c>
    </row>
    <row r="8795" spans="6:10" ht="30.75" hidden="1" thickBot="1" x14ac:dyDescent="0.3">
      <c r="F8795" s="249" t="s">
        <v>255</v>
      </c>
      <c r="G8795" s="252" t="s">
        <v>256</v>
      </c>
      <c r="J8795" s="599">
        <f t="shared" si="256"/>
        <v>0</v>
      </c>
    </row>
    <row r="8796" spans="6:10" ht="15.75" hidden="1" thickBot="1" x14ac:dyDescent="0.3">
      <c r="F8796" s="249" t="s">
        <v>257</v>
      </c>
      <c r="G8796" s="252" t="s">
        <v>258</v>
      </c>
      <c r="J8796" s="599">
        <f t="shared" si="256"/>
        <v>0</v>
      </c>
    </row>
    <row r="8797" spans="6:10" ht="30.75" hidden="1" thickBot="1" x14ac:dyDescent="0.3">
      <c r="F8797" s="249" t="s">
        <v>259</v>
      </c>
      <c r="G8797" s="252" t="s">
        <v>260</v>
      </c>
      <c r="J8797" s="599">
        <f t="shared" si="256"/>
        <v>0</v>
      </c>
    </row>
    <row r="8798" spans="6:10" ht="15.75" hidden="1" thickBot="1" x14ac:dyDescent="0.3">
      <c r="F8798" s="249" t="s">
        <v>261</v>
      </c>
      <c r="G8798" s="252" t="s">
        <v>262</v>
      </c>
      <c r="J8798" s="599">
        <f t="shared" si="256"/>
        <v>0</v>
      </c>
    </row>
    <row r="8799" spans="6:10" ht="15.75" hidden="1" thickBot="1" x14ac:dyDescent="0.3">
      <c r="F8799" s="249" t="s">
        <v>263</v>
      </c>
      <c r="G8799" s="252" t="s">
        <v>264</v>
      </c>
      <c r="H8799" s="598"/>
      <c r="I8799" s="599"/>
      <c r="J8799" s="599">
        <f t="shared" si="256"/>
        <v>0</v>
      </c>
    </row>
    <row r="8800" spans="6:10" ht="15.75" hidden="1" thickBot="1" x14ac:dyDescent="0.3">
      <c r="G8800" s="229" t="s">
        <v>5112</v>
      </c>
      <c r="H8800" s="600">
        <f>SUM(H8784:H8799)</f>
        <v>0</v>
      </c>
      <c r="I8800" s="601">
        <f>SUM(I8785:I8799)</f>
        <v>0</v>
      </c>
      <c r="J8800" s="601">
        <f>SUM(J8784:J8799)</f>
        <v>0</v>
      </c>
    </row>
    <row r="8801" spans="5:10" hidden="1" x14ac:dyDescent="0.25">
      <c r="G8801" s="286"/>
      <c r="H8801" s="604"/>
      <c r="I8801" s="605"/>
      <c r="J8801" s="605"/>
    </row>
    <row r="8802" spans="5:10" x14ac:dyDescent="0.25">
      <c r="E8802" s="346"/>
      <c r="F8802" s="358"/>
      <c r="G8802" s="250" t="s">
        <v>4320</v>
      </c>
      <c r="H8802" s="606"/>
      <c r="I8802" s="624"/>
      <c r="J8802" s="607"/>
    </row>
    <row r="8803" spans="5:10" x14ac:dyDescent="0.25">
      <c r="E8803" s="222"/>
      <c r="F8803" s="249" t="s">
        <v>234</v>
      </c>
      <c r="G8803" s="252" t="s">
        <v>235</v>
      </c>
      <c r="H8803" s="598">
        <f>SUM(H8586,H8487,H8388,H8289,H8190,H8784,H8685)</f>
        <v>10846000</v>
      </c>
      <c r="I8803" s="599"/>
      <c r="J8803" s="599">
        <f>SUM(H8803:I8803)</f>
        <v>10846000</v>
      </c>
    </row>
    <row r="8804" spans="5:10" hidden="1" x14ac:dyDescent="0.25">
      <c r="F8804" s="249" t="s">
        <v>236</v>
      </c>
      <c r="G8804" s="252" t="s">
        <v>237</v>
      </c>
      <c r="J8804" s="599">
        <f t="shared" ref="J8804:J8818" si="257">SUM(H8804:I8804)</f>
        <v>0</v>
      </c>
    </row>
    <row r="8805" spans="5:10" hidden="1" x14ac:dyDescent="0.25">
      <c r="F8805" s="249" t="s">
        <v>238</v>
      </c>
      <c r="G8805" s="252" t="s">
        <v>239</v>
      </c>
      <c r="J8805" s="599">
        <f t="shared" si="257"/>
        <v>0</v>
      </c>
    </row>
    <row r="8806" spans="5:10" ht="15.75" thickBot="1" x14ac:dyDescent="0.3">
      <c r="F8806" s="249" t="s">
        <v>240</v>
      </c>
      <c r="G8806" s="252" t="s">
        <v>241</v>
      </c>
      <c r="I8806" s="595">
        <v>500000</v>
      </c>
      <c r="J8806" s="599">
        <f t="shared" si="257"/>
        <v>500000</v>
      </c>
    </row>
    <row r="8807" spans="5:10" hidden="1" x14ac:dyDescent="0.25">
      <c r="F8807" s="249" t="s">
        <v>242</v>
      </c>
      <c r="G8807" s="252" t="s">
        <v>243</v>
      </c>
      <c r="J8807" s="599">
        <f t="shared" si="257"/>
        <v>0</v>
      </c>
    </row>
    <row r="8808" spans="5:10" hidden="1" x14ac:dyDescent="0.25">
      <c r="F8808" s="249" t="s">
        <v>244</v>
      </c>
      <c r="G8808" s="252" t="s">
        <v>245</v>
      </c>
      <c r="J8808" s="599">
        <f t="shared" si="257"/>
        <v>0</v>
      </c>
    </row>
    <row r="8809" spans="5:10" hidden="1" x14ac:dyDescent="0.25">
      <c r="F8809" s="249" t="s">
        <v>246</v>
      </c>
      <c r="G8809" s="252" t="s">
        <v>247</v>
      </c>
      <c r="J8809" s="599">
        <f t="shared" si="257"/>
        <v>0</v>
      </c>
    </row>
    <row r="8810" spans="5:10" hidden="1" x14ac:dyDescent="0.25">
      <c r="F8810" s="249" t="s">
        <v>248</v>
      </c>
      <c r="G8810" s="252" t="s">
        <v>249</v>
      </c>
      <c r="J8810" s="599">
        <f t="shared" si="257"/>
        <v>0</v>
      </c>
    </row>
    <row r="8811" spans="5:10" hidden="1" x14ac:dyDescent="0.25">
      <c r="F8811" s="249" t="s">
        <v>250</v>
      </c>
      <c r="G8811" s="252" t="s">
        <v>57</v>
      </c>
      <c r="J8811" s="599">
        <f t="shared" si="257"/>
        <v>0</v>
      </c>
    </row>
    <row r="8812" spans="5:10" hidden="1" x14ac:dyDescent="0.25">
      <c r="F8812" s="249" t="s">
        <v>251</v>
      </c>
      <c r="G8812" s="252" t="s">
        <v>252</v>
      </c>
      <c r="J8812" s="599">
        <f t="shared" si="257"/>
        <v>0</v>
      </c>
    </row>
    <row r="8813" spans="5:10" hidden="1" x14ac:dyDescent="0.25">
      <c r="F8813" s="249" t="s">
        <v>253</v>
      </c>
      <c r="G8813" s="252" t="s">
        <v>254</v>
      </c>
      <c r="J8813" s="599">
        <f t="shared" si="257"/>
        <v>0</v>
      </c>
    </row>
    <row r="8814" spans="5:10" ht="30" hidden="1" x14ac:dyDescent="0.25">
      <c r="F8814" s="249" t="s">
        <v>255</v>
      </c>
      <c r="G8814" s="252" t="s">
        <v>256</v>
      </c>
      <c r="J8814" s="599">
        <f t="shared" si="257"/>
        <v>0</v>
      </c>
    </row>
    <row r="8815" spans="5:10" hidden="1" x14ac:dyDescent="0.25">
      <c r="F8815" s="249" t="s">
        <v>257</v>
      </c>
      <c r="G8815" s="252" t="s">
        <v>258</v>
      </c>
      <c r="J8815" s="599">
        <f t="shared" si="257"/>
        <v>0</v>
      </c>
    </row>
    <row r="8816" spans="5:10" ht="30" hidden="1" x14ac:dyDescent="0.25">
      <c r="F8816" s="249" t="s">
        <v>259</v>
      </c>
      <c r="G8816" s="252" t="s">
        <v>260</v>
      </c>
      <c r="J8816" s="599">
        <f t="shared" si="257"/>
        <v>0</v>
      </c>
    </row>
    <row r="8817" spans="1:25" hidden="1" x14ac:dyDescent="0.25">
      <c r="F8817" s="249" t="s">
        <v>261</v>
      </c>
      <c r="G8817" s="252" t="s">
        <v>262</v>
      </c>
      <c r="J8817" s="599">
        <f t="shared" si="257"/>
        <v>0</v>
      </c>
    </row>
    <row r="8818" spans="1:25" ht="15.75" hidden="1" thickBot="1" x14ac:dyDescent="0.3">
      <c r="F8818" s="249" t="s">
        <v>263</v>
      </c>
      <c r="G8818" s="252" t="s">
        <v>264</v>
      </c>
      <c r="H8818" s="598"/>
      <c r="I8818" s="599"/>
      <c r="J8818" s="599">
        <f t="shared" si="257"/>
        <v>0</v>
      </c>
    </row>
    <row r="8819" spans="1:25" ht="15.75" thickBot="1" x14ac:dyDescent="0.3">
      <c r="G8819" s="229" t="s">
        <v>4321</v>
      </c>
      <c r="H8819" s="600">
        <f>SUM(H8803:H8818)</f>
        <v>10846000</v>
      </c>
      <c r="I8819" s="601">
        <f>SUM(I8804:I8818)</f>
        <v>500000</v>
      </c>
      <c r="J8819" s="601">
        <f>SUM(J8803:J8818)</f>
        <v>11346000</v>
      </c>
    </row>
    <row r="8820" spans="1:25" x14ac:dyDescent="0.25">
      <c r="G8820" s="286"/>
      <c r="H8820" s="604"/>
      <c r="I8820" s="605"/>
      <c r="J8820" s="605"/>
    </row>
    <row r="8821" spans="1:25" s="88" customFormat="1" x14ac:dyDescent="0.25">
      <c r="A8821" s="297"/>
      <c r="B8821" s="256"/>
      <c r="C8821" s="316"/>
      <c r="D8821" s="251"/>
      <c r="E8821" s="251"/>
      <c r="F8821" s="301"/>
      <c r="G8821" s="250" t="s">
        <v>5186</v>
      </c>
      <c r="H8821" s="606"/>
      <c r="I8821" s="624"/>
      <c r="J8821" s="607"/>
      <c r="K8821" s="533"/>
      <c r="L8821" s="533"/>
      <c r="M8821" s="533"/>
      <c r="N8821" s="533"/>
      <c r="O8821" s="533"/>
      <c r="P8821" s="533"/>
      <c r="Q8821" s="533"/>
      <c r="R8821" s="533"/>
      <c r="S8821" s="533"/>
      <c r="T8821" s="533"/>
      <c r="U8821" s="533"/>
      <c r="V8821" s="533"/>
      <c r="W8821" s="533"/>
      <c r="X8821" s="533"/>
      <c r="Y8821" s="533"/>
    </row>
    <row r="8822" spans="1:25" s="88" customFormat="1" x14ac:dyDescent="0.25">
      <c r="A8822" s="297"/>
      <c r="B8822" s="256"/>
      <c r="C8822" s="316"/>
      <c r="D8822" s="251"/>
      <c r="E8822" s="251"/>
      <c r="F8822" s="249" t="s">
        <v>234</v>
      </c>
      <c r="G8822" s="252" t="s">
        <v>235</v>
      </c>
      <c r="H8822" s="598">
        <f>SUM(H8803)</f>
        <v>10846000</v>
      </c>
      <c r="I8822" s="599"/>
      <c r="J8822" s="599">
        <f>SUM(H8822:I8822)</f>
        <v>10846000</v>
      </c>
      <c r="K8822" s="533"/>
      <c r="L8822" s="533"/>
      <c r="M8822" s="533"/>
      <c r="N8822" s="533"/>
      <c r="O8822" s="533"/>
      <c r="P8822" s="533"/>
      <c r="Q8822" s="533"/>
      <c r="R8822" s="533"/>
      <c r="S8822" s="533"/>
      <c r="T8822" s="533"/>
      <c r="U8822" s="533"/>
      <c r="V8822" s="533"/>
      <c r="W8822" s="533"/>
      <c r="X8822" s="533"/>
      <c r="Y8822" s="533"/>
    </row>
    <row r="8823" spans="1:25" s="88" customFormat="1" hidden="1" x14ac:dyDescent="0.25">
      <c r="A8823" s="297"/>
      <c r="B8823" s="256"/>
      <c r="C8823" s="316"/>
      <c r="D8823" s="251"/>
      <c r="E8823" s="251"/>
      <c r="F8823" s="249" t="s">
        <v>236</v>
      </c>
      <c r="G8823" s="252" t="s">
        <v>237</v>
      </c>
      <c r="H8823" s="594"/>
      <c r="I8823" s="595"/>
      <c r="J8823" s="599">
        <f t="shared" ref="J8823:J8837" si="258">SUM(H8823:I8823)</f>
        <v>0</v>
      </c>
      <c r="K8823" s="533"/>
      <c r="L8823" s="533"/>
      <c r="M8823" s="533"/>
      <c r="N8823" s="533"/>
      <c r="O8823" s="533"/>
      <c r="P8823" s="533"/>
      <c r="Q8823" s="533"/>
      <c r="R8823" s="533"/>
      <c r="S8823" s="533"/>
      <c r="T8823" s="533"/>
      <c r="U8823" s="533"/>
      <c r="V8823" s="533"/>
      <c r="W8823" s="533"/>
      <c r="X8823" s="533"/>
      <c r="Y8823" s="533"/>
    </row>
    <row r="8824" spans="1:25" s="88" customFormat="1" hidden="1" x14ac:dyDescent="0.25">
      <c r="A8824" s="297"/>
      <c r="B8824" s="256"/>
      <c r="C8824" s="316"/>
      <c r="D8824" s="251"/>
      <c r="E8824" s="251"/>
      <c r="F8824" s="249" t="s">
        <v>238</v>
      </c>
      <c r="G8824" s="252" t="s">
        <v>239</v>
      </c>
      <c r="H8824" s="594"/>
      <c r="I8824" s="595"/>
      <c r="J8824" s="599">
        <f t="shared" si="258"/>
        <v>0</v>
      </c>
      <c r="K8824" s="533"/>
      <c r="L8824" s="533"/>
      <c r="M8824" s="533"/>
      <c r="N8824" s="533"/>
      <c r="O8824" s="533"/>
      <c r="P8824" s="533"/>
      <c r="Q8824" s="533"/>
      <c r="R8824" s="533"/>
      <c r="S8824" s="533"/>
      <c r="T8824" s="533"/>
      <c r="U8824" s="533"/>
      <c r="V8824" s="533"/>
      <c r="W8824" s="533"/>
      <c r="X8824" s="533"/>
      <c r="Y8824" s="533"/>
    </row>
    <row r="8825" spans="1:25" s="88" customFormat="1" ht="15.75" thickBot="1" x14ac:dyDescent="0.3">
      <c r="A8825" s="297"/>
      <c r="B8825" s="256"/>
      <c r="C8825" s="316"/>
      <c r="D8825" s="251"/>
      <c r="E8825" s="251"/>
      <c r="F8825" s="249" t="s">
        <v>240</v>
      </c>
      <c r="G8825" s="252" t="s">
        <v>241</v>
      </c>
      <c r="H8825" s="594"/>
      <c r="I8825" s="595">
        <v>500000</v>
      </c>
      <c r="J8825" s="599">
        <f t="shared" si="258"/>
        <v>500000</v>
      </c>
      <c r="K8825" s="533"/>
      <c r="L8825" s="533"/>
      <c r="M8825" s="533"/>
      <c r="N8825" s="533"/>
      <c r="O8825" s="533"/>
      <c r="P8825" s="533"/>
      <c r="Q8825" s="533"/>
      <c r="R8825" s="533"/>
      <c r="S8825" s="533"/>
      <c r="T8825" s="533"/>
      <c r="U8825" s="533"/>
      <c r="V8825" s="533"/>
      <c r="W8825" s="533"/>
      <c r="X8825" s="533"/>
      <c r="Y8825" s="533"/>
    </row>
    <row r="8826" spans="1:25" s="88" customFormat="1" hidden="1" x14ac:dyDescent="0.25">
      <c r="A8826" s="297"/>
      <c r="B8826" s="256"/>
      <c r="C8826" s="316"/>
      <c r="D8826" s="251"/>
      <c r="E8826" s="251"/>
      <c r="F8826" s="249" t="s">
        <v>242</v>
      </c>
      <c r="G8826" s="252" t="s">
        <v>243</v>
      </c>
      <c r="H8826" s="594"/>
      <c r="I8826" s="595"/>
      <c r="J8826" s="599">
        <f t="shared" si="258"/>
        <v>0</v>
      </c>
      <c r="K8826" s="533"/>
      <c r="L8826" s="533"/>
      <c r="M8826" s="533"/>
      <c r="N8826" s="533"/>
      <c r="O8826" s="533"/>
      <c r="P8826" s="533"/>
      <c r="Q8826" s="533"/>
      <c r="R8826" s="533"/>
      <c r="S8826" s="533"/>
      <c r="T8826" s="533"/>
      <c r="U8826" s="533"/>
      <c r="V8826" s="533"/>
      <c r="W8826" s="533"/>
      <c r="X8826" s="533"/>
      <c r="Y8826" s="533"/>
    </row>
    <row r="8827" spans="1:25" s="88" customFormat="1" hidden="1" x14ac:dyDescent="0.25">
      <c r="A8827" s="297"/>
      <c r="B8827" s="256"/>
      <c r="C8827" s="316"/>
      <c r="D8827" s="251"/>
      <c r="E8827" s="251"/>
      <c r="F8827" s="249" t="s">
        <v>244</v>
      </c>
      <c r="G8827" s="252" t="s">
        <v>245</v>
      </c>
      <c r="H8827" s="594"/>
      <c r="I8827" s="595"/>
      <c r="J8827" s="599">
        <f t="shared" si="258"/>
        <v>0</v>
      </c>
      <c r="K8827" s="533"/>
      <c r="L8827" s="533"/>
      <c r="M8827" s="533"/>
      <c r="N8827" s="533"/>
      <c r="O8827" s="533"/>
      <c r="P8827" s="533"/>
      <c r="Q8827" s="533"/>
      <c r="R8827" s="533"/>
      <c r="S8827" s="533"/>
      <c r="T8827" s="533"/>
      <c r="U8827" s="533"/>
      <c r="V8827" s="533"/>
      <c r="W8827" s="533"/>
      <c r="X8827" s="533"/>
      <c r="Y8827" s="533"/>
    </row>
    <row r="8828" spans="1:25" s="88" customFormat="1" hidden="1" x14ac:dyDescent="0.25">
      <c r="A8828" s="297"/>
      <c r="B8828" s="256"/>
      <c r="C8828" s="316"/>
      <c r="D8828" s="251"/>
      <c r="E8828" s="251"/>
      <c r="F8828" s="249" t="s">
        <v>246</v>
      </c>
      <c r="G8828" s="252" t="s">
        <v>247</v>
      </c>
      <c r="H8828" s="594"/>
      <c r="I8828" s="595"/>
      <c r="J8828" s="599">
        <f t="shared" si="258"/>
        <v>0</v>
      </c>
      <c r="K8828" s="533"/>
      <c r="L8828" s="533"/>
      <c r="M8828" s="533"/>
      <c r="N8828" s="533"/>
      <c r="O8828" s="533"/>
      <c r="P8828" s="533"/>
      <c r="Q8828" s="533"/>
      <c r="R8828" s="533"/>
      <c r="S8828" s="533"/>
      <c r="T8828" s="533"/>
      <c r="U8828" s="533"/>
      <c r="V8828" s="533"/>
      <c r="W8828" s="533"/>
      <c r="X8828" s="533"/>
      <c r="Y8828" s="533"/>
    </row>
    <row r="8829" spans="1:25" s="88" customFormat="1" hidden="1" x14ac:dyDescent="0.25">
      <c r="A8829" s="297"/>
      <c r="B8829" s="256"/>
      <c r="C8829" s="316"/>
      <c r="D8829" s="251"/>
      <c r="E8829" s="251"/>
      <c r="F8829" s="249" t="s">
        <v>248</v>
      </c>
      <c r="G8829" s="252" t="s">
        <v>249</v>
      </c>
      <c r="H8829" s="594"/>
      <c r="I8829" s="595"/>
      <c r="J8829" s="599">
        <f t="shared" si="258"/>
        <v>0</v>
      </c>
      <c r="K8829" s="533"/>
      <c r="L8829" s="533"/>
      <c r="M8829" s="533"/>
      <c r="N8829" s="533"/>
      <c r="O8829" s="533"/>
      <c r="P8829" s="533"/>
      <c r="Q8829" s="533"/>
      <c r="R8829" s="533"/>
      <c r="S8829" s="533"/>
      <c r="T8829" s="533"/>
      <c r="U8829" s="533"/>
      <c r="V8829" s="533"/>
      <c r="W8829" s="533"/>
      <c r="X8829" s="533"/>
      <c r="Y8829" s="533"/>
    </row>
    <row r="8830" spans="1:25" s="88" customFormat="1" hidden="1" x14ac:dyDescent="0.25">
      <c r="A8830" s="297"/>
      <c r="B8830" s="256"/>
      <c r="C8830" s="316"/>
      <c r="D8830" s="251"/>
      <c r="E8830" s="251"/>
      <c r="F8830" s="249" t="s">
        <v>250</v>
      </c>
      <c r="G8830" s="252" t="s">
        <v>57</v>
      </c>
      <c r="H8830" s="594"/>
      <c r="I8830" s="595"/>
      <c r="J8830" s="599">
        <f t="shared" si="258"/>
        <v>0</v>
      </c>
      <c r="K8830" s="533"/>
      <c r="L8830" s="533"/>
      <c r="M8830" s="533"/>
      <c r="N8830" s="533"/>
      <c r="O8830" s="533"/>
      <c r="P8830" s="533"/>
      <c r="Q8830" s="533"/>
      <c r="R8830" s="533"/>
      <c r="S8830" s="533"/>
      <c r="T8830" s="533"/>
      <c r="U8830" s="533"/>
      <c r="V8830" s="533"/>
      <c r="W8830" s="533"/>
      <c r="X8830" s="533"/>
      <c r="Y8830" s="533"/>
    </row>
    <row r="8831" spans="1:25" s="88" customFormat="1" hidden="1" x14ac:dyDescent="0.25">
      <c r="A8831" s="297"/>
      <c r="B8831" s="256"/>
      <c r="C8831" s="316"/>
      <c r="D8831" s="251"/>
      <c r="E8831" s="251"/>
      <c r="F8831" s="249" t="s">
        <v>251</v>
      </c>
      <c r="G8831" s="252" t="s">
        <v>252</v>
      </c>
      <c r="H8831" s="594"/>
      <c r="I8831" s="595"/>
      <c r="J8831" s="599">
        <f t="shared" si="258"/>
        <v>0</v>
      </c>
      <c r="K8831" s="533"/>
      <c r="L8831" s="533"/>
      <c r="M8831" s="533"/>
      <c r="N8831" s="533"/>
      <c r="O8831" s="533"/>
      <c r="P8831" s="533"/>
      <c r="Q8831" s="533"/>
      <c r="R8831" s="533"/>
      <c r="S8831" s="533"/>
      <c r="T8831" s="533"/>
      <c r="U8831" s="533"/>
      <c r="V8831" s="533"/>
      <c r="W8831" s="533"/>
      <c r="X8831" s="533"/>
      <c r="Y8831" s="533"/>
    </row>
    <row r="8832" spans="1:25" s="88" customFormat="1" hidden="1" x14ac:dyDescent="0.25">
      <c r="A8832" s="297"/>
      <c r="B8832" s="256"/>
      <c r="C8832" s="316"/>
      <c r="D8832" s="251"/>
      <c r="E8832" s="251"/>
      <c r="F8832" s="249" t="s">
        <v>253</v>
      </c>
      <c r="G8832" s="252" t="s">
        <v>254</v>
      </c>
      <c r="H8832" s="594"/>
      <c r="I8832" s="595"/>
      <c r="J8832" s="599">
        <f t="shared" si="258"/>
        <v>0</v>
      </c>
      <c r="K8832" s="533"/>
      <c r="L8832" s="533"/>
      <c r="M8832" s="533"/>
      <c r="N8832" s="533"/>
      <c r="O8832" s="533"/>
      <c r="P8832" s="533"/>
      <c r="Q8832" s="533"/>
      <c r="R8832" s="533"/>
      <c r="S8832" s="533"/>
      <c r="T8832" s="533"/>
      <c r="U8832" s="533"/>
      <c r="V8832" s="533"/>
      <c r="W8832" s="533"/>
      <c r="X8832" s="533"/>
      <c r="Y8832" s="533"/>
    </row>
    <row r="8833" spans="1:25" s="88" customFormat="1" ht="30" hidden="1" x14ac:dyDescent="0.25">
      <c r="A8833" s="297"/>
      <c r="B8833" s="256"/>
      <c r="C8833" s="316"/>
      <c r="D8833" s="251"/>
      <c r="E8833" s="251"/>
      <c r="F8833" s="249" t="s">
        <v>255</v>
      </c>
      <c r="G8833" s="252" t="s">
        <v>256</v>
      </c>
      <c r="H8833" s="594"/>
      <c r="I8833" s="595"/>
      <c r="J8833" s="599">
        <f t="shared" si="258"/>
        <v>0</v>
      </c>
      <c r="K8833" s="533"/>
      <c r="L8833" s="533"/>
      <c r="M8833" s="533"/>
      <c r="N8833" s="533"/>
      <c r="O8833" s="533"/>
      <c r="P8833" s="533"/>
      <c r="Q8833" s="533"/>
      <c r="R8833" s="533"/>
      <c r="S8833" s="533"/>
      <c r="T8833" s="533"/>
      <c r="U8833" s="533"/>
      <c r="V8833" s="533"/>
      <c r="W8833" s="533"/>
      <c r="X8833" s="533"/>
      <c r="Y8833" s="533"/>
    </row>
    <row r="8834" spans="1:25" s="88" customFormat="1" hidden="1" x14ac:dyDescent="0.25">
      <c r="A8834" s="297"/>
      <c r="B8834" s="256"/>
      <c r="C8834" s="316"/>
      <c r="D8834" s="251"/>
      <c r="E8834" s="251"/>
      <c r="F8834" s="249" t="s">
        <v>257</v>
      </c>
      <c r="G8834" s="252" t="s">
        <v>258</v>
      </c>
      <c r="H8834" s="594"/>
      <c r="I8834" s="595"/>
      <c r="J8834" s="599">
        <f t="shared" si="258"/>
        <v>0</v>
      </c>
      <c r="K8834" s="533"/>
      <c r="L8834" s="533"/>
      <c r="M8834" s="533"/>
      <c r="N8834" s="533"/>
      <c r="O8834" s="533"/>
      <c r="P8834" s="533"/>
      <c r="Q8834" s="533"/>
      <c r="R8834" s="533"/>
      <c r="S8834" s="533"/>
      <c r="T8834" s="533"/>
      <c r="U8834" s="533"/>
      <c r="V8834" s="533"/>
      <c r="W8834" s="533"/>
      <c r="X8834" s="533"/>
      <c r="Y8834" s="533"/>
    </row>
    <row r="8835" spans="1:25" s="88" customFormat="1" ht="30" hidden="1" x14ac:dyDescent="0.25">
      <c r="A8835" s="297"/>
      <c r="B8835" s="256"/>
      <c r="C8835" s="316"/>
      <c r="D8835" s="251"/>
      <c r="E8835" s="251"/>
      <c r="F8835" s="249" t="s">
        <v>259</v>
      </c>
      <c r="G8835" s="252" t="s">
        <v>260</v>
      </c>
      <c r="H8835" s="594"/>
      <c r="I8835" s="595"/>
      <c r="J8835" s="599">
        <f t="shared" si="258"/>
        <v>0</v>
      </c>
      <c r="K8835" s="533"/>
      <c r="L8835" s="533"/>
      <c r="M8835" s="533"/>
      <c r="N8835" s="533"/>
      <c r="O8835" s="533"/>
      <c r="P8835" s="533"/>
      <c r="Q8835" s="533"/>
      <c r="R8835" s="533"/>
      <c r="S8835" s="533"/>
      <c r="T8835" s="533"/>
      <c r="U8835" s="533"/>
      <c r="V8835" s="533"/>
      <c r="W8835" s="533"/>
      <c r="X8835" s="533"/>
      <c r="Y8835" s="533"/>
    </row>
    <row r="8836" spans="1:25" s="88" customFormat="1" hidden="1" x14ac:dyDescent="0.25">
      <c r="A8836" s="297"/>
      <c r="B8836" s="256"/>
      <c r="C8836" s="316"/>
      <c r="D8836" s="251"/>
      <c r="E8836" s="251"/>
      <c r="F8836" s="249" t="s">
        <v>261</v>
      </c>
      <c r="G8836" s="252" t="s">
        <v>262</v>
      </c>
      <c r="H8836" s="594"/>
      <c r="I8836" s="595"/>
      <c r="J8836" s="599">
        <f t="shared" si="258"/>
        <v>0</v>
      </c>
      <c r="K8836" s="533"/>
      <c r="L8836" s="533"/>
      <c r="M8836" s="533"/>
      <c r="N8836" s="533"/>
      <c r="O8836" s="533"/>
      <c r="P8836" s="533"/>
      <c r="Q8836" s="533"/>
      <c r="R8836" s="533"/>
      <c r="S8836" s="533"/>
      <c r="T8836" s="533"/>
      <c r="U8836" s="533"/>
      <c r="V8836" s="533"/>
      <c r="W8836" s="533"/>
      <c r="X8836" s="533"/>
      <c r="Y8836" s="533"/>
    </row>
    <row r="8837" spans="1:25" s="88" customFormat="1" ht="15.75" hidden="1" thickBot="1" x14ac:dyDescent="0.3">
      <c r="A8837" s="297"/>
      <c r="B8837" s="256"/>
      <c r="C8837" s="316"/>
      <c r="D8837" s="251"/>
      <c r="E8837" s="251"/>
      <c r="F8837" s="249" t="s">
        <v>263</v>
      </c>
      <c r="G8837" s="252" t="s">
        <v>264</v>
      </c>
      <c r="H8837" s="598"/>
      <c r="I8837" s="599"/>
      <c r="J8837" s="599">
        <f t="shared" si="258"/>
        <v>0</v>
      </c>
      <c r="K8837" s="533"/>
      <c r="L8837" s="533"/>
      <c r="M8837" s="533"/>
      <c r="N8837" s="533"/>
      <c r="O8837" s="533"/>
      <c r="P8837" s="533"/>
      <c r="Q8837" s="533"/>
      <c r="R8837" s="533"/>
      <c r="S8837" s="533"/>
      <c r="T8837" s="533"/>
      <c r="U8837" s="533"/>
      <c r="V8837" s="533"/>
      <c r="W8837" s="533"/>
      <c r="X8837" s="533"/>
      <c r="Y8837" s="533"/>
    </row>
    <row r="8838" spans="1:25" s="88" customFormat="1" ht="15.75" thickBot="1" x14ac:dyDescent="0.3">
      <c r="A8838" s="297"/>
      <c r="B8838" s="256"/>
      <c r="C8838" s="316"/>
      <c r="D8838" s="251"/>
      <c r="E8838" s="251"/>
      <c r="F8838" s="218"/>
      <c r="G8838" s="229" t="s">
        <v>5187</v>
      </c>
      <c r="H8838" s="600">
        <f>SUM(H8822:H8837)</f>
        <v>10846000</v>
      </c>
      <c r="I8838" s="601">
        <f>SUM(I8823:I8837)</f>
        <v>500000</v>
      </c>
      <c r="J8838" s="601">
        <f>SUM(J8822:J8837)</f>
        <v>11346000</v>
      </c>
      <c r="K8838" s="533"/>
      <c r="L8838" s="533"/>
      <c r="M8838" s="533"/>
      <c r="N8838" s="533"/>
      <c r="O8838" s="533"/>
      <c r="P8838" s="533"/>
      <c r="Q8838" s="533"/>
      <c r="R8838" s="533"/>
      <c r="S8838" s="533"/>
      <c r="T8838" s="533"/>
      <c r="U8838" s="533"/>
      <c r="V8838" s="533"/>
      <c r="W8838" s="533"/>
      <c r="X8838" s="533"/>
      <c r="Y8838" s="533"/>
    </row>
    <row r="8840" spans="1:25" hidden="1" x14ac:dyDescent="0.25">
      <c r="K8840" s="222"/>
      <c r="L8840" s="222"/>
      <c r="M8840" s="222"/>
      <c r="N8840" s="538"/>
    </row>
    <row r="8841" spans="1:25" hidden="1" x14ac:dyDescent="0.25">
      <c r="A8841" s="350"/>
      <c r="B8841" s="359"/>
      <c r="C8841" s="350"/>
      <c r="D8841" s="351"/>
      <c r="E8841" s="354"/>
      <c r="F8841" s="354"/>
      <c r="G8841" s="355" t="s">
        <v>4317</v>
      </c>
      <c r="H8841" s="625"/>
      <c r="I8841" s="631"/>
      <c r="J8841" s="617"/>
      <c r="K8841" s="248"/>
      <c r="L8841" s="222"/>
      <c r="M8841" s="222"/>
      <c r="N8841" s="538"/>
    </row>
    <row r="8842" spans="1:25" hidden="1" x14ac:dyDescent="0.25">
      <c r="C8842" s="228" t="s">
        <v>3575</v>
      </c>
      <c r="G8842" s="347" t="s">
        <v>4302</v>
      </c>
    </row>
    <row r="8843" spans="1:25" hidden="1" x14ac:dyDescent="0.25">
      <c r="C8843" s="323" t="s">
        <v>4129</v>
      </c>
      <c r="D8843" s="285"/>
      <c r="E8843" s="285"/>
      <c r="F8843" s="222"/>
      <c r="G8843" s="287" t="s">
        <v>4316</v>
      </c>
      <c r="K8843" s="499"/>
      <c r="L8843" s="530"/>
    </row>
    <row r="8844" spans="1:25" hidden="1" x14ac:dyDescent="0.25">
      <c r="C8844" s="344"/>
      <c r="D8844" s="312">
        <v>473</v>
      </c>
      <c r="E8844" s="312"/>
      <c r="F8844" s="312"/>
      <c r="G8844" s="338" t="s">
        <v>162</v>
      </c>
      <c r="K8844" s="531"/>
      <c r="L8844" s="530"/>
    </row>
    <row r="8845" spans="1:25" hidden="1" x14ac:dyDescent="0.25">
      <c r="F8845" s="357">
        <v>411</v>
      </c>
      <c r="G8845" s="348" t="s">
        <v>4189</v>
      </c>
      <c r="J8845" s="595">
        <f>SUM(H8845:I8845)</f>
        <v>0</v>
      </c>
    </row>
    <row r="8846" spans="1:25" hidden="1" x14ac:dyDescent="0.25">
      <c r="F8846" s="357">
        <v>412</v>
      </c>
      <c r="G8846" s="345" t="s">
        <v>3784</v>
      </c>
      <c r="J8846" s="595">
        <f t="shared" ref="J8846:J8904" si="259">SUM(H8846:I8846)</f>
        <v>0</v>
      </c>
    </row>
    <row r="8847" spans="1:25" hidden="1" x14ac:dyDescent="0.25">
      <c r="F8847" s="357">
        <v>413</v>
      </c>
      <c r="G8847" s="348" t="s">
        <v>4190</v>
      </c>
      <c r="J8847" s="595">
        <f t="shared" si="259"/>
        <v>0</v>
      </c>
    </row>
    <row r="8848" spans="1:25" hidden="1" x14ac:dyDescent="0.25">
      <c r="F8848" s="357">
        <v>414</v>
      </c>
      <c r="G8848" s="348" t="s">
        <v>3787</v>
      </c>
      <c r="J8848" s="595">
        <f t="shared" si="259"/>
        <v>0</v>
      </c>
    </row>
    <row r="8849" spans="6:10" hidden="1" x14ac:dyDescent="0.25">
      <c r="F8849" s="357">
        <v>415</v>
      </c>
      <c r="G8849" s="348" t="s">
        <v>4199</v>
      </c>
      <c r="J8849" s="595">
        <f t="shared" si="259"/>
        <v>0</v>
      </c>
    </row>
    <row r="8850" spans="6:10" hidden="1" x14ac:dyDescent="0.25">
      <c r="F8850" s="357">
        <v>416</v>
      </c>
      <c r="G8850" s="348" t="s">
        <v>4200</v>
      </c>
      <c r="J8850" s="595">
        <f t="shared" si="259"/>
        <v>0</v>
      </c>
    </row>
    <row r="8851" spans="6:10" hidden="1" x14ac:dyDescent="0.25">
      <c r="F8851" s="357">
        <v>417</v>
      </c>
      <c r="G8851" s="348" t="s">
        <v>4201</v>
      </c>
      <c r="J8851" s="595">
        <f t="shared" si="259"/>
        <v>0</v>
      </c>
    </row>
    <row r="8852" spans="6:10" hidden="1" x14ac:dyDescent="0.25">
      <c r="F8852" s="357">
        <v>418</v>
      </c>
      <c r="G8852" s="348" t="s">
        <v>3793</v>
      </c>
      <c r="J8852" s="595">
        <f t="shared" si="259"/>
        <v>0</v>
      </c>
    </row>
    <row r="8853" spans="6:10" hidden="1" x14ac:dyDescent="0.25">
      <c r="F8853" s="357">
        <v>421</v>
      </c>
      <c r="G8853" s="348" t="s">
        <v>3797</v>
      </c>
      <c r="J8853" s="595">
        <f t="shared" si="259"/>
        <v>0</v>
      </c>
    </row>
    <row r="8854" spans="6:10" hidden="1" x14ac:dyDescent="0.25">
      <c r="F8854" s="357">
        <v>422</v>
      </c>
      <c r="G8854" s="348" t="s">
        <v>3798</v>
      </c>
      <c r="J8854" s="595">
        <f t="shared" si="259"/>
        <v>0</v>
      </c>
    </row>
    <row r="8855" spans="6:10" hidden="1" x14ac:dyDescent="0.25">
      <c r="F8855" s="357">
        <v>423</v>
      </c>
      <c r="G8855" s="348" t="s">
        <v>3799</v>
      </c>
      <c r="J8855" s="595">
        <f t="shared" si="259"/>
        <v>0</v>
      </c>
    </row>
    <row r="8856" spans="6:10" hidden="1" x14ac:dyDescent="0.25">
      <c r="F8856" s="357">
        <v>424</v>
      </c>
      <c r="G8856" s="348" t="s">
        <v>3801</v>
      </c>
      <c r="J8856" s="595">
        <f t="shared" si="259"/>
        <v>0</v>
      </c>
    </row>
    <row r="8857" spans="6:10" hidden="1" x14ac:dyDescent="0.25">
      <c r="F8857" s="357">
        <v>425</v>
      </c>
      <c r="G8857" s="348" t="s">
        <v>4202</v>
      </c>
      <c r="J8857" s="595">
        <f t="shared" si="259"/>
        <v>0</v>
      </c>
    </row>
    <row r="8858" spans="6:10" hidden="1" x14ac:dyDescent="0.25">
      <c r="F8858" s="357">
        <v>426</v>
      </c>
      <c r="G8858" s="348" t="s">
        <v>3805</v>
      </c>
      <c r="J8858" s="595">
        <f t="shared" si="259"/>
        <v>0</v>
      </c>
    </row>
    <row r="8859" spans="6:10" ht="8.25" hidden="1" customHeight="1" x14ac:dyDescent="0.25">
      <c r="F8859" s="357">
        <v>431</v>
      </c>
      <c r="G8859" s="348" t="s">
        <v>4203</v>
      </c>
      <c r="J8859" s="595">
        <f t="shared" si="259"/>
        <v>0</v>
      </c>
    </row>
    <row r="8860" spans="6:10" hidden="1" x14ac:dyDescent="0.25">
      <c r="F8860" s="357">
        <v>432</v>
      </c>
      <c r="G8860" s="348" t="s">
        <v>4204</v>
      </c>
      <c r="J8860" s="595">
        <f t="shared" si="259"/>
        <v>0</v>
      </c>
    </row>
    <row r="8861" spans="6:10" hidden="1" x14ac:dyDescent="0.25">
      <c r="F8861" s="357">
        <v>433</v>
      </c>
      <c r="G8861" s="348" t="s">
        <v>4205</v>
      </c>
      <c r="J8861" s="595">
        <f t="shared" si="259"/>
        <v>0</v>
      </c>
    </row>
    <row r="8862" spans="6:10" hidden="1" x14ac:dyDescent="0.25">
      <c r="F8862" s="357">
        <v>434</v>
      </c>
      <c r="G8862" s="348" t="s">
        <v>4206</v>
      </c>
      <c r="J8862" s="595">
        <f t="shared" si="259"/>
        <v>0</v>
      </c>
    </row>
    <row r="8863" spans="6:10" hidden="1" x14ac:dyDescent="0.25">
      <c r="F8863" s="357">
        <v>435</v>
      </c>
      <c r="G8863" s="348" t="s">
        <v>3812</v>
      </c>
      <c r="J8863" s="595">
        <f t="shared" si="259"/>
        <v>0</v>
      </c>
    </row>
    <row r="8864" spans="6:10" hidden="1" x14ac:dyDescent="0.25">
      <c r="F8864" s="357">
        <v>441</v>
      </c>
      <c r="G8864" s="348" t="s">
        <v>4207</v>
      </c>
      <c r="J8864" s="595">
        <f t="shared" si="259"/>
        <v>0</v>
      </c>
    </row>
    <row r="8865" spans="6:10" hidden="1" x14ac:dyDescent="0.25">
      <c r="F8865" s="357">
        <v>442</v>
      </c>
      <c r="G8865" s="348" t="s">
        <v>4208</v>
      </c>
      <c r="J8865" s="595">
        <f t="shared" si="259"/>
        <v>0</v>
      </c>
    </row>
    <row r="8866" spans="6:10" hidden="1" x14ac:dyDescent="0.25">
      <c r="F8866" s="357">
        <v>443</v>
      </c>
      <c r="G8866" s="348" t="s">
        <v>3817</v>
      </c>
      <c r="J8866" s="595">
        <f t="shared" si="259"/>
        <v>0</v>
      </c>
    </row>
    <row r="8867" spans="6:10" hidden="1" x14ac:dyDescent="0.25">
      <c r="F8867" s="357">
        <v>444</v>
      </c>
      <c r="G8867" s="348" t="s">
        <v>3818</v>
      </c>
      <c r="J8867" s="595">
        <f t="shared" si="259"/>
        <v>0</v>
      </c>
    </row>
    <row r="8868" spans="6:10" ht="30" hidden="1" x14ac:dyDescent="0.25">
      <c r="F8868" s="357">
        <v>4511</v>
      </c>
      <c r="G8868" s="223" t="s">
        <v>1692</v>
      </c>
      <c r="J8868" s="595">
        <f t="shared" si="259"/>
        <v>0</v>
      </c>
    </row>
    <row r="8869" spans="6:10" ht="30" hidden="1" x14ac:dyDescent="0.25">
      <c r="F8869" s="357">
        <v>4512</v>
      </c>
      <c r="G8869" s="223" t="s">
        <v>1701</v>
      </c>
      <c r="J8869" s="595">
        <f t="shared" si="259"/>
        <v>0</v>
      </c>
    </row>
    <row r="8870" spans="6:10" hidden="1" x14ac:dyDescent="0.25">
      <c r="F8870" s="357">
        <v>452</v>
      </c>
      <c r="G8870" s="348" t="s">
        <v>4209</v>
      </c>
      <c r="J8870" s="595">
        <f t="shared" si="259"/>
        <v>0</v>
      </c>
    </row>
    <row r="8871" spans="6:10" hidden="1" x14ac:dyDescent="0.25">
      <c r="F8871" s="357">
        <v>453</v>
      </c>
      <c r="G8871" s="348" t="s">
        <v>4210</v>
      </c>
      <c r="J8871" s="595">
        <f t="shared" si="259"/>
        <v>0</v>
      </c>
    </row>
    <row r="8872" spans="6:10" hidden="1" x14ac:dyDescent="0.25">
      <c r="F8872" s="357">
        <v>454</v>
      </c>
      <c r="G8872" s="348" t="s">
        <v>3823</v>
      </c>
      <c r="J8872" s="595">
        <f t="shared" si="259"/>
        <v>0</v>
      </c>
    </row>
    <row r="8873" spans="6:10" hidden="1" x14ac:dyDescent="0.25">
      <c r="F8873" s="357">
        <v>461</v>
      </c>
      <c r="G8873" s="348" t="s">
        <v>4191</v>
      </c>
      <c r="J8873" s="595">
        <f t="shared" si="259"/>
        <v>0</v>
      </c>
    </row>
    <row r="8874" spans="6:10" hidden="1" x14ac:dyDescent="0.25">
      <c r="F8874" s="357">
        <v>462</v>
      </c>
      <c r="G8874" s="348" t="s">
        <v>3826</v>
      </c>
      <c r="J8874" s="595">
        <f t="shared" si="259"/>
        <v>0</v>
      </c>
    </row>
    <row r="8875" spans="6:10" hidden="1" x14ac:dyDescent="0.25">
      <c r="F8875" s="357">
        <v>4631</v>
      </c>
      <c r="G8875" s="348" t="s">
        <v>3827</v>
      </c>
      <c r="J8875" s="595">
        <f t="shared" si="259"/>
        <v>0</v>
      </c>
    </row>
    <row r="8876" spans="6:10" hidden="1" x14ac:dyDescent="0.25">
      <c r="F8876" s="357">
        <v>4632</v>
      </c>
      <c r="G8876" s="348" t="s">
        <v>3828</v>
      </c>
      <c r="J8876" s="595">
        <f t="shared" si="259"/>
        <v>0</v>
      </c>
    </row>
    <row r="8877" spans="6:10" hidden="1" x14ac:dyDescent="0.25">
      <c r="F8877" s="357">
        <v>464</v>
      </c>
      <c r="G8877" s="348" t="s">
        <v>3829</v>
      </c>
      <c r="J8877" s="595">
        <f t="shared" si="259"/>
        <v>0</v>
      </c>
    </row>
    <row r="8878" spans="6:10" hidden="1" x14ac:dyDescent="0.25">
      <c r="F8878" s="357">
        <v>465</v>
      </c>
      <c r="G8878" s="348" t="s">
        <v>4192</v>
      </c>
      <c r="J8878" s="595">
        <f t="shared" si="259"/>
        <v>0</v>
      </c>
    </row>
    <row r="8879" spans="6:10" hidden="1" x14ac:dyDescent="0.25">
      <c r="F8879" s="357">
        <v>472</v>
      </c>
      <c r="G8879" s="348" t="s">
        <v>3833</v>
      </c>
      <c r="J8879" s="595">
        <f t="shared" si="259"/>
        <v>0</v>
      </c>
    </row>
    <row r="8880" spans="6:10" hidden="1" x14ac:dyDescent="0.25">
      <c r="F8880" s="357">
        <v>481</v>
      </c>
      <c r="G8880" s="348" t="s">
        <v>4211</v>
      </c>
      <c r="J8880" s="595">
        <f t="shared" si="259"/>
        <v>0</v>
      </c>
    </row>
    <row r="8881" spans="6:10" hidden="1" x14ac:dyDescent="0.25">
      <c r="F8881" s="357">
        <v>482</v>
      </c>
      <c r="G8881" s="348" t="s">
        <v>4212</v>
      </c>
      <c r="J8881" s="595">
        <f t="shared" si="259"/>
        <v>0</v>
      </c>
    </row>
    <row r="8882" spans="6:10" hidden="1" x14ac:dyDescent="0.25">
      <c r="F8882" s="357">
        <v>483</v>
      </c>
      <c r="G8882" s="353" t="s">
        <v>4213</v>
      </c>
      <c r="J8882" s="595">
        <f t="shared" si="259"/>
        <v>0</v>
      </c>
    </row>
    <row r="8883" spans="6:10" ht="30" hidden="1" x14ac:dyDescent="0.25">
      <c r="F8883" s="357">
        <v>484</v>
      </c>
      <c r="G8883" s="348" t="s">
        <v>4214</v>
      </c>
      <c r="J8883" s="595">
        <f t="shared" si="259"/>
        <v>0</v>
      </c>
    </row>
    <row r="8884" spans="6:10" ht="30" hidden="1" x14ac:dyDescent="0.25">
      <c r="F8884" s="357">
        <v>485</v>
      </c>
      <c r="G8884" s="348" t="s">
        <v>4215</v>
      </c>
      <c r="J8884" s="595">
        <f t="shared" si="259"/>
        <v>0</v>
      </c>
    </row>
    <row r="8885" spans="6:10" ht="30" hidden="1" x14ac:dyDescent="0.25">
      <c r="F8885" s="357">
        <v>489</v>
      </c>
      <c r="G8885" s="348" t="s">
        <v>3841</v>
      </c>
      <c r="J8885" s="595">
        <f t="shared" si="259"/>
        <v>0</v>
      </c>
    </row>
    <row r="8886" spans="6:10" hidden="1" x14ac:dyDescent="0.25">
      <c r="F8886" s="357">
        <v>494</v>
      </c>
      <c r="G8886" s="348" t="s">
        <v>4193</v>
      </c>
      <c r="J8886" s="595">
        <f t="shared" si="259"/>
        <v>0</v>
      </c>
    </row>
    <row r="8887" spans="6:10" ht="30" hidden="1" x14ac:dyDescent="0.25">
      <c r="F8887" s="357">
        <v>495</v>
      </c>
      <c r="G8887" s="348" t="s">
        <v>4194</v>
      </c>
      <c r="J8887" s="595">
        <f t="shared" si="259"/>
        <v>0</v>
      </c>
    </row>
    <row r="8888" spans="6:10" ht="30" hidden="1" x14ac:dyDescent="0.25">
      <c r="F8888" s="357">
        <v>496</v>
      </c>
      <c r="G8888" s="348" t="s">
        <v>4195</v>
      </c>
      <c r="J8888" s="595">
        <f t="shared" si="259"/>
        <v>0</v>
      </c>
    </row>
    <row r="8889" spans="6:10" hidden="1" x14ac:dyDescent="0.25">
      <c r="F8889" s="357">
        <v>499</v>
      </c>
      <c r="G8889" s="348" t="s">
        <v>4196</v>
      </c>
      <c r="J8889" s="595">
        <f t="shared" si="259"/>
        <v>0</v>
      </c>
    </row>
    <row r="8890" spans="6:10" hidden="1" x14ac:dyDescent="0.25">
      <c r="F8890" s="357">
        <v>511</v>
      </c>
      <c r="G8890" s="353" t="s">
        <v>4216</v>
      </c>
      <c r="J8890" s="595">
        <f t="shared" si="259"/>
        <v>0</v>
      </c>
    </row>
    <row r="8891" spans="6:10" ht="15.75" hidden="1" thickBot="1" x14ac:dyDescent="0.3">
      <c r="F8891" s="357">
        <v>512</v>
      </c>
      <c r="G8891" s="353" t="s">
        <v>4217</v>
      </c>
      <c r="J8891" s="595">
        <f t="shared" si="259"/>
        <v>0</v>
      </c>
    </row>
    <row r="8892" spans="6:10" hidden="1" x14ac:dyDescent="0.25">
      <c r="F8892" s="357">
        <v>513</v>
      </c>
      <c r="G8892" s="353" t="s">
        <v>4218</v>
      </c>
      <c r="J8892" s="595">
        <f t="shared" si="259"/>
        <v>0</v>
      </c>
    </row>
    <row r="8893" spans="6:10" hidden="1" x14ac:dyDescent="0.25">
      <c r="F8893" s="357">
        <v>514</v>
      </c>
      <c r="G8893" s="348" t="s">
        <v>4219</v>
      </c>
      <c r="J8893" s="595">
        <f t="shared" si="259"/>
        <v>0</v>
      </c>
    </row>
    <row r="8894" spans="6:10" hidden="1" x14ac:dyDescent="0.25">
      <c r="F8894" s="357">
        <v>515</v>
      </c>
      <c r="G8894" s="348" t="s">
        <v>3852</v>
      </c>
      <c r="J8894" s="595">
        <f t="shared" si="259"/>
        <v>0</v>
      </c>
    </row>
    <row r="8895" spans="6:10" hidden="1" x14ac:dyDescent="0.25">
      <c r="F8895" s="357">
        <v>521</v>
      </c>
      <c r="G8895" s="348" t="s">
        <v>4220</v>
      </c>
      <c r="J8895" s="595">
        <f t="shared" si="259"/>
        <v>0</v>
      </c>
    </row>
    <row r="8896" spans="6:10" hidden="1" x14ac:dyDescent="0.25">
      <c r="F8896" s="357">
        <v>522</v>
      </c>
      <c r="G8896" s="348" t="s">
        <v>4221</v>
      </c>
      <c r="J8896" s="595">
        <f t="shared" si="259"/>
        <v>0</v>
      </c>
    </row>
    <row r="8897" spans="5:10" hidden="1" x14ac:dyDescent="0.25">
      <c r="F8897" s="357">
        <v>523</v>
      </c>
      <c r="G8897" s="348" t="s">
        <v>3857</v>
      </c>
      <c r="J8897" s="595">
        <f t="shared" si="259"/>
        <v>0</v>
      </c>
    </row>
    <row r="8898" spans="5:10" hidden="1" x14ac:dyDescent="0.25">
      <c r="F8898" s="357">
        <v>531</v>
      </c>
      <c r="G8898" s="345" t="s">
        <v>4197</v>
      </c>
      <c r="J8898" s="595">
        <f t="shared" si="259"/>
        <v>0</v>
      </c>
    </row>
    <row r="8899" spans="5:10" hidden="1" x14ac:dyDescent="0.25">
      <c r="F8899" s="357">
        <v>541</v>
      </c>
      <c r="G8899" s="348" t="s">
        <v>4222</v>
      </c>
      <c r="J8899" s="595">
        <f t="shared" si="259"/>
        <v>0</v>
      </c>
    </row>
    <row r="8900" spans="5:10" hidden="1" x14ac:dyDescent="0.25">
      <c r="F8900" s="357">
        <v>542</v>
      </c>
      <c r="G8900" s="348" t="s">
        <v>4223</v>
      </c>
      <c r="J8900" s="595">
        <f t="shared" si="259"/>
        <v>0</v>
      </c>
    </row>
    <row r="8901" spans="5:10" hidden="1" x14ac:dyDescent="0.25">
      <c r="F8901" s="357">
        <v>543</v>
      </c>
      <c r="G8901" s="348" t="s">
        <v>3862</v>
      </c>
      <c r="J8901" s="595">
        <f t="shared" si="259"/>
        <v>0</v>
      </c>
    </row>
    <row r="8902" spans="5:10" ht="30" hidden="1" x14ac:dyDescent="0.25">
      <c r="F8902" s="357">
        <v>551</v>
      </c>
      <c r="G8902" s="348" t="s">
        <v>4198</v>
      </c>
      <c r="J8902" s="595">
        <f t="shared" si="259"/>
        <v>0</v>
      </c>
    </row>
    <row r="8903" spans="5:10" hidden="1" x14ac:dyDescent="0.25">
      <c r="F8903" s="358">
        <v>611</v>
      </c>
      <c r="G8903" s="356" t="s">
        <v>3868</v>
      </c>
      <c r="J8903" s="595">
        <f t="shared" si="259"/>
        <v>0</v>
      </c>
    </row>
    <row r="8904" spans="5:10" ht="15.75" hidden="1" thickBot="1" x14ac:dyDescent="0.3">
      <c r="F8904" s="358">
        <v>620</v>
      </c>
      <c r="G8904" s="356" t="s">
        <v>88</v>
      </c>
      <c r="J8904" s="595">
        <f t="shared" si="259"/>
        <v>0</v>
      </c>
    </row>
    <row r="8905" spans="5:10" hidden="1" x14ac:dyDescent="0.25">
      <c r="E8905" s="346"/>
      <c r="F8905" s="358"/>
      <c r="G8905" s="327" t="s">
        <v>4416</v>
      </c>
      <c r="H8905" s="596"/>
      <c r="I8905" s="622"/>
      <c r="J8905" s="597"/>
    </row>
    <row r="8906" spans="5:10" ht="15.75" hidden="1" thickBot="1" x14ac:dyDescent="0.3">
      <c r="E8906" s="222"/>
      <c r="F8906" s="249" t="s">
        <v>234</v>
      </c>
      <c r="G8906" s="252" t="s">
        <v>235</v>
      </c>
      <c r="H8906" s="598">
        <f>SUM(H8845:H8904)</f>
        <v>0</v>
      </c>
      <c r="I8906" s="599"/>
      <c r="J8906" s="599">
        <f t="shared" ref="J8906:J8921" si="260">SUM(H8906:I8906)</f>
        <v>0</v>
      </c>
    </row>
    <row r="8907" spans="5:10" hidden="1" x14ac:dyDescent="0.25">
      <c r="F8907" s="249" t="s">
        <v>236</v>
      </c>
      <c r="G8907" s="252" t="s">
        <v>237</v>
      </c>
      <c r="J8907" s="599">
        <f t="shared" si="260"/>
        <v>0</v>
      </c>
    </row>
    <row r="8908" spans="5:10" hidden="1" x14ac:dyDescent="0.25">
      <c r="F8908" s="249" t="s">
        <v>238</v>
      </c>
      <c r="G8908" s="252" t="s">
        <v>239</v>
      </c>
      <c r="J8908" s="599">
        <f t="shared" si="260"/>
        <v>0</v>
      </c>
    </row>
    <row r="8909" spans="5:10" hidden="1" x14ac:dyDescent="0.25">
      <c r="F8909" s="249" t="s">
        <v>240</v>
      </c>
      <c r="G8909" s="252" t="s">
        <v>241</v>
      </c>
      <c r="J8909" s="599">
        <f t="shared" si="260"/>
        <v>0</v>
      </c>
    </row>
    <row r="8910" spans="5:10" hidden="1" x14ac:dyDescent="0.25">
      <c r="F8910" s="249" t="s">
        <v>242</v>
      </c>
      <c r="G8910" s="252" t="s">
        <v>243</v>
      </c>
      <c r="J8910" s="599">
        <f t="shared" si="260"/>
        <v>0</v>
      </c>
    </row>
    <row r="8911" spans="5:10" hidden="1" x14ac:dyDescent="0.25">
      <c r="F8911" s="249" t="s">
        <v>244</v>
      </c>
      <c r="G8911" s="252" t="s">
        <v>245</v>
      </c>
      <c r="J8911" s="599">
        <f t="shared" si="260"/>
        <v>0</v>
      </c>
    </row>
    <row r="8912" spans="5:10" hidden="1" x14ac:dyDescent="0.25">
      <c r="F8912" s="249" t="s">
        <v>246</v>
      </c>
      <c r="G8912" s="252" t="s">
        <v>247</v>
      </c>
      <c r="J8912" s="599">
        <f t="shared" si="260"/>
        <v>0</v>
      </c>
    </row>
    <row r="8913" spans="5:10" hidden="1" x14ac:dyDescent="0.25">
      <c r="F8913" s="249" t="s">
        <v>248</v>
      </c>
      <c r="G8913" s="252" t="s">
        <v>249</v>
      </c>
      <c r="J8913" s="599">
        <f t="shared" si="260"/>
        <v>0</v>
      </c>
    </row>
    <row r="8914" spans="5:10" hidden="1" x14ac:dyDescent="0.25">
      <c r="F8914" s="249" t="s">
        <v>250</v>
      </c>
      <c r="G8914" s="252" t="s">
        <v>57</v>
      </c>
      <c r="J8914" s="599">
        <f t="shared" si="260"/>
        <v>0</v>
      </c>
    </row>
    <row r="8915" spans="5:10" hidden="1" x14ac:dyDescent="0.25">
      <c r="F8915" s="249" t="s">
        <v>251</v>
      </c>
      <c r="G8915" s="252" t="s">
        <v>252</v>
      </c>
      <c r="J8915" s="599">
        <f t="shared" si="260"/>
        <v>0</v>
      </c>
    </row>
    <row r="8916" spans="5:10" hidden="1" x14ac:dyDescent="0.25">
      <c r="F8916" s="249" t="s">
        <v>253</v>
      </c>
      <c r="G8916" s="252" t="s">
        <v>254</v>
      </c>
      <c r="J8916" s="599">
        <f t="shared" si="260"/>
        <v>0</v>
      </c>
    </row>
    <row r="8917" spans="5:10" ht="30" hidden="1" x14ac:dyDescent="0.25">
      <c r="F8917" s="249" t="s">
        <v>255</v>
      </c>
      <c r="G8917" s="252" t="s">
        <v>256</v>
      </c>
      <c r="J8917" s="599">
        <f t="shared" si="260"/>
        <v>0</v>
      </c>
    </row>
    <row r="8918" spans="5:10" hidden="1" x14ac:dyDescent="0.25">
      <c r="F8918" s="249" t="s">
        <v>257</v>
      </c>
      <c r="G8918" s="252" t="s">
        <v>258</v>
      </c>
      <c r="J8918" s="599">
        <f t="shared" si="260"/>
        <v>0</v>
      </c>
    </row>
    <row r="8919" spans="5:10" ht="30" hidden="1" x14ac:dyDescent="0.25">
      <c r="F8919" s="249" t="s">
        <v>259</v>
      </c>
      <c r="G8919" s="252" t="s">
        <v>260</v>
      </c>
      <c r="J8919" s="599">
        <f t="shared" si="260"/>
        <v>0</v>
      </c>
    </row>
    <row r="8920" spans="5:10" hidden="1" x14ac:dyDescent="0.25">
      <c r="F8920" s="249" t="s">
        <v>261</v>
      </c>
      <c r="G8920" s="252" t="s">
        <v>262</v>
      </c>
      <c r="J8920" s="599">
        <f t="shared" si="260"/>
        <v>0</v>
      </c>
    </row>
    <row r="8921" spans="5:10" ht="15.75" hidden="1" thickBot="1" x14ac:dyDescent="0.3">
      <c r="F8921" s="249" t="s">
        <v>263</v>
      </c>
      <c r="G8921" s="252" t="s">
        <v>264</v>
      </c>
      <c r="H8921" s="598"/>
      <c r="I8921" s="599"/>
      <c r="J8921" s="599">
        <f t="shared" si="260"/>
        <v>0</v>
      </c>
    </row>
    <row r="8922" spans="5:10" ht="15.75" hidden="1" thickBot="1" x14ac:dyDescent="0.3">
      <c r="G8922" s="229" t="s">
        <v>4417</v>
      </c>
      <c r="H8922" s="600">
        <f>SUM(H8906:H8921)</f>
        <v>0</v>
      </c>
      <c r="I8922" s="601">
        <f>SUM(I8907:I8921)</f>
        <v>0</v>
      </c>
      <c r="J8922" s="601">
        <f>SUM(J8906:J8921)</f>
        <v>0</v>
      </c>
    </row>
    <row r="8923" spans="5:10" ht="28.5" hidden="1" collapsed="1" x14ac:dyDescent="0.25">
      <c r="E8923" s="346"/>
      <c r="F8923" s="358"/>
      <c r="G8923" s="231" t="s">
        <v>4303</v>
      </c>
      <c r="H8923" s="602"/>
      <c r="I8923" s="623"/>
      <c r="J8923" s="603"/>
    </row>
    <row r="8924" spans="5:10" ht="15.75" hidden="1" thickBot="1" x14ac:dyDescent="0.3">
      <c r="E8924" s="222"/>
      <c r="F8924" s="249" t="s">
        <v>234</v>
      </c>
      <c r="G8924" s="252" t="s">
        <v>235</v>
      </c>
      <c r="H8924" s="598">
        <f>SUM(H8845:H8904)</f>
        <v>0</v>
      </c>
      <c r="I8924" s="599"/>
      <c r="J8924" s="599">
        <f>SUM(H8924:I8924)</f>
        <v>0</v>
      </c>
    </row>
    <row r="8925" spans="5:10" hidden="1" x14ac:dyDescent="0.25">
      <c r="F8925" s="249" t="s">
        <v>236</v>
      </c>
      <c r="G8925" s="252" t="s">
        <v>237</v>
      </c>
      <c r="J8925" s="599">
        <f t="shared" ref="J8925:J8939" si="261">SUM(H8925:I8925)</f>
        <v>0</v>
      </c>
    </row>
    <row r="8926" spans="5:10" hidden="1" x14ac:dyDescent="0.25">
      <c r="F8926" s="249" t="s">
        <v>238</v>
      </c>
      <c r="G8926" s="252" t="s">
        <v>239</v>
      </c>
      <c r="J8926" s="599">
        <f t="shared" si="261"/>
        <v>0</v>
      </c>
    </row>
    <row r="8927" spans="5:10" hidden="1" x14ac:dyDescent="0.25">
      <c r="F8927" s="249" t="s">
        <v>240</v>
      </c>
      <c r="G8927" s="252" t="s">
        <v>241</v>
      </c>
      <c r="J8927" s="599">
        <f t="shared" si="261"/>
        <v>0</v>
      </c>
    </row>
    <row r="8928" spans="5:10" hidden="1" x14ac:dyDescent="0.25">
      <c r="F8928" s="249" t="s">
        <v>242</v>
      </c>
      <c r="G8928" s="252" t="s">
        <v>243</v>
      </c>
      <c r="J8928" s="599">
        <f t="shared" si="261"/>
        <v>0</v>
      </c>
    </row>
    <row r="8929" spans="3:12" hidden="1" x14ac:dyDescent="0.25">
      <c r="F8929" s="249" t="s">
        <v>244</v>
      </c>
      <c r="G8929" s="252" t="s">
        <v>245</v>
      </c>
      <c r="J8929" s="599">
        <f t="shared" si="261"/>
        <v>0</v>
      </c>
    </row>
    <row r="8930" spans="3:12" hidden="1" x14ac:dyDescent="0.25">
      <c r="F8930" s="249" t="s">
        <v>246</v>
      </c>
      <c r="G8930" s="252" t="s">
        <v>247</v>
      </c>
      <c r="J8930" s="599">
        <f t="shared" si="261"/>
        <v>0</v>
      </c>
    </row>
    <row r="8931" spans="3:12" hidden="1" x14ac:dyDescent="0.25">
      <c r="F8931" s="249" t="s">
        <v>248</v>
      </c>
      <c r="G8931" s="252" t="s">
        <v>249</v>
      </c>
      <c r="J8931" s="599">
        <f t="shared" si="261"/>
        <v>0</v>
      </c>
    </row>
    <row r="8932" spans="3:12" hidden="1" x14ac:dyDescent="0.25">
      <c r="F8932" s="249" t="s">
        <v>250</v>
      </c>
      <c r="G8932" s="252" t="s">
        <v>57</v>
      </c>
      <c r="J8932" s="599">
        <f t="shared" si="261"/>
        <v>0</v>
      </c>
    </row>
    <row r="8933" spans="3:12" hidden="1" x14ac:dyDescent="0.25">
      <c r="F8933" s="249" t="s">
        <v>251</v>
      </c>
      <c r="G8933" s="252" t="s">
        <v>252</v>
      </c>
      <c r="J8933" s="599">
        <f t="shared" si="261"/>
        <v>0</v>
      </c>
    </row>
    <row r="8934" spans="3:12" hidden="1" x14ac:dyDescent="0.25">
      <c r="F8934" s="249" t="s">
        <v>253</v>
      </c>
      <c r="G8934" s="252" t="s">
        <v>254</v>
      </c>
      <c r="J8934" s="599">
        <f t="shared" si="261"/>
        <v>0</v>
      </c>
    </row>
    <row r="8935" spans="3:12" ht="30" hidden="1" x14ac:dyDescent="0.25">
      <c r="F8935" s="249" t="s">
        <v>255</v>
      </c>
      <c r="G8935" s="252" t="s">
        <v>256</v>
      </c>
      <c r="J8935" s="599">
        <f t="shared" si="261"/>
        <v>0</v>
      </c>
    </row>
    <row r="8936" spans="3:12" hidden="1" x14ac:dyDescent="0.25">
      <c r="F8936" s="249" t="s">
        <v>257</v>
      </c>
      <c r="G8936" s="252" t="s">
        <v>258</v>
      </c>
      <c r="J8936" s="599">
        <f t="shared" si="261"/>
        <v>0</v>
      </c>
    </row>
    <row r="8937" spans="3:12" ht="30" hidden="1" x14ac:dyDescent="0.25">
      <c r="F8937" s="249" t="s">
        <v>259</v>
      </c>
      <c r="G8937" s="252" t="s">
        <v>260</v>
      </c>
      <c r="J8937" s="599">
        <f t="shared" si="261"/>
        <v>0</v>
      </c>
    </row>
    <row r="8938" spans="3:12" hidden="1" x14ac:dyDescent="0.25">
      <c r="F8938" s="249" t="s">
        <v>261</v>
      </c>
      <c r="G8938" s="252" t="s">
        <v>262</v>
      </c>
      <c r="J8938" s="599">
        <f t="shared" si="261"/>
        <v>0</v>
      </c>
    </row>
    <row r="8939" spans="3:12" ht="15.75" hidden="1" thickBot="1" x14ac:dyDescent="0.3">
      <c r="F8939" s="249" t="s">
        <v>263</v>
      </c>
      <c r="G8939" s="252" t="s">
        <v>264</v>
      </c>
      <c r="H8939" s="598"/>
      <c r="I8939" s="599"/>
      <c r="J8939" s="599">
        <f t="shared" si="261"/>
        <v>0</v>
      </c>
    </row>
    <row r="8940" spans="3:12" ht="15.75" hidden="1" collapsed="1" thickBot="1" x14ac:dyDescent="0.3">
      <c r="G8940" s="229" t="s">
        <v>4419</v>
      </c>
      <c r="H8940" s="600">
        <f>SUM(H8924:H8939)</f>
        <v>0</v>
      </c>
      <c r="I8940" s="601">
        <f>SUM(I8925:I8939)</f>
        <v>0</v>
      </c>
      <c r="J8940" s="601">
        <f>SUM(J8924:J8939)</f>
        <v>0</v>
      </c>
    </row>
    <row r="8941" spans="3:12" hidden="1" x14ac:dyDescent="0.25"/>
    <row r="8942" spans="3:12" hidden="1" x14ac:dyDescent="0.25">
      <c r="C8942" s="323" t="s">
        <v>4318</v>
      </c>
      <c r="D8942" s="285"/>
      <c r="E8942" s="285"/>
      <c r="F8942" s="222"/>
      <c r="G8942" s="287" t="s">
        <v>4112</v>
      </c>
      <c r="K8942" s="499"/>
      <c r="L8942" s="530"/>
    </row>
    <row r="8943" spans="3:12" hidden="1" x14ac:dyDescent="0.25">
      <c r="C8943" s="344"/>
      <c r="D8943" s="312">
        <v>473</v>
      </c>
      <c r="E8943" s="312"/>
      <c r="F8943" s="312"/>
      <c r="G8943" s="338" t="s">
        <v>162</v>
      </c>
      <c r="K8943" s="531"/>
      <c r="L8943" s="530"/>
    </row>
    <row r="8944" spans="3:12" hidden="1" x14ac:dyDescent="0.25">
      <c r="F8944" s="357">
        <v>411</v>
      </c>
      <c r="G8944" s="348" t="s">
        <v>4189</v>
      </c>
      <c r="J8944" s="595">
        <f>SUM(H8944:I8944)</f>
        <v>0</v>
      </c>
    </row>
    <row r="8945" spans="6:10" hidden="1" x14ac:dyDescent="0.25">
      <c r="F8945" s="357">
        <v>412</v>
      </c>
      <c r="G8945" s="345" t="s">
        <v>3784</v>
      </c>
      <c r="J8945" s="595">
        <f t="shared" ref="J8945:J9003" si="262">SUM(H8945:I8945)</f>
        <v>0</v>
      </c>
    </row>
    <row r="8946" spans="6:10" hidden="1" x14ac:dyDescent="0.25">
      <c r="F8946" s="357">
        <v>413</v>
      </c>
      <c r="G8946" s="348" t="s">
        <v>4190</v>
      </c>
      <c r="J8946" s="595">
        <f t="shared" si="262"/>
        <v>0</v>
      </c>
    </row>
    <row r="8947" spans="6:10" hidden="1" x14ac:dyDescent="0.25">
      <c r="F8947" s="357">
        <v>414</v>
      </c>
      <c r="G8947" s="348" t="s">
        <v>3787</v>
      </c>
      <c r="J8947" s="595">
        <f t="shared" si="262"/>
        <v>0</v>
      </c>
    </row>
    <row r="8948" spans="6:10" hidden="1" x14ac:dyDescent="0.25">
      <c r="F8948" s="357">
        <v>415</v>
      </c>
      <c r="G8948" s="348" t="s">
        <v>4199</v>
      </c>
      <c r="J8948" s="595">
        <f t="shared" si="262"/>
        <v>0</v>
      </c>
    </row>
    <row r="8949" spans="6:10" hidden="1" x14ac:dyDescent="0.25">
      <c r="F8949" s="357">
        <v>416</v>
      </c>
      <c r="G8949" s="348" t="s">
        <v>4200</v>
      </c>
      <c r="J8949" s="595">
        <f t="shared" si="262"/>
        <v>0</v>
      </c>
    </row>
    <row r="8950" spans="6:10" hidden="1" x14ac:dyDescent="0.25">
      <c r="F8950" s="357">
        <v>417</v>
      </c>
      <c r="G8950" s="348" t="s">
        <v>4201</v>
      </c>
      <c r="J8950" s="595">
        <f t="shared" si="262"/>
        <v>0</v>
      </c>
    </row>
    <row r="8951" spans="6:10" hidden="1" x14ac:dyDescent="0.25">
      <c r="F8951" s="357">
        <v>418</v>
      </c>
      <c r="G8951" s="348" t="s">
        <v>3793</v>
      </c>
      <c r="J8951" s="595">
        <f t="shared" si="262"/>
        <v>0</v>
      </c>
    </row>
    <row r="8952" spans="6:10" hidden="1" x14ac:dyDescent="0.25">
      <c r="F8952" s="357">
        <v>421</v>
      </c>
      <c r="G8952" s="348" t="s">
        <v>3797</v>
      </c>
      <c r="J8952" s="595">
        <f t="shared" si="262"/>
        <v>0</v>
      </c>
    </row>
    <row r="8953" spans="6:10" hidden="1" x14ac:dyDescent="0.25">
      <c r="F8953" s="357">
        <v>422</v>
      </c>
      <c r="G8953" s="348" t="s">
        <v>3798</v>
      </c>
      <c r="J8953" s="595">
        <f t="shared" si="262"/>
        <v>0</v>
      </c>
    </row>
    <row r="8954" spans="6:10" ht="15.75" hidden="1" thickBot="1" x14ac:dyDescent="0.3">
      <c r="F8954" s="357">
        <v>423</v>
      </c>
      <c r="G8954" s="348" t="s">
        <v>3799</v>
      </c>
      <c r="J8954" s="595">
        <f t="shared" si="262"/>
        <v>0</v>
      </c>
    </row>
    <row r="8955" spans="6:10" hidden="1" x14ac:dyDescent="0.25">
      <c r="F8955" s="357">
        <v>424</v>
      </c>
      <c r="G8955" s="348" t="s">
        <v>3801</v>
      </c>
      <c r="J8955" s="595">
        <f t="shared" si="262"/>
        <v>0</v>
      </c>
    </row>
    <row r="8956" spans="6:10" hidden="1" x14ac:dyDescent="0.25">
      <c r="F8956" s="357">
        <v>425</v>
      </c>
      <c r="G8956" s="348" t="s">
        <v>4202</v>
      </c>
      <c r="J8956" s="595">
        <f t="shared" si="262"/>
        <v>0</v>
      </c>
    </row>
    <row r="8957" spans="6:10" hidden="1" x14ac:dyDescent="0.25">
      <c r="F8957" s="357">
        <v>426</v>
      </c>
      <c r="G8957" s="348" t="s">
        <v>3805</v>
      </c>
      <c r="J8957" s="595">
        <f t="shared" si="262"/>
        <v>0</v>
      </c>
    </row>
    <row r="8958" spans="6:10" hidden="1" x14ac:dyDescent="0.25">
      <c r="F8958" s="357">
        <v>431</v>
      </c>
      <c r="G8958" s="348" t="s">
        <v>4203</v>
      </c>
      <c r="J8958" s="595">
        <f t="shared" si="262"/>
        <v>0</v>
      </c>
    </row>
    <row r="8959" spans="6:10" hidden="1" x14ac:dyDescent="0.25">
      <c r="F8959" s="357">
        <v>432</v>
      </c>
      <c r="G8959" s="348" t="s">
        <v>4204</v>
      </c>
      <c r="J8959" s="595">
        <f t="shared" si="262"/>
        <v>0</v>
      </c>
    </row>
    <row r="8960" spans="6:10" hidden="1" x14ac:dyDescent="0.25">
      <c r="F8960" s="357">
        <v>433</v>
      </c>
      <c r="G8960" s="348" t="s">
        <v>4205</v>
      </c>
      <c r="J8960" s="595">
        <f t="shared" si="262"/>
        <v>0</v>
      </c>
    </row>
    <row r="8961" spans="6:10" hidden="1" x14ac:dyDescent="0.25">
      <c r="F8961" s="357">
        <v>434</v>
      </c>
      <c r="G8961" s="348" t="s">
        <v>4206</v>
      </c>
      <c r="J8961" s="595">
        <f t="shared" si="262"/>
        <v>0</v>
      </c>
    </row>
    <row r="8962" spans="6:10" hidden="1" x14ac:dyDescent="0.25">
      <c r="F8962" s="357">
        <v>435</v>
      </c>
      <c r="G8962" s="348" t="s">
        <v>3812</v>
      </c>
      <c r="J8962" s="595">
        <f t="shared" si="262"/>
        <v>0</v>
      </c>
    </row>
    <row r="8963" spans="6:10" hidden="1" x14ac:dyDescent="0.25">
      <c r="F8963" s="357">
        <v>441</v>
      </c>
      <c r="G8963" s="348" t="s">
        <v>4207</v>
      </c>
      <c r="J8963" s="595">
        <f t="shared" si="262"/>
        <v>0</v>
      </c>
    </row>
    <row r="8964" spans="6:10" hidden="1" x14ac:dyDescent="0.25">
      <c r="F8964" s="357">
        <v>442</v>
      </c>
      <c r="G8964" s="348" t="s">
        <v>4208</v>
      </c>
      <c r="J8964" s="595">
        <f t="shared" si="262"/>
        <v>0</v>
      </c>
    </row>
    <row r="8965" spans="6:10" hidden="1" x14ac:dyDescent="0.25">
      <c r="F8965" s="357">
        <v>443</v>
      </c>
      <c r="G8965" s="348" t="s">
        <v>3817</v>
      </c>
      <c r="J8965" s="595">
        <f t="shared" si="262"/>
        <v>0</v>
      </c>
    </row>
    <row r="8966" spans="6:10" hidden="1" x14ac:dyDescent="0.25">
      <c r="F8966" s="357">
        <v>444</v>
      </c>
      <c r="G8966" s="348" t="s">
        <v>3818</v>
      </c>
      <c r="J8966" s="595">
        <f t="shared" si="262"/>
        <v>0</v>
      </c>
    </row>
    <row r="8967" spans="6:10" ht="30" hidden="1" x14ac:dyDescent="0.25">
      <c r="F8967" s="357">
        <v>4511</v>
      </c>
      <c r="G8967" s="223" t="s">
        <v>1692</v>
      </c>
      <c r="J8967" s="595">
        <f t="shared" si="262"/>
        <v>0</v>
      </c>
    </row>
    <row r="8968" spans="6:10" ht="30" hidden="1" x14ac:dyDescent="0.25">
      <c r="F8968" s="357">
        <v>4512</v>
      </c>
      <c r="G8968" s="223" t="s">
        <v>1701</v>
      </c>
      <c r="J8968" s="595">
        <f t="shared" si="262"/>
        <v>0</v>
      </c>
    </row>
    <row r="8969" spans="6:10" hidden="1" x14ac:dyDescent="0.25">
      <c r="F8969" s="357">
        <v>452</v>
      </c>
      <c r="G8969" s="348" t="s">
        <v>4209</v>
      </c>
      <c r="J8969" s="595">
        <f t="shared" si="262"/>
        <v>0</v>
      </c>
    </row>
    <row r="8970" spans="6:10" hidden="1" x14ac:dyDescent="0.25">
      <c r="F8970" s="357">
        <v>453</v>
      </c>
      <c r="G8970" s="348" t="s">
        <v>4210</v>
      </c>
      <c r="J8970" s="595">
        <f t="shared" si="262"/>
        <v>0</v>
      </c>
    </row>
    <row r="8971" spans="6:10" hidden="1" x14ac:dyDescent="0.25">
      <c r="F8971" s="357">
        <v>454</v>
      </c>
      <c r="G8971" s="348" t="s">
        <v>3823</v>
      </c>
      <c r="J8971" s="595">
        <f t="shared" si="262"/>
        <v>0</v>
      </c>
    </row>
    <row r="8972" spans="6:10" hidden="1" x14ac:dyDescent="0.25">
      <c r="F8972" s="357">
        <v>461</v>
      </c>
      <c r="G8972" s="348" t="s">
        <v>4191</v>
      </c>
      <c r="J8972" s="595">
        <f t="shared" si="262"/>
        <v>0</v>
      </c>
    </row>
    <row r="8973" spans="6:10" hidden="1" x14ac:dyDescent="0.25">
      <c r="F8973" s="357">
        <v>462</v>
      </c>
      <c r="G8973" s="348" t="s">
        <v>3826</v>
      </c>
      <c r="J8973" s="595">
        <f t="shared" si="262"/>
        <v>0</v>
      </c>
    </row>
    <row r="8974" spans="6:10" hidden="1" x14ac:dyDescent="0.25">
      <c r="F8974" s="357">
        <v>4631</v>
      </c>
      <c r="G8974" s="348" t="s">
        <v>3827</v>
      </c>
      <c r="J8974" s="595">
        <f t="shared" si="262"/>
        <v>0</v>
      </c>
    </row>
    <row r="8975" spans="6:10" hidden="1" x14ac:dyDescent="0.25">
      <c r="F8975" s="357">
        <v>4632</v>
      </c>
      <c r="G8975" s="348" t="s">
        <v>3828</v>
      </c>
      <c r="J8975" s="595">
        <f t="shared" si="262"/>
        <v>0</v>
      </c>
    </row>
    <row r="8976" spans="6:10" hidden="1" x14ac:dyDescent="0.25">
      <c r="F8976" s="357">
        <v>464</v>
      </c>
      <c r="G8976" s="348" t="s">
        <v>3829</v>
      </c>
      <c r="J8976" s="595">
        <f t="shared" si="262"/>
        <v>0</v>
      </c>
    </row>
    <row r="8977" spans="6:10" hidden="1" x14ac:dyDescent="0.25">
      <c r="F8977" s="357">
        <v>465</v>
      </c>
      <c r="G8977" s="348" t="s">
        <v>4192</v>
      </c>
      <c r="J8977" s="595">
        <f t="shared" si="262"/>
        <v>0</v>
      </c>
    </row>
    <row r="8978" spans="6:10" hidden="1" x14ac:dyDescent="0.25">
      <c r="F8978" s="357">
        <v>472</v>
      </c>
      <c r="G8978" s="348" t="s">
        <v>3833</v>
      </c>
      <c r="J8978" s="595">
        <f t="shared" si="262"/>
        <v>0</v>
      </c>
    </row>
    <row r="8979" spans="6:10" hidden="1" x14ac:dyDescent="0.25">
      <c r="F8979" s="357">
        <v>481</v>
      </c>
      <c r="G8979" s="348" t="s">
        <v>4211</v>
      </c>
      <c r="J8979" s="595">
        <f t="shared" si="262"/>
        <v>0</v>
      </c>
    </row>
    <row r="8980" spans="6:10" hidden="1" x14ac:dyDescent="0.25">
      <c r="F8980" s="357">
        <v>482</v>
      </c>
      <c r="G8980" s="348" t="s">
        <v>4212</v>
      </c>
      <c r="J8980" s="595">
        <f t="shared" si="262"/>
        <v>0</v>
      </c>
    </row>
    <row r="8981" spans="6:10" hidden="1" x14ac:dyDescent="0.25">
      <c r="F8981" s="357">
        <v>483</v>
      </c>
      <c r="G8981" s="353" t="s">
        <v>4213</v>
      </c>
      <c r="J8981" s="595">
        <f t="shared" si="262"/>
        <v>0</v>
      </c>
    </row>
    <row r="8982" spans="6:10" ht="30" hidden="1" x14ac:dyDescent="0.25">
      <c r="F8982" s="357">
        <v>484</v>
      </c>
      <c r="G8982" s="348" t="s">
        <v>4214</v>
      </c>
      <c r="J8982" s="595">
        <f t="shared" si="262"/>
        <v>0</v>
      </c>
    </row>
    <row r="8983" spans="6:10" ht="30" hidden="1" x14ac:dyDescent="0.25">
      <c r="F8983" s="357">
        <v>485</v>
      </c>
      <c r="G8983" s="348" t="s">
        <v>4215</v>
      </c>
      <c r="J8983" s="595">
        <f t="shared" si="262"/>
        <v>0</v>
      </c>
    </row>
    <row r="8984" spans="6:10" ht="30" hidden="1" x14ac:dyDescent="0.25">
      <c r="F8984" s="357">
        <v>489</v>
      </c>
      <c r="G8984" s="348" t="s">
        <v>3841</v>
      </c>
      <c r="J8984" s="595">
        <f t="shared" si="262"/>
        <v>0</v>
      </c>
    </row>
    <row r="8985" spans="6:10" hidden="1" x14ac:dyDescent="0.25">
      <c r="F8985" s="357">
        <v>494</v>
      </c>
      <c r="G8985" s="348" t="s">
        <v>4193</v>
      </c>
      <c r="J8985" s="595">
        <f t="shared" si="262"/>
        <v>0</v>
      </c>
    </row>
    <row r="8986" spans="6:10" ht="30" hidden="1" x14ac:dyDescent="0.25">
      <c r="F8986" s="357">
        <v>495</v>
      </c>
      <c r="G8986" s="348" t="s">
        <v>4194</v>
      </c>
      <c r="J8986" s="595">
        <f t="shared" si="262"/>
        <v>0</v>
      </c>
    </row>
    <row r="8987" spans="6:10" ht="30" hidden="1" x14ac:dyDescent="0.25">
      <c r="F8987" s="357">
        <v>496</v>
      </c>
      <c r="G8987" s="348" t="s">
        <v>4195</v>
      </c>
      <c r="J8987" s="595">
        <f t="shared" si="262"/>
        <v>0</v>
      </c>
    </row>
    <row r="8988" spans="6:10" hidden="1" x14ac:dyDescent="0.25">
      <c r="F8988" s="357">
        <v>499</v>
      </c>
      <c r="G8988" s="348" t="s">
        <v>4196</v>
      </c>
      <c r="J8988" s="595">
        <f t="shared" si="262"/>
        <v>0</v>
      </c>
    </row>
    <row r="8989" spans="6:10" hidden="1" x14ac:dyDescent="0.25">
      <c r="F8989" s="357">
        <v>511</v>
      </c>
      <c r="G8989" s="353" t="s">
        <v>4216</v>
      </c>
      <c r="J8989" s="595">
        <f t="shared" si="262"/>
        <v>0</v>
      </c>
    </row>
    <row r="8990" spans="6:10" hidden="1" x14ac:dyDescent="0.25">
      <c r="F8990" s="357">
        <v>512</v>
      </c>
      <c r="G8990" s="353" t="s">
        <v>4217</v>
      </c>
      <c r="J8990" s="595">
        <f t="shared" si="262"/>
        <v>0</v>
      </c>
    </row>
    <row r="8991" spans="6:10" hidden="1" x14ac:dyDescent="0.25">
      <c r="F8991" s="357">
        <v>513</v>
      </c>
      <c r="G8991" s="353" t="s">
        <v>4218</v>
      </c>
      <c r="J8991" s="595">
        <f t="shared" si="262"/>
        <v>0</v>
      </c>
    </row>
    <row r="8992" spans="6:10" hidden="1" x14ac:dyDescent="0.25">
      <c r="F8992" s="357">
        <v>514</v>
      </c>
      <c r="G8992" s="348" t="s">
        <v>4219</v>
      </c>
      <c r="J8992" s="595">
        <f t="shared" si="262"/>
        <v>0</v>
      </c>
    </row>
    <row r="8993" spans="5:10" hidden="1" x14ac:dyDescent="0.25">
      <c r="F8993" s="357">
        <v>515</v>
      </c>
      <c r="G8993" s="348" t="s">
        <v>3852</v>
      </c>
      <c r="J8993" s="595">
        <f t="shared" si="262"/>
        <v>0</v>
      </c>
    </row>
    <row r="8994" spans="5:10" hidden="1" x14ac:dyDescent="0.25">
      <c r="F8994" s="357">
        <v>521</v>
      </c>
      <c r="G8994" s="348" t="s">
        <v>4220</v>
      </c>
      <c r="J8994" s="595">
        <f t="shared" si="262"/>
        <v>0</v>
      </c>
    </row>
    <row r="8995" spans="5:10" hidden="1" x14ac:dyDescent="0.25">
      <c r="F8995" s="357">
        <v>522</v>
      </c>
      <c r="G8995" s="348" t="s">
        <v>4221</v>
      </c>
      <c r="J8995" s="595">
        <f t="shared" si="262"/>
        <v>0</v>
      </c>
    </row>
    <row r="8996" spans="5:10" hidden="1" x14ac:dyDescent="0.25">
      <c r="F8996" s="357">
        <v>523</v>
      </c>
      <c r="G8996" s="348" t="s">
        <v>3857</v>
      </c>
      <c r="J8996" s="595">
        <f t="shared" si="262"/>
        <v>0</v>
      </c>
    </row>
    <row r="8997" spans="5:10" hidden="1" x14ac:dyDescent="0.25">
      <c r="F8997" s="357">
        <v>531</v>
      </c>
      <c r="G8997" s="345" t="s">
        <v>4197</v>
      </c>
      <c r="J8997" s="595">
        <f t="shared" si="262"/>
        <v>0</v>
      </c>
    </row>
    <row r="8998" spans="5:10" hidden="1" x14ac:dyDescent="0.25">
      <c r="F8998" s="357">
        <v>541</v>
      </c>
      <c r="G8998" s="348" t="s">
        <v>4222</v>
      </c>
      <c r="J8998" s="595">
        <f t="shared" si="262"/>
        <v>0</v>
      </c>
    </row>
    <row r="8999" spans="5:10" hidden="1" x14ac:dyDescent="0.25">
      <c r="F8999" s="357">
        <v>542</v>
      </c>
      <c r="G8999" s="348" t="s">
        <v>4223</v>
      </c>
      <c r="J8999" s="595">
        <f t="shared" si="262"/>
        <v>0</v>
      </c>
    </row>
    <row r="9000" spans="5:10" hidden="1" x14ac:dyDescent="0.25">
      <c r="F9000" s="357">
        <v>543</v>
      </c>
      <c r="G9000" s="348" t="s">
        <v>3862</v>
      </c>
      <c r="J9000" s="595">
        <f t="shared" si="262"/>
        <v>0</v>
      </c>
    </row>
    <row r="9001" spans="5:10" ht="30" hidden="1" x14ac:dyDescent="0.25">
      <c r="F9001" s="357">
        <v>551</v>
      </c>
      <c r="G9001" s="348" t="s">
        <v>4198</v>
      </c>
      <c r="J9001" s="595">
        <f t="shared" si="262"/>
        <v>0</v>
      </c>
    </row>
    <row r="9002" spans="5:10" hidden="1" x14ac:dyDescent="0.25">
      <c r="F9002" s="358">
        <v>611</v>
      </c>
      <c r="G9002" s="356" t="s">
        <v>3868</v>
      </c>
      <c r="J9002" s="595">
        <f t="shared" si="262"/>
        <v>0</v>
      </c>
    </row>
    <row r="9003" spans="5:10" ht="15.75" hidden="1" thickBot="1" x14ac:dyDescent="0.3">
      <c r="F9003" s="358">
        <v>620</v>
      </c>
      <c r="G9003" s="356" t="s">
        <v>88</v>
      </c>
      <c r="J9003" s="595">
        <f t="shared" si="262"/>
        <v>0</v>
      </c>
    </row>
    <row r="9004" spans="5:10" hidden="1" x14ac:dyDescent="0.25">
      <c r="E9004" s="346"/>
      <c r="F9004" s="358"/>
      <c r="G9004" s="327" t="s">
        <v>4416</v>
      </c>
      <c r="H9004" s="596"/>
      <c r="I9004" s="622"/>
      <c r="J9004" s="597"/>
    </row>
    <row r="9005" spans="5:10" ht="15.75" hidden="1" thickBot="1" x14ac:dyDescent="0.3">
      <c r="E9005" s="222"/>
      <c r="F9005" s="249" t="s">
        <v>234</v>
      </c>
      <c r="G9005" s="252" t="s">
        <v>235</v>
      </c>
      <c r="H9005" s="598">
        <f>SUM(H8944:H9003)</f>
        <v>0</v>
      </c>
      <c r="I9005" s="599"/>
      <c r="J9005" s="599">
        <f t="shared" ref="J9005:J9020" si="263">SUM(H9005:I9005)</f>
        <v>0</v>
      </c>
    </row>
    <row r="9006" spans="5:10" hidden="1" x14ac:dyDescent="0.25">
      <c r="F9006" s="249" t="s">
        <v>236</v>
      </c>
      <c r="G9006" s="252" t="s">
        <v>237</v>
      </c>
      <c r="J9006" s="599">
        <f t="shared" si="263"/>
        <v>0</v>
      </c>
    </row>
    <row r="9007" spans="5:10" hidden="1" x14ac:dyDescent="0.25">
      <c r="F9007" s="249" t="s">
        <v>238</v>
      </c>
      <c r="G9007" s="252" t="s">
        <v>239</v>
      </c>
      <c r="J9007" s="599">
        <f t="shared" si="263"/>
        <v>0</v>
      </c>
    </row>
    <row r="9008" spans="5:10" hidden="1" x14ac:dyDescent="0.25">
      <c r="F9008" s="249" t="s">
        <v>240</v>
      </c>
      <c r="G9008" s="252" t="s">
        <v>241</v>
      </c>
      <c r="J9008" s="599">
        <f t="shared" si="263"/>
        <v>0</v>
      </c>
    </row>
    <row r="9009" spans="5:10" hidden="1" x14ac:dyDescent="0.25">
      <c r="F9009" s="249" t="s">
        <v>242</v>
      </c>
      <c r="G9009" s="252" t="s">
        <v>243</v>
      </c>
      <c r="J9009" s="599">
        <f t="shared" si="263"/>
        <v>0</v>
      </c>
    </row>
    <row r="9010" spans="5:10" hidden="1" x14ac:dyDescent="0.25">
      <c r="F9010" s="249" t="s">
        <v>244</v>
      </c>
      <c r="G9010" s="252" t="s">
        <v>245</v>
      </c>
      <c r="J9010" s="599">
        <f t="shared" si="263"/>
        <v>0</v>
      </c>
    </row>
    <row r="9011" spans="5:10" hidden="1" x14ac:dyDescent="0.25">
      <c r="F9011" s="249" t="s">
        <v>246</v>
      </c>
      <c r="G9011" s="252" t="s">
        <v>247</v>
      </c>
      <c r="J9011" s="599">
        <f t="shared" si="263"/>
        <v>0</v>
      </c>
    </row>
    <row r="9012" spans="5:10" hidden="1" x14ac:dyDescent="0.25">
      <c r="F9012" s="249" t="s">
        <v>248</v>
      </c>
      <c r="G9012" s="252" t="s">
        <v>249</v>
      </c>
      <c r="J9012" s="599">
        <f t="shared" si="263"/>
        <v>0</v>
      </c>
    </row>
    <row r="9013" spans="5:10" hidden="1" x14ac:dyDescent="0.25">
      <c r="F9013" s="249" t="s">
        <v>250</v>
      </c>
      <c r="G9013" s="252" t="s">
        <v>57</v>
      </c>
      <c r="J9013" s="599">
        <f t="shared" si="263"/>
        <v>0</v>
      </c>
    </row>
    <row r="9014" spans="5:10" hidden="1" x14ac:dyDescent="0.25">
      <c r="F9014" s="249" t="s">
        <v>251</v>
      </c>
      <c r="G9014" s="252" t="s">
        <v>252</v>
      </c>
      <c r="J9014" s="599">
        <f t="shared" si="263"/>
        <v>0</v>
      </c>
    </row>
    <row r="9015" spans="5:10" hidden="1" x14ac:dyDescent="0.25">
      <c r="F9015" s="249" t="s">
        <v>253</v>
      </c>
      <c r="G9015" s="252" t="s">
        <v>254</v>
      </c>
      <c r="J9015" s="599">
        <f t="shared" si="263"/>
        <v>0</v>
      </c>
    </row>
    <row r="9016" spans="5:10" ht="30" hidden="1" x14ac:dyDescent="0.25">
      <c r="F9016" s="249" t="s">
        <v>255</v>
      </c>
      <c r="G9016" s="252" t="s">
        <v>256</v>
      </c>
      <c r="J9016" s="599">
        <f t="shared" si="263"/>
        <v>0</v>
      </c>
    </row>
    <row r="9017" spans="5:10" hidden="1" x14ac:dyDescent="0.25">
      <c r="F9017" s="249" t="s">
        <v>257</v>
      </c>
      <c r="G9017" s="252" t="s">
        <v>258</v>
      </c>
      <c r="J9017" s="599">
        <f t="shared" si="263"/>
        <v>0</v>
      </c>
    </row>
    <row r="9018" spans="5:10" ht="30" hidden="1" x14ac:dyDescent="0.25">
      <c r="F9018" s="249" t="s">
        <v>259</v>
      </c>
      <c r="G9018" s="252" t="s">
        <v>260</v>
      </c>
      <c r="J9018" s="599">
        <f t="shared" si="263"/>
        <v>0</v>
      </c>
    </row>
    <row r="9019" spans="5:10" hidden="1" x14ac:dyDescent="0.25">
      <c r="F9019" s="249" t="s">
        <v>261</v>
      </c>
      <c r="G9019" s="252" t="s">
        <v>262</v>
      </c>
      <c r="J9019" s="599">
        <f t="shared" si="263"/>
        <v>0</v>
      </c>
    </row>
    <row r="9020" spans="5:10" ht="15.75" hidden="1" thickBot="1" x14ac:dyDescent="0.3">
      <c r="F9020" s="249" t="s">
        <v>263</v>
      </c>
      <c r="G9020" s="252" t="s">
        <v>264</v>
      </c>
      <c r="H9020" s="598"/>
      <c r="I9020" s="599"/>
      <c r="J9020" s="599">
        <f t="shared" si="263"/>
        <v>0</v>
      </c>
    </row>
    <row r="9021" spans="5:10" ht="15.75" hidden="1" thickBot="1" x14ac:dyDescent="0.3">
      <c r="G9021" s="229" t="s">
        <v>4417</v>
      </c>
      <c r="H9021" s="600">
        <f>SUM(H9005:H9020)</f>
        <v>0</v>
      </c>
      <c r="I9021" s="601">
        <f>SUM(I9006:I9020)</f>
        <v>0</v>
      </c>
      <c r="J9021" s="601">
        <f>SUM(J9005:J9020)</f>
        <v>0</v>
      </c>
    </row>
    <row r="9022" spans="5:10" ht="28.5" hidden="1" collapsed="1" x14ac:dyDescent="0.25">
      <c r="E9022" s="346"/>
      <c r="F9022" s="358"/>
      <c r="G9022" s="231" t="s">
        <v>4319</v>
      </c>
      <c r="H9022" s="602"/>
      <c r="I9022" s="623"/>
      <c r="J9022" s="603"/>
    </row>
    <row r="9023" spans="5:10" ht="15.75" hidden="1" thickBot="1" x14ac:dyDescent="0.3">
      <c r="E9023" s="222"/>
      <c r="F9023" s="249" t="s">
        <v>234</v>
      </c>
      <c r="G9023" s="252" t="s">
        <v>235</v>
      </c>
      <c r="H9023" s="598">
        <f>SUM(H8944:H9003)</f>
        <v>0</v>
      </c>
      <c r="I9023" s="599"/>
      <c r="J9023" s="599">
        <f>SUM(H9023:I9023)</f>
        <v>0</v>
      </c>
    </row>
    <row r="9024" spans="5:10" hidden="1" x14ac:dyDescent="0.25">
      <c r="F9024" s="249" t="s">
        <v>236</v>
      </c>
      <c r="G9024" s="252" t="s">
        <v>237</v>
      </c>
      <c r="J9024" s="599">
        <f t="shared" ref="J9024:J9038" si="264">SUM(H9024:I9024)</f>
        <v>0</v>
      </c>
    </row>
    <row r="9025" spans="6:10" hidden="1" x14ac:dyDescent="0.25">
      <c r="F9025" s="249" t="s">
        <v>238</v>
      </c>
      <c r="G9025" s="252" t="s">
        <v>239</v>
      </c>
      <c r="J9025" s="599">
        <f t="shared" si="264"/>
        <v>0</v>
      </c>
    </row>
    <row r="9026" spans="6:10" hidden="1" x14ac:dyDescent="0.25">
      <c r="F9026" s="249" t="s">
        <v>240</v>
      </c>
      <c r="G9026" s="252" t="s">
        <v>241</v>
      </c>
      <c r="J9026" s="599">
        <f t="shared" si="264"/>
        <v>0</v>
      </c>
    </row>
    <row r="9027" spans="6:10" hidden="1" x14ac:dyDescent="0.25">
      <c r="F9027" s="249" t="s">
        <v>242</v>
      </c>
      <c r="G9027" s="252" t="s">
        <v>243</v>
      </c>
      <c r="J9027" s="599">
        <f t="shared" si="264"/>
        <v>0</v>
      </c>
    </row>
    <row r="9028" spans="6:10" hidden="1" x14ac:dyDescent="0.25">
      <c r="F9028" s="249" t="s">
        <v>244</v>
      </c>
      <c r="G9028" s="252" t="s">
        <v>245</v>
      </c>
      <c r="J9028" s="599">
        <f t="shared" si="264"/>
        <v>0</v>
      </c>
    </row>
    <row r="9029" spans="6:10" hidden="1" x14ac:dyDescent="0.25">
      <c r="F9029" s="249" t="s">
        <v>246</v>
      </c>
      <c r="G9029" s="252" t="s">
        <v>247</v>
      </c>
      <c r="J9029" s="599">
        <f t="shared" si="264"/>
        <v>0</v>
      </c>
    </row>
    <row r="9030" spans="6:10" hidden="1" x14ac:dyDescent="0.25">
      <c r="F9030" s="249" t="s">
        <v>248</v>
      </c>
      <c r="G9030" s="252" t="s">
        <v>249</v>
      </c>
      <c r="J9030" s="599">
        <f t="shared" si="264"/>
        <v>0</v>
      </c>
    </row>
    <row r="9031" spans="6:10" hidden="1" x14ac:dyDescent="0.25">
      <c r="F9031" s="249" t="s">
        <v>250</v>
      </c>
      <c r="G9031" s="252" t="s">
        <v>57</v>
      </c>
      <c r="J9031" s="599">
        <f t="shared" si="264"/>
        <v>0</v>
      </c>
    </row>
    <row r="9032" spans="6:10" hidden="1" x14ac:dyDescent="0.25">
      <c r="F9032" s="249" t="s">
        <v>251</v>
      </c>
      <c r="G9032" s="252" t="s">
        <v>252</v>
      </c>
      <c r="J9032" s="599">
        <f t="shared" si="264"/>
        <v>0</v>
      </c>
    </row>
    <row r="9033" spans="6:10" hidden="1" x14ac:dyDescent="0.25">
      <c r="F9033" s="249" t="s">
        <v>253</v>
      </c>
      <c r="G9033" s="252" t="s">
        <v>254</v>
      </c>
      <c r="J9033" s="599">
        <f t="shared" si="264"/>
        <v>0</v>
      </c>
    </row>
    <row r="9034" spans="6:10" ht="30" hidden="1" x14ac:dyDescent="0.25">
      <c r="F9034" s="249" t="s">
        <v>255</v>
      </c>
      <c r="G9034" s="252" t="s">
        <v>256</v>
      </c>
      <c r="J9034" s="599">
        <f t="shared" si="264"/>
        <v>0</v>
      </c>
    </row>
    <row r="9035" spans="6:10" hidden="1" x14ac:dyDescent="0.25">
      <c r="F9035" s="249" t="s">
        <v>257</v>
      </c>
      <c r="G9035" s="252" t="s">
        <v>258</v>
      </c>
      <c r="J9035" s="599">
        <f t="shared" si="264"/>
        <v>0</v>
      </c>
    </row>
    <row r="9036" spans="6:10" ht="30" hidden="1" x14ac:dyDescent="0.25">
      <c r="F9036" s="249" t="s">
        <v>259</v>
      </c>
      <c r="G9036" s="252" t="s">
        <v>260</v>
      </c>
      <c r="J9036" s="599">
        <f t="shared" si="264"/>
        <v>0</v>
      </c>
    </row>
    <row r="9037" spans="6:10" hidden="1" x14ac:dyDescent="0.25">
      <c r="F9037" s="249" t="s">
        <v>261</v>
      </c>
      <c r="G9037" s="252" t="s">
        <v>262</v>
      </c>
      <c r="J9037" s="599">
        <f t="shared" si="264"/>
        <v>0</v>
      </c>
    </row>
    <row r="9038" spans="6:10" ht="15.75" hidden="1" thickBot="1" x14ac:dyDescent="0.3">
      <c r="F9038" s="249" t="s">
        <v>263</v>
      </c>
      <c r="G9038" s="252" t="s">
        <v>264</v>
      </c>
      <c r="H9038" s="598"/>
      <c r="I9038" s="599"/>
      <c r="J9038" s="599">
        <f t="shared" si="264"/>
        <v>0</v>
      </c>
    </row>
    <row r="9039" spans="6:10" ht="15.75" hidden="1" collapsed="1" thickBot="1" x14ac:dyDescent="0.3">
      <c r="G9039" s="229" t="s">
        <v>4418</v>
      </c>
      <c r="H9039" s="600">
        <f>SUM(H9023:H9038)</f>
        <v>0</v>
      </c>
      <c r="I9039" s="601">
        <f>SUM(I9024:I9038)</f>
        <v>0</v>
      </c>
      <c r="J9039" s="601">
        <f>SUM(J9023:J9038)</f>
        <v>0</v>
      </c>
    </row>
    <row r="9040" spans="6:10" hidden="1" x14ac:dyDescent="0.25"/>
    <row r="9041" spans="3:10" hidden="1" x14ac:dyDescent="0.25">
      <c r="C9041" s="228" t="s">
        <v>4613</v>
      </c>
      <c r="D9041" s="219"/>
      <c r="G9041" s="349" t="s">
        <v>5113</v>
      </c>
    </row>
    <row r="9042" spans="3:10" hidden="1" x14ac:dyDescent="0.25">
      <c r="C9042" s="228"/>
      <c r="D9042" s="312">
        <v>473</v>
      </c>
      <c r="E9042" s="312"/>
      <c r="F9042" s="312"/>
      <c r="G9042" s="338" t="s">
        <v>162</v>
      </c>
    </row>
    <row r="9043" spans="3:10" hidden="1" x14ac:dyDescent="0.25">
      <c r="F9043" s="357">
        <v>411</v>
      </c>
      <c r="G9043" s="348" t="s">
        <v>4189</v>
      </c>
      <c r="J9043" s="595">
        <f>SUM(H9043:I9043)</f>
        <v>0</v>
      </c>
    </row>
    <row r="9044" spans="3:10" hidden="1" x14ac:dyDescent="0.25">
      <c r="F9044" s="357">
        <v>412</v>
      </c>
      <c r="G9044" s="345" t="s">
        <v>3784</v>
      </c>
      <c r="J9044" s="595">
        <f t="shared" ref="J9044:J9051" si="265">SUM(H9044:I9044)</f>
        <v>0</v>
      </c>
    </row>
    <row r="9045" spans="3:10" hidden="1" x14ac:dyDescent="0.25">
      <c r="F9045" s="357">
        <v>413</v>
      </c>
      <c r="G9045" s="348" t="s">
        <v>4190</v>
      </c>
      <c r="J9045" s="595">
        <f t="shared" si="265"/>
        <v>0</v>
      </c>
    </row>
    <row r="9046" spans="3:10" hidden="1" x14ac:dyDescent="0.25">
      <c r="F9046" s="357">
        <v>414</v>
      </c>
      <c r="G9046" s="348" t="s">
        <v>3787</v>
      </c>
      <c r="J9046" s="595">
        <f t="shared" si="265"/>
        <v>0</v>
      </c>
    </row>
    <row r="9047" spans="3:10" hidden="1" x14ac:dyDescent="0.25">
      <c r="F9047" s="357">
        <v>415</v>
      </c>
      <c r="G9047" s="348" t="s">
        <v>4199</v>
      </c>
      <c r="J9047" s="595">
        <f t="shared" si="265"/>
        <v>0</v>
      </c>
    </row>
    <row r="9048" spans="3:10" hidden="1" x14ac:dyDescent="0.25">
      <c r="F9048" s="357">
        <v>416</v>
      </c>
      <c r="G9048" s="348" t="s">
        <v>4200</v>
      </c>
      <c r="J9048" s="595">
        <f t="shared" si="265"/>
        <v>0</v>
      </c>
    </row>
    <row r="9049" spans="3:10" hidden="1" x14ac:dyDescent="0.25">
      <c r="F9049" s="357">
        <v>417</v>
      </c>
      <c r="G9049" s="348" t="s">
        <v>4201</v>
      </c>
      <c r="J9049" s="595">
        <f t="shared" si="265"/>
        <v>0</v>
      </c>
    </row>
    <row r="9050" spans="3:10" hidden="1" x14ac:dyDescent="0.25">
      <c r="F9050" s="357">
        <v>418</v>
      </c>
      <c r="G9050" s="348" t="s">
        <v>3793</v>
      </c>
      <c r="J9050" s="595">
        <f t="shared" si="265"/>
        <v>0</v>
      </c>
    </row>
    <row r="9051" spans="3:10" hidden="1" x14ac:dyDescent="0.25">
      <c r="F9051" s="357">
        <v>421</v>
      </c>
      <c r="G9051" s="348" t="s">
        <v>3797</v>
      </c>
      <c r="J9051" s="595">
        <f t="shared" si="265"/>
        <v>0</v>
      </c>
    </row>
    <row r="9052" spans="3:10" hidden="1" x14ac:dyDescent="0.25">
      <c r="F9052" s="357">
        <v>422</v>
      </c>
      <c r="G9052" s="348" t="s">
        <v>3798</v>
      </c>
      <c r="J9052" s="595">
        <f>SUM(H9052:I9052)</f>
        <v>0</v>
      </c>
    </row>
    <row r="9053" spans="3:10" hidden="1" x14ac:dyDescent="0.25">
      <c r="F9053" s="357">
        <v>423</v>
      </c>
      <c r="G9053" s="348" t="s">
        <v>3799</v>
      </c>
      <c r="J9053" s="595">
        <f t="shared" ref="J9053:J9102" si="266">SUM(H9053:I9053)</f>
        <v>0</v>
      </c>
    </row>
    <row r="9054" spans="3:10" hidden="1" x14ac:dyDescent="0.25">
      <c r="F9054" s="357">
        <v>424</v>
      </c>
      <c r="G9054" s="348" t="s">
        <v>3801</v>
      </c>
      <c r="J9054" s="595">
        <f t="shared" si="266"/>
        <v>0</v>
      </c>
    </row>
    <row r="9055" spans="3:10" hidden="1" x14ac:dyDescent="0.25">
      <c r="F9055" s="357">
        <v>425</v>
      </c>
      <c r="G9055" s="348" t="s">
        <v>4202</v>
      </c>
      <c r="J9055" s="595">
        <f t="shared" si="266"/>
        <v>0</v>
      </c>
    </row>
    <row r="9056" spans="3:10" hidden="1" x14ac:dyDescent="0.25">
      <c r="F9056" s="357">
        <v>426</v>
      </c>
      <c r="G9056" s="348" t="s">
        <v>3805</v>
      </c>
      <c r="J9056" s="595">
        <f t="shared" si="266"/>
        <v>0</v>
      </c>
    </row>
    <row r="9057" spans="6:10" hidden="1" x14ac:dyDescent="0.25">
      <c r="F9057" s="357">
        <v>431</v>
      </c>
      <c r="G9057" s="348" t="s">
        <v>4203</v>
      </c>
      <c r="J9057" s="595">
        <f t="shared" si="266"/>
        <v>0</v>
      </c>
    </row>
    <row r="9058" spans="6:10" hidden="1" x14ac:dyDescent="0.25">
      <c r="F9058" s="357">
        <v>432</v>
      </c>
      <c r="G9058" s="348" t="s">
        <v>4204</v>
      </c>
      <c r="J9058" s="595">
        <f t="shared" si="266"/>
        <v>0</v>
      </c>
    </row>
    <row r="9059" spans="6:10" hidden="1" x14ac:dyDescent="0.25">
      <c r="F9059" s="357">
        <v>433</v>
      </c>
      <c r="G9059" s="348" t="s">
        <v>4205</v>
      </c>
      <c r="J9059" s="595">
        <f t="shared" si="266"/>
        <v>0</v>
      </c>
    </row>
    <row r="9060" spans="6:10" hidden="1" x14ac:dyDescent="0.25">
      <c r="F9060" s="357">
        <v>434</v>
      </c>
      <c r="G9060" s="348" t="s">
        <v>4206</v>
      </c>
      <c r="J9060" s="595">
        <f t="shared" si="266"/>
        <v>0</v>
      </c>
    </row>
    <row r="9061" spans="6:10" hidden="1" x14ac:dyDescent="0.25">
      <c r="F9061" s="357">
        <v>435</v>
      </c>
      <c r="G9061" s="348" t="s">
        <v>3812</v>
      </c>
      <c r="J9061" s="595">
        <f t="shared" si="266"/>
        <v>0</v>
      </c>
    </row>
    <row r="9062" spans="6:10" hidden="1" x14ac:dyDescent="0.25">
      <c r="F9062" s="357">
        <v>441</v>
      </c>
      <c r="G9062" s="348" t="s">
        <v>4207</v>
      </c>
      <c r="J9062" s="595">
        <f t="shared" si="266"/>
        <v>0</v>
      </c>
    </row>
    <row r="9063" spans="6:10" hidden="1" x14ac:dyDescent="0.25">
      <c r="F9063" s="357">
        <v>442</v>
      </c>
      <c r="G9063" s="348" t="s">
        <v>4208</v>
      </c>
      <c r="J9063" s="595">
        <f t="shared" si="266"/>
        <v>0</v>
      </c>
    </row>
    <row r="9064" spans="6:10" hidden="1" x14ac:dyDescent="0.25">
      <c r="F9064" s="357">
        <v>443</v>
      </c>
      <c r="G9064" s="348" t="s">
        <v>3817</v>
      </c>
      <c r="J9064" s="595">
        <f t="shared" si="266"/>
        <v>0</v>
      </c>
    </row>
    <row r="9065" spans="6:10" hidden="1" x14ac:dyDescent="0.25">
      <c r="F9065" s="357">
        <v>444</v>
      </c>
      <c r="G9065" s="348" t="s">
        <v>3818</v>
      </c>
      <c r="J9065" s="595">
        <f t="shared" si="266"/>
        <v>0</v>
      </c>
    </row>
    <row r="9066" spans="6:10" ht="30" hidden="1" x14ac:dyDescent="0.25">
      <c r="F9066" s="357">
        <v>4511</v>
      </c>
      <c r="G9066" s="223" t="s">
        <v>1692</v>
      </c>
      <c r="J9066" s="595">
        <f t="shared" si="266"/>
        <v>0</v>
      </c>
    </row>
    <row r="9067" spans="6:10" ht="30" hidden="1" x14ac:dyDescent="0.25">
      <c r="F9067" s="357">
        <v>4512</v>
      </c>
      <c r="G9067" s="223" t="s">
        <v>1701</v>
      </c>
      <c r="J9067" s="595">
        <f t="shared" si="266"/>
        <v>0</v>
      </c>
    </row>
    <row r="9068" spans="6:10" hidden="1" x14ac:dyDescent="0.25">
      <c r="F9068" s="357">
        <v>452</v>
      </c>
      <c r="G9068" s="348" t="s">
        <v>4209</v>
      </c>
      <c r="J9068" s="595">
        <f t="shared" si="266"/>
        <v>0</v>
      </c>
    </row>
    <row r="9069" spans="6:10" hidden="1" x14ac:dyDescent="0.25">
      <c r="F9069" s="357">
        <v>453</v>
      </c>
      <c r="G9069" s="348" t="s">
        <v>4210</v>
      </c>
      <c r="J9069" s="595">
        <f t="shared" si="266"/>
        <v>0</v>
      </c>
    </row>
    <row r="9070" spans="6:10" hidden="1" x14ac:dyDescent="0.25">
      <c r="F9070" s="357">
        <v>454</v>
      </c>
      <c r="G9070" s="348" t="s">
        <v>3823</v>
      </c>
      <c r="J9070" s="595">
        <f t="shared" si="266"/>
        <v>0</v>
      </c>
    </row>
    <row r="9071" spans="6:10" hidden="1" x14ac:dyDescent="0.25">
      <c r="F9071" s="357">
        <v>461</v>
      </c>
      <c r="G9071" s="348" t="s">
        <v>4191</v>
      </c>
      <c r="J9071" s="595">
        <f t="shared" si="266"/>
        <v>0</v>
      </c>
    </row>
    <row r="9072" spans="6:10" hidden="1" x14ac:dyDescent="0.25">
      <c r="F9072" s="357">
        <v>462</v>
      </c>
      <c r="G9072" s="348" t="s">
        <v>3826</v>
      </c>
      <c r="J9072" s="595">
        <f t="shared" si="266"/>
        <v>0</v>
      </c>
    </row>
    <row r="9073" spans="6:10" hidden="1" x14ac:dyDescent="0.25">
      <c r="F9073" s="357">
        <v>4631</v>
      </c>
      <c r="G9073" s="348" t="s">
        <v>3827</v>
      </c>
      <c r="J9073" s="595">
        <f t="shared" si="266"/>
        <v>0</v>
      </c>
    </row>
    <row r="9074" spans="6:10" hidden="1" x14ac:dyDescent="0.25">
      <c r="F9074" s="357">
        <v>4632</v>
      </c>
      <c r="G9074" s="348" t="s">
        <v>3828</v>
      </c>
      <c r="J9074" s="595">
        <f t="shared" si="266"/>
        <v>0</v>
      </c>
    </row>
    <row r="9075" spans="6:10" hidden="1" x14ac:dyDescent="0.25">
      <c r="F9075" s="357">
        <v>464</v>
      </c>
      <c r="G9075" s="348" t="s">
        <v>3829</v>
      </c>
      <c r="J9075" s="595">
        <f t="shared" si="266"/>
        <v>0</v>
      </c>
    </row>
    <row r="9076" spans="6:10" hidden="1" x14ac:dyDescent="0.25">
      <c r="F9076" s="357">
        <v>465</v>
      </c>
      <c r="G9076" s="348" t="s">
        <v>4192</v>
      </c>
      <c r="J9076" s="595">
        <f t="shared" si="266"/>
        <v>0</v>
      </c>
    </row>
    <row r="9077" spans="6:10" hidden="1" x14ac:dyDescent="0.25">
      <c r="F9077" s="357">
        <v>472</v>
      </c>
      <c r="G9077" s="348" t="s">
        <v>3833</v>
      </c>
      <c r="J9077" s="595">
        <f t="shared" si="266"/>
        <v>0</v>
      </c>
    </row>
    <row r="9078" spans="6:10" hidden="1" x14ac:dyDescent="0.25">
      <c r="F9078" s="357">
        <v>481</v>
      </c>
      <c r="G9078" s="348" t="s">
        <v>4211</v>
      </c>
      <c r="J9078" s="595">
        <f t="shared" si="266"/>
        <v>0</v>
      </c>
    </row>
    <row r="9079" spans="6:10" hidden="1" x14ac:dyDescent="0.25">
      <c r="F9079" s="357">
        <v>482</v>
      </c>
      <c r="G9079" s="348" t="s">
        <v>4212</v>
      </c>
      <c r="J9079" s="595">
        <f t="shared" si="266"/>
        <v>0</v>
      </c>
    </row>
    <row r="9080" spans="6:10" hidden="1" x14ac:dyDescent="0.25">
      <c r="F9080" s="357">
        <v>483</v>
      </c>
      <c r="G9080" s="353" t="s">
        <v>4213</v>
      </c>
      <c r="J9080" s="595">
        <f t="shared" si="266"/>
        <v>0</v>
      </c>
    </row>
    <row r="9081" spans="6:10" ht="30" hidden="1" x14ac:dyDescent="0.25">
      <c r="F9081" s="357">
        <v>484</v>
      </c>
      <c r="G9081" s="348" t="s">
        <v>4214</v>
      </c>
      <c r="J9081" s="595">
        <f t="shared" si="266"/>
        <v>0</v>
      </c>
    </row>
    <row r="9082" spans="6:10" ht="30" hidden="1" x14ac:dyDescent="0.25">
      <c r="F9082" s="357">
        <v>485</v>
      </c>
      <c r="G9082" s="348" t="s">
        <v>4215</v>
      </c>
      <c r="J9082" s="595">
        <f t="shared" si="266"/>
        <v>0</v>
      </c>
    </row>
    <row r="9083" spans="6:10" ht="30" hidden="1" x14ac:dyDescent="0.25">
      <c r="F9083" s="357">
        <v>489</v>
      </c>
      <c r="G9083" s="348" t="s">
        <v>3841</v>
      </c>
      <c r="J9083" s="595">
        <f t="shared" si="266"/>
        <v>0</v>
      </c>
    </row>
    <row r="9084" spans="6:10" hidden="1" x14ac:dyDescent="0.25">
      <c r="F9084" s="357">
        <v>494</v>
      </c>
      <c r="G9084" s="348" t="s">
        <v>4193</v>
      </c>
      <c r="J9084" s="595">
        <f t="shared" si="266"/>
        <v>0</v>
      </c>
    </row>
    <row r="9085" spans="6:10" ht="30" hidden="1" x14ac:dyDescent="0.25">
      <c r="F9085" s="357">
        <v>495</v>
      </c>
      <c r="G9085" s="348" t="s">
        <v>4194</v>
      </c>
      <c r="J9085" s="595">
        <f t="shared" si="266"/>
        <v>0</v>
      </c>
    </row>
    <row r="9086" spans="6:10" ht="30" hidden="1" x14ac:dyDescent="0.25">
      <c r="F9086" s="357">
        <v>496</v>
      </c>
      <c r="G9086" s="348" t="s">
        <v>4195</v>
      </c>
      <c r="J9086" s="595">
        <f t="shared" si="266"/>
        <v>0</v>
      </c>
    </row>
    <row r="9087" spans="6:10" hidden="1" x14ac:dyDescent="0.25">
      <c r="F9087" s="357">
        <v>499</v>
      </c>
      <c r="G9087" s="348" t="s">
        <v>4196</v>
      </c>
      <c r="J9087" s="595">
        <f t="shared" si="266"/>
        <v>0</v>
      </c>
    </row>
    <row r="9088" spans="6:10" hidden="1" x14ac:dyDescent="0.25">
      <c r="F9088" s="357">
        <v>511</v>
      </c>
      <c r="G9088" s="353" t="s">
        <v>4216</v>
      </c>
      <c r="J9088" s="595">
        <f t="shared" si="266"/>
        <v>0</v>
      </c>
    </row>
    <row r="9089" spans="5:10" ht="15.75" hidden="1" thickBot="1" x14ac:dyDescent="0.3">
      <c r="F9089" s="357">
        <v>512</v>
      </c>
      <c r="G9089" s="353" t="s">
        <v>4217</v>
      </c>
      <c r="J9089" s="595">
        <f t="shared" si="266"/>
        <v>0</v>
      </c>
    </row>
    <row r="9090" spans="5:10" hidden="1" x14ac:dyDescent="0.25">
      <c r="F9090" s="357">
        <v>513</v>
      </c>
      <c r="G9090" s="353" t="s">
        <v>4218</v>
      </c>
      <c r="J9090" s="595">
        <f t="shared" si="266"/>
        <v>0</v>
      </c>
    </row>
    <row r="9091" spans="5:10" hidden="1" x14ac:dyDescent="0.25">
      <c r="F9091" s="357">
        <v>514</v>
      </c>
      <c r="G9091" s="348" t="s">
        <v>4219</v>
      </c>
      <c r="J9091" s="595">
        <f t="shared" si="266"/>
        <v>0</v>
      </c>
    </row>
    <row r="9092" spans="5:10" hidden="1" x14ac:dyDescent="0.25">
      <c r="F9092" s="357">
        <v>515</v>
      </c>
      <c r="G9092" s="348" t="s">
        <v>3852</v>
      </c>
      <c r="J9092" s="595">
        <f t="shared" si="266"/>
        <v>0</v>
      </c>
    </row>
    <row r="9093" spans="5:10" hidden="1" x14ac:dyDescent="0.25">
      <c r="F9093" s="357">
        <v>521</v>
      </c>
      <c r="G9093" s="348" t="s">
        <v>4220</v>
      </c>
      <c r="J9093" s="595">
        <f t="shared" si="266"/>
        <v>0</v>
      </c>
    </row>
    <row r="9094" spans="5:10" hidden="1" x14ac:dyDescent="0.25">
      <c r="F9094" s="357">
        <v>522</v>
      </c>
      <c r="G9094" s="348" t="s">
        <v>4221</v>
      </c>
      <c r="J9094" s="595">
        <f t="shared" si="266"/>
        <v>0</v>
      </c>
    </row>
    <row r="9095" spans="5:10" hidden="1" x14ac:dyDescent="0.25">
      <c r="F9095" s="357">
        <v>523</v>
      </c>
      <c r="G9095" s="348" t="s">
        <v>3857</v>
      </c>
      <c r="J9095" s="595">
        <f t="shared" si="266"/>
        <v>0</v>
      </c>
    </row>
    <row r="9096" spans="5:10" hidden="1" x14ac:dyDescent="0.25">
      <c r="F9096" s="357">
        <v>531</v>
      </c>
      <c r="G9096" s="345" t="s">
        <v>4197</v>
      </c>
      <c r="J9096" s="595">
        <f t="shared" si="266"/>
        <v>0</v>
      </c>
    </row>
    <row r="9097" spans="5:10" hidden="1" x14ac:dyDescent="0.25">
      <c r="F9097" s="357">
        <v>541</v>
      </c>
      <c r="G9097" s="348" t="s">
        <v>4222</v>
      </c>
      <c r="J9097" s="595">
        <f t="shared" si="266"/>
        <v>0</v>
      </c>
    </row>
    <row r="9098" spans="5:10" hidden="1" x14ac:dyDescent="0.25">
      <c r="F9098" s="357">
        <v>542</v>
      </c>
      <c r="G9098" s="348" t="s">
        <v>4223</v>
      </c>
      <c r="J9098" s="595">
        <f t="shared" si="266"/>
        <v>0</v>
      </c>
    </row>
    <row r="9099" spans="5:10" hidden="1" x14ac:dyDescent="0.25">
      <c r="F9099" s="357">
        <v>543</v>
      </c>
      <c r="G9099" s="348" t="s">
        <v>3862</v>
      </c>
      <c r="J9099" s="595">
        <f t="shared" si="266"/>
        <v>0</v>
      </c>
    </row>
    <row r="9100" spans="5:10" ht="30" hidden="1" x14ac:dyDescent="0.25">
      <c r="F9100" s="357">
        <v>551</v>
      </c>
      <c r="G9100" s="348" t="s">
        <v>4198</v>
      </c>
      <c r="J9100" s="595">
        <f t="shared" si="266"/>
        <v>0</v>
      </c>
    </row>
    <row r="9101" spans="5:10" hidden="1" x14ac:dyDescent="0.25">
      <c r="F9101" s="358">
        <v>611</v>
      </c>
      <c r="G9101" s="356" t="s">
        <v>3868</v>
      </c>
      <c r="J9101" s="595">
        <f t="shared" si="266"/>
        <v>0</v>
      </c>
    </row>
    <row r="9102" spans="5:10" ht="15.75" hidden="1" thickBot="1" x14ac:dyDescent="0.3">
      <c r="F9102" s="358">
        <v>620</v>
      </c>
      <c r="G9102" s="356" t="s">
        <v>88</v>
      </c>
      <c r="J9102" s="595">
        <f t="shared" si="266"/>
        <v>0</v>
      </c>
    </row>
    <row r="9103" spans="5:10" hidden="1" x14ac:dyDescent="0.25">
      <c r="E9103" s="346"/>
      <c r="F9103" s="358"/>
      <c r="G9103" s="327" t="s">
        <v>4416</v>
      </c>
      <c r="H9103" s="596"/>
      <c r="I9103" s="622"/>
      <c r="J9103" s="597"/>
    </row>
    <row r="9104" spans="5:10" ht="15.75" hidden="1" thickBot="1" x14ac:dyDescent="0.3">
      <c r="E9104" s="222"/>
      <c r="F9104" s="249" t="s">
        <v>234</v>
      </c>
      <c r="G9104" s="252" t="s">
        <v>235</v>
      </c>
      <c r="H9104" s="598">
        <f>SUM(H9043:H9102)</f>
        <v>0</v>
      </c>
      <c r="I9104" s="599"/>
      <c r="J9104" s="599">
        <f t="shared" ref="J9104:J9119" si="267">SUM(H9104:I9104)</f>
        <v>0</v>
      </c>
    </row>
    <row r="9105" spans="6:10" hidden="1" x14ac:dyDescent="0.25">
      <c r="F9105" s="249" t="s">
        <v>236</v>
      </c>
      <c r="G9105" s="252" t="s">
        <v>237</v>
      </c>
      <c r="J9105" s="599">
        <f t="shared" si="267"/>
        <v>0</v>
      </c>
    </row>
    <row r="9106" spans="6:10" hidden="1" x14ac:dyDescent="0.25">
      <c r="F9106" s="249" t="s">
        <v>238</v>
      </c>
      <c r="G9106" s="252" t="s">
        <v>239</v>
      </c>
      <c r="J9106" s="599">
        <f t="shared" si="267"/>
        <v>0</v>
      </c>
    </row>
    <row r="9107" spans="6:10" hidden="1" x14ac:dyDescent="0.25">
      <c r="F9107" s="249" t="s">
        <v>240</v>
      </c>
      <c r="G9107" s="252" t="s">
        <v>241</v>
      </c>
      <c r="J9107" s="599">
        <f t="shared" si="267"/>
        <v>0</v>
      </c>
    </row>
    <row r="9108" spans="6:10" hidden="1" x14ac:dyDescent="0.25">
      <c r="F9108" s="249" t="s">
        <v>242</v>
      </c>
      <c r="G9108" s="252" t="s">
        <v>243</v>
      </c>
      <c r="J9108" s="599">
        <f t="shared" si="267"/>
        <v>0</v>
      </c>
    </row>
    <row r="9109" spans="6:10" hidden="1" x14ac:dyDescent="0.25">
      <c r="F9109" s="249" t="s">
        <v>244</v>
      </c>
      <c r="G9109" s="252" t="s">
        <v>245</v>
      </c>
      <c r="J9109" s="599">
        <f t="shared" si="267"/>
        <v>0</v>
      </c>
    </row>
    <row r="9110" spans="6:10" hidden="1" x14ac:dyDescent="0.25">
      <c r="F9110" s="249" t="s">
        <v>246</v>
      </c>
      <c r="G9110" s="252" t="s">
        <v>247</v>
      </c>
      <c r="J9110" s="599">
        <f t="shared" si="267"/>
        <v>0</v>
      </c>
    </row>
    <row r="9111" spans="6:10" hidden="1" x14ac:dyDescent="0.25">
      <c r="F9111" s="249" t="s">
        <v>248</v>
      </c>
      <c r="G9111" s="252" t="s">
        <v>249</v>
      </c>
      <c r="J9111" s="599">
        <f t="shared" si="267"/>
        <v>0</v>
      </c>
    </row>
    <row r="9112" spans="6:10" hidden="1" x14ac:dyDescent="0.25">
      <c r="F9112" s="249" t="s">
        <v>250</v>
      </c>
      <c r="G9112" s="252" t="s">
        <v>57</v>
      </c>
      <c r="J9112" s="599">
        <f t="shared" si="267"/>
        <v>0</v>
      </c>
    </row>
    <row r="9113" spans="6:10" hidden="1" x14ac:dyDescent="0.25">
      <c r="F9113" s="249" t="s">
        <v>251</v>
      </c>
      <c r="G9113" s="252" t="s">
        <v>252</v>
      </c>
      <c r="J9113" s="599">
        <f t="shared" si="267"/>
        <v>0</v>
      </c>
    </row>
    <row r="9114" spans="6:10" hidden="1" x14ac:dyDescent="0.25">
      <c r="F9114" s="249" t="s">
        <v>253</v>
      </c>
      <c r="G9114" s="252" t="s">
        <v>254</v>
      </c>
      <c r="J9114" s="599">
        <f t="shared" si="267"/>
        <v>0</v>
      </c>
    </row>
    <row r="9115" spans="6:10" ht="30" hidden="1" x14ac:dyDescent="0.25">
      <c r="F9115" s="249" t="s">
        <v>255</v>
      </c>
      <c r="G9115" s="252" t="s">
        <v>256</v>
      </c>
      <c r="J9115" s="599">
        <f t="shared" si="267"/>
        <v>0</v>
      </c>
    </row>
    <row r="9116" spans="6:10" hidden="1" x14ac:dyDescent="0.25">
      <c r="F9116" s="249" t="s">
        <v>257</v>
      </c>
      <c r="G9116" s="252" t="s">
        <v>258</v>
      </c>
      <c r="J9116" s="599">
        <f t="shared" si="267"/>
        <v>0</v>
      </c>
    </row>
    <row r="9117" spans="6:10" ht="30" hidden="1" x14ac:dyDescent="0.25">
      <c r="F9117" s="249" t="s">
        <v>259</v>
      </c>
      <c r="G9117" s="252" t="s">
        <v>260</v>
      </c>
      <c r="J9117" s="599">
        <f t="shared" si="267"/>
        <v>0</v>
      </c>
    </row>
    <row r="9118" spans="6:10" hidden="1" x14ac:dyDescent="0.25">
      <c r="F9118" s="249" t="s">
        <v>261</v>
      </c>
      <c r="G9118" s="252" t="s">
        <v>262</v>
      </c>
      <c r="J9118" s="599">
        <f t="shared" si="267"/>
        <v>0</v>
      </c>
    </row>
    <row r="9119" spans="6:10" ht="15.75" hidden="1" thickBot="1" x14ac:dyDescent="0.3">
      <c r="F9119" s="249" t="s">
        <v>263</v>
      </c>
      <c r="G9119" s="252" t="s">
        <v>264</v>
      </c>
      <c r="H9119" s="598"/>
      <c r="I9119" s="599"/>
      <c r="J9119" s="599">
        <f t="shared" si="267"/>
        <v>0</v>
      </c>
    </row>
    <row r="9120" spans="6:10" ht="15.75" hidden="1" thickBot="1" x14ac:dyDescent="0.3">
      <c r="G9120" s="229" t="s">
        <v>4417</v>
      </c>
      <c r="H9120" s="600">
        <f>SUM(H9104:H9119)</f>
        <v>0</v>
      </c>
      <c r="I9120" s="601">
        <f>SUM(I9105:I9119)</f>
        <v>0</v>
      </c>
      <c r="J9120" s="601">
        <f>SUM(J9104:J9119)</f>
        <v>0</v>
      </c>
    </row>
    <row r="9121" spans="5:10" hidden="1" x14ac:dyDescent="0.25">
      <c r="E9121" s="346"/>
      <c r="F9121" s="358"/>
      <c r="G9121" s="231" t="s">
        <v>5078</v>
      </c>
      <c r="H9121" s="602"/>
      <c r="I9121" s="623"/>
      <c r="J9121" s="603"/>
    </row>
    <row r="9122" spans="5:10" ht="15.75" hidden="1" thickBot="1" x14ac:dyDescent="0.3">
      <c r="E9122" s="222"/>
      <c r="F9122" s="249" t="s">
        <v>234</v>
      </c>
      <c r="G9122" s="252" t="s">
        <v>235</v>
      </c>
      <c r="H9122" s="598">
        <f>SUM(H9043:H9102)</f>
        <v>0</v>
      </c>
      <c r="I9122" s="599"/>
      <c r="J9122" s="599">
        <f>SUM(H9122:I9122)</f>
        <v>0</v>
      </c>
    </row>
    <row r="9123" spans="5:10" hidden="1" x14ac:dyDescent="0.25">
      <c r="F9123" s="249" t="s">
        <v>236</v>
      </c>
      <c r="G9123" s="252" t="s">
        <v>237</v>
      </c>
      <c r="J9123" s="599">
        <f t="shared" ref="J9123:J9137" si="268">SUM(H9123:I9123)</f>
        <v>0</v>
      </c>
    </row>
    <row r="9124" spans="5:10" hidden="1" x14ac:dyDescent="0.25">
      <c r="F9124" s="249" t="s">
        <v>238</v>
      </c>
      <c r="G9124" s="252" t="s">
        <v>239</v>
      </c>
      <c r="J9124" s="599">
        <f t="shared" si="268"/>
        <v>0</v>
      </c>
    </row>
    <row r="9125" spans="5:10" hidden="1" x14ac:dyDescent="0.25">
      <c r="F9125" s="249" t="s">
        <v>240</v>
      </c>
      <c r="G9125" s="252" t="s">
        <v>241</v>
      </c>
      <c r="J9125" s="599">
        <f t="shared" si="268"/>
        <v>0</v>
      </c>
    </row>
    <row r="9126" spans="5:10" hidden="1" x14ac:dyDescent="0.25">
      <c r="F9126" s="249" t="s">
        <v>242</v>
      </c>
      <c r="G9126" s="252" t="s">
        <v>243</v>
      </c>
      <c r="J9126" s="599">
        <f t="shared" si="268"/>
        <v>0</v>
      </c>
    </row>
    <row r="9127" spans="5:10" hidden="1" x14ac:dyDescent="0.25">
      <c r="F9127" s="249" t="s">
        <v>244</v>
      </c>
      <c r="G9127" s="252" t="s">
        <v>245</v>
      </c>
      <c r="J9127" s="599">
        <f t="shared" si="268"/>
        <v>0</v>
      </c>
    </row>
    <row r="9128" spans="5:10" hidden="1" x14ac:dyDescent="0.25">
      <c r="F9128" s="249" t="s">
        <v>246</v>
      </c>
      <c r="G9128" s="252" t="s">
        <v>247</v>
      </c>
      <c r="J9128" s="599">
        <f t="shared" si="268"/>
        <v>0</v>
      </c>
    </row>
    <row r="9129" spans="5:10" hidden="1" x14ac:dyDescent="0.25">
      <c r="F9129" s="249" t="s">
        <v>248</v>
      </c>
      <c r="G9129" s="252" t="s">
        <v>249</v>
      </c>
      <c r="J9129" s="599">
        <f t="shared" si="268"/>
        <v>0</v>
      </c>
    </row>
    <row r="9130" spans="5:10" hidden="1" x14ac:dyDescent="0.25">
      <c r="F9130" s="249" t="s">
        <v>250</v>
      </c>
      <c r="G9130" s="252" t="s">
        <v>57</v>
      </c>
      <c r="J9130" s="599">
        <f t="shared" si="268"/>
        <v>0</v>
      </c>
    </row>
    <row r="9131" spans="5:10" hidden="1" x14ac:dyDescent="0.25">
      <c r="F9131" s="249" t="s">
        <v>251</v>
      </c>
      <c r="G9131" s="252" t="s">
        <v>252</v>
      </c>
      <c r="J9131" s="599">
        <f t="shared" si="268"/>
        <v>0</v>
      </c>
    </row>
    <row r="9132" spans="5:10" hidden="1" x14ac:dyDescent="0.25">
      <c r="F9132" s="249" t="s">
        <v>253</v>
      </c>
      <c r="G9132" s="252" t="s">
        <v>254</v>
      </c>
      <c r="J9132" s="599">
        <f t="shared" si="268"/>
        <v>0</v>
      </c>
    </row>
    <row r="9133" spans="5:10" ht="30" hidden="1" x14ac:dyDescent="0.25">
      <c r="F9133" s="249" t="s">
        <v>255</v>
      </c>
      <c r="G9133" s="252" t="s">
        <v>256</v>
      </c>
      <c r="J9133" s="599">
        <f t="shared" si="268"/>
        <v>0</v>
      </c>
    </row>
    <row r="9134" spans="5:10" hidden="1" x14ac:dyDescent="0.25">
      <c r="F9134" s="249" t="s">
        <v>257</v>
      </c>
      <c r="G9134" s="252" t="s">
        <v>258</v>
      </c>
      <c r="J9134" s="599">
        <f t="shared" si="268"/>
        <v>0</v>
      </c>
    </row>
    <row r="9135" spans="5:10" ht="30" hidden="1" x14ac:dyDescent="0.25">
      <c r="F9135" s="249" t="s">
        <v>259</v>
      </c>
      <c r="G9135" s="252" t="s">
        <v>260</v>
      </c>
      <c r="J9135" s="599">
        <f t="shared" si="268"/>
        <v>0</v>
      </c>
    </row>
    <row r="9136" spans="5:10" hidden="1" x14ac:dyDescent="0.25">
      <c r="F9136" s="249" t="s">
        <v>261</v>
      </c>
      <c r="G9136" s="252" t="s">
        <v>262</v>
      </c>
      <c r="J9136" s="599">
        <f t="shared" si="268"/>
        <v>0</v>
      </c>
    </row>
    <row r="9137" spans="5:10" ht="15.75" hidden="1" thickBot="1" x14ac:dyDescent="0.3">
      <c r="F9137" s="249" t="s">
        <v>263</v>
      </c>
      <c r="G9137" s="252" t="s">
        <v>264</v>
      </c>
      <c r="H9137" s="598"/>
      <c r="I9137" s="599"/>
      <c r="J9137" s="599">
        <f t="shared" si="268"/>
        <v>0</v>
      </c>
    </row>
    <row r="9138" spans="5:10" ht="15.75" hidden="1" thickBot="1" x14ac:dyDescent="0.3">
      <c r="G9138" s="229" t="s">
        <v>5039</v>
      </c>
      <c r="H9138" s="600">
        <f>SUM(H9122:H9137)</f>
        <v>0</v>
      </c>
      <c r="I9138" s="601">
        <f>SUM(I9123:I9137)</f>
        <v>0</v>
      </c>
      <c r="J9138" s="601">
        <f>SUM(J9122:J9137)</f>
        <v>0</v>
      </c>
    </row>
    <row r="9139" spans="5:10" hidden="1" x14ac:dyDescent="0.25"/>
    <row r="9140" spans="5:10" hidden="1" x14ac:dyDescent="0.25">
      <c r="E9140" s="346"/>
      <c r="F9140" s="358"/>
      <c r="G9140" s="250" t="s">
        <v>4320</v>
      </c>
      <c r="H9140" s="606"/>
      <c r="I9140" s="624"/>
      <c r="J9140" s="607"/>
    </row>
    <row r="9141" spans="5:10" ht="15.75" hidden="1" thickBot="1" x14ac:dyDescent="0.3">
      <c r="E9141" s="222"/>
      <c r="F9141" s="249" t="s">
        <v>234</v>
      </c>
      <c r="G9141" s="252" t="s">
        <v>235</v>
      </c>
      <c r="H9141" s="598">
        <f>SUM(H9122,H9023,H8924)</f>
        <v>0</v>
      </c>
      <c r="I9141" s="599"/>
      <c r="J9141" s="599">
        <f>SUM(H9141:I9141)</f>
        <v>0</v>
      </c>
    </row>
    <row r="9142" spans="5:10" hidden="1" x14ac:dyDescent="0.25">
      <c r="F9142" s="249" t="s">
        <v>236</v>
      </c>
      <c r="G9142" s="252" t="s">
        <v>237</v>
      </c>
      <c r="J9142" s="599">
        <f t="shared" ref="J9142:J9156" si="269">SUM(H9142:I9142)</f>
        <v>0</v>
      </c>
    </row>
    <row r="9143" spans="5:10" hidden="1" x14ac:dyDescent="0.25">
      <c r="F9143" s="249" t="s">
        <v>238</v>
      </c>
      <c r="G9143" s="252" t="s">
        <v>239</v>
      </c>
      <c r="J9143" s="599">
        <f t="shared" si="269"/>
        <v>0</v>
      </c>
    </row>
    <row r="9144" spans="5:10" hidden="1" x14ac:dyDescent="0.25">
      <c r="F9144" s="249" t="s">
        <v>240</v>
      </c>
      <c r="G9144" s="252" t="s">
        <v>241</v>
      </c>
      <c r="J9144" s="599">
        <f t="shared" si="269"/>
        <v>0</v>
      </c>
    </row>
    <row r="9145" spans="5:10" hidden="1" x14ac:dyDescent="0.25">
      <c r="F9145" s="249" t="s">
        <v>242</v>
      </c>
      <c r="G9145" s="252" t="s">
        <v>243</v>
      </c>
      <c r="J9145" s="599">
        <f t="shared" si="269"/>
        <v>0</v>
      </c>
    </row>
    <row r="9146" spans="5:10" hidden="1" x14ac:dyDescent="0.25">
      <c r="F9146" s="249" t="s">
        <v>244</v>
      </c>
      <c r="G9146" s="252" t="s">
        <v>245</v>
      </c>
      <c r="J9146" s="599">
        <f t="shared" si="269"/>
        <v>0</v>
      </c>
    </row>
    <row r="9147" spans="5:10" hidden="1" x14ac:dyDescent="0.25">
      <c r="F9147" s="249" t="s">
        <v>246</v>
      </c>
      <c r="G9147" s="252" t="s">
        <v>247</v>
      </c>
      <c r="J9147" s="599">
        <f t="shared" si="269"/>
        <v>0</v>
      </c>
    </row>
    <row r="9148" spans="5:10" hidden="1" x14ac:dyDescent="0.25">
      <c r="F9148" s="249" t="s">
        <v>248</v>
      </c>
      <c r="G9148" s="252" t="s">
        <v>249</v>
      </c>
      <c r="J9148" s="599">
        <f t="shared" si="269"/>
        <v>0</v>
      </c>
    </row>
    <row r="9149" spans="5:10" hidden="1" x14ac:dyDescent="0.25">
      <c r="F9149" s="249" t="s">
        <v>250</v>
      </c>
      <c r="G9149" s="252" t="s">
        <v>57</v>
      </c>
      <c r="J9149" s="599">
        <f t="shared" si="269"/>
        <v>0</v>
      </c>
    </row>
    <row r="9150" spans="5:10" hidden="1" x14ac:dyDescent="0.25">
      <c r="F9150" s="249" t="s">
        <v>251</v>
      </c>
      <c r="G9150" s="252" t="s">
        <v>252</v>
      </c>
      <c r="J9150" s="599">
        <f t="shared" si="269"/>
        <v>0</v>
      </c>
    </row>
    <row r="9151" spans="5:10" hidden="1" x14ac:dyDescent="0.25">
      <c r="F9151" s="249" t="s">
        <v>253</v>
      </c>
      <c r="G9151" s="252" t="s">
        <v>254</v>
      </c>
      <c r="J9151" s="599">
        <f t="shared" si="269"/>
        <v>0</v>
      </c>
    </row>
    <row r="9152" spans="5:10" ht="30" hidden="1" x14ac:dyDescent="0.25">
      <c r="F9152" s="249" t="s">
        <v>255</v>
      </c>
      <c r="G9152" s="252" t="s">
        <v>256</v>
      </c>
      <c r="J9152" s="599">
        <f t="shared" si="269"/>
        <v>0</v>
      </c>
    </row>
    <row r="9153" spans="1:25" hidden="1" x14ac:dyDescent="0.25">
      <c r="F9153" s="249" t="s">
        <v>257</v>
      </c>
      <c r="G9153" s="252" t="s">
        <v>258</v>
      </c>
      <c r="J9153" s="599">
        <f t="shared" si="269"/>
        <v>0</v>
      </c>
    </row>
    <row r="9154" spans="1:25" ht="30" hidden="1" x14ac:dyDescent="0.25">
      <c r="F9154" s="249" t="s">
        <v>259</v>
      </c>
      <c r="G9154" s="252" t="s">
        <v>260</v>
      </c>
      <c r="J9154" s="599">
        <f t="shared" si="269"/>
        <v>0</v>
      </c>
    </row>
    <row r="9155" spans="1:25" hidden="1" x14ac:dyDescent="0.25">
      <c r="F9155" s="249" t="s">
        <v>261</v>
      </c>
      <c r="G9155" s="252" t="s">
        <v>262</v>
      </c>
      <c r="J9155" s="599">
        <f t="shared" si="269"/>
        <v>0</v>
      </c>
    </row>
    <row r="9156" spans="1:25" ht="15.75" hidden="1" thickBot="1" x14ac:dyDescent="0.3">
      <c r="F9156" s="249" t="s">
        <v>263</v>
      </c>
      <c r="G9156" s="252" t="s">
        <v>264</v>
      </c>
      <c r="H9156" s="598"/>
      <c r="I9156" s="599"/>
      <c r="J9156" s="599">
        <f t="shared" si="269"/>
        <v>0</v>
      </c>
    </row>
    <row r="9157" spans="1:25" ht="15.75" hidden="1" thickBot="1" x14ac:dyDescent="0.3">
      <c r="G9157" s="229" t="s">
        <v>4321</v>
      </c>
      <c r="H9157" s="600">
        <f>SUM(H9141:H9156)</f>
        <v>0</v>
      </c>
      <c r="I9157" s="601">
        <f>SUM(I9142:I9156)</f>
        <v>0</v>
      </c>
      <c r="J9157" s="601">
        <f>SUM(J9141:J9156)</f>
        <v>0</v>
      </c>
    </row>
    <row r="9158" spans="1:25" hidden="1" x14ac:dyDescent="0.25">
      <c r="G9158" s="286"/>
      <c r="H9158" s="604"/>
      <c r="I9158" s="605"/>
      <c r="J9158" s="605"/>
    </row>
    <row r="9159" spans="1:25" s="88" customFormat="1" hidden="1" x14ac:dyDescent="0.25">
      <c r="A9159" s="352"/>
      <c r="B9159" s="256"/>
      <c r="C9159" s="316"/>
      <c r="D9159" s="251"/>
      <c r="E9159" s="251"/>
      <c r="F9159" s="358"/>
      <c r="G9159" s="250" t="s">
        <v>4332</v>
      </c>
      <c r="H9159" s="606"/>
      <c r="I9159" s="624"/>
      <c r="J9159" s="607"/>
      <c r="K9159" s="533"/>
      <c r="L9159" s="533"/>
      <c r="M9159" s="533"/>
      <c r="N9159" s="533"/>
      <c r="O9159" s="533"/>
      <c r="P9159" s="533"/>
      <c r="Q9159" s="533"/>
      <c r="R9159" s="533"/>
      <c r="S9159" s="533"/>
      <c r="T9159" s="533"/>
      <c r="U9159" s="533"/>
      <c r="V9159" s="533"/>
      <c r="W9159" s="533"/>
      <c r="X9159" s="533"/>
      <c r="Y9159" s="533"/>
    </row>
    <row r="9160" spans="1:25" s="88" customFormat="1" ht="15.75" hidden="1" thickBot="1" x14ac:dyDescent="0.3">
      <c r="A9160" s="352"/>
      <c r="B9160" s="256"/>
      <c r="C9160" s="316"/>
      <c r="D9160" s="251"/>
      <c r="E9160" s="251"/>
      <c r="F9160" s="249" t="s">
        <v>234</v>
      </c>
      <c r="G9160" s="252" t="s">
        <v>235</v>
      </c>
      <c r="H9160" s="598">
        <f>SUM(H9141)</f>
        <v>0</v>
      </c>
      <c r="I9160" s="599"/>
      <c r="J9160" s="599">
        <f>SUM(H9160:I9160)</f>
        <v>0</v>
      </c>
      <c r="K9160" s="533"/>
      <c r="L9160" s="533"/>
      <c r="M9160" s="533"/>
      <c r="N9160" s="533"/>
      <c r="O9160" s="533"/>
      <c r="P9160" s="533"/>
      <c r="Q9160" s="533"/>
      <c r="R9160" s="533"/>
      <c r="S9160" s="533"/>
      <c r="T9160" s="533"/>
      <c r="U9160" s="533"/>
      <c r="V9160" s="533"/>
      <c r="W9160" s="533"/>
      <c r="X9160" s="533"/>
      <c r="Y9160" s="533"/>
    </row>
    <row r="9161" spans="1:25" s="88" customFormat="1" hidden="1" x14ac:dyDescent="0.25">
      <c r="A9161" s="352"/>
      <c r="B9161" s="256"/>
      <c r="C9161" s="316"/>
      <c r="D9161" s="251"/>
      <c r="E9161" s="251"/>
      <c r="F9161" s="249" t="s">
        <v>236</v>
      </c>
      <c r="G9161" s="252" t="s">
        <v>237</v>
      </c>
      <c r="H9161" s="594"/>
      <c r="I9161" s="595"/>
      <c r="J9161" s="599">
        <f t="shared" ref="J9161:J9175" si="270">SUM(H9161:I9161)</f>
        <v>0</v>
      </c>
      <c r="K9161" s="533"/>
      <c r="L9161" s="533"/>
      <c r="M9161" s="533"/>
      <c r="N9161" s="533"/>
      <c r="O9161" s="533"/>
      <c r="P9161" s="533"/>
      <c r="Q9161" s="533"/>
      <c r="R9161" s="533"/>
      <c r="S9161" s="533"/>
      <c r="T9161" s="533"/>
      <c r="U9161" s="533"/>
      <c r="V9161" s="533"/>
      <c r="W9161" s="533"/>
      <c r="X9161" s="533"/>
      <c r="Y9161" s="533"/>
    </row>
    <row r="9162" spans="1:25" s="88" customFormat="1" hidden="1" x14ac:dyDescent="0.25">
      <c r="A9162" s="352"/>
      <c r="B9162" s="256"/>
      <c r="C9162" s="316"/>
      <c r="D9162" s="251"/>
      <c r="E9162" s="251"/>
      <c r="F9162" s="249" t="s">
        <v>238</v>
      </c>
      <c r="G9162" s="252" t="s">
        <v>239</v>
      </c>
      <c r="H9162" s="594"/>
      <c r="I9162" s="595"/>
      <c r="J9162" s="599">
        <f t="shared" si="270"/>
        <v>0</v>
      </c>
      <c r="K9162" s="533"/>
      <c r="L9162" s="533"/>
      <c r="M9162" s="533"/>
      <c r="N9162" s="533"/>
      <c r="O9162" s="533"/>
      <c r="P9162" s="533"/>
      <c r="Q9162" s="533"/>
      <c r="R9162" s="533"/>
      <c r="S9162" s="533"/>
      <c r="T9162" s="533"/>
      <c r="U9162" s="533"/>
      <c r="V9162" s="533"/>
      <c r="W9162" s="533"/>
      <c r="X9162" s="533"/>
      <c r="Y9162" s="533"/>
    </row>
    <row r="9163" spans="1:25" s="88" customFormat="1" hidden="1" x14ac:dyDescent="0.25">
      <c r="A9163" s="352"/>
      <c r="B9163" s="256"/>
      <c r="C9163" s="316"/>
      <c r="D9163" s="251"/>
      <c r="E9163" s="251"/>
      <c r="F9163" s="249" t="s">
        <v>240</v>
      </c>
      <c r="G9163" s="252" t="s">
        <v>241</v>
      </c>
      <c r="H9163" s="594"/>
      <c r="I9163" s="595"/>
      <c r="J9163" s="599">
        <f t="shared" si="270"/>
        <v>0</v>
      </c>
      <c r="K9163" s="533"/>
      <c r="L9163" s="533"/>
      <c r="M9163" s="533"/>
      <c r="N9163" s="533"/>
      <c r="O9163" s="533"/>
      <c r="P9163" s="533"/>
      <c r="Q9163" s="533"/>
      <c r="R9163" s="533"/>
      <c r="S9163" s="533"/>
      <c r="T9163" s="533"/>
      <c r="U9163" s="533"/>
      <c r="V9163" s="533"/>
      <c r="W9163" s="533"/>
      <c r="X9163" s="533"/>
      <c r="Y9163" s="533"/>
    </row>
    <row r="9164" spans="1:25" s="88" customFormat="1" hidden="1" x14ac:dyDescent="0.25">
      <c r="A9164" s="352"/>
      <c r="B9164" s="256"/>
      <c r="C9164" s="316"/>
      <c r="D9164" s="251"/>
      <c r="E9164" s="251"/>
      <c r="F9164" s="249" t="s">
        <v>242</v>
      </c>
      <c r="G9164" s="252" t="s">
        <v>243</v>
      </c>
      <c r="H9164" s="594"/>
      <c r="I9164" s="595"/>
      <c r="J9164" s="599">
        <f t="shared" si="270"/>
        <v>0</v>
      </c>
      <c r="K9164" s="533"/>
      <c r="L9164" s="533"/>
      <c r="M9164" s="533"/>
      <c r="N9164" s="533"/>
      <c r="O9164" s="533"/>
      <c r="P9164" s="533"/>
      <c r="Q9164" s="533"/>
      <c r="R9164" s="533"/>
      <c r="S9164" s="533"/>
      <c r="T9164" s="533"/>
      <c r="U9164" s="533"/>
      <c r="V9164" s="533"/>
      <c r="W9164" s="533"/>
      <c r="X9164" s="533"/>
      <c r="Y9164" s="533"/>
    </row>
    <row r="9165" spans="1:25" s="88" customFormat="1" hidden="1" x14ac:dyDescent="0.25">
      <c r="A9165" s="352"/>
      <c r="B9165" s="256"/>
      <c r="C9165" s="316"/>
      <c r="D9165" s="251"/>
      <c r="E9165" s="251"/>
      <c r="F9165" s="249" t="s">
        <v>244</v>
      </c>
      <c r="G9165" s="252" t="s">
        <v>245</v>
      </c>
      <c r="H9165" s="594"/>
      <c r="I9165" s="595"/>
      <c r="J9165" s="599">
        <f t="shared" si="270"/>
        <v>0</v>
      </c>
      <c r="K9165" s="533"/>
      <c r="L9165" s="533"/>
      <c r="M9165" s="533"/>
      <c r="N9165" s="533"/>
      <c r="O9165" s="533"/>
      <c r="P9165" s="533"/>
      <c r="Q9165" s="533"/>
      <c r="R9165" s="533"/>
      <c r="S9165" s="533"/>
      <c r="T9165" s="533"/>
      <c r="U9165" s="533"/>
      <c r="V9165" s="533"/>
      <c r="W9165" s="533"/>
      <c r="X9165" s="533"/>
      <c r="Y9165" s="533"/>
    </row>
    <row r="9166" spans="1:25" s="88" customFormat="1" hidden="1" x14ac:dyDescent="0.25">
      <c r="A9166" s="352"/>
      <c r="B9166" s="256"/>
      <c r="C9166" s="316"/>
      <c r="D9166" s="251"/>
      <c r="E9166" s="251"/>
      <c r="F9166" s="249" t="s">
        <v>246</v>
      </c>
      <c r="G9166" s="252" t="s">
        <v>247</v>
      </c>
      <c r="H9166" s="594"/>
      <c r="I9166" s="595"/>
      <c r="J9166" s="599">
        <f t="shared" si="270"/>
        <v>0</v>
      </c>
      <c r="K9166" s="533"/>
      <c r="L9166" s="533"/>
      <c r="M9166" s="533"/>
      <c r="N9166" s="533"/>
      <c r="O9166" s="533"/>
      <c r="P9166" s="533"/>
      <c r="Q9166" s="533"/>
      <c r="R9166" s="533"/>
      <c r="S9166" s="533"/>
      <c r="T9166" s="533"/>
      <c r="U9166" s="533"/>
      <c r="V9166" s="533"/>
      <c r="W9166" s="533"/>
      <c r="X9166" s="533"/>
      <c r="Y9166" s="533"/>
    </row>
    <row r="9167" spans="1:25" s="88" customFormat="1" hidden="1" x14ac:dyDescent="0.25">
      <c r="A9167" s="352"/>
      <c r="B9167" s="256"/>
      <c r="C9167" s="316"/>
      <c r="D9167" s="251"/>
      <c r="E9167" s="251"/>
      <c r="F9167" s="249" t="s">
        <v>248</v>
      </c>
      <c r="G9167" s="252" t="s">
        <v>249</v>
      </c>
      <c r="H9167" s="594"/>
      <c r="I9167" s="595"/>
      <c r="J9167" s="599">
        <f t="shared" si="270"/>
        <v>0</v>
      </c>
      <c r="K9167" s="533"/>
      <c r="L9167" s="533"/>
      <c r="M9167" s="533"/>
      <c r="N9167" s="533"/>
      <c r="O9167" s="533"/>
      <c r="P9167" s="533"/>
      <c r="Q9167" s="533"/>
      <c r="R9167" s="533"/>
      <c r="S9167" s="533"/>
      <c r="T9167" s="533"/>
      <c r="U9167" s="533"/>
      <c r="V9167" s="533"/>
      <c r="W9167" s="533"/>
      <c r="X9167" s="533"/>
      <c r="Y9167" s="533"/>
    </row>
    <row r="9168" spans="1:25" s="88" customFormat="1" hidden="1" x14ac:dyDescent="0.25">
      <c r="A9168" s="352"/>
      <c r="B9168" s="256"/>
      <c r="C9168" s="316"/>
      <c r="D9168" s="251"/>
      <c r="E9168" s="251"/>
      <c r="F9168" s="249" t="s">
        <v>250</v>
      </c>
      <c r="G9168" s="252" t="s">
        <v>57</v>
      </c>
      <c r="H9168" s="594"/>
      <c r="I9168" s="595"/>
      <c r="J9168" s="599">
        <f t="shared" si="270"/>
        <v>0</v>
      </c>
      <c r="K9168" s="533"/>
      <c r="L9168" s="533"/>
      <c r="M9168" s="533"/>
      <c r="N9168" s="533"/>
      <c r="O9168" s="533"/>
      <c r="P9168" s="533"/>
      <c r="Q9168" s="533"/>
      <c r="R9168" s="533"/>
      <c r="S9168" s="533"/>
      <c r="T9168" s="533"/>
      <c r="U9168" s="533"/>
      <c r="V9168" s="533"/>
      <c r="W9168" s="533"/>
      <c r="X9168" s="533"/>
      <c r="Y9168" s="533"/>
    </row>
    <row r="9169" spans="1:25" s="88" customFormat="1" hidden="1" x14ac:dyDescent="0.25">
      <c r="A9169" s="352"/>
      <c r="B9169" s="256"/>
      <c r="C9169" s="316"/>
      <c r="D9169" s="251"/>
      <c r="E9169" s="251"/>
      <c r="F9169" s="249" t="s">
        <v>251</v>
      </c>
      <c r="G9169" s="252" t="s">
        <v>252</v>
      </c>
      <c r="H9169" s="594"/>
      <c r="I9169" s="595"/>
      <c r="J9169" s="599">
        <f t="shared" si="270"/>
        <v>0</v>
      </c>
      <c r="K9169" s="533"/>
      <c r="L9169" s="533"/>
      <c r="M9169" s="533"/>
      <c r="N9169" s="533"/>
      <c r="O9169" s="533"/>
      <c r="P9169" s="533"/>
      <c r="Q9169" s="533"/>
      <c r="R9169" s="533"/>
      <c r="S9169" s="533"/>
      <c r="T9169" s="533"/>
      <c r="U9169" s="533"/>
      <c r="V9169" s="533"/>
      <c r="W9169" s="533"/>
      <c r="X9169" s="533"/>
      <c r="Y9169" s="533"/>
    </row>
    <row r="9170" spans="1:25" s="88" customFormat="1" hidden="1" x14ac:dyDescent="0.25">
      <c r="A9170" s="352"/>
      <c r="B9170" s="256"/>
      <c r="C9170" s="316"/>
      <c r="D9170" s="251"/>
      <c r="E9170" s="251"/>
      <c r="F9170" s="249" t="s">
        <v>253</v>
      </c>
      <c r="G9170" s="252" t="s">
        <v>254</v>
      </c>
      <c r="H9170" s="594"/>
      <c r="I9170" s="595"/>
      <c r="J9170" s="599">
        <f t="shared" si="270"/>
        <v>0</v>
      </c>
      <c r="K9170" s="533"/>
      <c r="L9170" s="533"/>
      <c r="M9170" s="533"/>
      <c r="N9170" s="533"/>
      <c r="O9170" s="533"/>
      <c r="P9170" s="533"/>
      <c r="Q9170" s="533"/>
      <c r="R9170" s="533"/>
      <c r="S9170" s="533"/>
      <c r="T9170" s="533"/>
      <c r="U9170" s="533"/>
      <c r="V9170" s="533"/>
      <c r="W9170" s="533"/>
      <c r="X9170" s="533"/>
      <c r="Y9170" s="533"/>
    </row>
    <row r="9171" spans="1:25" s="88" customFormat="1" ht="30" hidden="1" x14ac:dyDescent="0.25">
      <c r="A9171" s="352"/>
      <c r="B9171" s="256"/>
      <c r="C9171" s="316"/>
      <c r="D9171" s="251"/>
      <c r="E9171" s="251"/>
      <c r="F9171" s="249" t="s">
        <v>255</v>
      </c>
      <c r="G9171" s="252" t="s">
        <v>256</v>
      </c>
      <c r="H9171" s="594"/>
      <c r="I9171" s="595"/>
      <c r="J9171" s="599">
        <f t="shared" si="270"/>
        <v>0</v>
      </c>
      <c r="K9171" s="533"/>
      <c r="L9171" s="533"/>
      <c r="M9171" s="533"/>
      <c r="N9171" s="533"/>
      <c r="O9171" s="533"/>
      <c r="P9171" s="533"/>
      <c r="Q9171" s="533"/>
      <c r="R9171" s="533"/>
      <c r="S9171" s="533"/>
      <c r="T9171" s="533"/>
      <c r="U9171" s="533"/>
      <c r="V9171" s="533"/>
      <c r="W9171" s="533"/>
      <c r="X9171" s="533"/>
      <c r="Y9171" s="533"/>
    </row>
    <row r="9172" spans="1:25" s="88" customFormat="1" hidden="1" x14ac:dyDescent="0.25">
      <c r="A9172" s="352"/>
      <c r="B9172" s="256"/>
      <c r="C9172" s="316"/>
      <c r="D9172" s="251"/>
      <c r="E9172" s="251"/>
      <c r="F9172" s="249" t="s">
        <v>257</v>
      </c>
      <c r="G9172" s="252" t="s">
        <v>258</v>
      </c>
      <c r="H9172" s="594"/>
      <c r="I9172" s="595"/>
      <c r="J9172" s="599">
        <f t="shared" si="270"/>
        <v>0</v>
      </c>
      <c r="K9172" s="533"/>
      <c r="L9172" s="533"/>
      <c r="M9172" s="533"/>
      <c r="N9172" s="533"/>
      <c r="O9172" s="533"/>
      <c r="P9172" s="533"/>
      <c r="Q9172" s="533"/>
      <c r="R9172" s="533"/>
      <c r="S9172" s="533"/>
      <c r="T9172" s="533"/>
      <c r="U9172" s="533"/>
      <c r="V9172" s="533"/>
      <c r="W9172" s="533"/>
      <c r="X9172" s="533"/>
      <c r="Y9172" s="533"/>
    </row>
    <row r="9173" spans="1:25" s="88" customFormat="1" ht="30" hidden="1" x14ac:dyDescent="0.25">
      <c r="A9173" s="352"/>
      <c r="B9173" s="256"/>
      <c r="C9173" s="316"/>
      <c r="D9173" s="251"/>
      <c r="E9173" s="251"/>
      <c r="F9173" s="249" t="s">
        <v>259</v>
      </c>
      <c r="G9173" s="252" t="s">
        <v>260</v>
      </c>
      <c r="H9173" s="594"/>
      <c r="I9173" s="595"/>
      <c r="J9173" s="599">
        <f t="shared" si="270"/>
        <v>0</v>
      </c>
      <c r="K9173" s="533"/>
      <c r="L9173" s="533"/>
      <c r="M9173" s="533"/>
      <c r="N9173" s="533"/>
      <c r="O9173" s="533"/>
      <c r="P9173" s="533"/>
      <c r="Q9173" s="533"/>
      <c r="R9173" s="533"/>
      <c r="S9173" s="533"/>
      <c r="T9173" s="533"/>
      <c r="U9173" s="533"/>
      <c r="V9173" s="533"/>
      <c r="W9173" s="533"/>
      <c r="X9173" s="533"/>
      <c r="Y9173" s="533"/>
    </row>
    <row r="9174" spans="1:25" s="88" customFormat="1" hidden="1" x14ac:dyDescent="0.25">
      <c r="A9174" s="352"/>
      <c r="B9174" s="256"/>
      <c r="C9174" s="316"/>
      <c r="D9174" s="251"/>
      <c r="E9174" s="251"/>
      <c r="F9174" s="249" t="s">
        <v>261</v>
      </c>
      <c r="G9174" s="252" t="s">
        <v>262</v>
      </c>
      <c r="H9174" s="594"/>
      <c r="I9174" s="595"/>
      <c r="J9174" s="599">
        <f t="shared" si="270"/>
        <v>0</v>
      </c>
      <c r="K9174" s="533"/>
      <c r="L9174" s="533"/>
      <c r="M9174" s="533"/>
      <c r="N9174" s="533"/>
      <c r="O9174" s="533"/>
      <c r="P9174" s="533"/>
      <c r="Q9174" s="533"/>
      <c r="R9174" s="533"/>
      <c r="S9174" s="533"/>
      <c r="T9174" s="533"/>
      <c r="U9174" s="533"/>
      <c r="V9174" s="533"/>
      <c r="W9174" s="533"/>
      <c r="X9174" s="533"/>
      <c r="Y9174" s="533"/>
    </row>
    <row r="9175" spans="1:25" s="88" customFormat="1" ht="15.75" hidden="1" thickBot="1" x14ac:dyDescent="0.3">
      <c r="A9175" s="352"/>
      <c r="B9175" s="256"/>
      <c r="C9175" s="316"/>
      <c r="D9175" s="251"/>
      <c r="E9175" s="251"/>
      <c r="F9175" s="249" t="s">
        <v>263</v>
      </c>
      <c r="G9175" s="252" t="s">
        <v>264</v>
      </c>
      <c r="H9175" s="598"/>
      <c r="I9175" s="599"/>
      <c r="J9175" s="599">
        <f t="shared" si="270"/>
        <v>0</v>
      </c>
      <c r="K9175" s="533"/>
      <c r="L9175" s="533"/>
      <c r="M9175" s="533"/>
      <c r="N9175" s="533"/>
      <c r="O9175" s="533"/>
      <c r="P9175" s="533"/>
      <c r="Q9175" s="533"/>
      <c r="R9175" s="533"/>
      <c r="S9175" s="533"/>
      <c r="T9175" s="533"/>
      <c r="U9175" s="533"/>
      <c r="V9175" s="533"/>
      <c r="W9175" s="533"/>
      <c r="X9175" s="533"/>
      <c r="Y9175" s="533"/>
    </row>
    <row r="9176" spans="1:25" s="88" customFormat="1" ht="15.75" hidden="1" thickBot="1" x14ac:dyDescent="0.3">
      <c r="A9176" s="352"/>
      <c r="B9176" s="256"/>
      <c r="C9176" s="316"/>
      <c r="D9176" s="251"/>
      <c r="E9176" s="251"/>
      <c r="F9176" s="218"/>
      <c r="G9176" s="229" t="s">
        <v>4458</v>
      </c>
      <c r="H9176" s="600">
        <f>SUM(H9160:H9175)</f>
        <v>0</v>
      </c>
      <c r="I9176" s="601">
        <f>SUM(I9161:I9175)</f>
        <v>0</v>
      </c>
      <c r="J9176" s="601">
        <f>SUM(J9160:J9175)</f>
        <v>0</v>
      </c>
      <c r="K9176" s="533"/>
      <c r="L9176" s="533"/>
      <c r="M9176" s="533"/>
      <c r="N9176" s="533"/>
      <c r="O9176" s="533"/>
      <c r="P9176" s="533"/>
      <c r="Q9176" s="533"/>
      <c r="R9176" s="533"/>
      <c r="S9176" s="533"/>
      <c r="T9176" s="533"/>
      <c r="U9176" s="533"/>
      <c r="V9176" s="533"/>
      <c r="W9176" s="533"/>
      <c r="X9176" s="533"/>
      <c r="Y9176" s="533"/>
    </row>
    <row r="9177" spans="1:25" s="88" customFormat="1" hidden="1" x14ac:dyDescent="0.25">
      <c r="A9177" s="509"/>
      <c r="B9177" s="256"/>
      <c r="C9177" s="316"/>
      <c r="D9177" s="251"/>
      <c r="E9177" s="251"/>
      <c r="F9177" s="218"/>
      <c r="G9177" s="286"/>
      <c r="H9177" s="604"/>
      <c r="I9177" s="605"/>
      <c r="J9177" s="605"/>
      <c r="K9177" s="533"/>
      <c r="L9177" s="533"/>
      <c r="M9177" s="533"/>
      <c r="N9177" s="533"/>
      <c r="O9177" s="533"/>
      <c r="P9177" s="533"/>
      <c r="Q9177" s="533"/>
      <c r="R9177" s="533"/>
      <c r="S9177" s="533"/>
      <c r="T9177" s="533"/>
      <c r="U9177" s="533"/>
      <c r="V9177" s="533"/>
      <c r="W9177" s="533"/>
      <c r="X9177" s="533"/>
      <c r="Y9177" s="533"/>
    </row>
    <row r="9179" spans="1:25" x14ac:dyDescent="0.25">
      <c r="A9179" s="363"/>
      <c r="B9179" s="372">
        <v>9</v>
      </c>
      <c r="C9179" s="892">
        <v>70151</v>
      </c>
      <c r="D9179" s="364"/>
      <c r="E9179" s="367"/>
      <c r="F9179" s="367"/>
      <c r="G9179" s="368" t="s">
        <v>5188</v>
      </c>
      <c r="H9179" s="625"/>
      <c r="I9179" s="631"/>
      <c r="J9179" s="617"/>
      <c r="K9179" s="533"/>
    </row>
    <row r="9180" spans="1:25" s="88" customFormat="1" x14ac:dyDescent="0.25">
      <c r="A9180" s="365"/>
      <c r="B9180" s="256"/>
      <c r="C9180" s="265" t="s">
        <v>3569</v>
      </c>
      <c r="D9180" s="218"/>
      <c r="E9180" s="218"/>
      <c r="F9180" s="218"/>
      <c r="G9180" s="306" t="s">
        <v>5190</v>
      </c>
      <c r="H9180" s="627"/>
      <c r="I9180" s="610"/>
      <c r="J9180" s="628"/>
      <c r="K9180" s="533"/>
      <c r="L9180" s="533"/>
      <c r="M9180" s="533"/>
      <c r="N9180" s="533"/>
      <c r="O9180" s="533"/>
      <c r="P9180" s="533"/>
      <c r="Q9180" s="533"/>
      <c r="R9180" s="533"/>
      <c r="S9180" s="533"/>
      <c r="T9180" s="533"/>
      <c r="U9180" s="533"/>
      <c r="V9180" s="533"/>
      <c r="W9180" s="533"/>
      <c r="X9180" s="533"/>
      <c r="Y9180" s="533"/>
    </row>
    <row r="9181" spans="1:25" s="88" customFormat="1" hidden="1" x14ac:dyDescent="0.25">
      <c r="A9181" s="365"/>
      <c r="B9181" s="256"/>
      <c r="C9181" s="276" t="s">
        <v>4072</v>
      </c>
      <c r="D9181" s="219"/>
      <c r="E9181" s="219"/>
      <c r="F9181" s="277"/>
      <c r="G9181" s="307" t="s">
        <v>4074</v>
      </c>
      <c r="H9181" s="627"/>
      <c r="I9181" s="610"/>
      <c r="J9181" s="628"/>
      <c r="K9181" s="533"/>
      <c r="L9181" s="533"/>
      <c r="M9181" s="533"/>
      <c r="N9181" s="533"/>
      <c r="O9181" s="533"/>
      <c r="P9181" s="533"/>
      <c r="Q9181" s="533"/>
      <c r="R9181" s="533"/>
      <c r="S9181" s="533"/>
      <c r="T9181" s="533"/>
      <c r="U9181" s="533"/>
      <c r="V9181" s="533"/>
      <c r="W9181" s="533"/>
      <c r="X9181" s="533"/>
      <c r="Y9181" s="533"/>
    </row>
    <row r="9182" spans="1:25" hidden="1" x14ac:dyDescent="0.25">
      <c r="C9182" s="228"/>
      <c r="D9182" s="312">
        <v>620</v>
      </c>
      <c r="E9182" s="312"/>
      <c r="F9182" s="312"/>
      <c r="G9182" s="313" t="s">
        <v>182</v>
      </c>
    </row>
    <row r="9183" spans="1:25" hidden="1" x14ac:dyDescent="0.25">
      <c r="F9183" s="370">
        <v>411</v>
      </c>
      <c r="G9183" s="362" t="s">
        <v>4189</v>
      </c>
      <c r="J9183" s="595">
        <f>SUM(H9183:I9183)</f>
        <v>0</v>
      </c>
    </row>
    <row r="9184" spans="1:25" hidden="1" x14ac:dyDescent="0.25">
      <c r="F9184" s="370">
        <v>412</v>
      </c>
      <c r="G9184" s="360" t="s">
        <v>3784</v>
      </c>
      <c r="J9184" s="595">
        <f t="shared" ref="J9184:J9242" si="271">SUM(H9184:I9184)</f>
        <v>0</v>
      </c>
    </row>
    <row r="9185" spans="6:10" hidden="1" x14ac:dyDescent="0.25">
      <c r="F9185" s="370">
        <v>413</v>
      </c>
      <c r="G9185" s="362" t="s">
        <v>4190</v>
      </c>
      <c r="J9185" s="595">
        <f t="shared" si="271"/>
        <v>0</v>
      </c>
    </row>
    <row r="9186" spans="6:10" hidden="1" x14ac:dyDescent="0.25">
      <c r="F9186" s="370">
        <v>414</v>
      </c>
      <c r="G9186" s="362" t="s">
        <v>3787</v>
      </c>
      <c r="J9186" s="595">
        <f t="shared" si="271"/>
        <v>0</v>
      </c>
    </row>
    <row r="9187" spans="6:10" hidden="1" x14ac:dyDescent="0.25">
      <c r="F9187" s="370">
        <v>415</v>
      </c>
      <c r="G9187" s="362" t="s">
        <v>4199</v>
      </c>
      <c r="J9187" s="595">
        <f t="shared" si="271"/>
        <v>0</v>
      </c>
    </row>
    <row r="9188" spans="6:10" hidden="1" x14ac:dyDescent="0.25">
      <c r="F9188" s="370">
        <v>416</v>
      </c>
      <c r="G9188" s="362" t="s">
        <v>4200</v>
      </c>
      <c r="J9188" s="595">
        <f t="shared" si="271"/>
        <v>0</v>
      </c>
    </row>
    <row r="9189" spans="6:10" hidden="1" x14ac:dyDescent="0.25">
      <c r="F9189" s="370">
        <v>417</v>
      </c>
      <c r="G9189" s="362" t="s">
        <v>4201</v>
      </c>
      <c r="J9189" s="595">
        <f t="shared" si="271"/>
        <v>0</v>
      </c>
    </row>
    <row r="9190" spans="6:10" hidden="1" x14ac:dyDescent="0.25">
      <c r="F9190" s="370">
        <v>418</v>
      </c>
      <c r="G9190" s="362" t="s">
        <v>3793</v>
      </c>
      <c r="J9190" s="595">
        <f t="shared" si="271"/>
        <v>0</v>
      </c>
    </row>
    <row r="9191" spans="6:10" hidden="1" x14ac:dyDescent="0.25">
      <c r="F9191" s="370">
        <v>421</v>
      </c>
      <c r="G9191" s="362" t="s">
        <v>3797</v>
      </c>
      <c r="J9191" s="595">
        <f t="shared" si="271"/>
        <v>0</v>
      </c>
    </row>
    <row r="9192" spans="6:10" hidden="1" x14ac:dyDescent="0.25">
      <c r="F9192" s="370">
        <v>422</v>
      </c>
      <c r="G9192" s="362" t="s">
        <v>3798</v>
      </c>
      <c r="J9192" s="595">
        <f t="shared" si="271"/>
        <v>0</v>
      </c>
    </row>
    <row r="9193" spans="6:10" hidden="1" x14ac:dyDescent="0.25">
      <c r="F9193" s="370">
        <v>423</v>
      </c>
      <c r="G9193" s="362" t="s">
        <v>3799</v>
      </c>
      <c r="J9193" s="595">
        <f t="shared" si="271"/>
        <v>0</v>
      </c>
    </row>
    <row r="9194" spans="6:10" hidden="1" x14ac:dyDescent="0.25">
      <c r="F9194" s="370">
        <v>424</v>
      </c>
      <c r="G9194" s="362" t="s">
        <v>3801</v>
      </c>
      <c r="J9194" s="595">
        <f t="shared" si="271"/>
        <v>0</v>
      </c>
    </row>
    <row r="9195" spans="6:10" hidden="1" x14ac:dyDescent="0.25">
      <c r="F9195" s="370">
        <v>425</v>
      </c>
      <c r="G9195" s="362" t="s">
        <v>4202</v>
      </c>
      <c r="J9195" s="595">
        <f t="shared" si="271"/>
        <v>0</v>
      </c>
    </row>
    <row r="9196" spans="6:10" hidden="1" x14ac:dyDescent="0.25">
      <c r="F9196" s="370">
        <v>426</v>
      </c>
      <c r="G9196" s="362" t="s">
        <v>3805</v>
      </c>
      <c r="J9196" s="595">
        <f t="shared" si="271"/>
        <v>0</v>
      </c>
    </row>
    <row r="9197" spans="6:10" hidden="1" x14ac:dyDescent="0.25">
      <c r="F9197" s="370">
        <v>431</v>
      </c>
      <c r="G9197" s="362" t="s">
        <v>4203</v>
      </c>
      <c r="J9197" s="595">
        <f t="shared" si="271"/>
        <v>0</v>
      </c>
    </row>
    <row r="9198" spans="6:10" hidden="1" x14ac:dyDescent="0.25">
      <c r="F9198" s="370">
        <v>432</v>
      </c>
      <c r="G9198" s="362" t="s">
        <v>4204</v>
      </c>
      <c r="J9198" s="595">
        <f t="shared" si="271"/>
        <v>0</v>
      </c>
    </row>
    <row r="9199" spans="6:10" hidden="1" x14ac:dyDescent="0.25">
      <c r="F9199" s="370">
        <v>433</v>
      </c>
      <c r="G9199" s="362" t="s">
        <v>4205</v>
      </c>
      <c r="J9199" s="595">
        <f t="shared" si="271"/>
        <v>0</v>
      </c>
    </row>
    <row r="9200" spans="6:10" hidden="1" x14ac:dyDescent="0.25">
      <c r="F9200" s="370">
        <v>434</v>
      </c>
      <c r="G9200" s="362" t="s">
        <v>4206</v>
      </c>
      <c r="J9200" s="595">
        <f t="shared" si="271"/>
        <v>0</v>
      </c>
    </row>
    <row r="9201" spans="6:10" hidden="1" x14ac:dyDescent="0.25">
      <c r="F9201" s="370">
        <v>435</v>
      </c>
      <c r="G9201" s="362" t="s">
        <v>3812</v>
      </c>
      <c r="J9201" s="595">
        <f t="shared" si="271"/>
        <v>0</v>
      </c>
    </row>
    <row r="9202" spans="6:10" hidden="1" x14ac:dyDescent="0.25">
      <c r="F9202" s="370">
        <v>441</v>
      </c>
      <c r="G9202" s="362" t="s">
        <v>4207</v>
      </c>
      <c r="J9202" s="595">
        <f t="shared" si="271"/>
        <v>0</v>
      </c>
    </row>
    <row r="9203" spans="6:10" hidden="1" x14ac:dyDescent="0.25">
      <c r="F9203" s="370">
        <v>442</v>
      </c>
      <c r="G9203" s="362" t="s">
        <v>4208</v>
      </c>
      <c r="J9203" s="595">
        <f t="shared" si="271"/>
        <v>0</v>
      </c>
    </row>
    <row r="9204" spans="6:10" hidden="1" x14ac:dyDescent="0.25">
      <c r="F9204" s="370">
        <v>443</v>
      </c>
      <c r="G9204" s="362" t="s">
        <v>3817</v>
      </c>
      <c r="J9204" s="595">
        <f t="shared" si="271"/>
        <v>0</v>
      </c>
    </row>
    <row r="9205" spans="6:10" hidden="1" x14ac:dyDescent="0.25">
      <c r="F9205" s="370">
        <v>444</v>
      </c>
      <c r="G9205" s="362" t="s">
        <v>3818</v>
      </c>
      <c r="J9205" s="595">
        <f t="shared" si="271"/>
        <v>0</v>
      </c>
    </row>
    <row r="9206" spans="6:10" ht="30" hidden="1" x14ac:dyDescent="0.25">
      <c r="F9206" s="370">
        <v>4511</v>
      </c>
      <c r="G9206" s="223" t="s">
        <v>1692</v>
      </c>
      <c r="J9206" s="595">
        <f t="shared" si="271"/>
        <v>0</v>
      </c>
    </row>
    <row r="9207" spans="6:10" ht="19.5" hidden="1" customHeight="1" x14ac:dyDescent="0.25">
      <c r="F9207" s="370">
        <v>4512</v>
      </c>
      <c r="G9207" s="223" t="s">
        <v>1701</v>
      </c>
      <c r="J9207" s="595">
        <f t="shared" si="271"/>
        <v>0</v>
      </c>
    </row>
    <row r="9208" spans="6:10" hidden="1" x14ac:dyDescent="0.25">
      <c r="F9208" s="370">
        <v>452</v>
      </c>
      <c r="G9208" s="362" t="s">
        <v>4209</v>
      </c>
      <c r="J9208" s="595">
        <f t="shared" si="271"/>
        <v>0</v>
      </c>
    </row>
    <row r="9209" spans="6:10" hidden="1" x14ac:dyDescent="0.25">
      <c r="F9209" s="370">
        <v>453</v>
      </c>
      <c r="G9209" s="362" t="s">
        <v>4210</v>
      </c>
      <c r="J9209" s="595">
        <f t="shared" si="271"/>
        <v>0</v>
      </c>
    </row>
    <row r="9210" spans="6:10" hidden="1" x14ac:dyDescent="0.25">
      <c r="F9210" s="370">
        <v>454</v>
      </c>
      <c r="G9210" s="362" t="s">
        <v>3823</v>
      </c>
      <c r="J9210" s="595">
        <f t="shared" si="271"/>
        <v>0</v>
      </c>
    </row>
    <row r="9211" spans="6:10" hidden="1" x14ac:dyDescent="0.25">
      <c r="F9211" s="370">
        <v>461</v>
      </c>
      <c r="G9211" s="362" t="s">
        <v>4191</v>
      </c>
      <c r="J9211" s="595">
        <f t="shared" si="271"/>
        <v>0</v>
      </c>
    </row>
    <row r="9212" spans="6:10" hidden="1" x14ac:dyDescent="0.25">
      <c r="F9212" s="370">
        <v>462</v>
      </c>
      <c r="G9212" s="362" t="s">
        <v>3826</v>
      </c>
      <c r="J9212" s="595">
        <f t="shared" si="271"/>
        <v>0</v>
      </c>
    </row>
    <row r="9213" spans="6:10" hidden="1" x14ac:dyDescent="0.25">
      <c r="F9213" s="370">
        <v>4631</v>
      </c>
      <c r="G9213" s="362" t="s">
        <v>3827</v>
      </c>
      <c r="J9213" s="595">
        <f t="shared" si="271"/>
        <v>0</v>
      </c>
    </row>
    <row r="9214" spans="6:10" hidden="1" x14ac:dyDescent="0.25">
      <c r="F9214" s="370">
        <v>4632</v>
      </c>
      <c r="G9214" s="362" t="s">
        <v>3828</v>
      </c>
      <c r="J9214" s="595">
        <f t="shared" si="271"/>
        <v>0</v>
      </c>
    </row>
    <row r="9215" spans="6:10" hidden="1" x14ac:dyDescent="0.25">
      <c r="F9215" s="370">
        <v>464</v>
      </c>
      <c r="G9215" s="362" t="s">
        <v>3829</v>
      </c>
      <c r="J9215" s="595">
        <f t="shared" si="271"/>
        <v>0</v>
      </c>
    </row>
    <row r="9216" spans="6:10" hidden="1" x14ac:dyDescent="0.25">
      <c r="F9216" s="370">
        <v>465</v>
      </c>
      <c r="G9216" s="362" t="s">
        <v>4192</v>
      </c>
      <c r="J9216" s="595">
        <f t="shared" si="271"/>
        <v>0</v>
      </c>
    </row>
    <row r="9217" spans="6:10" hidden="1" x14ac:dyDescent="0.25">
      <c r="F9217" s="370">
        <v>472</v>
      </c>
      <c r="G9217" s="362" t="s">
        <v>3833</v>
      </c>
      <c r="J9217" s="595">
        <f t="shared" si="271"/>
        <v>0</v>
      </c>
    </row>
    <row r="9218" spans="6:10" hidden="1" x14ac:dyDescent="0.25">
      <c r="F9218" s="370">
        <v>481</v>
      </c>
      <c r="G9218" s="362" t="s">
        <v>4211</v>
      </c>
      <c r="J9218" s="595">
        <f t="shared" si="271"/>
        <v>0</v>
      </c>
    </row>
    <row r="9219" spans="6:10" hidden="1" x14ac:dyDescent="0.25">
      <c r="F9219" s="370">
        <v>482</v>
      </c>
      <c r="G9219" s="362" t="s">
        <v>4212</v>
      </c>
      <c r="J9219" s="595">
        <f t="shared" si="271"/>
        <v>0</v>
      </c>
    </row>
    <row r="9220" spans="6:10" hidden="1" x14ac:dyDescent="0.25">
      <c r="F9220" s="370">
        <v>483</v>
      </c>
      <c r="G9220" s="366" t="s">
        <v>4213</v>
      </c>
      <c r="J9220" s="595">
        <f t="shared" si="271"/>
        <v>0</v>
      </c>
    </row>
    <row r="9221" spans="6:10" ht="30" hidden="1" x14ac:dyDescent="0.25">
      <c r="F9221" s="370">
        <v>484</v>
      </c>
      <c r="G9221" s="362" t="s">
        <v>4214</v>
      </c>
      <c r="J9221" s="595">
        <f t="shared" si="271"/>
        <v>0</v>
      </c>
    </row>
    <row r="9222" spans="6:10" ht="30" hidden="1" x14ac:dyDescent="0.25">
      <c r="F9222" s="370">
        <v>485</v>
      </c>
      <c r="G9222" s="362" t="s">
        <v>4215</v>
      </c>
      <c r="J9222" s="595">
        <f t="shared" si="271"/>
        <v>0</v>
      </c>
    </row>
    <row r="9223" spans="6:10" ht="30" hidden="1" x14ac:dyDescent="0.25">
      <c r="F9223" s="370">
        <v>489</v>
      </c>
      <c r="G9223" s="362" t="s">
        <v>3841</v>
      </c>
      <c r="J9223" s="595">
        <f t="shared" si="271"/>
        <v>0</v>
      </c>
    </row>
    <row r="9224" spans="6:10" hidden="1" x14ac:dyDescent="0.25">
      <c r="F9224" s="370">
        <v>494</v>
      </c>
      <c r="G9224" s="362" t="s">
        <v>4193</v>
      </c>
      <c r="J9224" s="595">
        <f t="shared" si="271"/>
        <v>0</v>
      </c>
    </row>
    <row r="9225" spans="6:10" ht="30" hidden="1" x14ac:dyDescent="0.25">
      <c r="F9225" s="370">
        <v>495</v>
      </c>
      <c r="G9225" s="362" t="s">
        <v>4194</v>
      </c>
      <c r="J9225" s="595">
        <f t="shared" si="271"/>
        <v>0</v>
      </c>
    </row>
    <row r="9226" spans="6:10" ht="30" hidden="1" x14ac:dyDescent="0.25">
      <c r="F9226" s="370">
        <v>496</v>
      </c>
      <c r="G9226" s="362" t="s">
        <v>4195</v>
      </c>
      <c r="J9226" s="595">
        <f t="shared" si="271"/>
        <v>0</v>
      </c>
    </row>
    <row r="9227" spans="6:10" hidden="1" x14ac:dyDescent="0.25">
      <c r="F9227" s="370">
        <v>499</v>
      </c>
      <c r="G9227" s="362" t="s">
        <v>4196</v>
      </c>
      <c r="J9227" s="595">
        <f t="shared" si="271"/>
        <v>0</v>
      </c>
    </row>
    <row r="9228" spans="6:10" hidden="1" x14ac:dyDescent="0.25">
      <c r="F9228" s="370">
        <v>511</v>
      </c>
      <c r="G9228" s="366" t="s">
        <v>4216</v>
      </c>
      <c r="J9228" s="595">
        <f t="shared" si="271"/>
        <v>0</v>
      </c>
    </row>
    <row r="9229" spans="6:10" hidden="1" x14ac:dyDescent="0.25">
      <c r="F9229" s="370">
        <v>512</v>
      </c>
      <c r="G9229" s="366" t="s">
        <v>4217</v>
      </c>
      <c r="J9229" s="595">
        <f t="shared" si="271"/>
        <v>0</v>
      </c>
    </row>
    <row r="9230" spans="6:10" hidden="1" x14ac:dyDescent="0.25">
      <c r="F9230" s="370">
        <v>513</v>
      </c>
      <c r="G9230" s="366" t="s">
        <v>4218</v>
      </c>
      <c r="J9230" s="595">
        <f t="shared" si="271"/>
        <v>0</v>
      </c>
    </row>
    <row r="9231" spans="6:10" hidden="1" x14ac:dyDescent="0.25">
      <c r="F9231" s="370">
        <v>514</v>
      </c>
      <c r="G9231" s="362" t="s">
        <v>4219</v>
      </c>
      <c r="J9231" s="595">
        <f t="shared" si="271"/>
        <v>0</v>
      </c>
    </row>
    <row r="9232" spans="6:10" ht="15.75" hidden="1" thickBot="1" x14ac:dyDescent="0.3">
      <c r="F9232" s="370">
        <v>515</v>
      </c>
      <c r="G9232" s="362" t="s">
        <v>3852</v>
      </c>
      <c r="J9232" s="595">
        <f t="shared" si="271"/>
        <v>0</v>
      </c>
    </row>
    <row r="9233" spans="5:10" hidden="1" x14ac:dyDescent="0.25">
      <c r="F9233" s="370">
        <v>521</v>
      </c>
      <c r="G9233" s="362" t="s">
        <v>4220</v>
      </c>
      <c r="J9233" s="595">
        <f t="shared" si="271"/>
        <v>0</v>
      </c>
    </row>
    <row r="9234" spans="5:10" hidden="1" x14ac:dyDescent="0.25">
      <c r="F9234" s="370">
        <v>522</v>
      </c>
      <c r="G9234" s="362" t="s">
        <v>4221</v>
      </c>
      <c r="J9234" s="595">
        <f t="shared" si="271"/>
        <v>0</v>
      </c>
    </row>
    <row r="9235" spans="5:10" hidden="1" x14ac:dyDescent="0.25">
      <c r="F9235" s="370">
        <v>523</v>
      </c>
      <c r="G9235" s="362" t="s">
        <v>3857</v>
      </c>
      <c r="J9235" s="595">
        <f t="shared" si="271"/>
        <v>0</v>
      </c>
    </row>
    <row r="9236" spans="5:10" hidden="1" x14ac:dyDescent="0.25">
      <c r="F9236" s="370">
        <v>531</v>
      </c>
      <c r="G9236" s="360" t="s">
        <v>4197</v>
      </c>
      <c r="J9236" s="595">
        <f t="shared" si="271"/>
        <v>0</v>
      </c>
    </row>
    <row r="9237" spans="5:10" hidden="1" x14ac:dyDescent="0.25">
      <c r="F9237" s="370">
        <v>541</v>
      </c>
      <c r="G9237" s="362" t="s">
        <v>4222</v>
      </c>
      <c r="J9237" s="595">
        <f t="shared" si="271"/>
        <v>0</v>
      </c>
    </row>
    <row r="9238" spans="5:10" hidden="1" x14ac:dyDescent="0.25">
      <c r="F9238" s="370">
        <v>542</v>
      </c>
      <c r="G9238" s="362" t="s">
        <v>4223</v>
      </c>
      <c r="J9238" s="595">
        <f t="shared" si="271"/>
        <v>0</v>
      </c>
    </row>
    <row r="9239" spans="5:10" hidden="1" x14ac:dyDescent="0.25">
      <c r="F9239" s="370">
        <v>543</v>
      </c>
      <c r="G9239" s="362" t="s">
        <v>3862</v>
      </c>
      <c r="J9239" s="595">
        <f t="shared" si="271"/>
        <v>0</v>
      </c>
    </row>
    <row r="9240" spans="5:10" ht="30" hidden="1" x14ac:dyDescent="0.25">
      <c r="F9240" s="370">
        <v>551</v>
      </c>
      <c r="G9240" s="362" t="s">
        <v>4198</v>
      </c>
      <c r="J9240" s="595">
        <f t="shared" si="271"/>
        <v>0</v>
      </c>
    </row>
    <row r="9241" spans="5:10" ht="15.75" hidden="1" thickBot="1" x14ac:dyDescent="0.3">
      <c r="F9241" s="371">
        <v>611</v>
      </c>
      <c r="G9241" s="369" t="s">
        <v>3868</v>
      </c>
      <c r="J9241" s="595">
        <f t="shared" si="271"/>
        <v>0</v>
      </c>
    </row>
    <row r="9242" spans="5:10" ht="15.75" hidden="1" thickBot="1" x14ac:dyDescent="0.3">
      <c r="F9242" s="371">
        <v>620</v>
      </c>
      <c r="G9242" s="369" t="s">
        <v>88</v>
      </c>
      <c r="J9242" s="595">
        <f t="shared" si="271"/>
        <v>0</v>
      </c>
    </row>
    <row r="9243" spans="5:10" hidden="1" x14ac:dyDescent="0.25">
      <c r="E9243" s="361"/>
      <c r="F9243" s="371"/>
      <c r="G9243" s="327" t="s">
        <v>4368</v>
      </c>
      <c r="H9243" s="596"/>
      <c r="I9243" s="622"/>
      <c r="J9243" s="597"/>
    </row>
    <row r="9244" spans="5:10" ht="15.75" hidden="1" thickBot="1" x14ac:dyDescent="0.3">
      <c r="E9244" s="222"/>
      <c r="F9244" s="249" t="s">
        <v>234</v>
      </c>
      <c r="G9244" s="252" t="s">
        <v>235</v>
      </c>
      <c r="H9244" s="598">
        <f>SUM(H9183:H9242)</f>
        <v>0</v>
      </c>
      <c r="I9244" s="599"/>
      <c r="J9244" s="599">
        <f t="shared" ref="J9244:J9259" si="272">SUM(H9244:I9244)</f>
        <v>0</v>
      </c>
    </row>
    <row r="9245" spans="5:10" hidden="1" x14ac:dyDescent="0.25">
      <c r="F9245" s="249" t="s">
        <v>236</v>
      </c>
      <c r="G9245" s="252" t="s">
        <v>237</v>
      </c>
      <c r="J9245" s="599">
        <f t="shared" si="272"/>
        <v>0</v>
      </c>
    </row>
    <row r="9246" spans="5:10" hidden="1" x14ac:dyDescent="0.25">
      <c r="F9246" s="249" t="s">
        <v>238</v>
      </c>
      <c r="G9246" s="252" t="s">
        <v>239</v>
      </c>
      <c r="J9246" s="599">
        <f t="shared" si="272"/>
        <v>0</v>
      </c>
    </row>
    <row r="9247" spans="5:10" hidden="1" x14ac:dyDescent="0.25">
      <c r="F9247" s="249" t="s">
        <v>240</v>
      </c>
      <c r="G9247" s="252" t="s">
        <v>241</v>
      </c>
      <c r="J9247" s="599">
        <f t="shared" si="272"/>
        <v>0</v>
      </c>
    </row>
    <row r="9248" spans="5:10" hidden="1" x14ac:dyDescent="0.25">
      <c r="F9248" s="249" t="s">
        <v>242</v>
      </c>
      <c r="G9248" s="252" t="s">
        <v>243</v>
      </c>
      <c r="J9248" s="599">
        <f t="shared" si="272"/>
        <v>0</v>
      </c>
    </row>
    <row r="9249" spans="5:10" hidden="1" x14ac:dyDescent="0.25">
      <c r="F9249" s="249" t="s">
        <v>244</v>
      </c>
      <c r="G9249" s="252" t="s">
        <v>245</v>
      </c>
      <c r="J9249" s="599">
        <f t="shared" si="272"/>
        <v>0</v>
      </c>
    </row>
    <row r="9250" spans="5:10" hidden="1" x14ac:dyDescent="0.25">
      <c r="F9250" s="249" t="s">
        <v>246</v>
      </c>
      <c r="G9250" s="252" t="s">
        <v>247</v>
      </c>
      <c r="J9250" s="599">
        <f t="shared" si="272"/>
        <v>0</v>
      </c>
    </row>
    <row r="9251" spans="5:10" hidden="1" x14ac:dyDescent="0.25">
      <c r="F9251" s="249" t="s">
        <v>248</v>
      </c>
      <c r="G9251" s="252" t="s">
        <v>249</v>
      </c>
      <c r="J9251" s="599">
        <f t="shared" si="272"/>
        <v>0</v>
      </c>
    </row>
    <row r="9252" spans="5:10" hidden="1" x14ac:dyDescent="0.25">
      <c r="F9252" s="249" t="s">
        <v>250</v>
      </c>
      <c r="G9252" s="252" t="s">
        <v>57</v>
      </c>
      <c r="J9252" s="599">
        <f t="shared" si="272"/>
        <v>0</v>
      </c>
    </row>
    <row r="9253" spans="5:10" hidden="1" x14ac:dyDescent="0.25">
      <c r="F9253" s="249" t="s">
        <v>251</v>
      </c>
      <c r="G9253" s="252" t="s">
        <v>252</v>
      </c>
      <c r="J9253" s="599">
        <f t="shared" si="272"/>
        <v>0</v>
      </c>
    </row>
    <row r="9254" spans="5:10" hidden="1" x14ac:dyDescent="0.25">
      <c r="F9254" s="249" t="s">
        <v>253</v>
      </c>
      <c r="G9254" s="252" t="s">
        <v>254</v>
      </c>
      <c r="J9254" s="599">
        <f t="shared" si="272"/>
        <v>0</v>
      </c>
    </row>
    <row r="9255" spans="5:10" ht="30" hidden="1" x14ac:dyDescent="0.25">
      <c r="F9255" s="249" t="s">
        <v>255</v>
      </c>
      <c r="G9255" s="252" t="s">
        <v>256</v>
      </c>
      <c r="J9255" s="599">
        <f t="shared" si="272"/>
        <v>0</v>
      </c>
    </row>
    <row r="9256" spans="5:10" hidden="1" x14ac:dyDescent="0.25">
      <c r="F9256" s="249" t="s">
        <v>257</v>
      </c>
      <c r="G9256" s="252" t="s">
        <v>258</v>
      </c>
      <c r="J9256" s="599">
        <f t="shared" si="272"/>
        <v>0</v>
      </c>
    </row>
    <row r="9257" spans="5:10" ht="30" hidden="1" x14ac:dyDescent="0.25">
      <c r="F9257" s="249" t="s">
        <v>259</v>
      </c>
      <c r="G9257" s="252" t="s">
        <v>260</v>
      </c>
      <c r="J9257" s="599">
        <f t="shared" si="272"/>
        <v>0</v>
      </c>
    </row>
    <row r="9258" spans="5:10" hidden="1" x14ac:dyDescent="0.25">
      <c r="F9258" s="249" t="s">
        <v>261</v>
      </c>
      <c r="G9258" s="252" t="s">
        <v>262</v>
      </c>
      <c r="J9258" s="599">
        <f t="shared" si="272"/>
        <v>0</v>
      </c>
    </row>
    <row r="9259" spans="5:10" ht="15.75" hidden="1" thickBot="1" x14ac:dyDescent="0.3">
      <c r="F9259" s="249" t="s">
        <v>263</v>
      </c>
      <c r="G9259" s="252" t="s">
        <v>264</v>
      </c>
      <c r="H9259" s="598"/>
      <c r="I9259" s="599"/>
      <c r="J9259" s="599">
        <f t="shared" si="272"/>
        <v>0</v>
      </c>
    </row>
    <row r="9260" spans="5:10" ht="15.75" hidden="1" thickBot="1" x14ac:dyDescent="0.3">
      <c r="G9260" s="229" t="s">
        <v>4369</v>
      </c>
      <c r="H9260" s="600">
        <f>SUM(H9244:H9259)</f>
        <v>0</v>
      </c>
      <c r="I9260" s="601">
        <f>SUM(I9245:I9259)</f>
        <v>0</v>
      </c>
      <c r="J9260" s="601">
        <f>SUM(J9244:J9259)</f>
        <v>0</v>
      </c>
    </row>
    <row r="9261" spans="5:10" ht="28.5" hidden="1" collapsed="1" x14ac:dyDescent="0.25">
      <c r="E9261" s="361"/>
      <c r="F9261" s="371"/>
      <c r="G9261" s="231" t="s">
        <v>4370</v>
      </c>
      <c r="H9261" s="602"/>
      <c r="I9261" s="623"/>
      <c r="J9261" s="603"/>
    </row>
    <row r="9262" spans="5:10" ht="15.75" hidden="1" thickBot="1" x14ac:dyDescent="0.3">
      <c r="E9262" s="222"/>
      <c r="F9262" s="249" t="s">
        <v>234</v>
      </c>
      <c r="G9262" s="252" t="s">
        <v>235</v>
      </c>
      <c r="H9262" s="598">
        <f>SUM(H9183:H9242)</f>
        <v>0</v>
      </c>
      <c r="I9262" s="599"/>
      <c r="J9262" s="599">
        <f>SUM(H9262:I9262)</f>
        <v>0</v>
      </c>
    </row>
    <row r="9263" spans="5:10" hidden="1" x14ac:dyDescent="0.25">
      <c r="F9263" s="249" t="s">
        <v>236</v>
      </c>
      <c r="G9263" s="252" t="s">
        <v>237</v>
      </c>
      <c r="J9263" s="599">
        <f t="shared" ref="J9263:J9277" si="273">SUM(H9263:I9263)</f>
        <v>0</v>
      </c>
    </row>
    <row r="9264" spans="5:10" hidden="1" x14ac:dyDescent="0.25">
      <c r="F9264" s="249" t="s">
        <v>238</v>
      </c>
      <c r="G9264" s="252" t="s">
        <v>239</v>
      </c>
      <c r="J9264" s="599">
        <f t="shared" si="273"/>
        <v>0</v>
      </c>
    </row>
    <row r="9265" spans="1:25" hidden="1" x14ac:dyDescent="0.25">
      <c r="F9265" s="249" t="s">
        <v>240</v>
      </c>
      <c r="G9265" s="252" t="s">
        <v>241</v>
      </c>
      <c r="J9265" s="599">
        <f t="shared" si="273"/>
        <v>0</v>
      </c>
    </row>
    <row r="9266" spans="1:25" hidden="1" x14ac:dyDescent="0.25">
      <c r="F9266" s="249" t="s">
        <v>242</v>
      </c>
      <c r="G9266" s="252" t="s">
        <v>243</v>
      </c>
      <c r="J9266" s="599">
        <f t="shared" si="273"/>
        <v>0</v>
      </c>
    </row>
    <row r="9267" spans="1:25" hidden="1" x14ac:dyDescent="0.25">
      <c r="F9267" s="249" t="s">
        <v>244</v>
      </c>
      <c r="G9267" s="252" t="s">
        <v>245</v>
      </c>
      <c r="J9267" s="599">
        <f t="shared" si="273"/>
        <v>0</v>
      </c>
    </row>
    <row r="9268" spans="1:25" hidden="1" x14ac:dyDescent="0.25">
      <c r="F9268" s="249" t="s">
        <v>246</v>
      </c>
      <c r="G9268" s="252" t="s">
        <v>247</v>
      </c>
      <c r="J9268" s="599">
        <f t="shared" si="273"/>
        <v>0</v>
      </c>
    </row>
    <row r="9269" spans="1:25" hidden="1" x14ac:dyDescent="0.25">
      <c r="F9269" s="249" t="s">
        <v>248</v>
      </c>
      <c r="G9269" s="252" t="s">
        <v>249</v>
      </c>
      <c r="J9269" s="599">
        <f t="shared" si="273"/>
        <v>0</v>
      </c>
    </row>
    <row r="9270" spans="1:25" hidden="1" x14ac:dyDescent="0.25">
      <c r="F9270" s="249" t="s">
        <v>250</v>
      </c>
      <c r="G9270" s="252" t="s">
        <v>57</v>
      </c>
      <c r="J9270" s="599">
        <f t="shared" si="273"/>
        <v>0</v>
      </c>
    </row>
    <row r="9271" spans="1:25" hidden="1" x14ac:dyDescent="0.25">
      <c r="F9271" s="249" t="s">
        <v>251</v>
      </c>
      <c r="G9271" s="252" t="s">
        <v>252</v>
      </c>
      <c r="J9271" s="599">
        <f t="shared" si="273"/>
        <v>0</v>
      </c>
    </row>
    <row r="9272" spans="1:25" hidden="1" x14ac:dyDescent="0.25">
      <c r="F9272" s="249" t="s">
        <v>253</v>
      </c>
      <c r="G9272" s="252" t="s">
        <v>254</v>
      </c>
      <c r="J9272" s="599">
        <f t="shared" si="273"/>
        <v>0</v>
      </c>
    </row>
    <row r="9273" spans="1:25" ht="30" hidden="1" x14ac:dyDescent="0.25">
      <c r="F9273" s="249" t="s">
        <v>255</v>
      </c>
      <c r="G9273" s="252" t="s">
        <v>256</v>
      </c>
      <c r="J9273" s="599">
        <f t="shared" si="273"/>
        <v>0</v>
      </c>
    </row>
    <row r="9274" spans="1:25" hidden="1" x14ac:dyDescent="0.25">
      <c r="F9274" s="249" t="s">
        <v>257</v>
      </c>
      <c r="G9274" s="252" t="s">
        <v>258</v>
      </c>
      <c r="J9274" s="599">
        <f t="shared" si="273"/>
        <v>0</v>
      </c>
    </row>
    <row r="9275" spans="1:25" ht="30" hidden="1" x14ac:dyDescent="0.25">
      <c r="F9275" s="249" t="s">
        <v>259</v>
      </c>
      <c r="G9275" s="252" t="s">
        <v>260</v>
      </c>
      <c r="J9275" s="599">
        <f t="shared" si="273"/>
        <v>0</v>
      </c>
    </row>
    <row r="9276" spans="1:25" hidden="1" x14ac:dyDescent="0.25">
      <c r="F9276" s="249" t="s">
        <v>261</v>
      </c>
      <c r="G9276" s="252" t="s">
        <v>262</v>
      </c>
      <c r="J9276" s="599">
        <f t="shared" si="273"/>
        <v>0</v>
      </c>
    </row>
    <row r="9277" spans="1:25" ht="15.75" hidden="1" thickBot="1" x14ac:dyDescent="0.3">
      <c r="F9277" s="249" t="s">
        <v>263</v>
      </c>
      <c r="G9277" s="252" t="s">
        <v>264</v>
      </c>
      <c r="H9277" s="598"/>
      <c r="I9277" s="599"/>
      <c r="J9277" s="599">
        <f t="shared" si="273"/>
        <v>0</v>
      </c>
    </row>
    <row r="9278" spans="1:25" ht="15.75" hidden="1" collapsed="1" thickBot="1" x14ac:dyDescent="0.3">
      <c r="G9278" s="229" t="s">
        <v>4371</v>
      </c>
      <c r="H9278" s="600">
        <f>SUM(H9262:H9277)</f>
        <v>0</v>
      </c>
      <c r="I9278" s="601">
        <f>SUM(I9263:I9277)</f>
        <v>0</v>
      </c>
      <c r="J9278" s="601">
        <f>SUM(J9262:J9277)</f>
        <v>0</v>
      </c>
    </row>
    <row r="9279" spans="1:25" hidden="1" x14ac:dyDescent="0.25"/>
    <row r="9280" spans="1:25" s="88" customFormat="1" hidden="1" x14ac:dyDescent="0.25">
      <c r="A9280" s="365"/>
      <c r="B9280" s="256"/>
      <c r="C9280" s="276" t="s">
        <v>4325</v>
      </c>
      <c r="D9280" s="219"/>
      <c r="E9280" s="219"/>
      <c r="F9280" s="277"/>
      <c r="G9280" s="278" t="s">
        <v>4073</v>
      </c>
      <c r="H9280" s="627"/>
      <c r="I9280" s="610"/>
      <c r="J9280" s="628"/>
      <c r="K9280" s="533"/>
      <c r="L9280" s="533"/>
      <c r="M9280" s="533"/>
      <c r="N9280" s="533"/>
      <c r="O9280" s="533"/>
      <c r="P9280" s="533"/>
      <c r="Q9280" s="533"/>
      <c r="R9280" s="533"/>
      <c r="S9280" s="533"/>
      <c r="T9280" s="533"/>
      <c r="U9280" s="533"/>
      <c r="V9280" s="533"/>
      <c r="W9280" s="533"/>
      <c r="X9280" s="533"/>
      <c r="Y9280" s="533"/>
    </row>
    <row r="9281" spans="3:10" hidden="1" x14ac:dyDescent="0.25">
      <c r="C9281" s="228"/>
      <c r="D9281" s="312">
        <v>620</v>
      </c>
      <c r="E9281" s="312"/>
      <c r="F9281" s="312"/>
      <c r="G9281" s="313" t="s">
        <v>182</v>
      </c>
    </row>
    <row r="9282" spans="3:10" hidden="1" x14ac:dyDescent="0.25">
      <c r="F9282" s="370">
        <v>411</v>
      </c>
      <c r="G9282" s="362" t="s">
        <v>4189</v>
      </c>
      <c r="J9282" s="595">
        <f>SUM(H9282:I9282)</f>
        <v>0</v>
      </c>
    </row>
    <row r="9283" spans="3:10" hidden="1" x14ac:dyDescent="0.25">
      <c r="F9283" s="370">
        <v>412</v>
      </c>
      <c r="G9283" s="360" t="s">
        <v>3784</v>
      </c>
      <c r="J9283" s="595">
        <f t="shared" ref="J9283:J9341" si="274">SUM(H9283:I9283)</f>
        <v>0</v>
      </c>
    </row>
    <row r="9284" spans="3:10" hidden="1" x14ac:dyDescent="0.25">
      <c r="F9284" s="370">
        <v>413</v>
      </c>
      <c r="G9284" s="362" t="s">
        <v>4190</v>
      </c>
      <c r="J9284" s="595">
        <f t="shared" si="274"/>
        <v>0</v>
      </c>
    </row>
    <row r="9285" spans="3:10" hidden="1" x14ac:dyDescent="0.25">
      <c r="F9285" s="370">
        <v>414</v>
      </c>
      <c r="G9285" s="362" t="s">
        <v>3787</v>
      </c>
      <c r="J9285" s="595">
        <f t="shared" si="274"/>
        <v>0</v>
      </c>
    </row>
    <row r="9286" spans="3:10" hidden="1" x14ac:dyDescent="0.25">
      <c r="F9286" s="370">
        <v>415</v>
      </c>
      <c r="G9286" s="362" t="s">
        <v>4199</v>
      </c>
      <c r="J9286" s="595">
        <f t="shared" si="274"/>
        <v>0</v>
      </c>
    </row>
    <row r="9287" spans="3:10" hidden="1" x14ac:dyDescent="0.25">
      <c r="F9287" s="370">
        <v>416</v>
      </c>
      <c r="G9287" s="362" t="s">
        <v>4200</v>
      </c>
      <c r="J9287" s="595">
        <f t="shared" si="274"/>
        <v>0</v>
      </c>
    </row>
    <row r="9288" spans="3:10" hidden="1" x14ac:dyDescent="0.25">
      <c r="F9288" s="370">
        <v>417</v>
      </c>
      <c r="G9288" s="362" t="s">
        <v>4201</v>
      </c>
      <c r="J9288" s="595">
        <f t="shared" si="274"/>
        <v>0</v>
      </c>
    </row>
    <row r="9289" spans="3:10" hidden="1" x14ac:dyDescent="0.25">
      <c r="F9289" s="370">
        <v>418</v>
      </c>
      <c r="G9289" s="362" t="s">
        <v>3793</v>
      </c>
      <c r="J9289" s="595">
        <f t="shared" si="274"/>
        <v>0</v>
      </c>
    </row>
    <row r="9290" spans="3:10" hidden="1" x14ac:dyDescent="0.25">
      <c r="F9290" s="370">
        <v>421</v>
      </c>
      <c r="G9290" s="362" t="s">
        <v>3797</v>
      </c>
      <c r="J9290" s="595">
        <f t="shared" si="274"/>
        <v>0</v>
      </c>
    </row>
    <row r="9291" spans="3:10" hidden="1" x14ac:dyDescent="0.25">
      <c r="F9291" s="370">
        <v>422</v>
      </c>
      <c r="G9291" s="362" t="s">
        <v>3798</v>
      </c>
      <c r="J9291" s="595">
        <f t="shared" si="274"/>
        <v>0</v>
      </c>
    </row>
    <row r="9292" spans="3:10" hidden="1" x14ac:dyDescent="0.25">
      <c r="F9292" s="370">
        <v>423</v>
      </c>
      <c r="G9292" s="362" t="s">
        <v>3799</v>
      </c>
      <c r="J9292" s="595">
        <f t="shared" si="274"/>
        <v>0</v>
      </c>
    </row>
    <row r="9293" spans="3:10" hidden="1" x14ac:dyDescent="0.25">
      <c r="F9293" s="370">
        <v>424</v>
      </c>
      <c r="G9293" s="362" t="s">
        <v>3801</v>
      </c>
      <c r="J9293" s="595">
        <f t="shared" si="274"/>
        <v>0</v>
      </c>
    </row>
    <row r="9294" spans="3:10" hidden="1" x14ac:dyDescent="0.25">
      <c r="F9294" s="370">
        <v>425</v>
      </c>
      <c r="G9294" s="362" t="s">
        <v>4202</v>
      </c>
      <c r="J9294" s="595">
        <f t="shared" si="274"/>
        <v>0</v>
      </c>
    </row>
    <row r="9295" spans="3:10" hidden="1" x14ac:dyDescent="0.25">
      <c r="F9295" s="370">
        <v>426</v>
      </c>
      <c r="G9295" s="362" t="s">
        <v>3805</v>
      </c>
      <c r="J9295" s="595">
        <f t="shared" si="274"/>
        <v>0</v>
      </c>
    </row>
    <row r="9296" spans="3:10" hidden="1" x14ac:dyDescent="0.25">
      <c r="F9296" s="370">
        <v>431</v>
      </c>
      <c r="G9296" s="362" t="s">
        <v>4203</v>
      </c>
      <c r="J9296" s="595">
        <f t="shared" si="274"/>
        <v>0</v>
      </c>
    </row>
    <row r="9297" spans="6:10" hidden="1" x14ac:dyDescent="0.25">
      <c r="F9297" s="370">
        <v>432</v>
      </c>
      <c r="G9297" s="362" t="s">
        <v>4204</v>
      </c>
      <c r="J9297" s="595">
        <f t="shared" si="274"/>
        <v>0</v>
      </c>
    </row>
    <row r="9298" spans="6:10" hidden="1" x14ac:dyDescent="0.25">
      <c r="F9298" s="370">
        <v>433</v>
      </c>
      <c r="G9298" s="362" t="s">
        <v>4205</v>
      </c>
      <c r="J9298" s="595">
        <f t="shared" si="274"/>
        <v>0</v>
      </c>
    </row>
    <row r="9299" spans="6:10" hidden="1" x14ac:dyDescent="0.25">
      <c r="F9299" s="370">
        <v>434</v>
      </c>
      <c r="G9299" s="362" t="s">
        <v>4206</v>
      </c>
      <c r="J9299" s="595">
        <f t="shared" si="274"/>
        <v>0</v>
      </c>
    </row>
    <row r="9300" spans="6:10" hidden="1" x14ac:dyDescent="0.25">
      <c r="F9300" s="370">
        <v>435</v>
      </c>
      <c r="G9300" s="362" t="s">
        <v>3812</v>
      </c>
      <c r="J9300" s="595">
        <f t="shared" si="274"/>
        <v>0</v>
      </c>
    </row>
    <row r="9301" spans="6:10" hidden="1" x14ac:dyDescent="0.25">
      <c r="F9301" s="370">
        <v>441</v>
      </c>
      <c r="G9301" s="362" t="s">
        <v>4207</v>
      </c>
      <c r="J9301" s="595">
        <f t="shared" si="274"/>
        <v>0</v>
      </c>
    </row>
    <row r="9302" spans="6:10" hidden="1" x14ac:dyDescent="0.25">
      <c r="F9302" s="370">
        <v>442</v>
      </c>
      <c r="G9302" s="362" t="s">
        <v>4208</v>
      </c>
      <c r="J9302" s="595">
        <f t="shared" si="274"/>
        <v>0</v>
      </c>
    </row>
    <row r="9303" spans="6:10" hidden="1" x14ac:dyDescent="0.25">
      <c r="F9303" s="370">
        <v>443</v>
      </c>
      <c r="G9303" s="362" t="s">
        <v>3817</v>
      </c>
      <c r="J9303" s="595">
        <f t="shared" si="274"/>
        <v>0</v>
      </c>
    </row>
    <row r="9304" spans="6:10" hidden="1" x14ac:dyDescent="0.25">
      <c r="F9304" s="370">
        <v>444</v>
      </c>
      <c r="G9304" s="362" t="s">
        <v>3818</v>
      </c>
      <c r="J9304" s="595">
        <f t="shared" si="274"/>
        <v>0</v>
      </c>
    </row>
    <row r="9305" spans="6:10" ht="30" hidden="1" x14ac:dyDescent="0.25">
      <c r="F9305" s="370">
        <v>4511</v>
      </c>
      <c r="G9305" s="223" t="s">
        <v>1692</v>
      </c>
      <c r="J9305" s="595">
        <f t="shared" si="274"/>
        <v>0</v>
      </c>
    </row>
    <row r="9306" spans="6:10" ht="19.5" hidden="1" customHeight="1" x14ac:dyDescent="0.25">
      <c r="F9306" s="370">
        <v>4512</v>
      </c>
      <c r="G9306" s="223" t="s">
        <v>1701</v>
      </c>
      <c r="J9306" s="595">
        <f t="shared" si="274"/>
        <v>0</v>
      </c>
    </row>
    <row r="9307" spans="6:10" hidden="1" x14ac:dyDescent="0.25">
      <c r="F9307" s="370">
        <v>452</v>
      </c>
      <c r="G9307" s="362" t="s">
        <v>4209</v>
      </c>
      <c r="J9307" s="595">
        <f t="shared" si="274"/>
        <v>0</v>
      </c>
    </row>
    <row r="9308" spans="6:10" hidden="1" x14ac:dyDescent="0.25">
      <c r="F9308" s="370">
        <v>453</v>
      </c>
      <c r="G9308" s="362" t="s">
        <v>4210</v>
      </c>
      <c r="J9308" s="595">
        <f t="shared" si="274"/>
        <v>0</v>
      </c>
    </row>
    <row r="9309" spans="6:10" hidden="1" x14ac:dyDescent="0.25">
      <c r="F9309" s="370">
        <v>454</v>
      </c>
      <c r="G9309" s="362" t="s">
        <v>3823</v>
      </c>
      <c r="J9309" s="595">
        <f t="shared" si="274"/>
        <v>0</v>
      </c>
    </row>
    <row r="9310" spans="6:10" hidden="1" x14ac:dyDescent="0.25">
      <c r="F9310" s="370">
        <v>461</v>
      </c>
      <c r="G9310" s="362" t="s">
        <v>4191</v>
      </c>
      <c r="J9310" s="595">
        <f t="shared" si="274"/>
        <v>0</v>
      </c>
    </row>
    <row r="9311" spans="6:10" hidden="1" x14ac:dyDescent="0.25">
      <c r="F9311" s="370">
        <v>462</v>
      </c>
      <c r="G9311" s="362" t="s">
        <v>3826</v>
      </c>
      <c r="J9311" s="595">
        <f t="shared" si="274"/>
        <v>0</v>
      </c>
    </row>
    <row r="9312" spans="6:10" hidden="1" x14ac:dyDescent="0.25">
      <c r="F9312" s="370">
        <v>4631</v>
      </c>
      <c r="G9312" s="362" t="s">
        <v>3827</v>
      </c>
      <c r="J9312" s="595">
        <f t="shared" si="274"/>
        <v>0</v>
      </c>
    </row>
    <row r="9313" spans="6:10" hidden="1" x14ac:dyDescent="0.25">
      <c r="F9313" s="370">
        <v>4632</v>
      </c>
      <c r="G9313" s="362" t="s">
        <v>3828</v>
      </c>
      <c r="J9313" s="595">
        <f t="shared" si="274"/>
        <v>0</v>
      </c>
    </row>
    <row r="9314" spans="6:10" hidden="1" x14ac:dyDescent="0.25">
      <c r="F9314" s="370">
        <v>464</v>
      </c>
      <c r="G9314" s="362" t="s">
        <v>3829</v>
      </c>
      <c r="J9314" s="595">
        <f t="shared" si="274"/>
        <v>0</v>
      </c>
    </row>
    <row r="9315" spans="6:10" hidden="1" x14ac:dyDescent="0.25">
      <c r="F9315" s="370">
        <v>465</v>
      </c>
      <c r="G9315" s="362" t="s">
        <v>4192</v>
      </c>
      <c r="J9315" s="595">
        <f t="shared" si="274"/>
        <v>0</v>
      </c>
    </row>
    <row r="9316" spans="6:10" hidden="1" x14ac:dyDescent="0.25">
      <c r="F9316" s="370">
        <v>472</v>
      </c>
      <c r="G9316" s="362" t="s">
        <v>3833</v>
      </c>
      <c r="J9316" s="595">
        <f t="shared" si="274"/>
        <v>0</v>
      </c>
    </row>
    <row r="9317" spans="6:10" hidden="1" x14ac:dyDescent="0.25">
      <c r="F9317" s="370">
        <v>481</v>
      </c>
      <c r="G9317" s="362" t="s">
        <v>4211</v>
      </c>
      <c r="J9317" s="595">
        <f t="shared" si="274"/>
        <v>0</v>
      </c>
    </row>
    <row r="9318" spans="6:10" hidden="1" x14ac:dyDescent="0.25">
      <c r="F9318" s="370">
        <v>482</v>
      </c>
      <c r="G9318" s="362" t="s">
        <v>4212</v>
      </c>
      <c r="J9318" s="595">
        <f t="shared" si="274"/>
        <v>0</v>
      </c>
    </row>
    <row r="9319" spans="6:10" hidden="1" x14ac:dyDescent="0.25">
      <c r="F9319" s="370">
        <v>483</v>
      </c>
      <c r="G9319" s="366" t="s">
        <v>4213</v>
      </c>
      <c r="J9319" s="595">
        <f t="shared" si="274"/>
        <v>0</v>
      </c>
    </row>
    <row r="9320" spans="6:10" ht="30" hidden="1" x14ac:dyDescent="0.25">
      <c r="F9320" s="370">
        <v>484</v>
      </c>
      <c r="G9320" s="362" t="s">
        <v>4214</v>
      </c>
      <c r="J9320" s="595">
        <f t="shared" si="274"/>
        <v>0</v>
      </c>
    </row>
    <row r="9321" spans="6:10" ht="30" hidden="1" x14ac:dyDescent="0.25">
      <c r="F9321" s="370">
        <v>485</v>
      </c>
      <c r="G9321" s="362" t="s">
        <v>4215</v>
      </c>
      <c r="J9321" s="595">
        <f t="shared" si="274"/>
        <v>0</v>
      </c>
    </row>
    <row r="9322" spans="6:10" ht="30" hidden="1" x14ac:dyDescent="0.25">
      <c r="F9322" s="370">
        <v>489</v>
      </c>
      <c r="G9322" s="362" t="s">
        <v>3841</v>
      </c>
      <c r="J9322" s="595">
        <f t="shared" si="274"/>
        <v>0</v>
      </c>
    </row>
    <row r="9323" spans="6:10" hidden="1" x14ac:dyDescent="0.25">
      <c r="F9323" s="370">
        <v>494</v>
      </c>
      <c r="G9323" s="362" t="s">
        <v>4193</v>
      </c>
      <c r="J9323" s="595">
        <f t="shared" si="274"/>
        <v>0</v>
      </c>
    </row>
    <row r="9324" spans="6:10" ht="30" hidden="1" x14ac:dyDescent="0.25">
      <c r="F9324" s="370">
        <v>495</v>
      </c>
      <c r="G9324" s="362" t="s">
        <v>4194</v>
      </c>
      <c r="J9324" s="595">
        <f t="shared" si="274"/>
        <v>0</v>
      </c>
    </row>
    <row r="9325" spans="6:10" ht="30" hidden="1" x14ac:dyDescent="0.25">
      <c r="F9325" s="370">
        <v>496</v>
      </c>
      <c r="G9325" s="362" t="s">
        <v>4195</v>
      </c>
      <c r="J9325" s="595">
        <f t="shared" si="274"/>
        <v>0</v>
      </c>
    </row>
    <row r="9326" spans="6:10" hidden="1" x14ac:dyDescent="0.25">
      <c r="F9326" s="370">
        <v>499</v>
      </c>
      <c r="G9326" s="362" t="s">
        <v>4196</v>
      </c>
      <c r="J9326" s="595">
        <f t="shared" si="274"/>
        <v>0</v>
      </c>
    </row>
    <row r="9327" spans="6:10" hidden="1" x14ac:dyDescent="0.25">
      <c r="F9327" s="370">
        <v>511</v>
      </c>
      <c r="G9327" s="366" t="s">
        <v>4216</v>
      </c>
      <c r="J9327" s="595">
        <f t="shared" si="274"/>
        <v>0</v>
      </c>
    </row>
    <row r="9328" spans="6:10" hidden="1" x14ac:dyDescent="0.25">
      <c r="F9328" s="370">
        <v>512</v>
      </c>
      <c r="G9328" s="366" t="s">
        <v>4217</v>
      </c>
      <c r="J9328" s="595">
        <f t="shared" si="274"/>
        <v>0</v>
      </c>
    </row>
    <row r="9329" spans="5:10" hidden="1" x14ac:dyDescent="0.25">
      <c r="F9329" s="370">
        <v>513</v>
      </c>
      <c r="G9329" s="366" t="s">
        <v>4218</v>
      </c>
      <c r="J9329" s="595">
        <f t="shared" si="274"/>
        <v>0</v>
      </c>
    </row>
    <row r="9330" spans="5:10" hidden="1" x14ac:dyDescent="0.25">
      <c r="F9330" s="370">
        <v>514</v>
      </c>
      <c r="G9330" s="362" t="s">
        <v>4219</v>
      </c>
      <c r="J9330" s="595">
        <f t="shared" si="274"/>
        <v>0</v>
      </c>
    </row>
    <row r="9331" spans="5:10" hidden="1" x14ac:dyDescent="0.25">
      <c r="F9331" s="370">
        <v>515</v>
      </c>
      <c r="G9331" s="362" t="s">
        <v>3852</v>
      </c>
      <c r="J9331" s="595">
        <f t="shared" si="274"/>
        <v>0</v>
      </c>
    </row>
    <row r="9332" spans="5:10" hidden="1" x14ac:dyDescent="0.25">
      <c r="F9332" s="370">
        <v>521</v>
      </c>
      <c r="G9332" s="362" t="s">
        <v>4220</v>
      </c>
      <c r="J9332" s="595">
        <f t="shared" si="274"/>
        <v>0</v>
      </c>
    </row>
    <row r="9333" spans="5:10" hidden="1" x14ac:dyDescent="0.25">
      <c r="F9333" s="370">
        <v>522</v>
      </c>
      <c r="G9333" s="362" t="s">
        <v>4221</v>
      </c>
      <c r="J9333" s="595">
        <f t="shared" si="274"/>
        <v>0</v>
      </c>
    </row>
    <row r="9334" spans="5:10" hidden="1" x14ac:dyDescent="0.25">
      <c r="F9334" s="370">
        <v>523</v>
      </c>
      <c r="G9334" s="362" t="s">
        <v>3857</v>
      </c>
      <c r="J9334" s="595">
        <f t="shared" si="274"/>
        <v>0</v>
      </c>
    </row>
    <row r="9335" spans="5:10" hidden="1" x14ac:dyDescent="0.25">
      <c r="F9335" s="370">
        <v>531</v>
      </c>
      <c r="G9335" s="360" t="s">
        <v>4197</v>
      </c>
      <c r="J9335" s="595">
        <f t="shared" si="274"/>
        <v>0</v>
      </c>
    </row>
    <row r="9336" spans="5:10" ht="15.75" hidden="1" thickBot="1" x14ac:dyDescent="0.3">
      <c r="F9336" s="370">
        <v>541</v>
      </c>
      <c r="G9336" s="362" t="s">
        <v>4222</v>
      </c>
      <c r="J9336" s="595">
        <f t="shared" si="274"/>
        <v>0</v>
      </c>
    </row>
    <row r="9337" spans="5:10" hidden="1" x14ac:dyDescent="0.25">
      <c r="F9337" s="370">
        <v>542</v>
      </c>
      <c r="G9337" s="362" t="s">
        <v>4223</v>
      </c>
      <c r="J9337" s="595">
        <f t="shared" si="274"/>
        <v>0</v>
      </c>
    </row>
    <row r="9338" spans="5:10" hidden="1" x14ac:dyDescent="0.25">
      <c r="F9338" s="370">
        <v>543</v>
      </c>
      <c r="G9338" s="362" t="s">
        <v>3862</v>
      </c>
      <c r="J9338" s="595">
        <f t="shared" si="274"/>
        <v>0</v>
      </c>
    </row>
    <row r="9339" spans="5:10" ht="30" hidden="1" x14ac:dyDescent="0.25">
      <c r="F9339" s="370">
        <v>551</v>
      </c>
      <c r="G9339" s="362" t="s">
        <v>4198</v>
      </c>
      <c r="J9339" s="595">
        <f t="shared" si="274"/>
        <v>0</v>
      </c>
    </row>
    <row r="9340" spans="5:10" hidden="1" x14ac:dyDescent="0.25">
      <c r="F9340" s="371">
        <v>611</v>
      </c>
      <c r="G9340" s="369" t="s">
        <v>3868</v>
      </c>
      <c r="J9340" s="595">
        <f t="shared" si="274"/>
        <v>0</v>
      </c>
    </row>
    <row r="9341" spans="5:10" ht="15.75" hidden="1" thickBot="1" x14ac:dyDescent="0.3">
      <c r="F9341" s="371">
        <v>620</v>
      </c>
      <c r="G9341" s="369" t="s">
        <v>88</v>
      </c>
      <c r="J9341" s="595">
        <f t="shared" si="274"/>
        <v>0</v>
      </c>
    </row>
    <row r="9342" spans="5:10" hidden="1" x14ac:dyDescent="0.25">
      <c r="E9342" s="361"/>
      <c r="F9342" s="371"/>
      <c r="G9342" s="327" t="s">
        <v>4368</v>
      </c>
      <c r="H9342" s="596"/>
      <c r="I9342" s="622"/>
      <c r="J9342" s="597"/>
    </row>
    <row r="9343" spans="5:10" ht="15.75" hidden="1" thickBot="1" x14ac:dyDescent="0.3">
      <c r="E9343" s="222"/>
      <c r="F9343" s="249" t="s">
        <v>234</v>
      </c>
      <c r="G9343" s="252" t="s">
        <v>235</v>
      </c>
      <c r="H9343" s="598">
        <f>SUM(H9282:H9341)</f>
        <v>0</v>
      </c>
      <c r="I9343" s="599"/>
      <c r="J9343" s="599">
        <f t="shared" ref="J9343:J9358" si="275">SUM(H9343:I9343)</f>
        <v>0</v>
      </c>
    </row>
    <row r="9344" spans="5:10" hidden="1" x14ac:dyDescent="0.25">
      <c r="F9344" s="249" t="s">
        <v>236</v>
      </c>
      <c r="G9344" s="252" t="s">
        <v>237</v>
      </c>
      <c r="J9344" s="599">
        <f t="shared" si="275"/>
        <v>0</v>
      </c>
    </row>
    <row r="9345" spans="5:10" hidden="1" x14ac:dyDescent="0.25">
      <c r="F9345" s="249" t="s">
        <v>238</v>
      </c>
      <c r="G9345" s="252" t="s">
        <v>239</v>
      </c>
      <c r="J9345" s="599">
        <f t="shared" si="275"/>
        <v>0</v>
      </c>
    </row>
    <row r="9346" spans="5:10" hidden="1" x14ac:dyDescent="0.25">
      <c r="F9346" s="249" t="s">
        <v>240</v>
      </c>
      <c r="G9346" s="252" t="s">
        <v>241</v>
      </c>
      <c r="J9346" s="599">
        <f t="shared" si="275"/>
        <v>0</v>
      </c>
    </row>
    <row r="9347" spans="5:10" hidden="1" x14ac:dyDescent="0.25">
      <c r="F9347" s="249" t="s">
        <v>242</v>
      </c>
      <c r="G9347" s="252" t="s">
        <v>243</v>
      </c>
      <c r="J9347" s="599">
        <f t="shared" si="275"/>
        <v>0</v>
      </c>
    </row>
    <row r="9348" spans="5:10" hidden="1" x14ac:dyDescent="0.25">
      <c r="F9348" s="249" t="s">
        <v>244</v>
      </c>
      <c r="G9348" s="252" t="s">
        <v>245</v>
      </c>
      <c r="J9348" s="599">
        <f t="shared" si="275"/>
        <v>0</v>
      </c>
    </row>
    <row r="9349" spans="5:10" hidden="1" x14ac:dyDescent="0.25">
      <c r="F9349" s="249" t="s">
        <v>246</v>
      </c>
      <c r="G9349" s="252" t="s">
        <v>247</v>
      </c>
      <c r="J9349" s="599">
        <f t="shared" si="275"/>
        <v>0</v>
      </c>
    </row>
    <row r="9350" spans="5:10" hidden="1" x14ac:dyDescent="0.25">
      <c r="F9350" s="249" t="s">
        <v>248</v>
      </c>
      <c r="G9350" s="252" t="s">
        <v>249</v>
      </c>
      <c r="J9350" s="599">
        <f t="shared" si="275"/>
        <v>0</v>
      </c>
    </row>
    <row r="9351" spans="5:10" hidden="1" x14ac:dyDescent="0.25">
      <c r="F9351" s="249" t="s">
        <v>250</v>
      </c>
      <c r="G9351" s="252" t="s">
        <v>57</v>
      </c>
      <c r="J9351" s="599">
        <f t="shared" si="275"/>
        <v>0</v>
      </c>
    </row>
    <row r="9352" spans="5:10" hidden="1" x14ac:dyDescent="0.25">
      <c r="F9352" s="249" t="s">
        <v>251</v>
      </c>
      <c r="G9352" s="252" t="s">
        <v>252</v>
      </c>
      <c r="J9352" s="599">
        <f t="shared" si="275"/>
        <v>0</v>
      </c>
    </row>
    <row r="9353" spans="5:10" hidden="1" x14ac:dyDescent="0.25">
      <c r="F9353" s="249" t="s">
        <v>253</v>
      </c>
      <c r="G9353" s="252" t="s">
        <v>254</v>
      </c>
      <c r="J9353" s="599">
        <f t="shared" si="275"/>
        <v>0</v>
      </c>
    </row>
    <row r="9354" spans="5:10" ht="30" hidden="1" x14ac:dyDescent="0.25">
      <c r="F9354" s="249" t="s">
        <v>255</v>
      </c>
      <c r="G9354" s="252" t="s">
        <v>256</v>
      </c>
      <c r="J9354" s="599">
        <f t="shared" si="275"/>
        <v>0</v>
      </c>
    </row>
    <row r="9355" spans="5:10" hidden="1" x14ac:dyDescent="0.25">
      <c r="F9355" s="249" t="s">
        <v>257</v>
      </c>
      <c r="G9355" s="252" t="s">
        <v>258</v>
      </c>
      <c r="J9355" s="599">
        <f t="shared" si="275"/>
        <v>0</v>
      </c>
    </row>
    <row r="9356" spans="5:10" ht="30" hidden="1" x14ac:dyDescent="0.25">
      <c r="F9356" s="249" t="s">
        <v>259</v>
      </c>
      <c r="G9356" s="252" t="s">
        <v>260</v>
      </c>
      <c r="J9356" s="599">
        <f t="shared" si="275"/>
        <v>0</v>
      </c>
    </row>
    <row r="9357" spans="5:10" hidden="1" x14ac:dyDescent="0.25">
      <c r="F9357" s="249" t="s">
        <v>261</v>
      </c>
      <c r="G9357" s="252" t="s">
        <v>262</v>
      </c>
      <c r="J9357" s="599">
        <f t="shared" si="275"/>
        <v>0</v>
      </c>
    </row>
    <row r="9358" spans="5:10" ht="15.75" hidden="1" thickBot="1" x14ac:dyDescent="0.3">
      <c r="F9358" s="249" t="s">
        <v>263</v>
      </c>
      <c r="G9358" s="252" t="s">
        <v>264</v>
      </c>
      <c r="H9358" s="598"/>
      <c r="I9358" s="599"/>
      <c r="J9358" s="599">
        <f t="shared" si="275"/>
        <v>0</v>
      </c>
    </row>
    <row r="9359" spans="5:10" ht="15.75" hidden="1" thickBot="1" x14ac:dyDescent="0.3">
      <c r="G9359" s="229" t="s">
        <v>4369</v>
      </c>
      <c r="H9359" s="600">
        <f>SUM(H9343:H9358)</f>
        <v>0</v>
      </c>
      <c r="I9359" s="601">
        <f>SUM(I9344:I9358)</f>
        <v>0</v>
      </c>
      <c r="J9359" s="601">
        <f>SUM(J9343:J9358)</f>
        <v>0</v>
      </c>
    </row>
    <row r="9360" spans="5:10" ht="28.5" hidden="1" collapsed="1" x14ac:dyDescent="0.25">
      <c r="E9360" s="361"/>
      <c r="F9360" s="371"/>
      <c r="G9360" s="231" t="s">
        <v>4420</v>
      </c>
      <c r="H9360" s="602"/>
      <c r="I9360" s="623"/>
      <c r="J9360" s="603"/>
    </row>
    <row r="9361" spans="5:10" ht="15.75" hidden="1" thickBot="1" x14ac:dyDescent="0.3">
      <c r="E9361" s="222"/>
      <c r="F9361" s="249" t="s">
        <v>234</v>
      </c>
      <c r="G9361" s="252" t="s">
        <v>235</v>
      </c>
      <c r="H9361" s="598">
        <f>SUM(H9282:H9341)</f>
        <v>0</v>
      </c>
      <c r="I9361" s="599"/>
      <c r="J9361" s="599">
        <f>SUM(H9361:I9361)</f>
        <v>0</v>
      </c>
    </row>
    <row r="9362" spans="5:10" hidden="1" x14ac:dyDescent="0.25">
      <c r="F9362" s="249" t="s">
        <v>236</v>
      </c>
      <c r="G9362" s="252" t="s">
        <v>237</v>
      </c>
      <c r="J9362" s="599">
        <f t="shared" ref="J9362:J9376" si="276">SUM(H9362:I9362)</f>
        <v>0</v>
      </c>
    </row>
    <row r="9363" spans="5:10" hidden="1" x14ac:dyDescent="0.25">
      <c r="F9363" s="249" t="s">
        <v>238</v>
      </c>
      <c r="G9363" s="252" t="s">
        <v>239</v>
      </c>
      <c r="J9363" s="599">
        <f t="shared" si="276"/>
        <v>0</v>
      </c>
    </row>
    <row r="9364" spans="5:10" hidden="1" x14ac:dyDescent="0.25">
      <c r="F9364" s="249" t="s">
        <v>240</v>
      </c>
      <c r="G9364" s="252" t="s">
        <v>241</v>
      </c>
      <c r="J9364" s="599">
        <f t="shared" si="276"/>
        <v>0</v>
      </c>
    </row>
    <row r="9365" spans="5:10" hidden="1" x14ac:dyDescent="0.25">
      <c r="F9365" s="249" t="s">
        <v>242</v>
      </c>
      <c r="G9365" s="252" t="s">
        <v>243</v>
      </c>
      <c r="J9365" s="599">
        <f t="shared" si="276"/>
        <v>0</v>
      </c>
    </row>
    <row r="9366" spans="5:10" hidden="1" x14ac:dyDescent="0.25">
      <c r="F9366" s="249" t="s">
        <v>244</v>
      </c>
      <c r="G9366" s="252" t="s">
        <v>245</v>
      </c>
      <c r="J9366" s="599">
        <f t="shared" si="276"/>
        <v>0</v>
      </c>
    </row>
    <row r="9367" spans="5:10" hidden="1" x14ac:dyDescent="0.25">
      <c r="F9367" s="249" t="s">
        <v>246</v>
      </c>
      <c r="G9367" s="252" t="s">
        <v>247</v>
      </c>
      <c r="J9367" s="599">
        <f t="shared" si="276"/>
        <v>0</v>
      </c>
    </row>
    <row r="9368" spans="5:10" hidden="1" x14ac:dyDescent="0.25">
      <c r="F9368" s="249" t="s">
        <v>248</v>
      </c>
      <c r="G9368" s="252" t="s">
        <v>249</v>
      </c>
      <c r="J9368" s="599">
        <f t="shared" si="276"/>
        <v>0</v>
      </c>
    </row>
    <row r="9369" spans="5:10" hidden="1" x14ac:dyDescent="0.25">
      <c r="F9369" s="249" t="s">
        <v>250</v>
      </c>
      <c r="G9369" s="252" t="s">
        <v>57</v>
      </c>
      <c r="J9369" s="599">
        <f t="shared" si="276"/>
        <v>0</v>
      </c>
    </row>
    <row r="9370" spans="5:10" hidden="1" x14ac:dyDescent="0.25">
      <c r="F9370" s="249" t="s">
        <v>251</v>
      </c>
      <c r="G9370" s="252" t="s">
        <v>252</v>
      </c>
      <c r="J9370" s="599">
        <f t="shared" si="276"/>
        <v>0</v>
      </c>
    </row>
    <row r="9371" spans="5:10" hidden="1" x14ac:dyDescent="0.25">
      <c r="F9371" s="249" t="s">
        <v>253</v>
      </c>
      <c r="G9371" s="252" t="s">
        <v>254</v>
      </c>
      <c r="J9371" s="599">
        <f t="shared" si="276"/>
        <v>0</v>
      </c>
    </row>
    <row r="9372" spans="5:10" ht="30" hidden="1" x14ac:dyDescent="0.25">
      <c r="F9372" s="249" t="s">
        <v>255</v>
      </c>
      <c r="G9372" s="252" t="s">
        <v>256</v>
      </c>
      <c r="J9372" s="599">
        <f t="shared" si="276"/>
        <v>0</v>
      </c>
    </row>
    <row r="9373" spans="5:10" hidden="1" x14ac:dyDescent="0.25">
      <c r="F9373" s="249" t="s">
        <v>257</v>
      </c>
      <c r="G9373" s="252" t="s">
        <v>258</v>
      </c>
      <c r="J9373" s="599">
        <f t="shared" si="276"/>
        <v>0</v>
      </c>
    </row>
    <row r="9374" spans="5:10" ht="30" hidden="1" x14ac:dyDescent="0.25">
      <c r="F9374" s="249" t="s">
        <v>259</v>
      </c>
      <c r="G9374" s="252" t="s">
        <v>260</v>
      </c>
      <c r="J9374" s="599">
        <f t="shared" si="276"/>
        <v>0</v>
      </c>
    </row>
    <row r="9375" spans="5:10" hidden="1" x14ac:dyDescent="0.25">
      <c r="F9375" s="249" t="s">
        <v>261</v>
      </c>
      <c r="G9375" s="252" t="s">
        <v>262</v>
      </c>
      <c r="J9375" s="599">
        <f t="shared" si="276"/>
        <v>0</v>
      </c>
    </row>
    <row r="9376" spans="5:10" ht="15.75" hidden="1" thickBot="1" x14ac:dyDescent="0.3">
      <c r="F9376" s="249" t="s">
        <v>263</v>
      </c>
      <c r="G9376" s="252" t="s">
        <v>264</v>
      </c>
      <c r="H9376" s="598"/>
      <c r="I9376" s="599"/>
      <c r="J9376" s="599">
        <f t="shared" si="276"/>
        <v>0</v>
      </c>
    </row>
    <row r="9377" spans="5:10" ht="15.75" hidden="1" collapsed="1" thickBot="1" x14ac:dyDescent="0.3">
      <c r="G9377" s="229" t="s">
        <v>4421</v>
      </c>
      <c r="H9377" s="600">
        <f>SUM(H9361:H9376)</f>
        <v>0</v>
      </c>
      <c r="I9377" s="601">
        <f>SUM(I9362:I9376)</f>
        <v>0</v>
      </c>
      <c r="J9377" s="601">
        <f>SUM(J9361:J9376)</f>
        <v>0</v>
      </c>
    </row>
    <row r="9378" spans="5:10" hidden="1" x14ac:dyDescent="0.25">
      <c r="G9378" s="286"/>
      <c r="H9378" s="604"/>
      <c r="I9378" s="605"/>
      <c r="J9378" s="605"/>
    </row>
    <row r="9379" spans="5:10" hidden="1" x14ac:dyDescent="0.25">
      <c r="E9379" s="517"/>
      <c r="F9379" s="528"/>
      <c r="G9379" s="250" t="s">
        <v>4249</v>
      </c>
      <c r="H9379" s="606"/>
      <c r="I9379" s="624"/>
      <c r="J9379" s="607"/>
    </row>
    <row r="9380" spans="5:10" ht="15.75" hidden="1" thickBot="1" x14ac:dyDescent="0.3">
      <c r="E9380" s="222"/>
      <c r="F9380" s="249" t="s">
        <v>234</v>
      </c>
      <c r="G9380" s="252" t="s">
        <v>235</v>
      </c>
      <c r="H9380" s="598">
        <f>SUM(H9361,H9262)</f>
        <v>0</v>
      </c>
      <c r="I9380" s="599"/>
      <c r="J9380" s="599">
        <f>SUM(H9380:I9380)</f>
        <v>0</v>
      </c>
    </row>
    <row r="9381" spans="5:10" hidden="1" x14ac:dyDescent="0.25">
      <c r="F9381" s="249" t="s">
        <v>236</v>
      </c>
      <c r="G9381" s="252" t="s">
        <v>237</v>
      </c>
      <c r="J9381" s="599">
        <f t="shared" ref="J9381:J9395" si="277">SUM(H9381:I9381)</f>
        <v>0</v>
      </c>
    </row>
    <row r="9382" spans="5:10" hidden="1" x14ac:dyDescent="0.25">
      <c r="F9382" s="249" t="s">
        <v>238</v>
      </c>
      <c r="G9382" s="252" t="s">
        <v>239</v>
      </c>
      <c r="J9382" s="599">
        <f t="shared" si="277"/>
        <v>0</v>
      </c>
    </row>
    <row r="9383" spans="5:10" hidden="1" x14ac:dyDescent="0.25">
      <c r="F9383" s="249" t="s">
        <v>240</v>
      </c>
      <c r="G9383" s="252" t="s">
        <v>241</v>
      </c>
      <c r="J9383" s="599">
        <f t="shared" si="277"/>
        <v>0</v>
      </c>
    </row>
    <row r="9384" spans="5:10" hidden="1" x14ac:dyDescent="0.25">
      <c r="F9384" s="249" t="s">
        <v>242</v>
      </c>
      <c r="G9384" s="252" t="s">
        <v>243</v>
      </c>
      <c r="J9384" s="599">
        <f t="shared" si="277"/>
        <v>0</v>
      </c>
    </row>
    <row r="9385" spans="5:10" hidden="1" x14ac:dyDescent="0.25">
      <c r="F9385" s="249" t="s">
        <v>244</v>
      </c>
      <c r="G9385" s="252" t="s">
        <v>245</v>
      </c>
      <c r="J9385" s="599">
        <f t="shared" si="277"/>
        <v>0</v>
      </c>
    </row>
    <row r="9386" spans="5:10" hidden="1" x14ac:dyDescent="0.25">
      <c r="F9386" s="249" t="s">
        <v>246</v>
      </c>
      <c r="G9386" s="252" t="s">
        <v>247</v>
      </c>
      <c r="J9386" s="599">
        <f t="shared" si="277"/>
        <v>0</v>
      </c>
    </row>
    <row r="9387" spans="5:10" hidden="1" x14ac:dyDescent="0.25">
      <c r="F9387" s="249" t="s">
        <v>248</v>
      </c>
      <c r="G9387" s="252" t="s">
        <v>249</v>
      </c>
      <c r="J9387" s="599">
        <f t="shared" si="277"/>
        <v>0</v>
      </c>
    </row>
    <row r="9388" spans="5:10" hidden="1" x14ac:dyDescent="0.25">
      <c r="F9388" s="249" t="s">
        <v>250</v>
      </c>
      <c r="G9388" s="252" t="s">
        <v>57</v>
      </c>
      <c r="J9388" s="599">
        <f t="shared" si="277"/>
        <v>0</v>
      </c>
    </row>
    <row r="9389" spans="5:10" hidden="1" x14ac:dyDescent="0.25">
      <c r="F9389" s="249" t="s">
        <v>251</v>
      </c>
      <c r="G9389" s="252" t="s">
        <v>252</v>
      </c>
      <c r="J9389" s="599">
        <f t="shared" si="277"/>
        <v>0</v>
      </c>
    </row>
    <row r="9390" spans="5:10" hidden="1" x14ac:dyDescent="0.25">
      <c r="F9390" s="249" t="s">
        <v>253</v>
      </c>
      <c r="G9390" s="252" t="s">
        <v>254</v>
      </c>
      <c r="J9390" s="599">
        <f t="shared" si="277"/>
        <v>0</v>
      </c>
    </row>
    <row r="9391" spans="5:10" ht="30" hidden="1" x14ac:dyDescent="0.25">
      <c r="F9391" s="249" t="s">
        <v>255</v>
      </c>
      <c r="G9391" s="252" t="s">
        <v>256</v>
      </c>
      <c r="J9391" s="599">
        <f t="shared" si="277"/>
        <v>0</v>
      </c>
    </row>
    <row r="9392" spans="5:10" hidden="1" x14ac:dyDescent="0.25">
      <c r="F9392" s="249" t="s">
        <v>257</v>
      </c>
      <c r="G9392" s="252" t="s">
        <v>258</v>
      </c>
      <c r="J9392" s="599">
        <f t="shared" si="277"/>
        <v>0</v>
      </c>
    </row>
    <row r="9393" spans="1:25" ht="30" hidden="1" x14ac:dyDescent="0.25">
      <c r="F9393" s="249" t="s">
        <v>259</v>
      </c>
      <c r="G9393" s="252" t="s">
        <v>260</v>
      </c>
      <c r="J9393" s="599">
        <f t="shared" si="277"/>
        <v>0</v>
      </c>
    </row>
    <row r="9394" spans="1:25" hidden="1" x14ac:dyDescent="0.25">
      <c r="F9394" s="249" t="s">
        <v>261</v>
      </c>
      <c r="G9394" s="252" t="s">
        <v>262</v>
      </c>
      <c r="J9394" s="599">
        <f t="shared" si="277"/>
        <v>0</v>
      </c>
    </row>
    <row r="9395" spans="1:25" ht="15.75" hidden="1" thickBot="1" x14ac:dyDescent="0.3">
      <c r="F9395" s="249" t="s">
        <v>263</v>
      </c>
      <c r="G9395" s="252" t="s">
        <v>264</v>
      </c>
      <c r="H9395" s="598"/>
      <c r="I9395" s="599"/>
      <c r="J9395" s="599">
        <f t="shared" si="277"/>
        <v>0</v>
      </c>
    </row>
    <row r="9396" spans="1:25" ht="15.75" hidden="1" thickBot="1" x14ac:dyDescent="0.3">
      <c r="G9396" s="229" t="s">
        <v>4250</v>
      </c>
      <c r="H9396" s="600">
        <f>SUM(H9380:H9395)</f>
        <v>0</v>
      </c>
      <c r="I9396" s="601">
        <f>SUM(I9381:I9395)</f>
        <v>0</v>
      </c>
      <c r="J9396" s="601">
        <f>SUM(J9380:J9395)</f>
        <v>0</v>
      </c>
    </row>
    <row r="9397" spans="1:25" hidden="1" x14ac:dyDescent="0.25">
      <c r="G9397" s="286"/>
      <c r="H9397" s="604"/>
      <c r="I9397" s="605"/>
      <c r="J9397" s="605"/>
    </row>
    <row r="9398" spans="1:25" hidden="1" x14ac:dyDescent="0.25"/>
    <row r="9399" spans="1:25" hidden="1" x14ac:dyDescent="0.25">
      <c r="C9399" s="228" t="s">
        <v>3569</v>
      </c>
      <c r="G9399" s="376" t="s">
        <v>4326</v>
      </c>
    </row>
    <row r="9400" spans="1:25" s="88" customFormat="1" hidden="1" x14ac:dyDescent="0.25">
      <c r="A9400" s="377"/>
      <c r="B9400" s="256"/>
      <c r="C9400" s="276" t="s">
        <v>4431</v>
      </c>
      <c r="D9400" s="219"/>
      <c r="E9400" s="219"/>
      <c r="F9400" s="277"/>
      <c r="G9400" s="278" t="s">
        <v>183</v>
      </c>
      <c r="H9400" s="627"/>
      <c r="I9400" s="610"/>
      <c r="J9400" s="628"/>
      <c r="K9400" s="533"/>
      <c r="L9400" s="533"/>
      <c r="M9400" s="533"/>
      <c r="N9400" s="533"/>
      <c r="O9400" s="533"/>
      <c r="P9400" s="533"/>
      <c r="Q9400" s="533"/>
      <c r="R9400" s="533"/>
      <c r="S9400" s="533"/>
      <c r="T9400" s="533"/>
      <c r="U9400" s="533"/>
      <c r="V9400" s="533"/>
      <c r="W9400" s="533"/>
      <c r="X9400" s="533"/>
      <c r="Y9400" s="533"/>
    </row>
    <row r="9401" spans="1:25" hidden="1" x14ac:dyDescent="0.25">
      <c r="C9401" s="228"/>
      <c r="D9401" s="312">
        <v>630</v>
      </c>
      <c r="E9401" s="312"/>
      <c r="F9401" s="312"/>
      <c r="G9401" s="313" t="s">
        <v>183</v>
      </c>
    </row>
    <row r="9402" spans="1:25" hidden="1" x14ac:dyDescent="0.25">
      <c r="F9402" s="380">
        <v>411</v>
      </c>
      <c r="G9402" s="375" t="s">
        <v>4189</v>
      </c>
      <c r="J9402" s="595">
        <f>SUM(H9402:I9402)</f>
        <v>0</v>
      </c>
    </row>
    <row r="9403" spans="1:25" hidden="1" x14ac:dyDescent="0.25">
      <c r="F9403" s="380">
        <v>412</v>
      </c>
      <c r="G9403" s="373" t="s">
        <v>3784</v>
      </c>
      <c r="J9403" s="595">
        <f t="shared" ref="J9403:J9461" si="278">SUM(H9403:I9403)</f>
        <v>0</v>
      </c>
    </row>
    <row r="9404" spans="1:25" hidden="1" x14ac:dyDescent="0.25">
      <c r="F9404" s="380">
        <v>413</v>
      </c>
      <c r="G9404" s="375" t="s">
        <v>4190</v>
      </c>
      <c r="J9404" s="595">
        <f t="shared" si="278"/>
        <v>0</v>
      </c>
    </row>
    <row r="9405" spans="1:25" hidden="1" x14ac:dyDescent="0.25">
      <c r="F9405" s="380">
        <v>414</v>
      </c>
      <c r="G9405" s="375" t="s">
        <v>3787</v>
      </c>
      <c r="J9405" s="595">
        <f t="shared" si="278"/>
        <v>0</v>
      </c>
    </row>
    <row r="9406" spans="1:25" hidden="1" x14ac:dyDescent="0.25">
      <c r="F9406" s="380">
        <v>415</v>
      </c>
      <c r="G9406" s="375" t="s">
        <v>4199</v>
      </c>
      <c r="J9406" s="595">
        <f t="shared" si="278"/>
        <v>0</v>
      </c>
    </row>
    <row r="9407" spans="1:25" hidden="1" x14ac:dyDescent="0.25">
      <c r="F9407" s="380">
        <v>416</v>
      </c>
      <c r="G9407" s="375" t="s">
        <v>4200</v>
      </c>
      <c r="J9407" s="595">
        <f t="shared" si="278"/>
        <v>0</v>
      </c>
    </row>
    <row r="9408" spans="1:25" hidden="1" x14ac:dyDescent="0.25">
      <c r="F9408" s="380">
        <v>417</v>
      </c>
      <c r="G9408" s="375" t="s">
        <v>4201</v>
      </c>
      <c r="J9408" s="595">
        <f t="shared" si="278"/>
        <v>0</v>
      </c>
    </row>
    <row r="9409" spans="6:10" hidden="1" x14ac:dyDescent="0.25">
      <c r="F9409" s="380">
        <v>418</v>
      </c>
      <c r="G9409" s="375" t="s">
        <v>3793</v>
      </c>
      <c r="J9409" s="595">
        <f t="shared" si="278"/>
        <v>0</v>
      </c>
    </row>
    <row r="9410" spans="6:10" hidden="1" x14ac:dyDescent="0.25">
      <c r="F9410" s="380">
        <v>421</v>
      </c>
      <c r="G9410" s="375" t="s">
        <v>3797</v>
      </c>
      <c r="J9410" s="595">
        <f t="shared" si="278"/>
        <v>0</v>
      </c>
    </row>
    <row r="9411" spans="6:10" hidden="1" x14ac:dyDescent="0.25">
      <c r="F9411" s="380">
        <v>422</v>
      </c>
      <c r="G9411" s="375" t="s">
        <v>3798</v>
      </c>
      <c r="J9411" s="595">
        <f t="shared" si="278"/>
        <v>0</v>
      </c>
    </row>
    <row r="9412" spans="6:10" hidden="1" x14ac:dyDescent="0.25">
      <c r="F9412" s="380">
        <v>423</v>
      </c>
      <c r="G9412" s="375" t="s">
        <v>3799</v>
      </c>
      <c r="J9412" s="595">
        <f t="shared" si="278"/>
        <v>0</v>
      </c>
    </row>
    <row r="9413" spans="6:10" hidden="1" x14ac:dyDescent="0.25">
      <c r="F9413" s="380">
        <v>424</v>
      </c>
      <c r="G9413" s="375" t="s">
        <v>3801</v>
      </c>
      <c r="J9413" s="595">
        <f t="shared" si="278"/>
        <v>0</v>
      </c>
    </row>
    <row r="9414" spans="6:10" hidden="1" x14ac:dyDescent="0.25">
      <c r="F9414" s="380">
        <v>425</v>
      </c>
      <c r="G9414" s="375" t="s">
        <v>4202</v>
      </c>
      <c r="J9414" s="595">
        <f t="shared" si="278"/>
        <v>0</v>
      </c>
    </row>
    <row r="9415" spans="6:10" hidden="1" x14ac:dyDescent="0.25">
      <c r="F9415" s="380">
        <v>426</v>
      </c>
      <c r="G9415" s="375" t="s">
        <v>3805</v>
      </c>
      <c r="J9415" s="595">
        <f t="shared" si="278"/>
        <v>0</v>
      </c>
    </row>
    <row r="9416" spans="6:10" hidden="1" x14ac:dyDescent="0.25">
      <c r="F9416" s="380">
        <v>431</v>
      </c>
      <c r="G9416" s="375" t="s">
        <v>4203</v>
      </c>
      <c r="J9416" s="595">
        <f t="shared" si="278"/>
        <v>0</v>
      </c>
    </row>
    <row r="9417" spans="6:10" hidden="1" x14ac:dyDescent="0.25">
      <c r="F9417" s="380">
        <v>432</v>
      </c>
      <c r="G9417" s="375" t="s">
        <v>4204</v>
      </c>
      <c r="J9417" s="595">
        <f t="shared" si="278"/>
        <v>0</v>
      </c>
    </row>
    <row r="9418" spans="6:10" hidden="1" x14ac:dyDescent="0.25">
      <c r="F9418" s="380">
        <v>433</v>
      </c>
      <c r="G9418" s="375" t="s">
        <v>4205</v>
      </c>
      <c r="J9418" s="595">
        <f t="shared" si="278"/>
        <v>0</v>
      </c>
    </row>
    <row r="9419" spans="6:10" hidden="1" x14ac:dyDescent="0.25">
      <c r="F9419" s="380">
        <v>434</v>
      </c>
      <c r="G9419" s="375" t="s">
        <v>4206</v>
      </c>
      <c r="J9419" s="595">
        <f t="shared" si="278"/>
        <v>0</v>
      </c>
    </row>
    <row r="9420" spans="6:10" hidden="1" x14ac:dyDescent="0.25">
      <c r="F9420" s="380">
        <v>435</v>
      </c>
      <c r="G9420" s="375" t="s">
        <v>3812</v>
      </c>
      <c r="J9420" s="595">
        <f t="shared" si="278"/>
        <v>0</v>
      </c>
    </row>
    <row r="9421" spans="6:10" hidden="1" x14ac:dyDescent="0.25">
      <c r="F9421" s="380">
        <v>441</v>
      </c>
      <c r="G9421" s="375" t="s">
        <v>4207</v>
      </c>
      <c r="J9421" s="595">
        <f t="shared" si="278"/>
        <v>0</v>
      </c>
    </row>
    <row r="9422" spans="6:10" hidden="1" x14ac:dyDescent="0.25">
      <c r="F9422" s="380">
        <v>442</v>
      </c>
      <c r="G9422" s="375" t="s">
        <v>4208</v>
      </c>
      <c r="J9422" s="595">
        <f t="shared" si="278"/>
        <v>0</v>
      </c>
    </row>
    <row r="9423" spans="6:10" hidden="1" x14ac:dyDescent="0.25">
      <c r="F9423" s="380">
        <v>443</v>
      </c>
      <c r="G9423" s="375" t="s">
        <v>3817</v>
      </c>
      <c r="J9423" s="595">
        <f t="shared" si="278"/>
        <v>0</v>
      </c>
    </row>
    <row r="9424" spans="6:10" hidden="1" x14ac:dyDescent="0.25">
      <c r="F9424" s="380">
        <v>444</v>
      </c>
      <c r="G9424" s="375" t="s">
        <v>3818</v>
      </c>
      <c r="J9424" s="595">
        <f t="shared" si="278"/>
        <v>0</v>
      </c>
    </row>
    <row r="9425" spans="6:10" ht="30" hidden="1" x14ac:dyDescent="0.25">
      <c r="F9425" s="380">
        <v>4511</v>
      </c>
      <c r="G9425" s="223" t="s">
        <v>1692</v>
      </c>
      <c r="J9425" s="595">
        <f t="shared" si="278"/>
        <v>0</v>
      </c>
    </row>
    <row r="9426" spans="6:10" ht="19.5" hidden="1" customHeight="1" x14ac:dyDescent="0.25">
      <c r="F9426" s="380">
        <v>4512</v>
      </c>
      <c r="G9426" s="223" t="s">
        <v>1701</v>
      </c>
      <c r="J9426" s="595">
        <f t="shared" si="278"/>
        <v>0</v>
      </c>
    </row>
    <row r="9427" spans="6:10" hidden="1" x14ac:dyDescent="0.25">
      <c r="F9427" s="380">
        <v>452</v>
      </c>
      <c r="G9427" s="375" t="s">
        <v>4209</v>
      </c>
      <c r="J9427" s="595">
        <f t="shared" si="278"/>
        <v>0</v>
      </c>
    </row>
    <row r="9428" spans="6:10" hidden="1" x14ac:dyDescent="0.25">
      <c r="F9428" s="380">
        <v>453</v>
      </c>
      <c r="G9428" s="375" t="s">
        <v>4210</v>
      </c>
      <c r="J9428" s="595">
        <f t="shared" si="278"/>
        <v>0</v>
      </c>
    </row>
    <row r="9429" spans="6:10" hidden="1" x14ac:dyDescent="0.25">
      <c r="F9429" s="380">
        <v>454</v>
      </c>
      <c r="G9429" s="375" t="s">
        <v>3823</v>
      </c>
      <c r="J9429" s="595">
        <f t="shared" si="278"/>
        <v>0</v>
      </c>
    </row>
    <row r="9430" spans="6:10" hidden="1" x14ac:dyDescent="0.25">
      <c r="F9430" s="380">
        <v>461</v>
      </c>
      <c r="G9430" s="375" t="s">
        <v>4191</v>
      </c>
      <c r="J9430" s="595">
        <f t="shared" si="278"/>
        <v>0</v>
      </c>
    </row>
    <row r="9431" spans="6:10" hidden="1" x14ac:dyDescent="0.25">
      <c r="F9431" s="380">
        <v>462</v>
      </c>
      <c r="G9431" s="375" t="s">
        <v>3826</v>
      </c>
      <c r="J9431" s="595">
        <f t="shared" si="278"/>
        <v>0</v>
      </c>
    </row>
    <row r="9432" spans="6:10" hidden="1" x14ac:dyDescent="0.25">
      <c r="F9432" s="380">
        <v>4631</v>
      </c>
      <c r="G9432" s="375" t="s">
        <v>3827</v>
      </c>
      <c r="J9432" s="595">
        <f t="shared" si="278"/>
        <v>0</v>
      </c>
    </row>
    <row r="9433" spans="6:10" hidden="1" x14ac:dyDescent="0.25">
      <c r="F9433" s="380">
        <v>4632</v>
      </c>
      <c r="G9433" s="375" t="s">
        <v>3828</v>
      </c>
      <c r="J9433" s="595">
        <f t="shared" si="278"/>
        <v>0</v>
      </c>
    </row>
    <row r="9434" spans="6:10" hidden="1" x14ac:dyDescent="0.25">
      <c r="F9434" s="380">
        <v>464</v>
      </c>
      <c r="G9434" s="375" t="s">
        <v>3829</v>
      </c>
      <c r="J9434" s="595">
        <f t="shared" si="278"/>
        <v>0</v>
      </c>
    </row>
    <row r="9435" spans="6:10" hidden="1" x14ac:dyDescent="0.25">
      <c r="F9435" s="380">
        <v>465</v>
      </c>
      <c r="G9435" s="375" t="s">
        <v>4192</v>
      </c>
      <c r="J9435" s="595">
        <f t="shared" si="278"/>
        <v>0</v>
      </c>
    </row>
    <row r="9436" spans="6:10" hidden="1" x14ac:dyDescent="0.25">
      <c r="F9436" s="380">
        <v>472</v>
      </c>
      <c r="G9436" s="375" t="s">
        <v>3833</v>
      </c>
      <c r="J9436" s="595">
        <f t="shared" si="278"/>
        <v>0</v>
      </c>
    </row>
    <row r="9437" spans="6:10" hidden="1" x14ac:dyDescent="0.25">
      <c r="F9437" s="380">
        <v>481</v>
      </c>
      <c r="G9437" s="375" t="s">
        <v>4211</v>
      </c>
      <c r="J9437" s="595">
        <f t="shared" si="278"/>
        <v>0</v>
      </c>
    </row>
    <row r="9438" spans="6:10" hidden="1" x14ac:dyDescent="0.25">
      <c r="F9438" s="380">
        <v>482</v>
      </c>
      <c r="G9438" s="375" t="s">
        <v>4212</v>
      </c>
      <c r="J9438" s="595">
        <f t="shared" si="278"/>
        <v>0</v>
      </c>
    </row>
    <row r="9439" spans="6:10" hidden="1" x14ac:dyDescent="0.25">
      <c r="F9439" s="380">
        <v>483</v>
      </c>
      <c r="G9439" s="378" t="s">
        <v>4213</v>
      </c>
      <c r="J9439" s="595">
        <f t="shared" si="278"/>
        <v>0</v>
      </c>
    </row>
    <row r="9440" spans="6:10" ht="30" hidden="1" x14ac:dyDescent="0.25">
      <c r="F9440" s="380">
        <v>484</v>
      </c>
      <c r="G9440" s="375" t="s">
        <v>4214</v>
      </c>
      <c r="J9440" s="595">
        <f t="shared" si="278"/>
        <v>0</v>
      </c>
    </row>
    <row r="9441" spans="6:10" ht="30" hidden="1" x14ac:dyDescent="0.25">
      <c r="F9441" s="380">
        <v>485</v>
      </c>
      <c r="G9441" s="375" t="s">
        <v>4215</v>
      </c>
      <c r="J9441" s="595">
        <f t="shared" si="278"/>
        <v>0</v>
      </c>
    </row>
    <row r="9442" spans="6:10" ht="30" hidden="1" x14ac:dyDescent="0.25">
      <c r="F9442" s="380">
        <v>489</v>
      </c>
      <c r="G9442" s="375" t="s">
        <v>3841</v>
      </c>
      <c r="J9442" s="595">
        <f t="shared" si="278"/>
        <v>0</v>
      </c>
    </row>
    <row r="9443" spans="6:10" hidden="1" x14ac:dyDescent="0.25">
      <c r="F9443" s="380">
        <v>494</v>
      </c>
      <c r="G9443" s="375" t="s">
        <v>4193</v>
      </c>
      <c r="J9443" s="595">
        <f t="shared" si="278"/>
        <v>0</v>
      </c>
    </row>
    <row r="9444" spans="6:10" ht="30" hidden="1" x14ac:dyDescent="0.25">
      <c r="F9444" s="380">
        <v>495</v>
      </c>
      <c r="G9444" s="375" t="s">
        <v>4194</v>
      </c>
      <c r="J9444" s="595">
        <f t="shared" si="278"/>
        <v>0</v>
      </c>
    </row>
    <row r="9445" spans="6:10" ht="30" hidden="1" x14ac:dyDescent="0.25">
      <c r="F9445" s="380">
        <v>496</v>
      </c>
      <c r="G9445" s="375" t="s">
        <v>4195</v>
      </c>
      <c r="J9445" s="595">
        <f t="shared" si="278"/>
        <v>0</v>
      </c>
    </row>
    <row r="9446" spans="6:10" hidden="1" x14ac:dyDescent="0.25">
      <c r="F9446" s="380">
        <v>499</v>
      </c>
      <c r="G9446" s="375" t="s">
        <v>4196</v>
      </c>
      <c r="J9446" s="595">
        <f t="shared" si="278"/>
        <v>0</v>
      </c>
    </row>
    <row r="9447" spans="6:10" ht="15.75" hidden="1" thickBot="1" x14ac:dyDescent="0.3">
      <c r="F9447" s="380">
        <v>511</v>
      </c>
      <c r="G9447" s="378" t="s">
        <v>4216</v>
      </c>
      <c r="J9447" s="595">
        <f t="shared" si="278"/>
        <v>0</v>
      </c>
    </row>
    <row r="9448" spans="6:10" hidden="1" x14ac:dyDescent="0.25">
      <c r="F9448" s="380">
        <v>512</v>
      </c>
      <c r="G9448" s="378" t="s">
        <v>4217</v>
      </c>
      <c r="J9448" s="595">
        <f t="shared" si="278"/>
        <v>0</v>
      </c>
    </row>
    <row r="9449" spans="6:10" hidden="1" x14ac:dyDescent="0.25">
      <c r="F9449" s="380">
        <v>513</v>
      </c>
      <c r="G9449" s="378" t="s">
        <v>4218</v>
      </c>
      <c r="J9449" s="595">
        <f t="shared" si="278"/>
        <v>0</v>
      </c>
    </row>
    <row r="9450" spans="6:10" hidden="1" x14ac:dyDescent="0.25">
      <c r="F9450" s="380">
        <v>514</v>
      </c>
      <c r="G9450" s="375" t="s">
        <v>4219</v>
      </c>
      <c r="J9450" s="595">
        <f t="shared" si="278"/>
        <v>0</v>
      </c>
    </row>
    <row r="9451" spans="6:10" hidden="1" x14ac:dyDescent="0.25">
      <c r="F9451" s="380">
        <v>515</v>
      </c>
      <c r="G9451" s="375" t="s">
        <v>3852</v>
      </c>
      <c r="J9451" s="595">
        <f t="shared" si="278"/>
        <v>0</v>
      </c>
    </row>
    <row r="9452" spans="6:10" hidden="1" x14ac:dyDescent="0.25">
      <c r="F9452" s="380">
        <v>521</v>
      </c>
      <c r="G9452" s="375" t="s">
        <v>4220</v>
      </c>
      <c r="J9452" s="595">
        <f t="shared" si="278"/>
        <v>0</v>
      </c>
    </row>
    <row r="9453" spans="6:10" hidden="1" x14ac:dyDescent="0.25">
      <c r="F9453" s="380">
        <v>522</v>
      </c>
      <c r="G9453" s="375" t="s">
        <v>4221</v>
      </c>
      <c r="J9453" s="595">
        <f t="shared" si="278"/>
        <v>0</v>
      </c>
    </row>
    <row r="9454" spans="6:10" hidden="1" x14ac:dyDescent="0.25">
      <c r="F9454" s="380">
        <v>523</v>
      </c>
      <c r="G9454" s="375" t="s">
        <v>3857</v>
      </c>
      <c r="J9454" s="595">
        <f t="shared" si="278"/>
        <v>0</v>
      </c>
    </row>
    <row r="9455" spans="6:10" hidden="1" x14ac:dyDescent="0.25">
      <c r="F9455" s="380">
        <v>531</v>
      </c>
      <c r="G9455" s="373" t="s">
        <v>4197</v>
      </c>
      <c r="J9455" s="595">
        <f t="shared" si="278"/>
        <v>0</v>
      </c>
    </row>
    <row r="9456" spans="6:10" hidden="1" x14ac:dyDescent="0.25">
      <c r="F9456" s="380">
        <v>541</v>
      </c>
      <c r="G9456" s="375" t="s">
        <v>4222</v>
      </c>
      <c r="J9456" s="595">
        <f t="shared" si="278"/>
        <v>0</v>
      </c>
    </row>
    <row r="9457" spans="5:10" hidden="1" x14ac:dyDescent="0.25">
      <c r="F9457" s="380">
        <v>542</v>
      </c>
      <c r="G9457" s="375" t="s">
        <v>4223</v>
      </c>
      <c r="J9457" s="595">
        <f t="shared" si="278"/>
        <v>0</v>
      </c>
    </row>
    <row r="9458" spans="5:10" hidden="1" x14ac:dyDescent="0.25">
      <c r="F9458" s="380">
        <v>543</v>
      </c>
      <c r="G9458" s="375" t="s">
        <v>3862</v>
      </c>
      <c r="J9458" s="595">
        <f t="shared" si="278"/>
        <v>0</v>
      </c>
    </row>
    <row r="9459" spans="5:10" ht="30" hidden="1" x14ac:dyDescent="0.25">
      <c r="F9459" s="380">
        <v>551</v>
      </c>
      <c r="G9459" s="375" t="s">
        <v>4198</v>
      </c>
      <c r="J9459" s="595">
        <f t="shared" si="278"/>
        <v>0</v>
      </c>
    </row>
    <row r="9460" spans="5:10" hidden="1" x14ac:dyDescent="0.25">
      <c r="F9460" s="381">
        <v>611</v>
      </c>
      <c r="G9460" s="379" t="s">
        <v>3868</v>
      </c>
      <c r="J9460" s="595">
        <f t="shared" si="278"/>
        <v>0</v>
      </c>
    </row>
    <row r="9461" spans="5:10" ht="15.75" hidden="1" thickBot="1" x14ac:dyDescent="0.3">
      <c r="F9461" s="381">
        <v>620</v>
      </c>
      <c r="G9461" s="379" t="s">
        <v>88</v>
      </c>
      <c r="J9461" s="595">
        <f t="shared" si="278"/>
        <v>0</v>
      </c>
    </row>
    <row r="9462" spans="5:10" hidden="1" x14ac:dyDescent="0.25">
      <c r="E9462" s="374"/>
      <c r="F9462" s="381"/>
      <c r="G9462" s="327" t="s">
        <v>4422</v>
      </c>
      <c r="H9462" s="596"/>
      <c r="I9462" s="622"/>
      <c r="J9462" s="597"/>
    </row>
    <row r="9463" spans="5:10" ht="15.75" hidden="1" thickBot="1" x14ac:dyDescent="0.3">
      <c r="E9463" s="222"/>
      <c r="F9463" s="249" t="s">
        <v>234</v>
      </c>
      <c r="G9463" s="252" t="s">
        <v>235</v>
      </c>
      <c r="H9463" s="598">
        <f>SUM(H9402:H9461)</f>
        <v>0</v>
      </c>
      <c r="I9463" s="599"/>
      <c r="J9463" s="599">
        <f t="shared" ref="J9463:J9478" si="279">SUM(H9463:I9463)</f>
        <v>0</v>
      </c>
    </row>
    <row r="9464" spans="5:10" hidden="1" x14ac:dyDescent="0.25">
      <c r="F9464" s="249" t="s">
        <v>236</v>
      </c>
      <c r="G9464" s="252" t="s">
        <v>237</v>
      </c>
      <c r="J9464" s="599">
        <f t="shared" si="279"/>
        <v>0</v>
      </c>
    </row>
    <row r="9465" spans="5:10" hidden="1" x14ac:dyDescent="0.25">
      <c r="F9465" s="249" t="s">
        <v>238</v>
      </c>
      <c r="G9465" s="252" t="s">
        <v>239</v>
      </c>
      <c r="J9465" s="599">
        <f t="shared" si="279"/>
        <v>0</v>
      </c>
    </row>
    <row r="9466" spans="5:10" hidden="1" x14ac:dyDescent="0.25">
      <c r="F9466" s="249" t="s">
        <v>240</v>
      </c>
      <c r="G9466" s="252" t="s">
        <v>241</v>
      </c>
      <c r="J9466" s="599">
        <f t="shared" si="279"/>
        <v>0</v>
      </c>
    </row>
    <row r="9467" spans="5:10" hidden="1" x14ac:dyDescent="0.25">
      <c r="F9467" s="249" t="s">
        <v>242</v>
      </c>
      <c r="G9467" s="252" t="s">
        <v>243</v>
      </c>
      <c r="J9467" s="599">
        <f t="shared" si="279"/>
        <v>0</v>
      </c>
    </row>
    <row r="9468" spans="5:10" hidden="1" x14ac:dyDescent="0.25">
      <c r="F9468" s="249" t="s">
        <v>244</v>
      </c>
      <c r="G9468" s="252" t="s">
        <v>245</v>
      </c>
      <c r="J9468" s="599">
        <f t="shared" si="279"/>
        <v>0</v>
      </c>
    </row>
    <row r="9469" spans="5:10" hidden="1" x14ac:dyDescent="0.25">
      <c r="F9469" s="249" t="s">
        <v>246</v>
      </c>
      <c r="G9469" s="252" t="s">
        <v>247</v>
      </c>
      <c r="J9469" s="599">
        <f t="shared" si="279"/>
        <v>0</v>
      </c>
    </row>
    <row r="9470" spans="5:10" hidden="1" x14ac:dyDescent="0.25">
      <c r="F9470" s="249" t="s">
        <v>248</v>
      </c>
      <c r="G9470" s="252" t="s">
        <v>249</v>
      </c>
      <c r="J9470" s="599">
        <f t="shared" si="279"/>
        <v>0</v>
      </c>
    </row>
    <row r="9471" spans="5:10" hidden="1" x14ac:dyDescent="0.25">
      <c r="F9471" s="249" t="s">
        <v>250</v>
      </c>
      <c r="G9471" s="252" t="s">
        <v>57</v>
      </c>
      <c r="J9471" s="599">
        <f t="shared" si="279"/>
        <v>0</v>
      </c>
    </row>
    <row r="9472" spans="5:10" hidden="1" x14ac:dyDescent="0.25">
      <c r="F9472" s="249" t="s">
        <v>251</v>
      </c>
      <c r="G9472" s="252" t="s">
        <v>252</v>
      </c>
      <c r="J9472" s="599">
        <f t="shared" si="279"/>
        <v>0</v>
      </c>
    </row>
    <row r="9473" spans="5:10" hidden="1" x14ac:dyDescent="0.25">
      <c r="F9473" s="249" t="s">
        <v>253</v>
      </c>
      <c r="G9473" s="252" t="s">
        <v>254</v>
      </c>
      <c r="J9473" s="599">
        <f t="shared" si="279"/>
        <v>0</v>
      </c>
    </row>
    <row r="9474" spans="5:10" ht="30" hidden="1" x14ac:dyDescent="0.25">
      <c r="F9474" s="249" t="s">
        <v>255</v>
      </c>
      <c r="G9474" s="252" t="s">
        <v>256</v>
      </c>
      <c r="J9474" s="599">
        <f t="shared" si="279"/>
        <v>0</v>
      </c>
    </row>
    <row r="9475" spans="5:10" hidden="1" x14ac:dyDescent="0.25">
      <c r="F9475" s="249" t="s">
        <v>257</v>
      </c>
      <c r="G9475" s="252" t="s">
        <v>258</v>
      </c>
      <c r="J9475" s="599">
        <f t="shared" si="279"/>
        <v>0</v>
      </c>
    </row>
    <row r="9476" spans="5:10" ht="30" hidden="1" x14ac:dyDescent="0.25">
      <c r="F9476" s="249" t="s">
        <v>259</v>
      </c>
      <c r="G9476" s="252" t="s">
        <v>260</v>
      </c>
      <c r="J9476" s="599">
        <f t="shared" si="279"/>
        <v>0</v>
      </c>
    </row>
    <row r="9477" spans="5:10" hidden="1" x14ac:dyDescent="0.25">
      <c r="F9477" s="249" t="s">
        <v>261</v>
      </c>
      <c r="G9477" s="252" t="s">
        <v>262</v>
      </c>
      <c r="J9477" s="599">
        <f t="shared" si="279"/>
        <v>0</v>
      </c>
    </row>
    <row r="9478" spans="5:10" ht="15.75" hidden="1" thickBot="1" x14ac:dyDescent="0.3">
      <c r="F9478" s="249" t="s">
        <v>263</v>
      </c>
      <c r="G9478" s="252" t="s">
        <v>264</v>
      </c>
      <c r="H9478" s="598"/>
      <c r="I9478" s="599"/>
      <c r="J9478" s="599">
        <f t="shared" si="279"/>
        <v>0</v>
      </c>
    </row>
    <row r="9479" spans="5:10" ht="15.75" hidden="1" thickBot="1" x14ac:dyDescent="0.3">
      <c r="G9479" s="229" t="s">
        <v>4423</v>
      </c>
      <c r="H9479" s="600">
        <f>SUM(H9463:H9478)</f>
        <v>0</v>
      </c>
      <c r="I9479" s="601">
        <f>SUM(I9464:I9478)</f>
        <v>0</v>
      </c>
      <c r="J9479" s="601">
        <f>SUM(J9463:J9478)</f>
        <v>0</v>
      </c>
    </row>
    <row r="9480" spans="5:10" ht="28.5" hidden="1" collapsed="1" x14ac:dyDescent="0.25">
      <c r="E9480" s="374"/>
      <c r="F9480" s="381"/>
      <c r="G9480" s="231" t="s">
        <v>4432</v>
      </c>
      <c r="H9480" s="602"/>
      <c r="I9480" s="623"/>
      <c r="J9480" s="603"/>
    </row>
    <row r="9481" spans="5:10" ht="15.75" hidden="1" thickBot="1" x14ac:dyDescent="0.3">
      <c r="E9481" s="222"/>
      <c r="F9481" s="249" t="s">
        <v>234</v>
      </c>
      <c r="G9481" s="252" t="s">
        <v>235</v>
      </c>
      <c r="H9481" s="598">
        <f>SUM(H9402:H9461)</f>
        <v>0</v>
      </c>
      <c r="I9481" s="599"/>
      <c r="J9481" s="599">
        <f>SUM(H9481:I9481)</f>
        <v>0</v>
      </c>
    </row>
    <row r="9482" spans="5:10" hidden="1" x14ac:dyDescent="0.25">
      <c r="F9482" s="249" t="s">
        <v>236</v>
      </c>
      <c r="G9482" s="252" t="s">
        <v>237</v>
      </c>
      <c r="J9482" s="599">
        <f t="shared" ref="J9482:J9496" si="280">SUM(H9482:I9482)</f>
        <v>0</v>
      </c>
    </row>
    <row r="9483" spans="5:10" hidden="1" x14ac:dyDescent="0.25">
      <c r="F9483" s="249" t="s">
        <v>238</v>
      </c>
      <c r="G9483" s="252" t="s">
        <v>239</v>
      </c>
      <c r="J9483" s="599">
        <f t="shared" si="280"/>
        <v>0</v>
      </c>
    </row>
    <row r="9484" spans="5:10" hidden="1" x14ac:dyDescent="0.25">
      <c r="F9484" s="249" t="s">
        <v>240</v>
      </c>
      <c r="G9484" s="252" t="s">
        <v>241</v>
      </c>
      <c r="J9484" s="599">
        <f t="shared" si="280"/>
        <v>0</v>
      </c>
    </row>
    <row r="9485" spans="5:10" hidden="1" x14ac:dyDescent="0.25">
      <c r="F9485" s="249" t="s">
        <v>242</v>
      </c>
      <c r="G9485" s="252" t="s">
        <v>243</v>
      </c>
      <c r="J9485" s="599">
        <f t="shared" si="280"/>
        <v>0</v>
      </c>
    </row>
    <row r="9486" spans="5:10" hidden="1" x14ac:dyDescent="0.25">
      <c r="F9486" s="249" t="s">
        <v>244</v>
      </c>
      <c r="G9486" s="252" t="s">
        <v>245</v>
      </c>
      <c r="J9486" s="599">
        <f t="shared" si="280"/>
        <v>0</v>
      </c>
    </row>
    <row r="9487" spans="5:10" hidden="1" x14ac:dyDescent="0.25">
      <c r="F9487" s="249" t="s">
        <v>246</v>
      </c>
      <c r="G9487" s="252" t="s">
        <v>247</v>
      </c>
      <c r="J9487" s="599">
        <f t="shared" si="280"/>
        <v>0</v>
      </c>
    </row>
    <row r="9488" spans="5:10" hidden="1" x14ac:dyDescent="0.25">
      <c r="F9488" s="249" t="s">
        <v>248</v>
      </c>
      <c r="G9488" s="252" t="s">
        <v>249</v>
      </c>
      <c r="J9488" s="599">
        <f t="shared" si="280"/>
        <v>0</v>
      </c>
    </row>
    <row r="9489" spans="1:25" hidden="1" x14ac:dyDescent="0.25">
      <c r="F9489" s="249" t="s">
        <v>250</v>
      </c>
      <c r="G9489" s="252" t="s">
        <v>57</v>
      </c>
      <c r="J9489" s="599">
        <f t="shared" si="280"/>
        <v>0</v>
      </c>
    </row>
    <row r="9490" spans="1:25" hidden="1" x14ac:dyDescent="0.25">
      <c r="F9490" s="249" t="s">
        <v>251</v>
      </c>
      <c r="G9490" s="252" t="s">
        <v>252</v>
      </c>
      <c r="J9490" s="599">
        <f t="shared" si="280"/>
        <v>0</v>
      </c>
    </row>
    <row r="9491" spans="1:25" hidden="1" x14ac:dyDescent="0.25">
      <c r="F9491" s="249" t="s">
        <v>253</v>
      </c>
      <c r="G9491" s="252" t="s">
        <v>254</v>
      </c>
      <c r="J9491" s="599">
        <f t="shared" si="280"/>
        <v>0</v>
      </c>
    </row>
    <row r="9492" spans="1:25" ht="30" hidden="1" x14ac:dyDescent="0.25">
      <c r="F9492" s="249" t="s">
        <v>255</v>
      </c>
      <c r="G9492" s="252" t="s">
        <v>256</v>
      </c>
      <c r="J9492" s="599">
        <f t="shared" si="280"/>
        <v>0</v>
      </c>
    </row>
    <row r="9493" spans="1:25" hidden="1" x14ac:dyDescent="0.25">
      <c r="F9493" s="249" t="s">
        <v>257</v>
      </c>
      <c r="G9493" s="252" t="s">
        <v>258</v>
      </c>
      <c r="J9493" s="599">
        <f t="shared" si="280"/>
        <v>0</v>
      </c>
    </row>
    <row r="9494" spans="1:25" ht="30" hidden="1" x14ac:dyDescent="0.25">
      <c r="F9494" s="249" t="s">
        <v>259</v>
      </c>
      <c r="G9494" s="252" t="s">
        <v>260</v>
      </c>
      <c r="J9494" s="599">
        <f t="shared" si="280"/>
        <v>0</v>
      </c>
    </row>
    <row r="9495" spans="1:25" hidden="1" x14ac:dyDescent="0.25">
      <c r="F9495" s="249" t="s">
        <v>261</v>
      </c>
      <c r="G9495" s="252" t="s">
        <v>262</v>
      </c>
      <c r="J9495" s="599">
        <f t="shared" si="280"/>
        <v>0</v>
      </c>
    </row>
    <row r="9496" spans="1:25" ht="15.75" hidden="1" thickBot="1" x14ac:dyDescent="0.3">
      <c r="F9496" s="249" t="s">
        <v>263</v>
      </c>
      <c r="G9496" s="252" t="s">
        <v>264</v>
      </c>
      <c r="H9496" s="598"/>
      <c r="I9496" s="599"/>
      <c r="J9496" s="599">
        <f t="shared" si="280"/>
        <v>0</v>
      </c>
    </row>
    <row r="9497" spans="1:25" ht="15.75" hidden="1" collapsed="1" thickBot="1" x14ac:dyDescent="0.3">
      <c r="G9497" s="229" t="s">
        <v>4433</v>
      </c>
      <c r="H9497" s="600">
        <f>SUM(H9481:H9496)</f>
        <v>0</v>
      </c>
      <c r="I9497" s="601">
        <f>SUM(I9482:I9496)</f>
        <v>0</v>
      </c>
      <c r="J9497" s="601">
        <f>SUM(J9481:J9496)</f>
        <v>0</v>
      </c>
    </row>
    <row r="9498" spans="1:25" hidden="1" x14ac:dyDescent="0.25"/>
    <row r="9499" spans="1:25" s="88" customFormat="1" hidden="1" x14ac:dyDescent="0.25">
      <c r="A9499" s="377"/>
      <c r="B9499" s="256"/>
      <c r="C9499" s="276" t="s">
        <v>4430</v>
      </c>
      <c r="D9499" s="219"/>
      <c r="E9499" s="219"/>
      <c r="F9499" s="277"/>
      <c r="G9499" s="278" t="s">
        <v>175</v>
      </c>
      <c r="H9499" s="627"/>
      <c r="I9499" s="610"/>
      <c r="J9499" s="628"/>
      <c r="K9499" s="533"/>
      <c r="L9499" s="533"/>
      <c r="M9499" s="533"/>
      <c r="N9499" s="533"/>
      <c r="O9499" s="533"/>
      <c r="P9499" s="533"/>
      <c r="Q9499" s="533"/>
      <c r="R9499" s="533"/>
      <c r="S9499" s="533"/>
      <c r="T9499" s="533"/>
      <c r="U9499" s="533"/>
      <c r="V9499" s="533"/>
      <c r="W9499" s="533"/>
      <c r="X9499" s="533"/>
      <c r="Y9499" s="533"/>
    </row>
    <row r="9500" spans="1:25" hidden="1" x14ac:dyDescent="0.25">
      <c r="C9500" s="228"/>
      <c r="D9500" s="312">
        <v>510</v>
      </c>
      <c r="E9500" s="312"/>
      <c r="F9500" s="312"/>
      <c r="G9500" s="313" t="s">
        <v>175</v>
      </c>
    </row>
    <row r="9501" spans="1:25" hidden="1" x14ac:dyDescent="0.25">
      <c r="F9501" s="380">
        <v>411</v>
      </c>
      <c r="G9501" s="375" t="s">
        <v>4189</v>
      </c>
      <c r="J9501" s="595">
        <f>SUM(H9501:I9501)</f>
        <v>0</v>
      </c>
    </row>
    <row r="9502" spans="1:25" hidden="1" x14ac:dyDescent="0.25">
      <c r="F9502" s="380">
        <v>412</v>
      </c>
      <c r="G9502" s="373" t="s">
        <v>3784</v>
      </c>
      <c r="J9502" s="595">
        <f t="shared" ref="J9502:J9560" si="281">SUM(H9502:I9502)</f>
        <v>0</v>
      </c>
    </row>
    <row r="9503" spans="1:25" hidden="1" x14ac:dyDescent="0.25">
      <c r="F9503" s="380">
        <v>413</v>
      </c>
      <c r="G9503" s="375" t="s">
        <v>4190</v>
      </c>
      <c r="J9503" s="595">
        <f t="shared" si="281"/>
        <v>0</v>
      </c>
    </row>
    <row r="9504" spans="1:25" hidden="1" x14ac:dyDescent="0.25">
      <c r="F9504" s="380">
        <v>414</v>
      </c>
      <c r="G9504" s="375" t="s">
        <v>3787</v>
      </c>
      <c r="J9504" s="595">
        <f t="shared" si="281"/>
        <v>0</v>
      </c>
    </row>
    <row r="9505" spans="6:10" hidden="1" x14ac:dyDescent="0.25">
      <c r="F9505" s="380">
        <v>415</v>
      </c>
      <c r="G9505" s="375" t="s">
        <v>4199</v>
      </c>
      <c r="J9505" s="595">
        <f t="shared" si="281"/>
        <v>0</v>
      </c>
    </row>
    <row r="9506" spans="6:10" hidden="1" x14ac:dyDescent="0.25">
      <c r="F9506" s="380">
        <v>416</v>
      </c>
      <c r="G9506" s="375" t="s">
        <v>4200</v>
      </c>
      <c r="J9506" s="595">
        <f t="shared" si="281"/>
        <v>0</v>
      </c>
    </row>
    <row r="9507" spans="6:10" hidden="1" x14ac:dyDescent="0.25">
      <c r="F9507" s="380">
        <v>417</v>
      </c>
      <c r="G9507" s="375" t="s">
        <v>4201</v>
      </c>
      <c r="J9507" s="595">
        <f t="shared" si="281"/>
        <v>0</v>
      </c>
    </row>
    <row r="9508" spans="6:10" hidden="1" x14ac:dyDescent="0.25">
      <c r="F9508" s="380">
        <v>418</v>
      </c>
      <c r="G9508" s="375" t="s">
        <v>3793</v>
      </c>
      <c r="J9508" s="595">
        <f t="shared" si="281"/>
        <v>0</v>
      </c>
    </row>
    <row r="9509" spans="6:10" hidden="1" x14ac:dyDescent="0.25">
      <c r="F9509" s="380">
        <v>421</v>
      </c>
      <c r="G9509" s="375" t="s">
        <v>3797</v>
      </c>
      <c r="J9509" s="595">
        <f t="shared" si="281"/>
        <v>0</v>
      </c>
    </row>
    <row r="9510" spans="6:10" hidden="1" x14ac:dyDescent="0.25">
      <c r="F9510" s="380">
        <v>422</v>
      </c>
      <c r="G9510" s="375" t="s">
        <v>3798</v>
      </c>
      <c r="J9510" s="595">
        <f t="shared" si="281"/>
        <v>0</v>
      </c>
    </row>
    <row r="9511" spans="6:10" hidden="1" x14ac:dyDescent="0.25">
      <c r="F9511" s="380">
        <v>423</v>
      </c>
      <c r="G9511" s="375" t="s">
        <v>3799</v>
      </c>
      <c r="J9511" s="595">
        <f t="shared" si="281"/>
        <v>0</v>
      </c>
    </row>
    <row r="9512" spans="6:10" hidden="1" x14ac:dyDescent="0.25">
      <c r="F9512" s="380">
        <v>424</v>
      </c>
      <c r="G9512" s="375" t="s">
        <v>3801</v>
      </c>
      <c r="J9512" s="595">
        <f t="shared" si="281"/>
        <v>0</v>
      </c>
    </row>
    <row r="9513" spans="6:10" hidden="1" x14ac:dyDescent="0.25">
      <c r="F9513" s="380">
        <v>425</v>
      </c>
      <c r="G9513" s="375" t="s">
        <v>4202</v>
      </c>
      <c r="J9513" s="595">
        <f t="shared" si="281"/>
        <v>0</v>
      </c>
    </row>
    <row r="9514" spans="6:10" hidden="1" x14ac:dyDescent="0.25">
      <c r="F9514" s="380">
        <v>426</v>
      </c>
      <c r="G9514" s="375" t="s">
        <v>3805</v>
      </c>
      <c r="J9514" s="595">
        <f t="shared" si="281"/>
        <v>0</v>
      </c>
    </row>
    <row r="9515" spans="6:10" hidden="1" x14ac:dyDescent="0.25">
      <c r="F9515" s="380">
        <v>431</v>
      </c>
      <c r="G9515" s="375" t="s">
        <v>4203</v>
      </c>
      <c r="J9515" s="595">
        <f t="shared" si="281"/>
        <v>0</v>
      </c>
    </row>
    <row r="9516" spans="6:10" hidden="1" x14ac:dyDescent="0.25">
      <c r="F9516" s="380">
        <v>432</v>
      </c>
      <c r="G9516" s="375" t="s">
        <v>4204</v>
      </c>
      <c r="J9516" s="595">
        <f t="shared" si="281"/>
        <v>0</v>
      </c>
    </row>
    <row r="9517" spans="6:10" hidden="1" x14ac:dyDescent="0.25">
      <c r="F9517" s="380">
        <v>433</v>
      </c>
      <c r="G9517" s="375" t="s">
        <v>4205</v>
      </c>
      <c r="J9517" s="595">
        <f t="shared" si="281"/>
        <v>0</v>
      </c>
    </row>
    <row r="9518" spans="6:10" hidden="1" x14ac:dyDescent="0.25">
      <c r="F9518" s="380">
        <v>434</v>
      </c>
      <c r="G9518" s="375" t="s">
        <v>4206</v>
      </c>
      <c r="J9518" s="595">
        <f t="shared" si="281"/>
        <v>0</v>
      </c>
    </row>
    <row r="9519" spans="6:10" hidden="1" x14ac:dyDescent="0.25">
      <c r="F9519" s="380">
        <v>435</v>
      </c>
      <c r="G9519" s="375" t="s">
        <v>3812</v>
      </c>
      <c r="J9519" s="595">
        <f t="shared" si="281"/>
        <v>0</v>
      </c>
    </row>
    <row r="9520" spans="6:10" hidden="1" x14ac:dyDescent="0.25">
      <c r="F9520" s="380">
        <v>441</v>
      </c>
      <c r="G9520" s="375" t="s">
        <v>4207</v>
      </c>
      <c r="J9520" s="595">
        <f t="shared" si="281"/>
        <v>0</v>
      </c>
    </row>
    <row r="9521" spans="6:10" hidden="1" x14ac:dyDescent="0.25">
      <c r="F9521" s="380">
        <v>442</v>
      </c>
      <c r="G9521" s="375" t="s">
        <v>4208</v>
      </c>
      <c r="J9521" s="595">
        <f t="shared" si="281"/>
        <v>0</v>
      </c>
    </row>
    <row r="9522" spans="6:10" hidden="1" x14ac:dyDescent="0.25">
      <c r="F9522" s="380">
        <v>443</v>
      </c>
      <c r="G9522" s="375" t="s">
        <v>3817</v>
      </c>
      <c r="J9522" s="595">
        <f t="shared" si="281"/>
        <v>0</v>
      </c>
    </row>
    <row r="9523" spans="6:10" hidden="1" x14ac:dyDescent="0.25">
      <c r="F9523" s="380">
        <v>444</v>
      </c>
      <c r="G9523" s="375" t="s">
        <v>3818</v>
      </c>
      <c r="J9523" s="595">
        <f t="shared" si="281"/>
        <v>0</v>
      </c>
    </row>
    <row r="9524" spans="6:10" ht="30" hidden="1" x14ac:dyDescent="0.25">
      <c r="F9524" s="380">
        <v>4511</v>
      </c>
      <c r="G9524" s="223" t="s">
        <v>1692</v>
      </c>
      <c r="J9524" s="595">
        <f t="shared" si="281"/>
        <v>0</v>
      </c>
    </row>
    <row r="9525" spans="6:10" ht="19.5" hidden="1" customHeight="1" x14ac:dyDescent="0.25">
      <c r="F9525" s="380">
        <v>4512</v>
      </c>
      <c r="G9525" s="223" t="s">
        <v>1701</v>
      </c>
      <c r="J9525" s="595">
        <f t="shared" si="281"/>
        <v>0</v>
      </c>
    </row>
    <row r="9526" spans="6:10" hidden="1" x14ac:dyDescent="0.25">
      <c r="F9526" s="380">
        <v>452</v>
      </c>
      <c r="G9526" s="375" t="s">
        <v>4209</v>
      </c>
      <c r="J9526" s="595">
        <f t="shared" si="281"/>
        <v>0</v>
      </c>
    </row>
    <row r="9527" spans="6:10" hidden="1" x14ac:dyDescent="0.25">
      <c r="F9527" s="380">
        <v>453</v>
      </c>
      <c r="G9527" s="375" t="s">
        <v>4210</v>
      </c>
      <c r="J9527" s="595">
        <f t="shared" si="281"/>
        <v>0</v>
      </c>
    </row>
    <row r="9528" spans="6:10" hidden="1" x14ac:dyDescent="0.25">
      <c r="F9528" s="380">
        <v>454</v>
      </c>
      <c r="G9528" s="375" t="s">
        <v>3823</v>
      </c>
      <c r="J9528" s="595">
        <f t="shared" si="281"/>
        <v>0</v>
      </c>
    </row>
    <row r="9529" spans="6:10" hidden="1" x14ac:dyDescent="0.25">
      <c r="F9529" s="380">
        <v>461</v>
      </c>
      <c r="G9529" s="375" t="s">
        <v>4191</v>
      </c>
      <c r="J9529" s="595">
        <f t="shared" si="281"/>
        <v>0</v>
      </c>
    </row>
    <row r="9530" spans="6:10" hidden="1" x14ac:dyDescent="0.25">
      <c r="F9530" s="380">
        <v>462</v>
      </c>
      <c r="G9530" s="375" t="s">
        <v>3826</v>
      </c>
      <c r="J9530" s="595">
        <f t="shared" si="281"/>
        <v>0</v>
      </c>
    </row>
    <row r="9531" spans="6:10" hidden="1" x14ac:dyDescent="0.25">
      <c r="F9531" s="380">
        <v>4631</v>
      </c>
      <c r="G9531" s="375" t="s">
        <v>3827</v>
      </c>
      <c r="J9531" s="595">
        <f t="shared" si="281"/>
        <v>0</v>
      </c>
    </row>
    <row r="9532" spans="6:10" hidden="1" x14ac:dyDescent="0.25">
      <c r="F9532" s="380">
        <v>4632</v>
      </c>
      <c r="G9532" s="375" t="s">
        <v>3828</v>
      </c>
      <c r="J9532" s="595">
        <f t="shared" si="281"/>
        <v>0</v>
      </c>
    </row>
    <row r="9533" spans="6:10" hidden="1" x14ac:dyDescent="0.25">
      <c r="F9533" s="380">
        <v>464</v>
      </c>
      <c r="G9533" s="375" t="s">
        <v>3829</v>
      </c>
      <c r="J9533" s="595">
        <f t="shared" si="281"/>
        <v>0</v>
      </c>
    </row>
    <row r="9534" spans="6:10" hidden="1" x14ac:dyDescent="0.25">
      <c r="F9534" s="380">
        <v>465</v>
      </c>
      <c r="G9534" s="375" t="s">
        <v>4192</v>
      </c>
      <c r="J9534" s="595">
        <f t="shared" si="281"/>
        <v>0</v>
      </c>
    </row>
    <row r="9535" spans="6:10" hidden="1" x14ac:dyDescent="0.25">
      <c r="F9535" s="380">
        <v>472</v>
      </c>
      <c r="G9535" s="375" t="s">
        <v>3833</v>
      </c>
      <c r="J9535" s="595">
        <f t="shared" si="281"/>
        <v>0</v>
      </c>
    </row>
    <row r="9536" spans="6:10" hidden="1" x14ac:dyDescent="0.25">
      <c r="F9536" s="380">
        <v>481</v>
      </c>
      <c r="G9536" s="375" t="s">
        <v>4211</v>
      </c>
      <c r="J9536" s="595">
        <f t="shared" si="281"/>
        <v>0</v>
      </c>
    </row>
    <row r="9537" spans="6:10" hidden="1" x14ac:dyDescent="0.25">
      <c r="F9537" s="380">
        <v>482</v>
      </c>
      <c r="G9537" s="375" t="s">
        <v>4212</v>
      </c>
      <c r="J9537" s="595">
        <f t="shared" si="281"/>
        <v>0</v>
      </c>
    </row>
    <row r="9538" spans="6:10" hidden="1" x14ac:dyDescent="0.25">
      <c r="F9538" s="380">
        <v>483</v>
      </c>
      <c r="G9538" s="378" t="s">
        <v>4213</v>
      </c>
      <c r="J9538" s="595">
        <f t="shared" si="281"/>
        <v>0</v>
      </c>
    </row>
    <row r="9539" spans="6:10" ht="30" hidden="1" x14ac:dyDescent="0.25">
      <c r="F9539" s="380">
        <v>484</v>
      </c>
      <c r="G9539" s="375" t="s">
        <v>4214</v>
      </c>
      <c r="J9539" s="595">
        <f t="shared" si="281"/>
        <v>0</v>
      </c>
    </row>
    <row r="9540" spans="6:10" ht="30" hidden="1" x14ac:dyDescent="0.25">
      <c r="F9540" s="380">
        <v>485</v>
      </c>
      <c r="G9540" s="375" t="s">
        <v>4215</v>
      </c>
      <c r="J9540" s="595">
        <f t="shared" si="281"/>
        <v>0</v>
      </c>
    </row>
    <row r="9541" spans="6:10" ht="30" hidden="1" x14ac:dyDescent="0.25">
      <c r="F9541" s="380">
        <v>489</v>
      </c>
      <c r="G9541" s="375" t="s">
        <v>3841</v>
      </c>
      <c r="J9541" s="595">
        <f t="shared" si="281"/>
        <v>0</v>
      </c>
    </row>
    <row r="9542" spans="6:10" hidden="1" x14ac:dyDescent="0.25">
      <c r="F9542" s="380">
        <v>494</v>
      </c>
      <c r="G9542" s="375" t="s">
        <v>4193</v>
      </c>
      <c r="J9542" s="595">
        <f t="shared" si="281"/>
        <v>0</v>
      </c>
    </row>
    <row r="9543" spans="6:10" ht="30" hidden="1" x14ac:dyDescent="0.25">
      <c r="F9543" s="380">
        <v>495</v>
      </c>
      <c r="G9543" s="375" t="s">
        <v>4194</v>
      </c>
      <c r="J9543" s="595">
        <f t="shared" si="281"/>
        <v>0</v>
      </c>
    </row>
    <row r="9544" spans="6:10" ht="30" hidden="1" x14ac:dyDescent="0.25">
      <c r="F9544" s="380">
        <v>496</v>
      </c>
      <c r="G9544" s="375" t="s">
        <v>4195</v>
      </c>
      <c r="J9544" s="595">
        <f t="shared" si="281"/>
        <v>0</v>
      </c>
    </row>
    <row r="9545" spans="6:10" hidden="1" x14ac:dyDescent="0.25">
      <c r="F9545" s="380">
        <v>499</v>
      </c>
      <c r="G9545" s="375" t="s">
        <v>4196</v>
      </c>
      <c r="J9545" s="595">
        <f t="shared" si="281"/>
        <v>0</v>
      </c>
    </row>
    <row r="9546" spans="6:10" ht="15.75" hidden="1" thickBot="1" x14ac:dyDescent="0.3">
      <c r="F9546" s="380">
        <v>511</v>
      </c>
      <c r="G9546" s="378" t="s">
        <v>4216</v>
      </c>
      <c r="J9546" s="595">
        <f t="shared" si="281"/>
        <v>0</v>
      </c>
    </row>
    <row r="9547" spans="6:10" hidden="1" x14ac:dyDescent="0.25">
      <c r="F9547" s="380">
        <v>512</v>
      </c>
      <c r="G9547" s="378" t="s">
        <v>4217</v>
      </c>
      <c r="J9547" s="595">
        <f t="shared" si="281"/>
        <v>0</v>
      </c>
    </row>
    <row r="9548" spans="6:10" hidden="1" x14ac:dyDescent="0.25">
      <c r="F9548" s="380">
        <v>513</v>
      </c>
      <c r="G9548" s="378" t="s">
        <v>4218</v>
      </c>
      <c r="J9548" s="595">
        <f t="shared" si="281"/>
        <v>0</v>
      </c>
    </row>
    <row r="9549" spans="6:10" hidden="1" x14ac:dyDescent="0.25">
      <c r="F9549" s="380">
        <v>514</v>
      </c>
      <c r="G9549" s="375" t="s">
        <v>4219</v>
      </c>
      <c r="J9549" s="595">
        <f t="shared" si="281"/>
        <v>0</v>
      </c>
    </row>
    <row r="9550" spans="6:10" hidden="1" x14ac:dyDescent="0.25">
      <c r="F9550" s="380">
        <v>515</v>
      </c>
      <c r="G9550" s="375" t="s">
        <v>3852</v>
      </c>
      <c r="J9550" s="595">
        <f t="shared" si="281"/>
        <v>0</v>
      </c>
    </row>
    <row r="9551" spans="6:10" hidden="1" x14ac:dyDescent="0.25">
      <c r="F9551" s="380">
        <v>521</v>
      </c>
      <c r="G9551" s="375" t="s">
        <v>4220</v>
      </c>
      <c r="J9551" s="595">
        <f t="shared" si="281"/>
        <v>0</v>
      </c>
    </row>
    <row r="9552" spans="6:10" hidden="1" x14ac:dyDescent="0.25">
      <c r="F9552" s="380">
        <v>522</v>
      </c>
      <c r="G9552" s="375" t="s">
        <v>4221</v>
      </c>
      <c r="J9552" s="595">
        <f t="shared" si="281"/>
        <v>0</v>
      </c>
    </row>
    <row r="9553" spans="5:10" hidden="1" x14ac:dyDescent="0.25">
      <c r="F9553" s="380">
        <v>523</v>
      </c>
      <c r="G9553" s="375" t="s">
        <v>3857</v>
      </c>
      <c r="J9553" s="595">
        <f t="shared" si="281"/>
        <v>0</v>
      </c>
    </row>
    <row r="9554" spans="5:10" hidden="1" x14ac:dyDescent="0.25">
      <c r="F9554" s="380">
        <v>531</v>
      </c>
      <c r="G9554" s="373" t="s">
        <v>4197</v>
      </c>
      <c r="J9554" s="595">
        <f t="shared" si="281"/>
        <v>0</v>
      </c>
    </row>
    <row r="9555" spans="5:10" hidden="1" x14ac:dyDescent="0.25">
      <c r="F9555" s="380">
        <v>541</v>
      </c>
      <c r="G9555" s="375" t="s">
        <v>4222</v>
      </c>
      <c r="J9555" s="595">
        <f t="shared" si="281"/>
        <v>0</v>
      </c>
    </row>
    <row r="9556" spans="5:10" hidden="1" x14ac:dyDescent="0.25">
      <c r="F9556" s="380">
        <v>542</v>
      </c>
      <c r="G9556" s="375" t="s">
        <v>4223</v>
      </c>
      <c r="J9556" s="595">
        <f t="shared" si="281"/>
        <v>0</v>
      </c>
    </row>
    <row r="9557" spans="5:10" hidden="1" x14ac:dyDescent="0.25">
      <c r="F9557" s="380">
        <v>543</v>
      </c>
      <c r="G9557" s="375" t="s">
        <v>3862</v>
      </c>
      <c r="J9557" s="595">
        <f t="shared" si="281"/>
        <v>0</v>
      </c>
    </row>
    <row r="9558" spans="5:10" ht="30" hidden="1" x14ac:dyDescent="0.25">
      <c r="F9558" s="380">
        <v>551</v>
      </c>
      <c r="G9558" s="375" t="s">
        <v>4198</v>
      </c>
      <c r="J9558" s="595">
        <f t="shared" si="281"/>
        <v>0</v>
      </c>
    </row>
    <row r="9559" spans="5:10" hidden="1" x14ac:dyDescent="0.25">
      <c r="F9559" s="381">
        <v>611</v>
      </c>
      <c r="G9559" s="379" t="s">
        <v>3868</v>
      </c>
      <c r="J9559" s="595">
        <f t="shared" si="281"/>
        <v>0</v>
      </c>
    </row>
    <row r="9560" spans="5:10" ht="15.75" hidden="1" thickBot="1" x14ac:dyDescent="0.3">
      <c r="F9560" s="381">
        <v>620</v>
      </c>
      <c r="G9560" s="379" t="s">
        <v>88</v>
      </c>
      <c r="J9560" s="595">
        <f t="shared" si="281"/>
        <v>0</v>
      </c>
    </row>
    <row r="9561" spans="5:10" hidden="1" x14ac:dyDescent="0.25">
      <c r="E9561" s="374"/>
      <c r="F9561" s="381"/>
      <c r="G9561" s="327" t="s">
        <v>4424</v>
      </c>
      <c r="H9561" s="596"/>
      <c r="I9561" s="622"/>
      <c r="J9561" s="597"/>
    </row>
    <row r="9562" spans="5:10" ht="15.75" hidden="1" thickBot="1" x14ac:dyDescent="0.3">
      <c r="E9562" s="222"/>
      <c r="F9562" s="249" t="s">
        <v>234</v>
      </c>
      <c r="G9562" s="252" t="s">
        <v>235</v>
      </c>
      <c r="H9562" s="598">
        <f>SUM(H9501:H9560)</f>
        <v>0</v>
      </c>
      <c r="I9562" s="599"/>
      <c r="J9562" s="599">
        <f t="shared" ref="J9562:J9577" si="282">SUM(H9562:I9562)</f>
        <v>0</v>
      </c>
    </row>
    <row r="9563" spans="5:10" hidden="1" x14ac:dyDescent="0.25">
      <c r="F9563" s="249" t="s">
        <v>236</v>
      </c>
      <c r="G9563" s="252" t="s">
        <v>237</v>
      </c>
      <c r="J9563" s="599">
        <f t="shared" si="282"/>
        <v>0</v>
      </c>
    </row>
    <row r="9564" spans="5:10" hidden="1" x14ac:dyDescent="0.25">
      <c r="F9564" s="249" t="s">
        <v>238</v>
      </c>
      <c r="G9564" s="252" t="s">
        <v>239</v>
      </c>
      <c r="J9564" s="599">
        <f t="shared" si="282"/>
        <v>0</v>
      </c>
    </row>
    <row r="9565" spans="5:10" hidden="1" x14ac:dyDescent="0.25">
      <c r="F9565" s="249" t="s">
        <v>240</v>
      </c>
      <c r="G9565" s="252" t="s">
        <v>241</v>
      </c>
      <c r="J9565" s="599">
        <f t="shared" si="282"/>
        <v>0</v>
      </c>
    </row>
    <row r="9566" spans="5:10" hidden="1" x14ac:dyDescent="0.25">
      <c r="F9566" s="249" t="s">
        <v>242</v>
      </c>
      <c r="G9566" s="252" t="s">
        <v>243</v>
      </c>
      <c r="J9566" s="599">
        <f t="shared" si="282"/>
        <v>0</v>
      </c>
    </row>
    <row r="9567" spans="5:10" hidden="1" x14ac:dyDescent="0.25">
      <c r="F9567" s="249" t="s">
        <v>244</v>
      </c>
      <c r="G9567" s="252" t="s">
        <v>245</v>
      </c>
      <c r="J9567" s="599">
        <f t="shared" si="282"/>
        <v>0</v>
      </c>
    </row>
    <row r="9568" spans="5:10" hidden="1" x14ac:dyDescent="0.25">
      <c r="F9568" s="249" t="s">
        <v>246</v>
      </c>
      <c r="G9568" s="252" t="s">
        <v>247</v>
      </c>
      <c r="J9568" s="599">
        <f t="shared" si="282"/>
        <v>0</v>
      </c>
    </row>
    <row r="9569" spans="5:10" hidden="1" x14ac:dyDescent="0.25">
      <c r="F9569" s="249" t="s">
        <v>248</v>
      </c>
      <c r="G9569" s="252" t="s">
        <v>249</v>
      </c>
      <c r="J9569" s="599">
        <f t="shared" si="282"/>
        <v>0</v>
      </c>
    </row>
    <row r="9570" spans="5:10" hidden="1" x14ac:dyDescent="0.25">
      <c r="F9570" s="249" t="s">
        <v>250</v>
      </c>
      <c r="G9570" s="252" t="s">
        <v>57</v>
      </c>
      <c r="J9570" s="599">
        <f t="shared" si="282"/>
        <v>0</v>
      </c>
    </row>
    <row r="9571" spans="5:10" hidden="1" x14ac:dyDescent="0.25">
      <c r="F9571" s="249" t="s">
        <v>251</v>
      </c>
      <c r="G9571" s="252" t="s">
        <v>252</v>
      </c>
      <c r="J9571" s="599">
        <f t="shared" si="282"/>
        <v>0</v>
      </c>
    </row>
    <row r="9572" spans="5:10" hidden="1" x14ac:dyDescent="0.25">
      <c r="F9572" s="249" t="s">
        <v>253</v>
      </c>
      <c r="G9572" s="252" t="s">
        <v>254</v>
      </c>
      <c r="J9572" s="599">
        <f t="shared" si="282"/>
        <v>0</v>
      </c>
    </row>
    <row r="9573" spans="5:10" ht="30" hidden="1" x14ac:dyDescent="0.25">
      <c r="F9573" s="249" t="s">
        <v>255</v>
      </c>
      <c r="G9573" s="252" t="s">
        <v>256</v>
      </c>
      <c r="J9573" s="599">
        <f t="shared" si="282"/>
        <v>0</v>
      </c>
    </row>
    <row r="9574" spans="5:10" hidden="1" x14ac:dyDescent="0.25">
      <c r="F9574" s="249" t="s">
        <v>257</v>
      </c>
      <c r="G9574" s="252" t="s">
        <v>258</v>
      </c>
      <c r="J9574" s="599">
        <f t="shared" si="282"/>
        <v>0</v>
      </c>
    </row>
    <row r="9575" spans="5:10" ht="30" hidden="1" x14ac:dyDescent="0.25">
      <c r="F9575" s="249" t="s">
        <v>259</v>
      </c>
      <c r="G9575" s="252" t="s">
        <v>260</v>
      </c>
      <c r="J9575" s="599">
        <f t="shared" si="282"/>
        <v>0</v>
      </c>
    </row>
    <row r="9576" spans="5:10" hidden="1" x14ac:dyDescent="0.25">
      <c r="F9576" s="249" t="s">
        <v>261</v>
      </c>
      <c r="G9576" s="252" t="s">
        <v>262</v>
      </c>
      <c r="J9576" s="599">
        <f t="shared" si="282"/>
        <v>0</v>
      </c>
    </row>
    <row r="9577" spans="5:10" ht="15.75" hidden="1" thickBot="1" x14ac:dyDescent="0.3">
      <c r="F9577" s="249" t="s">
        <v>263</v>
      </c>
      <c r="G9577" s="252" t="s">
        <v>264</v>
      </c>
      <c r="H9577" s="598"/>
      <c r="I9577" s="599"/>
      <c r="J9577" s="599">
        <f t="shared" si="282"/>
        <v>0</v>
      </c>
    </row>
    <row r="9578" spans="5:10" ht="15.75" hidden="1" thickBot="1" x14ac:dyDescent="0.3">
      <c r="G9578" s="229" t="s">
        <v>4425</v>
      </c>
      <c r="H9578" s="600">
        <f>SUM(H9562:H9577)</f>
        <v>0</v>
      </c>
      <c r="I9578" s="601">
        <f>SUM(I9563:I9577)</f>
        <v>0</v>
      </c>
      <c r="J9578" s="601">
        <f>SUM(J9562:J9577)</f>
        <v>0</v>
      </c>
    </row>
    <row r="9579" spans="5:10" ht="28.5" hidden="1" collapsed="1" x14ac:dyDescent="0.25">
      <c r="E9579" s="374"/>
      <c r="F9579" s="381"/>
      <c r="G9579" s="231" t="s">
        <v>4434</v>
      </c>
      <c r="H9579" s="602"/>
      <c r="I9579" s="623"/>
      <c r="J9579" s="603"/>
    </row>
    <row r="9580" spans="5:10" ht="15.75" hidden="1" thickBot="1" x14ac:dyDescent="0.3">
      <c r="E9580" s="222"/>
      <c r="F9580" s="249" t="s">
        <v>234</v>
      </c>
      <c r="G9580" s="252" t="s">
        <v>235</v>
      </c>
      <c r="H9580" s="598">
        <f>SUM(H9501:H9560)</f>
        <v>0</v>
      </c>
      <c r="I9580" s="599"/>
      <c r="J9580" s="599">
        <f>SUM(H9580:I9580)</f>
        <v>0</v>
      </c>
    </row>
    <row r="9581" spans="5:10" hidden="1" x14ac:dyDescent="0.25">
      <c r="F9581" s="249" t="s">
        <v>236</v>
      </c>
      <c r="G9581" s="252" t="s">
        <v>237</v>
      </c>
      <c r="J9581" s="599">
        <f t="shared" ref="J9581:J9595" si="283">SUM(H9581:I9581)</f>
        <v>0</v>
      </c>
    </row>
    <row r="9582" spans="5:10" hidden="1" x14ac:dyDescent="0.25">
      <c r="F9582" s="249" t="s">
        <v>238</v>
      </c>
      <c r="G9582" s="252" t="s">
        <v>239</v>
      </c>
      <c r="J9582" s="599">
        <f t="shared" si="283"/>
        <v>0</v>
      </c>
    </row>
    <row r="9583" spans="5:10" hidden="1" x14ac:dyDescent="0.25">
      <c r="F9583" s="249" t="s">
        <v>240</v>
      </c>
      <c r="G9583" s="252" t="s">
        <v>241</v>
      </c>
      <c r="J9583" s="599">
        <f t="shared" si="283"/>
        <v>0</v>
      </c>
    </row>
    <row r="9584" spans="5:10" hidden="1" x14ac:dyDescent="0.25">
      <c r="F9584" s="249" t="s">
        <v>242</v>
      </c>
      <c r="G9584" s="252" t="s">
        <v>243</v>
      </c>
      <c r="J9584" s="599">
        <f t="shared" si="283"/>
        <v>0</v>
      </c>
    </row>
    <row r="9585" spans="1:25" hidden="1" x14ac:dyDescent="0.25">
      <c r="F9585" s="249" t="s">
        <v>244</v>
      </c>
      <c r="G9585" s="252" t="s">
        <v>245</v>
      </c>
      <c r="J9585" s="599">
        <f t="shared" si="283"/>
        <v>0</v>
      </c>
    </row>
    <row r="9586" spans="1:25" hidden="1" x14ac:dyDescent="0.25">
      <c r="F9586" s="249" t="s">
        <v>246</v>
      </c>
      <c r="G9586" s="252" t="s">
        <v>247</v>
      </c>
      <c r="J9586" s="599">
        <f t="shared" si="283"/>
        <v>0</v>
      </c>
    </row>
    <row r="9587" spans="1:25" hidden="1" x14ac:dyDescent="0.25">
      <c r="F9587" s="249" t="s">
        <v>248</v>
      </c>
      <c r="G9587" s="252" t="s">
        <v>249</v>
      </c>
      <c r="J9587" s="599">
        <f t="shared" si="283"/>
        <v>0</v>
      </c>
    </row>
    <row r="9588" spans="1:25" hidden="1" x14ac:dyDescent="0.25">
      <c r="F9588" s="249" t="s">
        <v>250</v>
      </c>
      <c r="G9588" s="252" t="s">
        <v>57</v>
      </c>
      <c r="J9588" s="599">
        <f t="shared" si="283"/>
        <v>0</v>
      </c>
    </row>
    <row r="9589" spans="1:25" hidden="1" x14ac:dyDescent="0.25">
      <c r="F9589" s="249" t="s">
        <v>251</v>
      </c>
      <c r="G9589" s="252" t="s">
        <v>252</v>
      </c>
      <c r="J9589" s="599">
        <f t="shared" si="283"/>
        <v>0</v>
      </c>
    </row>
    <row r="9590" spans="1:25" hidden="1" x14ac:dyDescent="0.25">
      <c r="F9590" s="249" t="s">
        <v>253</v>
      </c>
      <c r="G9590" s="252" t="s">
        <v>254</v>
      </c>
      <c r="J9590" s="599">
        <f t="shared" si="283"/>
        <v>0</v>
      </c>
    </row>
    <row r="9591" spans="1:25" ht="30" hidden="1" x14ac:dyDescent="0.25">
      <c r="F9591" s="249" t="s">
        <v>255</v>
      </c>
      <c r="G9591" s="252" t="s">
        <v>256</v>
      </c>
      <c r="J9591" s="599">
        <f t="shared" si="283"/>
        <v>0</v>
      </c>
    </row>
    <row r="9592" spans="1:25" hidden="1" x14ac:dyDescent="0.25">
      <c r="F9592" s="249" t="s">
        <v>257</v>
      </c>
      <c r="G9592" s="252" t="s">
        <v>258</v>
      </c>
      <c r="J9592" s="599">
        <f t="shared" si="283"/>
        <v>0</v>
      </c>
    </row>
    <row r="9593" spans="1:25" ht="30" hidden="1" x14ac:dyDescent="0.25">
      <c r="F9593" s="249" t="s">
        <v>259</v>
      </c>
      <c r="G9593" s="252" t="s">
        <v>260</v>
      </c>
      <c r="J9593" s="599">
        <f t="shared" si="283"/>
        <v>0</v>
      </c>
    </row>
    <row r="9594" spans="1:25" hidden="1" x14ac:dyDescent="0.25">
      <c r="F9594" s="249" t="s">
        <v>261</v>
      </c>
      <c r="G9594" s="252" t="s">
        <v>262</v>
      </c>
      <c r="J9594" s="599">
        <f t="shared" si="283"/>
        <v>0</v>
      </c>
    </row>
    <row r="9595" spans="1:25" ht="15.75" hidden="1" thickBot="1" x14ac:dyDescent="0.3">
      <c r="F9595" s="249" t="s">
        <v>263</v>
      </c>
      <c r="G9595" s="252" t="s">
        <v>264</v>
      </c>
      <c r="H9595" s="598"/>
      <c r="I9595" s="599"/>
      <c r="J9595" s="599">
        <f t="shared" si="283"/>
        <v>0</v>
      </c>
    </row>
    <row r="9596" spans="1:25" ht="15.75" hidden="1" collapsed="1" thickBot="1" x14ac:dyDescent="0.3">
      <c r="G9596" s="229" t="s">
        <v>4435</v>
      </c>
      <c r="H9596" s="600">
        <f>SUM(H9580:H9595)</f>
        <v>0</v>
      </c>
      <c r="I9596" s="601">
        <f>SUM(I9581:I9595)</f>
        <v>0</v>
      </c>
      <c r="J9596" s="601">
        <f>SUM(J9580:J9595)</f>
        <v>0</v>
      </c>
    </row>
    <row r="9597" spans="1:25" hidden="1" x14ac:dyDescent="0.25"/>
    <row r="9598" spans="1:25" s="88" customFormat="1" hidden="1" x14ac:dyDescent="0.25">
      <c r="A9598" s="377"/>
      <c r="B9598" s="256"/>
      <c r="C9598" s="276" t="s">
        <v>4436</v>
      </c>
      <c r="D9598" s="219"/>
      <c r="E9598" s="219"/>
      <c r="F9598" s="277"/>
      <c r="G9598" s="278" t="s">
        <v>4085</v>
      </c>
      <c r="H9598" s="627"/>
      <c r="I9598" s="610"/>
      <c r="J9598" s="628"/>
      <c r="K9598" s="533"/>
      <c r="L9598" s="533"/>
      <c r="M9598" s="533"/>
      <c r="N9598" s="533"/>
      <c r="O9598" s="533"/>
      <c r="P9598" s="533"/>
      <c r="Q9598" s="533"/>
      <c r="R9598" s="533"/>
      <c r="S9598" s="533"/>
      <c r="T9598" s="533"/>
      <c r="U9598" s="533"/>
      <c r="V9598" s="533"/>
      <c r="W9598" s="533"/>
      <c r="X9598" s="533"/>
      <c r="Y9598" s="533"/>
    </row>
    <row r="9599" spans="1:25" hidden="1" x14ac:dyDescent="0.25">
      <c r="C9599" s="228"/>
      <c r="D9599" s="312">
        <v>451</v>
      </c>
      <c r="E9599" s="312"/>
      <c r="F9599" s="312"/>
      <c r="G9599" s="313" t="s">
        <v>153</v>
      </c>
    </row>
    <row r="9600" spans="1:25" hidden="1" x14ac:dyDescent="0.25">
      <c r="F9600" s="380">
        <v>411</v>
      </c>
      <c r="G9600" s="375" t="s">
        <v>4189</v>
      </c>
      <c r="J9600" s="595">
        <f>SUM(H9600:I9600)</f>
        <v>0</v>
      </c>
    </row>
    <row r="9601" spans="6:10" hidden="1" x14ac:dyDescent="0.25">
      <c r="F9601" s="380">
        <v>412</v>
      </c>
      <c r="G9601" s="373" t="s">
        <v>3784</v>
      </c>
      <c r="J9601" s="595">
        <f t="shared" ref="J9601:J9659" si="284">SUM(H9601:I9601)</f>
        <v>0</v>
      </c>
    </row>
    <row r="9602" spans="6:10" hidden="1" x14ac:dyDescent="0.25">
      <c r="F9602" s="380">
        <v>413</v>
      </c>
      <c r="G9602" s="375" t="s">
        <v>4190</v>
      </c>
      <c r="J9602" s="595">
        <f t="shared" si="284"/>
        <v>0</v>
      </c>
    </row>
    <row r="9603" spans="6:10" hidden="1" x14ac:dyDescent="0.25">
      <c r="F9603" s="380">
        <v>414</v>
      </c>
      <c r="G9603" s="375" t="s">
        <v>3787</v>
      </c>
      <c r="J9603" s="595">
        <f t="shared" si="284"/>
        <v>0</v>
      </c>
    </row>
    <row r="9604" spans="6:10" hidden="1" x14ac:dyDescent="0.25">
      <c r="F9604" s="380">
        <v>415</v>
      </c>
      <c r="G9604" s="375" t="s">
        <v>4199</v>
      </c>
      <c r="J9604" s="595">
        <f t="shared" si="284"/>
        <v>0</v>
      </c>
    </row>
    <row r="9605" spans="6:10" hidden="1" x14ac:dyDescent="0.25">
      <c r="F9605" s="380">
        <v>416</v>
      </c>
      <c r="G9605" s="375" t="s">
        <v>4200</v>
      </c>
      <c r="J9605" s="595">
        <f t="shared" si="284"/>
        <v>0</v>
      </c>
    </row>
    <row r="9606" spans="6:10" hidden="1" x14ac:dyDescent="0.25">
      <c r="F9606" s="380">
        <v>417</v>
      </c>
      <c r="G9606" s="375" t="s">
        <v>4201</v>
      </c>
      <c r="J9606" s="595">
        <f t="shared" si="284"/>
        <v>0</v>
      </c>
    </row>
    <row r="9607" spans="6:10" hidden="1" x14ac:dyDescent="0.25">
      <c r="F9607" s="380">
        <v>418</v>
      </c>
      <c r="G9607" s="375" t="s">
        <v>3793</v>
      </c>
      <c r="J9607" s="595">
        <f t="shared" si="284"/>
        <v>0</v>
      </c>
    </row>
    <row r="9608" spans="6:10" hidden="1" x14ac:dyDescent="0.25">
      <c r="F9608" s="380">
        <v>421</v>
      </c>
      <c r="G9608" s="375" t="s">
        <v>3797</v>
      </c>
      <c r="J9608" s="595">
        <f t="shared" si="284"/>
        <v>0</v>
      </c>
    </row>
    <row r="9609" spans="6:10" hidden="1" x14ac:dyDescent="0.25">
      <c r="F9609" s="380">
        <v>422</v>
      </c>
      <c r="G9609" s="375" t="s">
        <v>3798</v>
      </c>
      <c r="J9609" s="595">
        <f t="shared" si="284"/>
        <v>0</v>
      </c>
    </row>
    <row r="9610" spans="6:10" hidden="1" x14ac:dyDescent="0.25">
      <c r="F9610" s="380">
        <v>423</v>
      </c>
      <c r="G9610" s="375" t="s">
        <v>3799</v>
      </c>
      <c r="J9610" s="595">
        <f t="shared" si="284"/>
        <v>0</v>
      </c>
    </row>
    <row r="9611" spans="6:10" hidden="1" x14ac:dyDescent="0.25">
      <c r="F9611" s="380">
        <v>424</v>
      </c>
      <c r="G9611" s="375" t="s">
        <v>3801</v>
      </c>
      <c r="J9611" s="595">
        <f t="shared" si="284"/>
        <v>0</v>
      </c>
    </row>
    <row r="9612" spans="6:10" hidden="1" x14ac:dyDescent="0.25">
      <c r="F9612" s="380">
        <v>425</v>
      </c>
      <c r="G9612" s="375" t="s">
        <v>4202</v>
      </c>
      <c r="J9612" s="595">
        <f t="shared" si="284"/>
        <v>0</v>
      </c>
    </row>
    <row r="9613" spans="6:10" hidden="1" x14ac:dyDescent="0.25">
      <c r="F9613" s="380">
        <v>426</v>
      </c>
      <c r="G9613" s="375" t="s">
        <v>3805</v>
      </c>
      <c r="J9613" s="595">
        <f t="shared" si="284"/>
        <v>0</v>
      </c>
    </row>
    <row r="9614" spans="6:10" hidden="1" x14ac:dyDescent="0.25">
      <c r="F9614" s="380">
        <v>431</v>
      </c>
      <c r="G9614" s="375" t="s">
        <v>4203</v>
      </c>
      <c r="J9614" s="595">
        <f t="shared" si="284"/>
        <v>0</v>
      </c>
    </row>
    <row r="9615" spans="6:10" hidden="1" x14ac:dyDescent="0.25">
      <c r="F9615" s="380">
        <v>432</v>
      </c>
      <c r="G9615" s="375" t="s">
        <v>4204</v>
      </c>
      <c r="J9615" s="595">
        <f t="shared" si="284"/>
        <v>0</v>
      </c>
    </row>
    <row r="9616" spans="6:10" hidden="1" x14ac:dyDescent="0.25">
      <c r="F9616" s="380">
        <v>433</v>
      </c>
      <c r="G9616" s="375" t="s">
        <v>4205</v>
      </c>
      <c r="J9616" s="595">
        <f t="shared" si="284"/>
        <v>0</v>
      </c>
    </row>
    <row r="9617" spans="6:10" hidden="1" x14ac:dyDescent="0.25">
      <c r="F9617" s="380">
        <v>434</v>
      </c>
      <c r="G9617" s="375" t="s">
        <v>4206</v>
      </c>
      <c r="J9617" s="595">
        <f t="shared" si="284"/>
        <v>0</v>
      </c>
    </row>
    <row r="9618" spans="6:10" hidden="1" x14ac:dyDescent="0.25">
      <c r="F9618" s="380">
        <v>435</v>
      </c>
      <c r="G9618" s="375" t="s">
        <v>3812</v>
      </c>
      <c r="J9618" s="595">
        <f t="shared" si="284"/>
        <v>0</v>
      </c>
    </row>
    <row r="9619" spans="6:10" hidden="1" x14ac:dyDescent="0.25">
      <c r="F9619" s="380">
        <v>441</v>
      </c>
      <c r="G9619" s="375" t="s">
        <v>4207</v>
      </c>
      <c r="J9619" s="595">
        <f t="shared" si="284"/>
        <v>0</v>
      </c>
    </row>
    <row r="9620" spans="6:10" hidden="1" x14ac:dyDescent="0.25">
      <c r="F9620" s="380">
        <v>442</v>
      </c>
      <c r="G9620" s="375" t="s">
        <v>4208</v>
      </c>
      <c r="J9620" s="595">
        <f t="shared" si="284"/>
        <v>0</v>
      </c>
    </row>
    <row r="9621" spans="6:10" hidden="1" x14ac:dyDescent="0.25">
      <c r="F9621" s="380">
        <v>443</v>
      </c>
      <c r="G9621" s="375" t="s">
        <v>3817</v>
      </c>
      <c r="J9621" s="595">
        <f t="shared" si="284"/>
        <v>0</v>
      </c>
    </row>
    <row r="9622" spans="6:10" hidden="1" x14ac:dyDescent="0.25">
      <c r="F9622" s="380">
        <v>444</v>
      </c>
      <c r="G9622" s="375" t="s">
        <v>3818</v>
      </c>
      <c r="J9622" s="595">
        <f t="shared" si="284"/>
        <v>0</v>
      </c>
    </row>
    <row r="9623" spans="6:10" ht="30" hidden="1" x14ac:dyDescent="0.25">
      <c r="F9623" s="380">
        <v>4511</v>
      </c>
      <c r="G9623" s="223" t="s">
        <v>1692</v>
      </c>
      <c r="J9623" s="595">
        <f t="shared" si="284"/>
        <v>0</v>
      </c>
    </row>
    <row r="9624" spans="6:10" ht="19.5" hidden="1" customHeight="1" x14ac:dyDescent="0.25">
      <c r="F9624" s="380">
        <v>4512</v>
      </c>
      <c r="G9624" s="223" t="s">
        <v>1701</v>
      </c>
      <c r="J9624" s="595">
        <f t="shared" si="284"/>
        <v>0</v>
      </c>
    </row>
    <row r="9625" spans="6:10" hidden="1" x14ac:dyDescent="0.25">
      <c r="F9625" s="380">
        <v>452</v>
      </c>
      <c r="G9625" s="375" t="s">
        <v>4209</v>
      </c>
      <c r="J9625" s="595">
        <f t="shared" si="284"/>
        <v>0</v>
      </c>
    </row>
    <row r="9626" spans="6:10" hidden="1" x14ac:dyDescent="0.25">
      <c r="F9626" s="380">
        <v>453</v>
      </c>
      <c r="G9626" s="375" t="s">
        <v>4210</v>
      </c>
      <c r="J9626" s="595">
        <f t="shared" si="284"/>
        <v>0</v>
      </c>
    </row>
    <row r="9627" spans="6:10" hidden="1" x14ac:dyDescent="0.25">
      <c r="F9627" s="380">
        <v>454</v>
      </c>
      <c r="G9627" s="375" t="s">
        <v>3823</v>
      </c>
      <c r="J9627" s="595">
        <f t="shared" si="284"/>
        <v>0</v>
      </c>
    </row>
    <row r="9628" spans="6:10" hidden="1" x14ac:dyDescent="0.25">
      <c r="F9628" s="380">
        <v>461</v>
      </c>
      <c r="G9628" s="375" t="s">
        <v>4191</v>
      </c>
      <c r="J9628" s="595">
        <f t="shared" si="284"/>
        <v>0</v>
      </c>
    </row>
    <row r="9629" spans="6:10" hidden="1" x14ac:dyDescent="0.25">
      <c r="F9629" s="380">
        <v>462</v>
      </c>
      <c r="G9629" s="375" t="s">
        <v>3826</v>
      </c>
      <c r="J9629" s="595">
        <f t="shared" si="284"/>
        <v>0</v>
      </c>
    </row>
    <row r="9630" spans="6:10" hidden="1" x14ac:dyDescent="0.25">
      <c r="F9630" s="380">
        <v>4631</v>
      </c>
      <c r="G9630" s="375" t="s">
        <v>3827</v>
      </c>
      <c r="J9630" s="595">
        <f t="shared" si="284"/>
        <v>0</v>
      </c>
    </row>
    <row r="9631" spans="6:10" hidden="1" x14ac:dyDescent="0.25">
      <c r="F9631" s="380">
        <v>4632</v>
      </c>
      <c r="G9631" s="375" t="s">
        <v>3828</v>
      </c>
      <c r="J9631" s="595">
        <f t="shared" si="284"/>
        <v>0</v>
      </c>
    </row>
    <row r="9632" spans="6:10" hidden="1" x14ac:dyDescent="0.25">
      <c r="F9632" s="380">
        <v>464</v>
      </c>
      <c r="G9632" s="375" t="s">
        <v>3829</v>
      </c>
      <c r="J9632" s="595">
        <f t="shared" si="284"/>
        <v>0</v>
      </c>
    </row>
    <row r="9633" spans="6:10" hidden="1" x14ac:dyDescent="0.25">
      <c r="F9633" s="380">
        <v>465</v>
      </c>
      <c r="G9633" s="375" t="s">
        <v>4192</v>
      </c>
      <c r="J9633" s="595">
        <f t="shared" si="284"/>
        <v>0</v>
      </c>
    </row>
    <row r="9634" spans="6:10" hidden="1" x14ac:dyDescent="0.25">
      <c r="F9634" s="380">
        <v>472</v>
      </c>
      <c r="G9634" s="375" t="s">
        <v>3833</v>
      </c>
      <c r="J9634" s="595">
        <f t="shared" si="284"/>
        <v>0</v>
      </c>
    </row>
    <row r="9635" spans="6:10" hidden="1" x14ac:dyDescent="0.25">
      <c r="F9635" s="380">
        <v>481</v>
      </c>
      <c r="G9635" s="375" t="s">
        <v>4211</v>
      </c>
      <c r="J9635" s="595">
        <f t="shared" si="284"/>
        <v>0</v>
      </c>
    </row>
    <row r="9636" spans="6:10" hidden="1" x14ac:dyDescent="0.25">
      <c r="F9636" s="380">
        <v>482</v>
      </c>
      <c r="G9636" s="375" t="s">
        <v>4212</v>
      </c>
      <c r="J9636" s="595">
        <f t="shared" si="284"/>
        <v>0</v>
      </c>
    </row>
    <row r="9637" spans="6:10" hidden="1" x14ac:dyDescent="0.25">
      <c r="F9637" s="380">
        <v>483</v>
      </c>
      <c r="G9637" s="378" t="s">
        <v>4213</v>
      </c>
      <c r="J9637" s="595">
        <f t="shared" si="284"/>
        <v>0</v>
      </c>
    </row>
    <row r="9638" spans="6:10" ht="30" hidden="1" x14ac:dyDescent="0.25">
      <c r="F9638" s="380">
        <v>484</v>
      </c>
      <c r="G9638" s="375" t="s">
        <v>4214</v>
      </c>
      <c r="J9638" s="595">
        <f t="shared" si="284"/>
        <v>0</v>
      </c>
    </row>
    <row r="9639" spans="6:10" ht="30" hidden="1" x14ac:dyDescent="0.25">
      <c r="F9639" s="380">
        <v>485</v>
      </c>
      <c r="G9639" s="375" t="s">
        <v>4215</v>
      </c>
      <c r="J9639" s="595">
        <f t="shared" si="284"/>
        <v>0</v>
      </c>
    </row>
    <row r="9640" spans="6:10" ht="30" hidden="1" x14ac:dyDescent="0.25">
      <c r="F9640" s="380">
        <v>489</v>
      </c>
      <c r="G9640" s="375" t="s">
        <v>3841</v>
      </c>
      <c r="J9640" s="595">
        <f t="shared" si="284"/>
        <v>0</v>
      </c>
    </row>
    <row r="9641" spans="6:10" hidden="1" x14ac:dyDescent="0.25">
      <c r="F9641" s="380">
        <v>494</v>
      </c>
      <c r="G9641" s="375" t="s">
        <v>4193</v>
      </c>
      <c r="J9641" s="595">
        <f t="shared" si="284"/>
        <v>0</v>
      </c>
    </row>
    <row r="9642" spans="6:10" ht="30" hidden="1" x14ac:dyDescent="0.25">
      <c r="F9642" s="380">
        <v>495</v>
      </c>
      <c r="G9642" s="375" t="s">
        <v>4194</v>
      </c>
      <c r="J9642" s="595">
        <f t="shared" si="284"/>
        <v>0</v>
      </c>
    </row>
    <row r="9643" spans="6:10" ht="30" hidden="1" x14ac:dyDescent="0.25">
      <c r="F9643" s="380">
        <v>496</v>
      </c>
      <c r="G9643" s="375" t="s">
        <v>4195</v>
      </c>
      <c r="J9643" s="595">
        <f t="shared" si="284"/>
        <v>0</v>
      </c>
    </row>
    <row r="9644" spans="6:10" hidden="1" x14ac:dyDescent="0.25">
      <c r="F9644" s="380">
        <v>499</v>
      </c>
      <c r="G9644" s="375" t="s">
        <v>4196</v>
      </c>
      <c r="J9644" s="595">
        <f t="shared" si="284"/>
        <v>0</v>
      </c>
    </row>
    <row r="9645" spans="6:10" hidden="1" x14ac:dyDescent="0.25">
      <c r="F9645" s="380">
        <v>511</v>
      </c>
      <c r="G9645" s="378" t="s">
        <v>4216</v>
      </c>
      <c r="J9645" s="595">
        <f t="shared" si="284"/>
        <v>0</v>
      </c>
    </row>
    <row r="9646" spans="6:10" ht="15.75" hidden="1" thickBot="1" x14ac:dyDescent="0.3">
      <c r="F9646" s="380">
        <v>512</v>
      </c>
      <c r="G9646" s="378" t="s">
        <v>4217</v>
      </c>
      <c r="J9646" s="595">
        <f t="shared" si="284"/>
        <v>0</v>
      </c>
    </row>
    <row r="9647" spans="6:10" hidden="1" x14ac:dyDescent="0.25">
      <c r="F9647" s="380">
        <v>513</v>
      </c>
      <c r="G9647" s="378" t="s">
        <v>4218</v>
      </c>
      <c r="J9647" s="595">
        <f t="shared" si="284"/>
        <v>0</v>
      </c>
    </row>
    <row r="9648" spans="6:10" hidden="1" x14ac:dyDescent="0.25">
      <c r="F9648" s="380">
        <v>514</v>
      </c>
      <c r="G9648" s="375" t="s">
        <v>4219</v>
      </c>
      <c r="J9648" s="595">
        <f t="shared" si="284"/>
        <v>0</v>
      </c>
    </row>
    <row r="9649" spans="5:10" hidden="1" x14ac:dyDescent="0.25">
      <c r="F9649" s="380">
        <v>515</v>
      </c>
      <c r="G9649" s="375" t="s">
        <v>3852</v>
      </c>
      <c r="J9649" s="595">
        <f t="shared" si="284"/>
        <v>0</v>
      </c>
    </row>
    <row r="9650" spans="5:10" hidden="1" x14ac:dyDescent="0.25">
      <c r="F9650" s="380">
        <v>521</v>
      </c>
      <c r="G9650" s="375" t="s">
        <v>4220</v>
      </c>
      <c r="J9650" s="595">
        <f t="shared" si="284"/>
        <v>0</v>
      </c>
    </row>
    <row r="9651" spans="5:10" hidden="1" x14ac:dyDescent="0.25">
      <c r="F9651" s="380">
        <v>522</v>
      </c>
      <c r="G9651" s="375" t="s">
        <v>4221</v>
      </c>
      <c r="J9651" s="595">
        <f t="shared" si="284"/>
        <v>0</v>
      </c>
    </row>
    <row r="9652" spans="5:10" hidden="1" x14ac:dyDescent="0.25">
      <c r="F9652" s="380">
        <v>523</v>
      </c>
      <c r="G9652" s="375" t="s">
        <v>3857</v>
      </c>
      <c r="J9652" s="595">
        <f t="shared" si="284"/>
        <v>0</v>
      </c>
    </row>
    <row r="9653" spans="5:10" hidden="1" x14ac:dyDescent="0.25">
      <c r="F9653" s="380">
        <v>531</v>
      </c>
      <c r="G9653" s="373" t="s">
        <v>4197</v>
      </c>
      <c r="J9653" s="595">
        <f t="shared" si="284"/>
        <v>0</v>
      </c>
    </row>
    <row r="9654" spans="5:10" hidden="1" x14ac:dyDescent="0.25">
      <c r="F9654" s="380">
        <v>541</v>
      </c>
      <c r="G9654" s="375" t="s">
        <v>4222</v>
      </c>
      <c r="J9654" s="595">
        <f t="shared" si="284"/>
        <v>0</v>
      </c>
    </row>
    <row r="9655" spans="5:10" hidden="1" x14ac:dyDescent="0.25">
      <c r="F9655" s="380">
        <v>542</v>
      </c>
      <c r="G9655" s="375" t="s">
        <v>4223</v>
      </c>
      <c r="J9655" s="595">
        <f t="shared" si="284"/>
        <v>0</v>
      </c>
    </row>
    <row r="9656" spans="5:10" hidden="1" x14ac:dyDescent="0.25">
      <c r="F9656" s="380">
        <v>543</v>
      </c>
      <c r="G9656" s="375" t="s">
        <v>3862</v>
      </c>
      <c r="J9656" s="595">
        <f t="shared" si="284"/>
        <v>0</v>
      </c>
    </row>
    <row r="9657" spans="5:10" ht="30" hidden="1" x14ac:dyDescent="0.25">
      <c r="F9657" s="380">
        <v>551</v>
      </c>
      <c r="G9657" s="375" t="s">
        <v>4198</v>
      </c>
      <c r="J9657" s="595">
        <f t="shared" si="284"/>
        <v>0</v>
      </c>
    </row>
    <row r="9658" spans="5:10" hidden="1" x14ac:dyDescent="0.25">
      <c r="F9658" s="381">
        <v>611</v>
      </c>
      <c r="G9658" s="379" t="s">
        <v>3868</v>
      </c>
      <c r="J9658" s="595">
        <f t="shared" si="284"/>
        <v>0</v>
      </c>
    </row>
    <row r="9659" spans="5:10" ht="15.75" hidden="1" thickBot="1" x14ac:dyDescent="0.3">
      <c r="F9659" s="381">
        <v>620</v>
      </c>
      <c r="G9659" s="379" t="s">
        <v>88</v>
      </c>
      <c r="J9659" s="595">
        <f t="shared" si="284"/>
        <v>0</v>
      </c>
    </row>
    <row r="9660" spans="5:10" hidden="1" x14ac:dyDescent="0.25">
      <c r="E9660" s="374"/>
      <c r="F9660" s="381"/>
      <c r="G9660" s="327" t="s">
        <v>4387</v>
      </c>
      <c r="H9660" s="596"/>
      <c r="I9660" s="622"/>
      <c r="J9660" s="597"/>
    </row>
    <row r="9661" spans="5:10" ht="15.75" hidden="1" thickBot="1" x14ac:dyDescent="0.3">
      <c r="E9661" s="222"/>
      <c r="F9661" s="249" t="s">
        <v>234</v>
      </c>
      <c r="G9661" s="252" t="s">
        <v>235</v>
      </c>
      <c r="H9661" s="598">
        <f>SUM(H9600:H9659)</f>
        <v>0</v>
      </c>
      <c r="I9661" s="599"/>
      <c r="J9661" s="599">
        <f t="shared" ref="J9661:J9676" si="285">SUM(H9661:I9661)</f>
        <v>0</v>
      </c>
    </row>
    <row r="9662" spans="5:10" hidden="1" x14ac:dyDescent="0.25">
      <c r="F9662" s="249" t="s">
        <v>236</v>
      </c>
      <c r="G9662" s="252" t="s">
        <v>237</v>
      </c>
      <c r="J9662" s="599">
        <f t="shared" si="285"/>
        <v>0</v>
      </c>
    </row>
    <row r="9663" spans="5:10" hidden="1" x14ac:dyDescent="0.25">
      <c r="F9663" s="249" t="s">
        <v>238</v>
      </c>
      <c r="G9663" s="252" t="s">
        <v>239</v>
      </c>
      <c r="J9663" s="599">
        <f t="shared" si="285"/>
        <v>0</v>
      </c>
    </row>
    <row r="9664" spans="5:10" hidden="1" x14ac:dyDescent="0.25">
      <c r="F9664" s="249" t="s">
        <v>240</v>
      </c>
      <c r="G9664" s="252" t="s">
        <v>241</v>
      </c>
      <c r="J9664" s="599">
        <f t="shared" si="285"/>
        <v>0</v>
      </c>
    </row>
    <row r="9665" spans="5:10" hidden="1" x14ac:dyDescent="0.25">
      <c r="F9665" s="249" t="s">
        <v>242</v>
      </c>
      <c r="G9665" s="252" t="s">
        <v>243</v>
      </c>
      <c r="J9665" s="599">
        <f t="shared" si="285"/>
        <v>0</v>
      </c>
    </row>
    <row r="9666" spans="5:10" hidden="1" x14ac:dyDescent="0.25">
      <c r="F9666" s="249" t="s">
        <v>244</v>
      </c>
      <c r="G9666" s="252" t="s">
        <v>245</v>
      </c>
      <c r="J9666" s="599">
        <f t="shared" si="285"/>
        <v>0</v>
      </c>
    </row>
    <row r="9667" spans="5:10" hidden="1" x14ac:dyDescent="0.25">
      <c r="F9667" s="249" t="s">
        <v>246</v>
      </c>
      <c r="G9667" s="252" t="s">
        <v>247</v>
      </c>
      <c r="J9667" s="599">
        <f t="shared" si="285"/>
        <v>0</v>
      </c>
    </row>
    <row r="9668" spans="5:10" hidden="1" x14ac:dyDescent="0.25">
      <c r="F9668" s="249" t="s">
        <v>248</v>
      </c>
      <c r="G9668" s="252" t="s">
        <v>249</v>
      </c>
      <c r="J9668" s="599">
        <f t="shared" si="285"/>
        <v>0</v>
      </c>
    </row>
    <row r="9669" spans="5:10" hidden="1" x14ac:dyDescent="0.25">
      <c r="F9669" s="249" t="s">
        <v>250</v>
      </c>
      <c r="G9669" s="252" t="s">
        <v>57</v>
      </c>
      <c r="J9669" s="599">
        <f t="shared" si="285"/>
        <v>0</v>
      </c>
    </row>
    <row r="9670" spans="5:10" hidden="1" x14ac:dyDescent="0.25">
      <c r="F9670" s="249" t="s">
        <v>251</v>
      </c>
      <c r="G9670" s="252" t="s">
        <v>252</v>
      </c>
      <c r="J9670" s="599">
        <f t="shared" si="285"/>
        <v>0</v>
      </c>
    </row>
    <row r="9671" spans="5:10" hidden="1" x14ac:dyDescent="0.25">
      <c r="F9671" s="249" t="s">
        <v>253</v>
      </c>
      <c r="G9671" s="252" t="s">
        <v>254</v>
      </c>
      <c r="J9671" s="599">
        <f t="shared" si="285"/>
        <v>0</v>
      </c>
    </row>
    <row r="9672" spans="5:10" ht="30" hidden="1" x14ac:dyDescent="0.25">
      <c r="F9672" s="249" t="s">
        <v>255</v>
      </c>
      <c r="G9672" s="252" t="s">
        <v>256</v>
      </c>
      <c r="J9672" s="599">
        <f t="shared" si="285"/>
        <v>0</v>
      </c>
    </row>
    <row r="9673" spans="5:10" hidden="1" x14ac:dyDescent="0.25">
      <c r="F9673" s="249" t="s">
        <v>257</v>
      </c>
      <c r="G9673" s="252" t="s">
        <v>258</v>
      </c>
      <c r="J9673" s="599">
        <f t="shared" si="285"/>
        <v>0</v>
      </c>
    </row>
    <row r="9674" spans="5:10" ht="30" hidden="1" x14ac:dyDescent="0.25">
      <c r="F9674" s="249" t="s">
        <v>259</v>
      </c>
      <c r="G9674" s="252" t="s">
        <v>260</v>
      </c>
      <c r="J9674" s="599">
        <f t="shared" si="285"/>
        <v>0</v>
      </c>
    </row>
    <row r="9675" spans="5:10" hidden="1" x14ac:dyDescent="0.25">
      <c r="F9675" s="249" t="s">
        <v>261</v>
      </c>
      <c r="G9675" s="252" t="s">
        <v>262</v>
      </c>
      <c r="J9675" s="599">
        <f t="shared" si="285"/>
        <v>0</v>
      </c>
    </row>
    <row r="9676" spans="5:10" ht="15.75" hidden="1" thickBot="1" x14ac:dyDescent="0.3">
      <c r="F9676" s="249" t="s">
        <v>263</v>
      </c>
      <c r="G9676" s="252" t="s">
        <v>264</v>
      </c>
      <c r="H9676" s="598"/>
      <c r="I9676" s="599"/>
      <c r="J9676" s="599">
        <f t="shared" si="285"/>
        <v>0</v>
      </c>
    </row>
    <row r="9677" spans="5:10" ht="15.75" hidden="1" thickBot="1" x14ac:dyDescent="0.3">
      <c r="G9677" s="229" t="s">
        <v>4386</v>
      </c>
      <c r="H9677" s="600">
        <f>SUM(H9661:H9676)</f>
        <v>0</v>
      </c>
      <c r="I9677" s="601">
        <f>SUM(I9662:I9676)</f>
        <v>0</v>
      </c>
      <c r="J9677" s="601">
        <f>SUM(J9661:J9676)</f>
        <v>0</v>
      </c>
    </row>
    <row r="9678" spans="5:10" ht="28.5" hidden="1" collapsed="1" x14ac:dyDescent="0.25">
      <c r="E9678" s="374"/>
      <c r="F9678" s="381"/>
      <c r="G9678" s="231" t="s">
        <v>4437</v>
      </c>
      <c r="H9678" s="602"/>
      <c r="I9678" s="623"/>
      <c r="J9678" s="603"/>
    </row>
    <row r="9679" spans="5:10" ht="15.75" hidden="1" thickBot="1" x14ac:dyDescent="0.3">
      <c r="E9679" s="222"/>
      <c r="F9679" s="249" t="s">
        <v>234</v>
      </c>
      <c r="G9679" s="252" t="s">
        <v>235</v>
      </c>
      <c r="H9679" s="598">
        <f>SUM(H9600:H9659)</f>
        <v>0</v>
      </c>
      <c r="I9679" s="599"/>
      <c r="J9679" s="599">
        <f>SUM(H9679:I9679)</f>
        <v>0</v>
      </c>
    </row>
    <row r="9680" spans="5:10" hidden="1" x14ac:dyDescent="0.25">
      <c r="F9680" s="249" t="s">
        <v>236</v>
      </c>
      <c r="G9680" s="252" t="s">
        <v>237</v>
      </c>
      <c r="J9680" s="599">
        <f t="shared" ref="J9680:J9694" si="286">SUM(H9680:I9680)</f>
        <v>0</v>
      </c>
    </row>
    <row r="9681" spans="6:10" hidden="1" x14ac:dyDescent="0.25">
      <c r="F9681" s="249" t="s">
        <v>238</v>
      </c>
      <c r="G9681" s="252" t="s">
        <v>239</v>
      </c>
      <c r="J9681" s="599">
        <f t="shared" si="286"/>
        <v>0</v>
      </c>
    </row>
    <row r="9682" spans="6:10" hidden="1" x14ac:dyDescent="0.25">
      <c r="F9682" s="249" t="s">
        <v>240</v>
      </c>
      <c r="G9682" s="252" t="s">
        <v>241</v>
      </c>
      <c r="J9682" s="599">
        <f t="shared" si="286"/>
        <v>0</v>
      </c>
    </row>
    <row r="9683" spans="6:10" hidden="1" x14ac:dyDescent="0.25">
      <c r="F9683" s="249" t="s">
        <v>242</v>
      </c>
      <c r="G9683" s="252" t="s">
        <v>243</v>
      </c>
      <c r="J9683" s="599">
        <f t="shared" si="286"/>
        <v>0</v>
      </c>
    </row>
    <row r="9684" spans="6:10" hidden="1" x14ac:dyDescent="0.25">
      <c r="F9684" s="249" t="s">
        <v>244</v>
      </c>
      <c r="G9684" s="252" t="s">
        <v>245</v>
      </c>
      <c r="J9684" s="599">
        <f t="shared" si="286"/>
        <v>0</v>
      </c>
    </row>
    <row r="9685" spans="6:10" hidden="1" x14ac:dyDescent="0.25">
      <c r="F9685" s="249" t="s">
        <v>246</v>
      </c>
      <c r="G9685" s="252" t="s">
        <v>247</v>
      </c>
      <c r="J9685" s="599">
        <f t="shared" si="286"/>
        <v>0</v>
      </c>
    </row>
    <row r="9686" spans="6:10" hidden="1" x14ac:dyDescent="0.25">
      <c r="F9686" s="249" t="s">
        <v>248</v>
      </c>
      <c r="G9686" s="252" t="s">
        <v>249</v>
      </c>
      <c r="J9686" s="599">
        <f t="shared" si="286"/>
        <v>0</v>
      </c>
    </row>
    <row r="9687" spans="6:10" hidden="1" x14ac:dyDescent="0.25">
      <c r="F9687" s="249" t="s">
        <v>250</v>
      </c>
      <c r="G9687" s="252" t="s">
        <v>57</v>
      </c>
      <c r="J9687" s="599">
        <f t="shared" si="286"/>
        <v>0</v>
      </c>
    </row>
    <row r="9688" spans="6:10" hidden="1" x14ac:dyDescent="0.25">
      <c r="F9688" s="249" t="s">
        <v>251</v>
      </c>
      <c r="G9688" s="252" t="s">
        <v>252</v>
      </c>
      <c r="J9688" s="599">
        <f t="shared" si="286"/>
        <v>0</v>
      </c>
    </row>
    <row r="9689" spans="6:10" hidden="1" x14ac:dyDescent="0.25">
      <c r="F9689" s="249" t="s">
        <v>253</v>
      </c>
      <c r="G9689" s="252" t="s">
        <v>254</v>
      </c>
      <c r="J9689" s="599">
        <f t="shared" si="286"/>
        <v>0</v>
      </c>
    </row>
    <row r="9690" spans="6:10" ht="30" hidden="1" x14ac:dyDescent="0.25">
      <c r="F9690" s="249" t="s">
        <v>255</v>
      </c>
      <c r="G9690" s="252" t="s">
        <v>256</v>
      </c>
      <c r="J9690" s="599">
        <f t="shared" si="286"/>
        <v>0</v>
      </c>
    </row>
    <row r="9691" spans="6:10" hidden="1" x14ac:dyDescent="0.25">
      <c r="F9691" s="249" t="s">
        <v>257</v>
      </c>
      <c r="G9691" s="252" t="s">
        <v>258</v>
      </c>
      <c r="J9691" s="599">
        <f t="shared" si="286"/>
        <v>0</v>
      </c>
    </row>
    <row r="9692" spans="6:10" ht="30" hidden="1" x14ac:dyDescent="0.25">
      <c r="F9692" s="249" t="s">
        <v>259</v>
      </c>
      <c r="G9692" s="252" t="s">
        <v>260</v>
      </c>
      <c r="J9692" s="599">
        <f t="shared" si="286"/>
        <v>0</v>
      </c>
    </row>
    <row r="9693" spans="6:10" hidden="1" x14ac:dyDescent="0.25">
      <c r="F9693" s="249" t="s">
        <v>261</v>
      </c>
      <c r="G9693" s="252" t="s">
        <v>262</v>
      </c>
      <c r="J9693" s="599">
        <f t="shared" si="286"/>
        <v>0</v>
      </c>
    </row>
    <row r="9694" spans="6:10" ht="15.75" hidden="1" thickBot="1" x14ac:dyDescent="0.3">
      <c r="F9694" s="249" t="s">
        <v>263</v>
      </c>
      <c r="G9694" s="252" t="s">
        <v>264</v>
      </c>
      <c r="H9694" s="598"/>
      <c r="I9694" s="599"/>
      <c r="J9694" s="599">
        <f t="shared" si="286"/>
        <v>0</v>
      </c>
    </row>
    <row r="9695" spans="6:10" ht="15.75" hidden="1" collapsed="1" thickBot="1" x14ac:dyDescent="0.3">
      <c r="G9695" s="229" t="s">
        <v>4438</v>
      </c>
      <c r="H9695" s="600">
        <f>SUM(H9679:H9694)</f>
        <v>0</v>
      </c>
      <c r="I9695" s="601">
        <f>SUM(I9680:I9694)</f>
        <v>0</v>
      </c>
      <c r="J9695" s="601">
        <f>SUM(J9679:J9694)</f>
        <v>0</v>
      </c>
    </row>
    <row r="9696" spans="6:10" hidden="1" x14ac:dyDescent="0.25"/>
    <row r="9697" spans="1:25" s="88" customFormat="1" hidden="1" x14ac:dyDescent="0.25">
      <c r="A9697" s="377"/>
      <c r="B9697" s="256"/>
      <c r="C9697" s="276" t="s">
        <v>4439</v>
      </c>
      <c r="D9697" s="219"/>
      <c r="E9697" s="219"/>
      <c r="F9697" s="277"/>
      <c r="G9697" s="278" t="s">
        <v>4327</v>
      </c>
      <c r="H9697" s="627"/>
      <c r="I9697" s="610"/>
      <c r="J9697" s="628"/>
      <c r="K9697" s="533"/>
      <c r="L9697" s="533"/>
      <c r="M9697" s="533"/>
      <c r="N9697" s="533"/>
      <c r="O9697" s="533"/>
      <c r="P9697" s="533"/>
      <c r="Q9697" s="533"/>
      <c r="R9697" s="533"/>
      <c r="S9697" s="533"/>
      <c r="T9697" s="533"/>
      <c r="U9697" s="533"/>
      <c r="V9697" s="533"/>
      <c r="W9697" s="533"/>
      <c r="X9697" s="533"/>
      <c r="Y9697" s="533"/>
    </row>
    <row r="9698" spans="1:25" ht="30" hidden="1" x14ac:dyDescent="0.25">
      <c r="C9698" s="228"/>
      <c r="D9698" s="312">
        <v>660</v>
      </c>
      <c r="E9698" s="312"/>
      <c r="F9698" s="312"/>
      <c r="G9698" s="313" t="s">
        <v>186</v>
      </c>
    </row>
    <row r="9699" spans="1:25" hidden="1" x14ac:dyDescent="0.25">
      <c r="F9699" s="380">
        <v>411</v>
      </c>
      <c r="G9699" s="375" t="s">
        <v>4189</v>
      </c>
      <c r="J9699" s="595">
        <f>SUM(H9699:I9699)</f>
        <v>0</v>
      </c>
    </row>
    <row r="9700" spans="1:25" hidden="1" x14ac:dyDescent="0.25">
      <c r="F9700" s="380">
        <v>412</v>
      </c>
      <c r="G9700" s="373" t="s">
        <v>3784</v>
      </c>
      <c r="J9700" s="595">
        <f t="shared" ref="J9700:J9758" si="287">SUM(H9700:I9700)</f>
        <v>0</v>
      </c>
    </row>
    <row r="9701" spans="1:25" hidden="1" x14ac:dyDescent="0.25">
      <c r="F9701" s="380">
        <v>413</v>
      </c>
      <c r="G9701" s="375" t="s">
        <v>4190</v>
      </c>
      <c r="J9701" s="595">
        <f t="shared" si="287"/>
        <v>0</v>
      </c>
    </row>
    <row r="9702" spans="1:25" hidden="1" x14ac:dyDescent="0.25">
      <c r="F9702" s="380">
        <v>414</v>
      </c>
      <c r="G9702" s="375" t="s">
        <v>3787</v>
      </c>
      <c r="J9702" s="595">
        <f t="shared" si="287"/>
        <v>0</v>
      </c>
    </row>
    <row r="9703" spans="1:25" hidden="1" x14ac:dyDescent="0.25">
      <c r="F9703" s="380">
        <v>415</v>
      </c>
      <c r="G9703" s="375" t="s">
        <v>4199</v>
      </c>
      <c r="J9703" s="595">
        <f t="shared" si="287"/>
        <v>0</v>
      </c>
    </row>
    <row r="9704" spans="1:25" hidden="1" x14ac:dyDescent="0.25">
      <c r="F9704" s="380">
        <v>416</v>
      </c>
      <c r="G9704" s="375" t="s">
        <v>4200</v>
      </c>
      <c r="J9704" s="595">
        <f t="shared" si="287"/>
        <v>0</v>
      </c>
    </row>
    <row r="9705" spans="1:25" hidden="1" x14ac:dyDescent="0.25">
      <c r="F9705" s="380">
        <v>417</v>
      </c>
      <c r="G9705" s="375" t="s">
        <v>4201</v>
      </c>
      <c r="J9705" s="595">
        <f t="shared" si="287"/>
        <v>0</v>
      </c>
    </row>
    <row r="9706" spans="1:25" hidden="1" x14ac:dyDescent="0.25">
      <c r="F9706" s="380">
        <v>418</v>
      </c>
      <c r="G9706" s="375" t="s">
        <v>3793</v>
      </c>
      <c r="J9706" s="595">
        <f t="shared" si="287"/>
        <v>0</v>
      </c>
    </row>
    <row r="9707" spans="1:25" hidden="1" x14ac:dyDescent="0.25">
      <c r="F9707" s="380">
        <v>421</v>
      </c>
      <c r="G9707" s="375" t="s">
        <v>3797</v>
      </c>
      <c r="J9707" s="595">
        <f t="shared" si="287"/>
        <v>0</v>
      </c>
    </row>
    <row r="9708" spans="1:25" hidden="1" x14ac:dyDescent="0.25">
      <c r="F9708" s="380">
        <v>422</v>
      </c>
      <c r="G9708" s="375" t="s">
        <v>3798</v>
      </c>
      <c r="J9708" s="595">
        <f t="shared" si="287"/>
        <v>0</v>
      </c>
    </row>
    <row r="9709" spans="1:25" hidden="1" x14ac:dyDescent="0.25">
      <c r="F9709" s="380">
        <v>423</v>
      </c>
      <c r="G9709" s="375" t="s">
        <v>3799</v>
      </c>
      <c r="J9709" s="595">
        <f t="shared" si="287"/>
        <v>0</v>
      </c>
    </row>
    <row r="9710" spans="1:25" hidden="1" x14ac:dyDescent="0.25">
      <c r="F9710" s="380">
        <v>424</v>
      </c>
      <c r="G9710" s="375" t="s">
        <v>3801</v>
      </c>
      <c r="J9710" s="595">
        <f t="shared" si="287"/>
        <v>0</v>
      </c>
    </row>
    <row r="9711" spans="1:25" hidden="1" x14ac:dyDescent="0.25">
      <c r="F9711" s="380">
        <v>425</v>
      </c>
      <c r="G9711" s="375" t="s">
        <v>4202</v>
      </c>
      <c r="J9711" s="595">
        <f t="shared" si="287"/>
        <v>0</v>
      </c>
    </row>
    <row r="9712" spans="1:25" hidden="1" x14ac:dyDescent="0.25">
      <c r="F9712" s="380">
        <v>426</v>
      </c>
      <c r="G9712" s="375" t="s">
        <v>3805</v>
      </c>
      <c r="J9712" s="595">
        <f t="shared" si="287"/>
        <v>0</v>
      </c>
    </row>
    <row r="9713" spans="6:10" hidden="1" x14ac:dyDescent="0.25">
      <c r="F9713" s="380">
        <v>431</v>
      </c>
      <c r="G9713" s="375" t="s">
        <v>4203</v>
      </c>
      <c r="J9713" s="595">
        <f t="shared" si="287"/>
        <v>0</v>
      </c>
    </row>
    <row r="9714" spans="6:10" hidden="1" x14ac:dyDescent="0.25">
      <c r="F9714" s="380">
        <v>432</v>
      </c>
      <c r="G9714" s="375" t="s">
        <v>4204</v>
      </c>
      <c r="J9714" s="595">
        <f t="shared" si="287"/>
        <v>0</v>
      </c>
    </row>
    <row r="9715" spans="6:10" hidden="1" x14ac:dyDescent="0.25">
      <c r="F9715" s="380">
        <v>433</v>
      </c>
      <c r="G9715" s="375" t="s">
        <v>4205</v>
      </c>
      <c r="J9715" s="595">
        <f t="shared" si="287"/>
        <v>0</v>
      </c>
    </row>
    <row r="9716" spans="6:10" hidden="1" x14ac:dyDescent="0.25">
      <c r="F9716" s="380">
        <v>434</v>
      </c>
      <c r="G9716" s="375" t="s">
        <v>4206</v>
      </c>
      <c r="J9716" s="595">
        <f t="shared" si="287"/>
        <v>0</v>
      </c>
    </row>
    <row r="9717" spans="6:10" hidden="1" x14ac:dyDescent="0.25">
      <c r="F9717" s="380">
        <v>435</v>
      </c>
      <c r="G9717" s="375" t="s">
        <v>3812</v>
      </c>
      <c r="J9717" s="595">
        <f t="shared" si="287"/>
        <v>0</v>
      </c>
    </row>
    <row r="9718" spans="6:10" hidden="1" x14ac:dyDescent="0.25">
      <c r="F9718" s="380">
        <v>441</v>
      </c>
      <c r="G9718" s="375" t="s">
        <v>4207</v>
      </c>
      <c r="J9718" s="595">
        <f t="shared" si="287"/>
        <v>0</v>
      </c>
    </row>
    <row r="9719" spans="6:10" hidden="1" x14ac:dyDescent="0.25">
      <c r="F9719" s="380">
        <v>442</v>
      </c>
      <c r="G9719" s="375" t="s">
        <v>4208</v>
      </c>
      <c r="J9719" s="595">
        <f t="shared" si="287"/>
        <v>0</v>
      </c>
    </row>
    <row r="9720" spans="6:10" hidden="1" x14ac:dyDescent="0.25">
      <c r="F9720" s="380">
        <v>443</v>
      </c>
      <c r="G9720" s="375" t="s">
        <v>3817</v>
      </c>
      <c r="J9720" s="595">
        <f t="shared" si="287"/>
        <v>0</v>
      </c>
    </row>
    <row r="9721" spans="6:10" hidden="1" x14ac:dyDescent="0.25">
      <c r="F9721" s="380">
        <v>444</v>
      </c>
      <c r="G9721" s="375" t="s">
        <v>3818</v>
      </c>
      <c r="J9721" s="595">
        <f t="shared" si="287"/>
        <v>0</v>
      </c>
    </row>
    <row r="9722" spans="6:10" ht="30" hidden="1" x14ac:dyDescent="0.25">
      <c r="F9722" s="380">
        <v>4511</v>
      </c>
      <c r="G9722" s="223" t="s">
        <v>1692</v>
      </c>
      <c r="J9722" s="595">
        <f t="shared" si="287"/>
        <v>0</v>
      </c>
    </row>
    <row r="9723" spans="6:10" ht="19.5" hidden="1" customHeight="1" x14ac:dyDescent="0.25">
      <c r="F9723" s="380">
        <v>4512</v>
      </c>
      <c r="G9723" s="223" t="s">
        <v>1701</v>
      </c>
      <c r="J9723" s="595">
        <f t="shared" si="287"/>
        <v>0</v>
      </c>
    </row>
    <row r="9724" spans="6:10" hidden="1" x14ac:dyDescent="0.25">
      <c r="F9724" s="380">
        <v>452</v>
      </c>
      <c r="G9724" s="375" t="s">
        <v>4209</v>
      </c>
      <c r="J9724" s="595">
        <f t="shared" si="287"/>
        <v>0</v>
      </c>
    </row>
    <row r="9725" spans="6:10" hidden="1" x14ac:dyDescent="0.25">
      <c r="F9725" s="380">
        <v>453</v>
      </c>
      <c r="G9725" s="375" t="s">
        <v>4210</v>
      </c>
      <c r="J9725" s="595">
        <f t="shared" si="287"/>
        <v>0</v>
      </c>
    </row>
    <row r="9726" spans="6:10" hidden="1" x14ac:dyDescent="0.25">
      <c r="F9726" s="380">
        <v>454</v>
      </c>
      <c r="G9726" s="375" t="s">
        <v>3823</v>
      </c>
      <c r="J9726" s="595">
        <f t="shared" si="287"/>
        <v>0</v>
      </c>
    </row>
    <row r="9727" spans="6:10" hidden="1" x14ac:dyDescent="0.25">
      <c r="F9727" s="380">
        <v>461</v>
      </c>
      <c r="G9727" s="375" t="s">
        <v>4191</v>
      </c>
      <c r="J9727" s="595">
        <f t="shared" si="287"/>
        <v>0</v>
      </c>
    </row>
    <row r="9728" spans="6:10" hidden="1" x14ac:dyDescent="0.25">
      <c r="F9728" s="380">
        <v>462</v>
      </c>
      <c r="G9728" s="375" t="s">
        <v>3826</v>
      </c>
      <c r="J9728" s="595">
        <f t="shared" si="287"/>
        <v>0</v>
      </c>
    </row>
    <row r="9729" spans="6:10" hidden="1" x14ac:dyDescent="0.25">
      <c r="F9729" s="380">
        <v>4631</v>
      </c>
      <c r="G9729" s="375" t="s">
        <v>3827</v>
      </c>
      <c r="J9729" s="595">
        <f t="shared" si="287"/>
        <v>0</v>
      </c>
    </row>
    <row r="9730" spans="6:10" hidden="1" x14ac:dyDescent="0.25">
      <c r="F9730" s="380">
        <v>4632</v>
      </c>
      <c r="G9730" s="375" t="s">
        <v>3828</v>
      </c>
      <c r="J9730" s="595">
        <f t="shared" si="287"/>
        <v>0</v>
      </c>
    </row>
    <row r="9731" spans="6:10" hidden="1" x14ac:dyDescent="0.25">
      <c r="F9731" s="380">
        <v>464</v>
      </c>
      <c r="G9731" s="375" t="s">
        <v>3829</v>
      </c>
      <c r="J9731" s="595">
        <f t="shared" si="287"/>
        <v>0</v>
      </c>
    </row>
    <row r="9732" spans="6:10" hidden="1" x14ac:dyDescent="0.25">
      <c r="F9732" s="380">
        <v>465</v>
      </c>
      <c r="G9732" s="375" t="s">
        <v>4192</v>
      </c>
      <c r="J9732" s="595">
        <f t="shared" si="287"/>
        <v>0</v>
      </c>
    </row>
    <row r="9733" spans="6:10" hidden="1" x14ac:dyDescent="0.25">
      <c r="F9733" s="380">
        <v>472</v>
      </c>
      <c r="G9733" s="375" t="s">
        <v>3833</v>
      </c>
      <c r="J9733" s="595">
        <f t="shared" si="287"/>
        <v>0</v>
      </c>
    </row>
    <row r="9734" spans="6:10" hidden="1" x14ac:dyDescent="0.25">
      <c r="F9734" s="380">
        <v>481</v>
      </c>
      <c r="G9734" s="375" t="s">
        <v>4211</v>
      </c>
      <c r="J9734" s="595">
        <f t="shared" si="287"/>
        <v>0</v>
      </c>
    </row>
    <row r="9735" spans="6:10" hidden="1" x14ac:dyDescent="0.25">
      <c r="F9735" s="380">
        <v>482</v>
      </c>
      <c r="G9735" s="375" t="s">
        <v>4212</v>
      </c>
      <c r="J9735" s="595">
        <f t="shared" si="287"/>
        <v>0</v>
      </c>
    </row>
    <row r="9736" spans="6:10" hidden="1" x14ac:dyDescent="0.25">
      <c r="F9736" s="380">
        <v>483</v>
      </c>
      <c r="G9736" s="378" t="s">
        <v>4213</v>
      </c>
      <c r="J9736" s="595">
        <f t="shared" si="287"/>
        <v>0</v>
      </c>
    </row>
    <row r="9737" spans="6:10" ht="30" hidden="1" x14ac:dyDescent="0.25">
      <c r="F9737" s="380">
        <v>484</v>
      </c>
      <c r="G9737" s="375" t="s">
        <v>4214</v>
      </c>
      <c r="J9737" s="595">
        <f t="shared" si="287"/>
        <v>0</v>
      </c>
    </row>
    <row r="9738" spans="6:10" ht="30" hidden="1" x14ac:dyDescent="0.25">
      <c r="F9738" s="380">
        <v>485</v>
      </c>
      <c r="G9738" s="375" t="s">
        <v>4215</v>
      </c>
      <c r="J9738" s="595">
        <f t="shared" si="287"/>
        <v>0</v>
      </c>
    </row>
    <row r="9739" spans="6:10" ht="30" hidden="1" x14ac:dyDescent="0.25">
      <c r="F9739" s="380">
        <v>489</v>
      </c>
      <c r="G9739" s="375" t="s">
        <v>3841</v>
      </c>
      <c r="J9739" s="595">
        <f t="shared" si="287"/>
        <v>0</v>
      </c>
    </row>
    <row r="9740" spans="6:10" hidden="1" x14ac:dyDescent="0.25">
      <c r="F9740" s="380">
        <v>494</v>
      </c>
      <c r="G9740" s="375" t="s">
        <v>4193</v>
      </c>
      <c r="J9740" s="595">
        <f t="shared" si="287"/>
        <v>0</v>
      </c>
    </row>
    <row r="9741" spans="6:10" ht="30" hidden="1" x14ac:dyDescent="0.25">
      <c r="F9741" s="380">
        <v>495</v>
      </c>
      <c r="G9741" s="375" t="s">
        <v>4194</v>
      </c>
      <c r="J9741" s="595">
        <f t="shared" si="287"/>
        <v>0</v>
      </c>
    </row>
    <row r="9742" spans="6:10" ht="30" hidden="1" x14ac:dyDescent="0.25">
      <c r="F9742" s="380">
        <v>496</v>
      </c>
      <c r="G9742" s="375" t="s">
        <v>4195</v>
      </c>
      <c r="J9742" s="595">
        <f t="shared" si="287"/>
        <v>0</v>
      </c>
    </row>
    <row r="9743" spans="6:10" hidden="1" x14ac:dyDescent="0.25">
      <c r="F9743" s="380">
        <v>499</v>
      </c>
      <c r="G9743" s="375" t="s">
        <v>4196</v>
      </c>
      <c r="J9743" s="595">
        <f t="shared" si="287"/>
        <v>0</v>
      </c>
    </row>
    <row r="9744" spans="6:10" hidden="1" x14ac:dyDescent="0.25">
      <c r="F9744" s="380">
        <v>511</v>
      </c>
      <c r="G9744" s="378" t="s">
        <v>4216</v>
      </c>
      <c r="J9744" s="595">
        <f t="shared" si="287"/>
        <v>0</v>
      </c>
    </row>
    <row r="9745" spans="5:10" hidden="1" x14ac:dyDescent="0.25">
      <c r="F9745" s="380">
        <v>512</v>
      </c>
      <c r="G9745" s="378" t="s">
        <v>4217</v>
      </c>
      <c r="J9745" s="595">
        <f t="shared" si="287"/>
        <v>0</v>
      </c>
    </row>
    <row r="9746" spans="5:10" hidden="1" x14ac:dyDescent="0.25">
      <c r="F9746" s="380">
        <v>513</v>
      </c>
      <c r="G9746" s="378" t="s">
        <v>4218</v>
      </c>
      <c r="J9746" s="595">
        <f t="shared" si="287"/>
        <v>0</v>
      </c>
    </row>
    <row r="9747" spans="5:10" hidden="1" x14ac:dyDescent="0.25">
      <c r="F9747" s="380">
        <v>514</v>
      </c>
      <c r="G9747" s="375" t="s">
        <v>4219</v>
      </c>
      <c r="J9747" s="595">
        <f t="shared" si="287"/>
        <v>0</v>
      </c>
    </row>
    <row r="9748" spans="5:10" hidden="1" x14ac:dyDescent="0.25">
      <c r="F9748" s="380">
        <v>515</v>
      </c>
      <c r="G9748" s="375" t="s">
        <v>3852</v>
      </c>
      <c r="J9748" s="595">
        <f t="shared" si="287"/>
        <v>0</v>
      </c>
    </row>
    <row r="9749" spans="5:10" hidden="1" x14ac:dyDescent="0.25">
      <c r="F9749" s="380">
        <v>521</v>
      </c>
      <c r="G9749" s="375" t="s">
        <v>4220</v>
      </c>
      <c r="J9749" s="595">
        <f t="shared" si="287"/>
        <v>0</v>
      </c>
    </row>
    <row r="9750" spans="5:10" hidden="1" x14ac:dyDescent="0.25">
      <c r="F9750" s="380">
        <v>522</v>
      </c>
      <c r="G9750" s="375" t="s">
        <v>4221</v>
      </c>
      <c r="J9750" s="595">
        <f t="shared" si="287"/>
        <v>0</v>
      </c>
    </row>
    <row r="9751" spans="5:10" hidden="1" x14ac:dyDescent="0.25">
      <c r="F9751" s="380">
        <v>523</v>
      </c>
      <c r="G9751" s="375" t="s">
        <v>3857</v>
      </c>
      <c r="J9751" s="595">
        <f t="shared" si="287"/>
        <v>0</v>
      </c>
    </row>
    <row r="9752" spans="5:10" hidden="1" x14ac:dyDescent="0.25">
      <c r="F9752" s="380">
        <v>531</v>
      </c>
      <c r="G9752" s="373" t="s">
        <v>4197</v>
      </c>
      <c r="J9752" s="595">
        <f t="shared" si="287"/>
        <v>0</v>
      </c>
    </row>
    <row r="9753" spans="5:10" hidden="1" x14ac:dyDescent="0.25">
      <c r="F9753" s="380">
        <v>541</v>
      </c>
      <c r="G9753" s="375" t="s">
        <v>4222</v>
      </c>
      <c r="J9753" s="595">
        <f t="shared" si="287"/>
        <v>0</v>
      </c>
    </row>
    <row r="9754" spans="5:10" hidden="1" x14ac:dyDescent="0.25">
      <c r="F9754" s="380">
        <v>542</v>
      </c>
      <c r="G9754" s="375" t="s">
        <v>4223</v>
      </c>
      <c r="J9754" s="595">
        <f t="shared" si="287"/>
        <v>0</v>
      </c>
    </row>
    <row r="9755" spans="5:10" hidden="1" x14ac:dyDescent="0.25">
      <c r="F9755" s="380">
        <v>543</v>
      </c>
      <c r="G9755" s="375" t="s">
        <v>3862</v>
      </c>
      <c r="J9755" s="595">
        <f t="shared" si="287"/>
        <v>0</v>
      </c>
    </row>
    <row r="9756" spans="5:10" ht="30" hidden="1" x14ac:dyDescent="0.25">
      <c r="F9756" s="380">
        <v>551</v>
      </c>
      <c r="G9756" s="375" t="s">
        <v>4198</v>
      </c>
      <c r="J9756" s="595">
        <f t="shared" si="287"/>
        <v>0</v>
      </c>
    </row>
    <row r="9757" spans="5:10" hidden="1" x14ac:dyDescent="0.25">
      <c r="F9757" s="381">
        <v>611</v>
      </c>
      <c r="G9757" s="379" t="s">
        <v>3868</v>
      </c>
      <c r="J9757" s="595">
        <f t="shared" si="287"/>
        <v>0</v>
      </c>
    </row>
    <row r="9758" spans="5:10" ht="15.75" hidden="1" thickBot="1" x14ac:dyDescent="0.3">
      <c r="F9758" s="381">
        <v>620</v>
      </c>
      <c r="G9758" s="379" t="s">
        <v>88</v>
      </c>
      <c r="J9758" s="595">
        <f t="shared" si="287"/>
        <v>0</v>
      </c>
    </row>
    <row r="9759" spans="5:10" hidden="1" x14ac:dyDescent="0.25">
      <c r="E9759" s="374"/>
      <c r="F9759" s="381"/>
      <c r="G9759" s="327" t="s">
        <v>4426</v>
      </c>
      <c r="H9759" s="596"/>
      <c r="I9759" s="622"/>
      <c r="J9759" s="597"/>
    </row>
    <row r="9760" spans="5:10" hidden="1" x14ac:dyDescent="0.25">
      <c r="E9760" s="222"/>
      <c r="F9760" s="249" t="s">
        <v>234</v>
      </c>
      <c r="G9760" s="252" t="s">
        <v>235</v>
      </c>
      <c r="H9760" s="598">
        <f>SUM(H9699:H9758)</f>
        <v>0</v>
      </c>
      <c r="I9760" s="599"/>
      <c r="J9760" s="599">
        <f t="shared" ref="J9760:J9775" si="288">SUM(H9760:I9760)</f>
        <v>0</v>
      </c>
    </row>
    <row r="9761" spans="6:10" hidden="1" x14ac:dyDescent="0.25">
      <c r="F9761" s="249" t="s">
        <v>236</v>
      </c>
      <c r="G9761" s="252" t="s">
        <v>237</v>
      </c>
      <c r="J9761" s="599">
        <f t="shared" si="288"/>
        <v>0</v>
      </c>
    </row>
    <row r="9762" spans="6:10" hidden="1" x14ac:dyDescent="0.25">
      <c r="F9762" s="249" t="s">
        <v>238</v>
      </c>
      <c r="G9762" s="252" t="s">
        <v>239</v>
      </c>
      <c r="J9762" s="599">
        <f t="shared" si="288"/>
        <v>0</v>
      </c>
    </row>
    <row r="9763" spans="6:10" hidden="1" x14ac:dyDescent="0.25">
      <c r="F9763" s="249" t="s">
        <v>240</v>
      </c>
      <c r="G9763" s="252" t="s">
        <v>241</v>
      </c>
      <c r="J9763" s="599">
        <f t="shared" si="288"/>
        <v>0</v>
      </c>
    </row>
    <row r="9764" spans="6:10" hidden="1" x14ac:dyDescent="0.25">
      <c r="F9764" s="249" t="s">
        <v>242</v>
      </c>
      <c r="G9764" s="252" t="s">
        <v>243</v>
      </c>
      <c r="J9764" s="599">
        <f t="shared" si="288"/>
        <v>0</v>
      </c>
    </row>
    <row r="9765" spans="6:10" hidden="1" x14ac:dyDescent="0.25">
      <c r="F9765" s="249" t="s">
        <v>244</v>
      </c>
      <c r="G9765" s="252" t="s">
        <v>245</v>
      </c>
      <c r="J9765" s="599">
        <f t="shared" si="288"/>
        <v>0</v>
      </c>
    </row>
    <row r="9766" spans="6:10" hidden="1" x14ac:dyDescent="0.25">
      <c r="F9766" s="249" t="s">
        <v>246</v>
      </c>
      <c r="G9766" s="252" t="s">
        <v>247</v>
      </c>
      <c r="J9766" s="599">
        <f t="shared" si="288"/>
        <v>0</v>
      </c>
    </row>
    <row r="9767" spans="6:10" hidden="1" x14ac:dyDescent="0.25">
      <c r="F9767" s="249" t="s">
        <v>248</v>
      </c>
      <c r="G9767" s="252" t="s">
        <v>249</v>
      </c>
      <c r="J9767" s="599">
        <f t="shared" si="288"/>
        <v>0</v>
      </c>
    </row>
    <row r="9768" spans="6:10" hidden="1" x14ac:dyDescent="0.25">
      <c r="F9768" s="249" t="s">
        <v>250</v>
      </c>
      <c r="G9768" s="252" t="s">
        <v>57</v>
      </c>
      <c r="J9768" s="599">
        <f t="shared" si="288"/>
        <v>0</v>
      </c>
    </row>
    <row r="9769" spans="6:10" hidden="1" x14ac:dyDescent="0.25">
      <c r="F9769" s="249" t="s">
        <v>251</v>
      </c>
      <c r="G9769" s="252" t="s">
        <v>252</v>
      </c>
      <c r="J9769" s="599">
        <f t="shared" si="288"/>
        <v>0</v>
      </c>
    </row>
    <row r="9770" spans="6:10" hidden="1" x14ac:dyDescent="0.25">
      <c r="F9770" s="249" t="s">
        <v>253</v>
      </c>
      <c r="G9770" s="252" t="s">
        <v>254</v>
      </c>
      <c r="J9770" s="599">
        <f t="shared" si="288"/>
        <v>0</v>
      </c>
    </row>
    <row r="9771" spans="6:10" ht="30" hidden="1" x14ac:dyDescent="0.25">
      <c r="F9771" s="249" t="s">
        <v>255</v>
      </c>
      <c r="G9771" s="252" t="s">
        <v>256</v>
      </c>
      <c r="J9771" s="599">
        <f t="shared" si="288"/>
        <v>0</v>
      </c>
    </row>
    <row r="9772" spans="6:10" hidden="1" x14ac:dyDescent="0.25">
      <c r="F9772" s="249" t="s">
        <v>257</v>
      </c>
      <c r="G9772" s="252" t="s">
        <v>258</v>
      </c>
      <c r="J9772" s="599">
        <f t="shared" si="288"/>
        <v>0</v>
      </c>
    </row>
    <row r="9773" spans="6:10" ht="30" hidden="1" x14ac:dyDescent="0.25">
      <c r="F9773" s="249" t="s">
        <v>259</v>
      </c>
      <c r="G9773" s="252" t="s">
        <v>260</v>
      </c>
      <c r="J9773" s="599">
        <f t="shared" si="288"/>
        <v>0</v>
      </c>
    </row>
    <row r="9774" spans="6:10" hidden="1" x14ac:dyDescent="0.25">
      <c r="F9774" s="249" t="s">
        <v>261</v>
      </c>
      <c r="G9774" s="252" t="s">
        <v>262</v>
      </c>
      <c r="J9774" s="599">
        <f t="shared" si="288"/>
        <v>0</v>
      </c>
    </row>
    <row r="9775" spans="6:10" ht="15.75" hidden="1" thickBot="1" x14ac:dyDescent="0.3">
      <c r="F9775" s="249" t="s">
        <v>263</v>
      </c>
      <c r="G9775" s="252" t="s">
        <v>264</v>
      </c>
      <c r="H9775" s="598"/>
      <c r="I9775" s="599"/>
      <c r="J9775" s="599">
        <f t="shared" si="288"/>
        <v>0</v>
      </c>
    </row>
    <row r="9776" spans="6:10" ht="15.75" hidden="1" thickBot="1" x14ac:dyDescent="0.3">
      <c r="G9776" s="229" t="s">
        <v>4427</v>
      </c>
      <c r="H9776" s="600">
        <f>SUM(H9760:H9775)</f>
        <v>0</v>
      </c>
      <c r="I9776" s="601">
        <f>SUM(I9761:I9775)</f>
        <v>0</v>
      </c>
      <c r="J9776" s="601">
        <f>SUM(J9760:J9775)</f>
        <v>0</v>
      </c>
    </row>
    <row r="9777" spans="5:10" ht="28.5" hidden="1" collapsed="1" x14ac:dyDescent="0.25">
      <c r="E9777" s="374"/>
      <c r="F9777" s="381"/>
      <c r="G9777" s="231" t="s">
        <v>4443</v>
      </c>
      <c r="H9777" s="602"/>
      <c r="I9777" s="623"/>
      <c r="J9777" s="603"/>
    </row>
    <row r="9778" spans="5:10" hidden="1" x14ac:dyDescent="0.25">
      <c r="E9778" s="222"/>
      <c r="F9778" s="249" t="s">
        <v>234</v>
      </c>
      <c r="G9778" s="252" t="s">
        <v>235</v>
      </c>
      <c r="H9778" s="598">
        <f>SUM(H9699:H9758)</f>
        <v>0</v>
      </c>
      <c r="I9778" s="599"/>
      <c r="J9778" s="599">
        <f>SUM(H9778:I9778)</f>
        <v>0</v>
      </c>
    </row>
    <row r="9779" spans="5:10" hidden="1" x14ac:dyDescent="0.25">
      <c r="F9779" s="249" t="s">
        <v>236</v>
      </c>
      <c r="G9779" s="252" t="s">
        <v>237</v>
      </c>
      <c r="J9779" s="599">
        <f t="shared" ref="J9779:J9793" si="289">SUM(H9779:I9779)</f>
        <v>0</v>
      </c>
    </row>
    <row r="9780" spans="5:10" hidden="1" x14ac:dyDescent="0.25">
      <c r="F9780" s="249" t="s">
        <v>238</v>
      </c>
      <c r="G9780" s="252" t="s">
        <v>239</v>
      </c>
      <c r="J9780" s="599">
        <f t="shared" si="289"/>
        <v>0</v>
      </c>
    </row>
    <row r="9781" spans="5:10" hidden="1" x14ac:dyDescent="0.25">
      <c r="F9781" s="249" t="s">
        <v>240</v>
      </c>
      <c r="G9781" s="252" t="s">
        <v>241</v>
      </c>
      <c r="J9781" s="599">
        <f t="shared" si="289"/>
        <v>0</v>
      </c>
    </row>
    <row r="9782" spans="5:10" hidden="1" x14ac:dyDescent="0.25">
      <c r="F9782" s="249" t="s">
        <v>242</v>
      </c>
      <c r="G9782" s="252" t="s">
        <v>243</v>
      </c>
      <c r="J9782" s="599">
        <f t="shared" si="289"/>
        <v>0</v>
      </c>
    </row>
    <row r="9783" spans="5:10" hidden="1" x14ac:dyDescent="0.25">
      <c r="F9783" s="249" t="s">
        <v>244</v>
      </c>
      <c r="G9783" s="252" t="s">
        <v>245</v>
      </c>
      <c r="J9783" s="599">
        <f t="shared" si="289"/>
        <v>0</v>
      </c>
    </row>
    <row r="9784" spans="5:10" hidden="1" x14ac:dyDescent="0.25">
      <c r="F9784" s="249" t="s">
        <v>246</v>
      </c>
      <c r="G9784" s="252" t="s">
        <v>247</v>
      </c>
      <c r="J9784" s="599">
        <f t="shared" si="289"/>
        <v>0</v>
      </c>
    </row>
    <row r="9785" spans="5:10" hidden="1" x14ac:dyDescent="0.25">
      <c r="F9785" s="249" t="s">
        <v>248</v>
      </c>
      <c r="G9785" s="252" t="s">
        <v>249</v>
      </c>
      <c r="J9785" s="599">
        <f t="shared" si="289"/>
        <v>0</v>
      </c>
    </row>
    <row r="9786" spans="5:10" hidden="1" x14ac:dyDescent="0.25">
      <c r="F9786" s="249" t="s">
        <v>250</v>
      </c>
      <c r="G9786" s="252" t="s">
        <v>57</v>
      </c>
      <c r="J9786" s="599">
        <f t="shared" si="289"/>
        <v>0</v>
      </c>
    </row>
    <row r="9787" spans="5:10" hidden="1" x14ac:dyDescent="0.25">
      <c r="F9787" s="249" t="s">
        <v>251</v>
      </c>
      <c r="G9787" s="252" t="s">
        <v>252</v>
      </c>
      <c r="J9787" s="599">
        <f t="shared" si="289"/>
        <v>0</v>
      </c>
    </row>
    <row r="9788" spans="5:10" hidden="1" x14ac:dyDescent="0.25">
      <c r="F9788" s="249" t="s">
        <v>253</v>
      </c>
      <c r="G9788" s="252" t="s">
        <v>254</v>
      </c>
      <c r="J9788" s="599">
        <f t="shared" si="289"/>
        <v>0</v>
      </c>
    </row>
    <row r="9789" spans="5:10" ht="30" hidden="1" x14ac:dyDescent="0.25">
      <c r="F9789" s="249" t="s">
        <v>255</v>
      </c>
      <c r="G9789" s="252" t="s">
        <v>256</v>
      </c>
      <c r="J9789" s="599">
        <f t="shared" si="289"/>
        <v>0</v>
      </c>
    </row>
    <row r="9790" spans="5:10" hidden="1" x14ac:dyDescent="0.25">
      <c r="F9790" s="249" t="s">
        <v>257</v>
      </c>
      <c r="G9790" s="252" t="s">
        <v>258</v>
      </c>
      <c r="J9790" s="599">
        <f t="shared" si="289"/>
        <v>0</v>
      </c>
    </row>
    <row r="9791" spans="5:10" ht="30" hidden="1" x14ac:dyDescent="0.25">
      <c r="F9791" s="249" t="s">
        <v>259</v>
      </c>
      <c r="G9791" s="252" t="s">
        <v>260</v>
      </c>
      <c r="J9791" s="599">
        <f t="shared" si="289"/>
        <v>0</v>
      </c>
    </row>
    <row r="9792" spans="5:10" hidden="1" x14ac:dyDescent="0.25">
      <c r="F9792" s="249" t="s">
        <v>261</v>
      </c>
      <c r="G9792" s="252" t="s">
        <v>262</v>
      </c>
      <c r="J9792" s="599">
        <f t="shared" si="289"/>
        <v>0</v>
      </c>
    </row>
    <row r="9793" spans="1:25" ht="15.75" hidden="1" thickBot="1" x14ac:dyDescent="0.3">
      <c r="F9793" s="249" t="s">
        <v>263</v>
      </c>
      <c r="G9793" s="252" t="s">
        <v>264</v>
      </c>
      <c r="H9793" s="598"/>
      <c r="I9793" s="599"/>
      <c r="J9793" s="599">
        <f t="shared" si="289"/>
        <v>0</v>
      </c>
    </row>
    <row r="9794" spans="1:25" ht="15.75" hidden="1" collapsed="1" thickBot="1" x14ac:dyDescent="0.3">
      <c r="G9794" s="229" t="s">
        <v>4444</v>
      </c>
      <c r="H9794" s="600">
        <f>SUM(H9778:H9793)</f>
        <v>0</v>
      </c>
      <c r="I9794" s="601">
        <f>SUM(I9779:I9793)</f>
        <v>0</v>
      </c>
      <c r="J9794" s="601">
        <f>SUM(J9778:J9793)</f>
        <v>0</v>
      </c>
    </row>
    <row r="9795" spans="1:25" hidden="1" x14ac:dyDescent="0.25"/>
    <row r="9796" spans="1:25" s="88" customFormat="1" hidden="1" x14ac:dyDescent="0.25">
      <c r="A9796" s="377"/>
      <c r="B9796" s="256"/>
      <c r="C9796" s="276" t="s">
        <v>4440</v>
      </c>
      <c r="D9796" s="219"/>
      <c r="E9796" s="219"/>
      <c r="F9796" s="277"/>
      <c r="G9796" s="382" t="s">
        <v>4090</v>
      </c>
      <c r="H9796" s="627"/>
      <c r="I9796" s="610"/>
      <c r="J9796" s="628"/>
      <c r="K9796" s="533"/>
      <c r="L9796" s="533"/>
      <c r="M9796" s="533"/>
      <c r="N9796" s="533"/>
      <c r="O9796" s="533"/>
      <c r="P9796" s="533"/>
      <c r="Q9796" s="533"/>
      <c r="R9796" s="533"/>
      <c r="S9796" s="533"/>
      <c r="T9796" s="533"/>
      <c r="U9796" s="533"/>
      <c r="V9796" s="533"/>
      <c r="W9796" s="533"/>
      <c r="X9796" s="533"/>
      <c r="Y9796" s="533"/>
    </row>
    <row r="9797" spans="1:25" ht="30" hidden="1" x14ac:dyDescent="0.25">
      <c r="C9797" s="228"/>
      <c r="D9797" s="312">
        <v>660</v>
      </c>
      <c r="E9797" s="312"/>
      <c r="F9797" s="312"/>
      <c r="G9797" s="313" t="s">
        <v>186</v>
      </c>
    </row>
    <row r="9798" spans="1:25" hidden="1" x14ac:dyDescent="0.25">
      <c r="F9798" s="380">
        <v>411</v>
      </c>
      <c r="G9798" s="375" t="s">
        <v>4189</v>
      </c>
      <c r="J9798" s="595">
        <f>SUM(H9798:I9798)</f>
        <v>0</v>
      </c>
    </row>
    <row r="9799" spans="1:25" hidden="1" x14ac:dyDescent="0.25">
      <c r="F9799" s="380">
        <v>412</v>
      </c>
      <c r="G9799" s="373" t="s">
        <v>3784</v>
      </c>
      <c r="J9799" s="595">
        <f t="shared" ref="J9799:J9857" si="290">SUM(H9799:I9799)</f>
        <v>0</v>
      </c>
    </row>
    <row r="9800" spans="1:25" hidden="1" x14ac:dyDescent="0.25">
      <c r="F9800" s="380">
        <v>413</v>
      </c>
      <c r="G9800" s="375" t="s">
        <v>4190</v>
      </c>
      <c r="J9800" s="595">
        <f t="shared" si="290"/>
        <v>0</v>
      </c>
    </row>
    <row r="9801" spans="1:25" hidden="1" x14ac:dyDescent="0.25">
      <c r="F9801" s="380">
        <v>414</v>
      </c>
      <c r="G9801" s="375" t="s">
        <v>3787</v>
      </c>
      <c r="J9801" s="595">
        <f t="shared" si="290"/>
        <v>0</v>
      </c>
    </row>
    <row r="9802" spans="1:25" hidden="1" x14ac:dyDescent="0.25">
      <c r="F9802" s="380">
        <v>415</v>
      </c>
      <c r="G9802" s="375" t="s">
        <v>4199</v>
      </c>
      <c r="J9802" s="595">
        <f t="shared" si="290"/>
        <v>0</v>
      </c>
    </row>
    <row r="9803" spans="1:25" hidden="1" x14ac:dyDescent="0.25">
      <c r="F9803" s="380">
        <v>416</v>
      </c>
      <c r="G9803" s="375" t="s">
        <v>4200</v>
      </c>
      <c r="J9803" s="595">
        <f t="shared" si="290"/>
        <v>0</v>
      </c>
    </row>
    <row r="9804" spans="1:25" hidden="1" x14ac:dyDescent="0.25">
      <c r="F9804" s="380">
        <v>417</v>
      </c>
      <c r="G9804" s="375" t="s">
        <v>4201</v>
      </c>
      <c r="J9804" s="595">
        <f t="shared" si="290"/>
        <v>0</v>
      </c>
    </row>
    <row r="9805" spans="1:25" hidden="1" x14ac:dyDescent="0.25">
      <c r="F9805" s="380">
        <v>418</v>
      </c>
      <c r="G9805" s="375" t="s">
        <v>3793</v>
      </c>
      <c r="J9805" s="595">
        <f t="shared" si="290"/>
        <v>0</v>
      </c>
    </row>
    <row r="9806" spans="1:25" hidden="1" x14ac:dyDescent="0.25">
      <c r="F9806" s="380">
        <v>421</v>
      </c>
      <c r="G9806" s="375" t="s">
        <v>3797</v>
      </c>
      <c r="J9806" s="595">
        <f t="shared" si="290"/>
        <v>0</v>
      </c>
    </row>
    <row r="9807" spans="1:25" hidden="1" x14ac:dyDescent="0.25">
      <c r="F9807" s="380">
        <v>422</v>
      </c>
      <c r="G9807" s="375" t="s">
        <v>3798</v>
      </c>
      <c r="J9807" s="595">
        <f t="shared" si="290"/>
        <v>0</v>
      </c>
    </row>
    <row r="9808" spans="1:25" hidden="1" x14ac:dyDescent="0.25">
      <c r="F9808" s="380">
        <v>423</v>
      </c>
      <c r="G9808" s="375" t="s">
        <v>3799</v>
      </c>
      <c r="J9808" s="595">
        <f t="shared" si="290"/>
        <v>0</v>
      </c>
    </row>
    <row r="9809" spans="6:10" ht="15.75" hidden="1" thickBot="1" x14ac:dyDescent="0.3">
      <c r="F9809" s="380">
        <v>424</v>
      </c>
      <c r="G9809" s="375" t="s">
        <v>3801</v>
      </c>
      <c r="J9809" s="595">
        <f t="shared" si="290"/>
        <v>0</v>
      </c>
    </row>
    <row r="9810" spans="6:10" hidden="1" x14ac:dyDescent="0.25">
      <c r="F9810" s="380">
        <v>425</v>
      </c>
      <c r="G9810" s="375" t="s">
        <v>4202</v>
      </c>
      <c r="J9810" s="595">
        <f t="shared" si="290"/>
        <v>0</v>
      </c>
    </row>
    <row r="9811" spans="6:10" hidden="1" x14ac:dyDescent="0.25">
      <c r="F9811" s="380">
        <v>426</v>
      </c>
      <c r="G9811" s="375" t="s">
        <v>3805</v>
      </c>
      <c r="J9811" s="595">
        <f t="shared" si="290"/>
        <v>0</v>
      </c>
    </row>
    <row r="9812" spans="6:10" hidden="1" x14ac:dyDescent="0.25">
      <c r="F9812" s="380">
        <v>431</v>
      </c>
      <c r="G9812" s="375" t="s">
        <v>4203</v>
      </c>
      <c r="J9812" s="595">
        <f t="shared" si="290"/>
        <v>0</v>
      </c>
    </row>
    <row r="9813" spans="6:10" hidden="1" x14ac:dyDescent="0.25">
      <c r="F9813" s="380">
        <v>432</v>
      </c>
      <c r="G9813" s="375" t="s">
        <v>4204</v>
      </c>
      <c r="J9813" s="595">
        <f t="shared" si="290"/>
        <v>0</v>
      </c>
    </row>
    <row r="9814" spans="6:10" hidden="1" x14ac:dyDescent="0.25">
      <c r="F9814" s="380">
        <v>433</v>
      </c>
      <c r="G9814" s="375" t="s">
        <v>4205</v>
      </c>
      <c r="J9814" s="595">
        <f t="shared" si="290"/>
        <v>0</v>
      </c>
    </row>
    <row r="9815" spans="6:10" hidden="1" x14ac:dyDescent="0.25">
      <c r="F9815" s="380">
        <v>434</v>
      </c>
      <c r="G9815" s="375" t="s">
        <v>4206</v>
      </c>
      <c r="J9815" s="595">
        <f t="shared" si="290"/>
        <v>0</v>
      </c>
    </row>
    <row r="9816" spans="6:10" hidden="1" x14ac:dyDescent="0.25">
      <c r="F9816" s="380">
        <v>435</v>
      </c>
      <c r="G9816" s="375" t="s">
        <v>3812</v>
      </c>
      <c r="J9816" s="595">
        <f t="shared" si="290"/>
        <v>0</v>
      </c>
    </row>
    <row r="9817" spans="6:10" hidden="1" x14ac:dyDescent="0.25">
      <c r="F9817" s="380">
        <v>441</v>
      </c>
      <c r="G9817" s="375" t="s">
        <v>4207</v>
      </c>
      <c r="J9817" s="595">
        <f t="shared" si="290"/>
        <v>0</v>
      </c>
    </row>
    <row r="9818" spans="6:10" hidden="1" x14ac:dyDescent="0.25">
      <c r="F9818" s="380">
        <v>442</v>
      </c>
      <c r="G9818" s="375" t="s">
        <v>4208</v>
      </c>
      <c r="J9818" s="595">
        <f t="shared" si="290"/>
        <v>0</v>
      </c>
    </row>
    <row r="9819" spans="6:10" hidden="1" x14ac:dyDescent="0.25">
      <c r="F9819" s="380">
        <v>443</v>
      </c>
      <c r="G9819" s="375" t="s">
        <v>3817</v>
      </c>
      <c r="J9819" s="595">
        <f t="shared" si="290"/>
        <v>0</v>
      </c>
    </row>
    <row r="9820" spans="6:10" hidden="1" x14ac:dyDescent="0.25">
      <c r="F9820" s="380">
        <v>444</v>
      </c>
      <c r="G9820" s="375" t="s">
        <v>3818</v>
      </c>
      <c r="J9820" s="595">
        <f t="shared" si="290"/>
        <v>0</v>
      </c>
    </row>
    <row r="9821" spans="6:10" ht="30" hidden="1" x14ac:dyDescent="0.25">
      <c r="F9821" s="380">
        <v>4511</v>
      </c>
      <c r="G9821" s="223" t="s">
        <v>1692</v>
      </c>
      <c r="J9821" s="595">
        <f t="shared" si="290"/>
        <v>0</v>
      </c>
    </row>
    <row r="9822" spans="6:10" ht="19.5" hidden="1" customHeight="1" x14ac:dyDescent="0.25">
      <c r="F9822" s="380">
        <v>4512</v>
      </c>
      <c r="G9822" s="223" t="s">
        <v>1701</v>
      </c>
      <c r="J9822" s="595">
        <f t="shared" si="290"/>
        <v>0</v>
      </c>
    </row>
    <row r="9823" spans="6:10" hidden="1" x14ac:dyDescent="0.25">
      <c r="F9823" s="380">
        <v>452</v>
      </c>
      <c r="G9823" s="375" t="s">
        <v>4209</v>
      </c>
      <c r="J9823" s="595">
        <f t="shared" si="290"/>
        <v>0</v>
      </c>
    </row>
    <row r="9824" spans="6:10" hidden="1" x14ac:dyDescent="0.25">
      <c r="F9824" s="380">
        <v>453</v>
      </c>
      <c r="G9824" s="375" t="s">
        <v>4210</v>
      </c>
      <c r="J9824" s="595">
        <f t="shared" si="290"/>
        <v>0</v>
      </c>
    </row>
    <row r="9825" spans="6:10" hidden="1" x14ac:dyDescent="0.25">
      <c r="F9825" s="380">
        <v>454</v>
      </c>
      <c r="G9825" s="375" t="s">
        <v>3823</v>
      </c>
      <c r="J9825" s="595">
        <f t="shared" si="290"/>
        <v>0</v>
      </c>
    </row>
    <row r="9826" spans="6:10" hidden="1" x14ac:dyDescent="0.25">
      <c r="F9826" s="380">
        <v>461</v>
      </c>
      <c r="G9826" s="375" t="s">
        <v>4191</v>
      </c>
      <c r="J9826" s="595">
        <f t="shared" si="290"/>
        <v>0</v>
      </c>
    </row>
    <row r="9827" spans="6:10" hidden="1" x14ac:dyDescent="0.25">
      <c r="F9827" s="380">
        <v>462</v>
      </c>
      <c r="G9827" s="375" t="s">
        <v>3826</v>
      </c>
      <c r="J9827" s="595">
        <f t="shared" si="290"/>
        <v>0</v>
      </c>
    </row>
    <row r="9828" spans="6:10" hidden="1" x14ac:dyDescent="0.25">
      <c r="F9828" s="380">
        <v>4631</v>
      </c>
      <c r="G9828" s="375" t="s">
        <v>3827</v>
      </c>
      <c r="J9828" s="595">
        <f t="shared" si="290"/>
        <v>0</v>
      </c>
    </row>
    <row r="9829" spans="6:10" hidden="1" x14ac:dyDescent="0.25">
      <c r="F9829" s="380">
        <v>4632</v>
      </c>
      <c r="G9829" s="375" t="s">
        <v>3828</v>
      </c>
      <c r="J9829" s="595">
        <f t="shared" si="290"/>
        <v>0</v>
      </c>
    </row>
    <row r="9830" spans="6:10" hidden="1" x14ac:dyDescent="0.25">
      <c r="F9830" s="380">
        <v>464</v>
      </c>
      <c r="G9830" s="375" t="s">
        <v>3829</v>
      </c>
      <c r="J9830" s="595">
        <f t="shared" si="290"/>
        <v>0</v>
      </c>
    </row>
    <row r="9831" spans="6:10" hidden="1" x14ac:dyDescent="0.25">
      <c r="F9831" s="380">
        <v>465</v>
      </c>
      <c r="G9831" s="375" t="s">
        <v>4192</v>
      </c>
      <c r="J9831" s="595">
        <f t="shared" si="290"/>
        <v>0</v>
      </c>
    </row>
    <row r="9832" spans="6:10" hidden="1" x14ac:dyDescent="0.25">
      <c r="F9832" s="380">
        <v>472</v>
      </c>
      <c r="G9832" s="375" t="s">
        <v>3833</v>
      </c>
      <c r="J9832" s="595">
        <f t="shared" si="290"/>
        <v>0</v>
      </c>
    </row>
    <row r="9833" spans="6:10" hidden="1" x14ac:dyDescent="0.25">
      <c r="F9833" s="380">
        <v>481</v>
      </c>
      <c r="G9833" s="375" t="s">
        <v>4211</v>
      </c>
      <c r="J9833" s="595">
        <f t="shared" si="290"/>
        <v>0</v>
      </c>
    </row>
    <row r="9834" spans="6:10" hidden="1" x14ac:dyDescent="0.25">
      <c r="F9834" s="380">
        <v>482</v>
      </c>
      <c r="G9834" s="375" t="s">
        <v>4212</v>
      </c>
      <c r="J9834" s="595">
        <f t="shared" si="290"/>
        <v>0</v>
      </c>
    </row>
    <row r="9835" spans="6:10" hidden="1" x14ac:dyDescent="0.25">
      <c r="F9835" s="380">
        <v>483</v>
      </c>
      <c r="G9835" s="378" t="s">
        <v>4213</v>
      </c>
      <c r="J9835" s="595">
        <f t="shared" si="290"/>
        <v>0</v>
      </c>
    </row>
    <row r="9836" spans="6:10" ht="30" hidden="1" x14ac:dyDescent="0.25">
      <c r="F9836" s="380">
        <v>484</v>
      </c>
      <c r="G9836" s="375" t="s">
        <v>4214</v>
      </c>
      <c r="J9836" s="595">
        <f t="shared" si="290"/>
        <v>0</v>
      </c>
    </row>
    <row r="9837" spans="6:10" ht="30" hidden="1" x14ac:dyDescent="0.25">
      <c r="F9837" s="380">
        <v>485</v>
      </c>
      <c r="G9837" s="375" t="s">
        <v>4215</v>
      </c>
      <c r="J9837" s="595">
        <f t="shared" si="290"/>
        <v>0</v>
      </c>
    </row>
    <row r="9838" spans="6:10" ht="30" hidden="1" x14ac:dyDescent="0.25">
      <c r="F9838" s="380">
        <v>489</v>
      </c>
      <c r="G9838" s="375" t="s">
        <v>3841</v>
      </c>
      <c r="J9838" s="595">
        <f t="shared" si="290"/>
        <v>0</v>
      </c>
    </row>
    <row r="9839" spans="6:10" hidden="1" x14ac:dyDescent="0.25">
      <c r="F9839" s="380">
        <v>494</v>
      </c>
      <c r="G9839" s="375" t="s">
        <v>4193</v>
      </c>
      <c r="J9839" s="595">
        <f t="shared" si="290"/>
        <v>0</v>
      </c>
    </row>
    <row r="9840" spans="6:10" ht="30" hidden="1" x14ac:dyDescent="0.25">
      <c r="F9840" s="380">
        <v>495</v>
      </c>
      <c r="G9840" s="375" t="s">
        <v>4194</v>
      </c>
      <c r="J9840" s="595">
        <f t="shared" si="290"/>
        <v>0</v>
      </c>
    </row>
    <row r="9841" spans="6:10" ht="30" hidden="1" x14ac:dyDescent="0.25">
      <c r="F9841" s="380">
        <v>496</v>
      </c>
      <c r="G9841" s="375" t="s">
        <v>4195</v>
      </c>
      <c r="J9841" s="595">
        <f t="shared" si="290"/>
        <v>0</v>
      </c>
    </row>
    <row r="9842" spans="6:10" hidden="1" x14ac:dyDescent="0.25">
      <c r="F9842" s="380">
        <v>499</v>
      </c>
      <c r="G9842" s="375" t="s">
        <v>4196</v>
      </c>
      <c r="J9842" s="595">
        <f t="shared" si="290"/>
        <v>0</v>
      </c>
    </row>
    <row r="9843" spans="6:10" hidden="1" x14ac:dyDescent="0.25">
      <c r="F9843" s="380">
        <v>511</v>
      </c>
      <c r="G9843" s="378" t="s">
        <v>4216</v>
      </c>
      <c r="J9843" s="595">
        <f t="shared" si="290"/>
        <v>0</v>
      </c>
    </row>
    <row r="9844" spans="6:10" hidden="1" x14ac:dyDescent="0.25">
      <c r="F9844" s="380">
        <v>512</v>
      </c>
      <c r="G9844" s="378" t="s">
        <v>4217</v>
      </c>
      <c r="J9844" s="595">
        <f t="shared" si="290"/>
        <v>0</v>
      </c>
    </row>
    <row r="9845" spans="6:10" hidden="1" x14ac:dyDescent="0.25">
      <c r="F9845" s="380">
        <v>513</v>
      </c>
      <c r="G9845" s="378" t="s">
        <v>4218</v>
      </c>
      <c r="J9845" s="595">
        <f t="shared" si="290"/>
        <v>0</v>
      </c>
    </row>
    <row r="9846" spans="6:10" hidden="1" x14ac:dyDescent="0.25">
      <c r="F9846" s="380">
        <v>514</v>
      </c>
      <c r="G9846" s="375" t="s">
        <v>4219</v>
      </c>
      <c r="J9846" s="595">
        <f t="shared" si="290"/>
        <v>0</v>
      </c>
    </row>
    <row r="9847" spans="6:10" hidden="1" x14ac:dyDescent="0.25">
      <c r="F9847" s="380">
        <v>515</v>
      </c>
      <c r="G9847" s="375" t="s">
        <v>3852</v>
      </c>
      <c r="J9847" s="595">
        <f t="shared" si="290"/>
        <v>0</v>
      </c>
    </row>
    <row r="9848" spans="6:10" hidden="1" x14ac:dyDescent="0.25">
      <c r="F9848" s="380">
        <v>521</v>
      </c>
      <c r="G9848" s="375" t="s">
        <v>4220</v>
      </c>
      <c r="J9848" s="595">
        <f t="shared" si="290"/>
        <v>0</v>
      </c>
    </row>
    <row r="9849" spans="6:10" hidden="1" x14ac:dyDescent="0.25">
      <c r="F9849" s="380">
        <v>522</v>
      </c>
      <c r="G9849" s="375" t="s">
        <v>4221</v>
      </c>
      <c r="J9849" s="595">
        <f t="shared" si="290"/>
        <v>0</v>
      </c>
    </row>
    <row r="9850" spans="6:10" hidden="1" x14ac:dyDescent="0.25">
      <c r="F9850" s="380">
        <v>523</v>
      </c>
      <c r="G9850" s="375" t="s">
        <v>3857</v>
      </c>
      <c r="J9850" s="595">
        <f t="shared" si="290"/>
        <v>0</v>
      </c>
    </row>
    <row r="9851" spans="6:10" hidden="1" x14ac:dyDescent="0.25">
      <c r="F9851" s="380">
        <v>531</v>
      </c>
      <c r="G9851" s="373" t="s">
        <v>4197</v>
      </c>
      <c r="J9851" s="595">
        <f t="shared" si="290"/>
        <v>0</v>
      </c>
    </row>
    <row r="9852" spans="6:10" hidden="1" x14ac:dyDescent="0.25">
      <c r="F9852" s="380">
        <v>541</v>
      </c>
      <c r="G9852" s="375" t="s">
        <v>4222</v>
      </c>
      <c r="J9852" s="595">
        <f t="shared" si="290"/>
        <v>0</v>
      </c>
    </row>
    <row r="9853" spans="6:10" hidden="1" x14ac:dyDescent="0.25">
      <c r="F9853" s="380">
        <v>542</v>
      </c>
      <c r="G9853" s="375" t="s">
        <v>4223</v>
      </c>
      <c r="J9853" s="595">
        <f t="shared" si="290"/>
        <v>0</v>
      </c>
    </row>
    <row r="9854" spans="6:10" hidden="1" x14ac:dyDescent="0.25">
      <c r="F9854" s="380">
        <v>543</v>
      </c>
      <c r="G9854" s="375" t="s">
        <v>3862</v>
      </c>
      <c r="J9854" s="595">
        <f t="shared" si="290"/>
        <v>0</v>
      </c>
    </row>
    <row r="9855" spans="6:10" ht="30" hidden="1" x14ac:dyDescent="0.25">
      <c r="F9855" s="380">
        <v>551</v>
      </c>
      <c r="G9855" s="375" t="s">
        <v>4198</v>
      </c>
      <c r="J9855" s="595">
        <f t="shared" si="290"/>
        <v>0</v>
      </c>
    </row>
    <row r="9856" spans="6:10" hidden="1" x14ac:dyDescent="0.25">
      <c r="F9856" s="381">
        <v>611</v>
      </c>
      <c r="G9856" s="379" t="s">
        <v>3868</v>
      </c>
      <c r="J9856" s="595">
        <f t="shared" si="290"/>
        <v>0</v>
      </c>
    </row>
    <row r="9857" spans="5:10" ht="15.75" hidden="1" thickBot="1" x14ac:dyDescent="0.3">
      <c r="F9857" s="381">
        <v>620</v>
      </c>
      <c r="G9857" s="379" t="s">
        <v>88</v>
      </c>
      <c r="J9857" s="595">
        <f t="shared" si="290"/>
        <v>0</v>
      </c>
    </row>
    <row r="9858" spans="5:10" hidden="1" x14ac:dyDescent="0.25">
      <c r="E9858" s="374"/>
      <c r="F9858" s="381"/>
      <c r="G9858" s="327" t="s">
        <v>4426</v>
      </c>
      <c r="H9858" s="596"/>
      <c r="I9858" s="622"/>
      <c r="J9858" s="597"/>
    </row>
    <row r="9859" spans="5:10" ht="15.75" hidden="1" thickBot="1" x14ac:dyDescent="0.3">
      <c r="E9859" s="222"/>
      <c r="F9859" s="249" t="s">
        <v>234</v>
      </c>
      <c r="G9859" s="252" t="s">
        <v>235</v>
      </c>
      <c r="H9859" s="598">
        <f>SUM(H9798:H9857)</f>
        <v>0</v>
      </c>
      <c r="I9859" s="599"/>
      <c r="J9859" s="599">
        <f t="shared" ref="J9859:J9874" si="291">SUM(H9859:I9859)</f>
        <v>0</v>
      </c>
    </row>
    <row r="9860" spans="5:10" hidden="1" x14ac:dyDescent="0.25">
      <c r="F9860" s="249" t="s">
        <v>236</v>
      </c>
      <c r="G9860" s="252" t="s">
        <v>237</v>
      </c>
      <c r="J9860" s="599">
        <f t="shared" si="291"/>
        <v>0</v>
      </c>
    </row>
    <row r="9861" spans="5:10" hidden="1" x14ac:dyDescent="0.25">
      <c r="F9861" s="249" t="s">
        <v>238</v>
      </c>
      <c r="G9861" s="252" t="s">
        <v>239</v>
      </c>
      <c r="J9861" s="599">
        <f t="shared" si="291"/>
        <v>0</v>
      </c>
    </row>
    <row r="9862" spans="5:10" hidden="1" x14ac:dyDescent="0.25">
      <c r="F9862" s="249" t="s">
        <v>240</v>
      </c>
      <c r="G9862" s="252" t="s">
        <v>241</v>
      </c>
      <c r="J9862" s="599">
        <f t="shared" si="291"/>
        <v>0</v>
      </c>
    </row>
    <row r="9863" spans="5:10" hidden="1" x14ac:dyDescent="0.25">
      <c r="F9863" s="249" t="s">
        <v>242</v>
      </c>
      <c r="G9863" s="252" t="s">
        <v>243</v>
      </c>
      <c r="J9863" s="599">
        <f t="shared" si="291"/>
        <v>0</v>
      </c>
    </row>
    <row r="9864" spans="5:10" hidden="1" x14ac:dyDescent="0.25">
      <c r="F9864" s="249" t="s">
        <v>244</v>
      </c>
      <c r="G9864" s="252" t="s">
        <v>245</v>
      </c>
      <c r="J9864" s="599">
        <f t="shared" si="291"/>
        <v>0</v>
      </c>
    </row>
    <row r="9865" spans="5:10" hidden="1" x14ac:dyDescent="0.25">
      <c r="F9865" s="249" t="s">
        <v>246</v>
      </c>
      <c r="G9865" s="252" t="s">
        <v>247</v>
      </c>
      <c r="J9865" s="599">
        <f t="shared" si="291"/>
        <v>0</v>
      </c>
    </row>
    <row r="9866" spans="5:10" hidden="1" x14ac:dyDescent="0.25">
      <c r="F9866" s="249" t="s">
        <v>248</v>
      </c>
      <c r="G9866" s="252" t="s">
        <v>249</v>
      </c>
      <c r="J9866" s="599">
        <f t="shared" si="291"/>
        <v>0</v>
      </c>
    </row>
    <row r="9867" spans="5:10" hidden="1" x14ac:dyDescent="0.25">
      <c r="F9867" s="249" t="s">
        <v>250</v>
      </c>
      <c r="G9867" s="252" t="s">
        <v>57</v>
      </c>
      <c r="J9867" s="599">
        <f t="shared" si="291"/>
        <v>0</v>
      </c>
    </row>
    <row r="9868" spans="5:10" hidden="1" x14ac:dyDescent="0.25">
      <c r="F9868" s="249" t="s">
        <v>251</v>
      </c>
      <c r="G9868" s="252" t="s">
        <v>252</v>
      </c>
      <c r="J9868" s="599">
        <f t="shared" si="291"/>
        <v>0</v>
      </c>
    </row>
    <row r="9869" spans="5:10" hidden="1" x14ac:dyDescent="0.25">
      <c r="F9869" s="249" t="s">
        <v>253</v>
      </c>
      <c r="G9869" s="252" t="s">
        <v>254</v>
      </c>
      <c r="J9869" s="599">
        <f t="shared" si="291"/>
        <v>0</v>
      </c>
    </row>
    <row r="9870" spans="5:10" ht="30" hidden="1" x14ac:dyDescent="0.25">
      <c r="F9870" s="249" t="s">
        <v>255</v>
      </c>
      <c r="G9870" s="252" t="s">
        <v>256</v>
      </c>
      <c r="J9870" s="599">
        <f t="shared" si="291"/>
        <v>0</v>
      </c>
    </row>
    <row r="9871" spans="5:10" hidden="1" x14ac:dyDescent="0.25">
      <c r="F9871" s="249" t="s">
        <v>257</v>
      </c>
      <c r="G9871" s="252" t="s">
        <v>258</v>
      </c>
      <c r="J9871" s="599">
        <f t="shared" si="291"/>
        <v>0</v>
      </c>
    </row>
    <row r="9872" spans="5:10" ht="30" hidden="1" x14ac:dyDescent="0.25">
      <c r="F9872" s="249" t="s">
        <v>259</v>
      </c>
      <c r="G9872" s="252" t="s">
        <v>260</v>
      </c>
      <c r="J9872" s="599">
        <f t="shared" si="291"/>
        <v>0</v>
      </c>
    </row>
    <row r="9873" spans="5:10" hidden="1" x14ac:dyDescent="0.25">
      <c r="F9873" s="249" t="s">
        <v>261</v>
      </c>
      <c r="G9873" s="252" t="s">
        <v>262</v>
      </c>
      <c r="J9873" s="599">
        <f t="shared" si="291"/>
        <v>0</v>
      </c>
    </row>
    <row r="9874" spans="5:10" ht="15.75" hidden="1" thickBot="1" x14ac:dyDescent="0.3">
      <c r="F9874" s="249" t="s">
        <v>263</v>
      </c>
      <c r="G9874" s="252" t="s">
        <v>264</v>
      </c>
      <c r="H9874" s="598"/>
      <c r="I9874" s="599"/>
      <c r="J9874" s="599">
        <f t="shared" si="291"/>
        <v>0</v>
      </c>
    </row>
    <row r="9875" spans="5:10" ht="15.75" hidden="1" thickBot="1" x14ac:dyDescent="0.3">
      <c r="G9875" s="229" t="s">
        <v>4427</v>
      </c>
      <c r="H9875" s="600">
        <f>SUM(H9859:H9874)</f>
        <v>0</v>
      </c>
      <c r="I9875" s="601">
        <f>SUM(I9860:I9874)</f>
        <v>0</v>
      </c>
      <c r="J9875" s="601">
        <f>SUM(J9859:J9874)</f>
        <v>0</v>
      </c>
    </row>
    <row r="9876" spans="5:10" ht="28.5" hidden="1" collapsed="1" x14ac:dyDescent="0.25">
      <c r="E9876" s="374"/>
      <c r="F9876" s="381"/>
      <c r="G9876" s="231" t="s">
        <v>4445</v>
      </c>
      <c r="H9876" s="602"/>
      <c r="I9876" s="623"/>
      <c r="J9876" s="603"/>
    </row>
    <row r="9877" spans="5:10" ht="15.75" hidden="1" thickBot="1" x14ac:dyDescent="0.3">
      <c r="E9877" s="222"/>
      <c r="F9877" s="249" t="s">
        <v>234</v>
      </c>
      <c r="G9877" s="252" t="s">
        <v>235</v>
      </c>
      <c r="H9877" s="598">
        <f>SUM(H9798:H9857)</f>
        <v>0</v>
      </c>
      <c r="I9877" s="599"/>
      <c r="J9877" s="599">
        <f>SUM(H9877:I9877)</f>
        <v>0</v>
      </c>
    </row>
    <row r="9878" spans="5:10" hidden="1" x14ac:dyDescent="0.25">
      <c r="F9878" s="249" t="s">
        <v>236</v>
      </c>
      <c r="G9878" s="252" t="s">
        <v>237</v>
      </c>
      <c r="J9878" s="599">
        <f t="shared" ref="J9878:J9892" si="292">SUM(H9878:I9878)</f>
        <v>0</v>
      </c>
    </row>
    <row r="9879" spans="5:10" hidden="1" x14ac:dyDescent="0.25">
      <c r="F9879" s="249" t="s">
        <v>238</v>
      </c>
      <c r="G9879" s="252" t="s">
        <v>239</v>
      </c>
      <c r="J9879" s="599">
        <f t="shared" si="292"/>
        <v>0</v>
      </c>
    </row>
    <row r="9880" spans="5:10" hidden="1" x14ac:dyDescent="0.25">
      <c r="F9880" s="249" t="s">
        <v>240</v>
      </c>
      <c r="G9880" s="252" t="s">
        <v>241</v>
      </c>
      <c r="J9880" s="599">
        <f t="shared" si="292"/>
        <v>0</v>
      </c>
    </row>
    <row r="9881" spans="5:10" hidden="1" x14ac:dyDescent="0.25">
      <c r="F9881" s="249" t="s">
        <v>242</v>
      </c>
      <c r="G9881" s="252" t="s">
        <v>243</v>
      </c>
      <c r="J9881" s="599">
        <f t="shared" si="292"/>
        <v>0</v>
      </c>
    </row>
    <row r="9882" spans="5:10" hidden="1" x14ac:dyDescent="0.25">
      <c r="F9882" s="249" t="s">
        <v>244</v>
      </c>
      <c r="G9882" s="252" t="s">
        <v>245</v>
      </c>
      <c r="J9882" s="599">
        <f t="shared" si="292"/>
        <v>0</v>
      </c>
    </row>
    <row r="9883" spans="5:10" hidden="1" x14ac:dyDescent="0.25">
      <c r="F9883" s="249" t="s">
        <v>246</v>
      </c>
      <c r="G9883" s="252" t="s">
        <v>247</v>
      </c>
      <c r="J9883" s="599">
        <f t="shared" si="292"/>
        <v>0</v>
      </c>
    </row>
    <row r="9884" spans="5:10" hidden="1" x14ac:dyDescent="0.25">
      <c r="F9884" s="249" t="s">
        <v>248</v>
      </c>
      <c r="G9884" s="252" t="s">
        <v>249</v>
      </c>
      <c r="J9884" s="599">
        <f t="shared" si="292"/>
        <v>0</v>
      </c>
    </row>
    <row r="9885" spans="5:10" hidden="1" x14ac:dyDescent="0.25">
      <c r="F9885" s="249" t="s">
        <v>250</v>
      </c>
      <c r="G9885" s="252" t="s">
        <v>57</v>
      </c>
      <c r="J9885" s="599">
        <f t="shared" si="292"/>
        <v>0</v>
      </c>
    </row>
    <row r="9886" spans="5:10" hidden="1" x14ac:dyDescent="0.25">
      <c r="F9886" s="249" t="s">
        <v>251</v>
      </c>
      <c r="G9886" s="252" t="s">
        <v>252</v>
      </c>
      <c r="J9886" s="599">
        <f t="shared" si="292"/>
        <v>0</v>
      </c>
    </row>
    <row r="9887" spans="5:10" hidden="1" x14ac:dyDescent="0.25">
      <c r="F9887" s="249" t="s">
        <v>253</v>
      </c>
      <c r="G9887" s="252" t="s">
        <v>254</v>
      </c>
      <c r="J9887" s="599">
        <f t="shared" si="292"/>
        <v>0</v>
      </c>
    </row>
    <row r="9888" spans="5:10" ht="30" hidden="1" x14ac:dyDescent="0.25">
      <c r="F9888" s="249" t="s">
        <v>255</v>
      </c>
      <c r="G9888" s="252" t="s">
        <v>256</v>
      </c>
      <c r="J9888" s="599">
        <f t="shared" si="292"/>
        <v>0</v>
      </c>
    </row>
    <row r="9889" spans="1:25" hidden="1" x14ac:dyDescent="0.25">
      <c r="F9889" s="249" t="s">
        <v>257</v>
      </c>
      <c r="G9889" s="252" t="s">
        <v>258</v>
      </c>
      <c r="J9889" s="599">
        <f t="shared" si="292"/>
        <v>0</v>
      </c>
    </row>
    <row r="9890" spans="1:25" ht="30" hidden="1" x14ac:dyDescent="0.25">
      <c r="F9890" s="249" t="s">
        <v>259</v>
      </c>
      <c r="G9890" s="252" t="s">
        <v>260</v>
      </c>
      <c r="J9890" s="599">
        <f t="shared" si="292"/>
        <v>0</v>
      </c>
    </row>
    <row r="9891" spans="1:25" hidden="1" x14ac:dyDescent="0.25">
      <c r="F9891" s="249" t="s">
        <v>261</v>
      </c>
      <c r="G9891" s="252" t="s">
        <v>262</v>
      </c>
      <c r="J9891" s="599">
        <f t="shared" si="292"/>
        <v>0</v>
      </c>
    </row>
    <row r="9892" spans="1:25" ht="15.75" hidden="1" thickBot="1" x14ac:dyDescent="0.3">
      <c r="F9892" s="249" t="s">
        <v>263</v>
      </c>
      <c r="G9892" s="252" t="s">
        <v>264</v>
      </c>
      <c r="H9892" s="598"/>
      <c r="I9892" s="599"/>
      <c r="J9892" s="599">
        <f t="shared" si="292"/>
        <v>0</v>
      </c>
    </row>
    <row r="9893" spans="1:25" ht="15.75" hidden="1" collapsed="1" thickBot="1" x14ac:dyDescent="0.3">
      <c r="G9893" s="229" t="s">
        <v>4446</v>
      </c>
      <c r="H9893" s="600">
        <f>SUM(H9877:H9892)</f>
        <v>0</v>
      </c>
      <c r="I9893" s="601">
        <f>SUM(I9878:I9892)</f>
        <v>0</v>
      </c>
      <c r="J9893" s="601">
        <f>SUM(J9877:J9892)</f>
        <v>0</v>
      </c>
    </row>
    <row r="9894" spans="1:25" hidden="1" x14ac:dyDescent="0.25"/>
    <row r="9895" spans="1:25" s="88" customFormat="1" x14ac:dyDescent="0.25">
      <c r="A9895" s="377"/>
      <c r="B9895" s="256"/>
      <c r="C9895" s="276" t="s">
        <v>4441</v>
      </c>
      <c r="D9895" s="219"/>
      <c r="E9895" s="219"/>
      <c r="F9895" s="277"/>
      <c r="G9895" s="278" t="s">
        <v>4092</v>
      </c>
      <c r="H9895" s="627"/>
      <c r="I9895" s="610"/>
      <c r="J9895" s="628"/>
      <c r="K9895" s="533"/>
      <c r="L9895" s="533"/>
      <c r="M9895" s="533"/>
      <c r="N9895" s="533"/>
      <c r="O9895" s="533"/>
      <c r="P9895" s="533"/>
      <c r="Q9895" s="533"/>
      <c r="R9895" s="533"/>
      <c r="S9895" s="533"/>
      <c r="T9895" s="533"/>
      <c r="U9895" s="533"/>
      <c r="V9895" s="533"/>
      <c r="W9895" s="533"/>
      <c r="X9895" s="533"/>
      <c r="Y9895" s="533"/>
    </row>
    <row r="9896" spans="1:25" x14ac:dyDescent="0.25">
      <c r="C9896" s="228"/>
      <c r="D9896" s="312">
        <v>640</v>
      </c>
      <c r="E9896" s="312"/>
      <c r="F9896" s="312"/>
      <c r="G9896" s="313" t="s">
        <v>184</v>
      </c>
    </row>
    <row r="9897" spans="1:25" hidden="1" x14ac:dyDescent="0.25">
      <c r="F9897" s="380">
        <v>411</v>
      </c>
      <c r="G9897" s="375" t="s">
        <v>4189</v>
      </c>
      <c r="J9897" s="595">
        <f>SUM(H9897:I9897)</f>
        <v>0</v>
      </c>
    </row>
    <row r="9898" spans="1:25" hidden="1" x14ac:dyDescent="0.25">
      <c r="F9898" s="380">
        <v>412</v>
      </c>
      <c r="G9898" s="373" t="s">
        <v>3784</v>
      </c>
      <c r="J9898" s="595">
        <f t="shared" ref="J9898:J9956" si="293">SUM(H9898:I9898)</f>
        <v>0</v>
      </c>
    </row>
    <row r="9899" spans="1:25" hidden="1" x14ac:dyDescent="0.25">
      <c r="F9899" s="380">
        <v>413</v>
      </c>
      <c r="G9899" s="375" t="s">
        <v>4190</v>
      </c>
      <c r="J9899" s="595">
        <f t="shared" si="293"/>
        <v>0</v>
      </c>
    </row>
    <row r="9900" spans="1:25" hidden="1" x14ac:dyDescent="0.25">
      <c r="F9900" s="380">
        <v>414</v>
      </c>
      <c r="G9900" s="375" t="s">
        <v>3787</v>
      </c>
      <c r="J9900" s="595">
        <f t="shared" si="293"/>
        <v>0</v>
      </c>
    </row>
    <row r="9901" spans="1:25" hidden="1" x14ac:dyDescent="0.25">
      <c r="F9901" s="380">
        <v>415</v>
      </c>
      <c r="G9901" s="375" t="s">
        <v>4199</v>
      </c>
      <c r="J9901" s="595">
        <f t="shared" si="293"/>
        <v>0</v>
      </c>
    </row>
    <row r="9902" spans="1:25" hidden="1" x14ac:dyDescent="0.25">
      <c r="F9902" s="380">
        <v>416</v>
      </c>
      <c r="G9902" s="375" t="s">
        <v>4200</v>
      </c>
      <c r="J9902" s="595">
        <f t="shared" si="293"/>
        <v>0</v>
      </c>
    </row>
    <row r="9903" spans="1:25" hidden="1" x14ac:dyDescent="0.25">
      <c r="F9903" s="380">
        <v>417</v>
      </c>
      <c r="G9903" s="375" t="s">
        <v>4201</v>
      </c>
      <c r="J9903" s="595">
        <f t="shared" si="293"/>
        <v>0</v>
      </c>
    </row>
    <row r="9904" spans="1:25" hidden="1" x14ac:dyDescent="0.25">
      <c r="F9904" s="380">
        <v>418</v>
      </c>
      <c r="G9904" s="375" t="s">
        <v>3793</v>
      </c>
      <c r="J9904" s="595">
        <f t="shared" si="293"/>
        <v>0</v>
      </c>
    </row>
    <row r="9905" spans="5:10" x14ac:dyDescent="0.25">
      <c r="E9905" s="218">
        <v>93</v>
      </c>
      <c r="F9905" s="380">
        <v>421</v>
      </c>
      <c r="G9905" s="375" t="s">
        <v>3797</v>
      </c>
      <c r="H9905" s="594">
        <v>6000000</v>
      </c>
      <c r="J9905" s="595">
        <f t="shared" si="293"/>
        <v>6000000</v>
      </c>
    </row>
    <row r="9906" spans="5:10" hidden="1" x14ac:dyDescent="0.25">
      <c r="F9906" s="380">
        <v>422</v>
      </c>
      <c r="G9906" s="375" t="s">
        <v>3798</v>
      </c>
      <c r="J9906" s="595">
        <f t="shared" si="293"/>
        <v>0</v>
      </c>
    </row>
    <row r="9907" spans="5:10" hidden="1" x14ac:dyDescent="0.25">
      <c r="F9907" s="380">
        <v>423</v>
      </c>
      <c r="G9907" s="375" t="s">
        <v>3799</v>
      </c>
      <c r="J9907" s="595">
        <f t="shared" si="293"/>
        <v>0</v>
      </c>
    </row>
    <row r="9908" spans="5:10" hidden="1" x14ac:dyDescent="0.25">
      <c r="F9908" s="380">
        <v>424</v>
      </c>
      <c r="G9908" s="375" t="s">
        <v>3801</v>
      </c>
      <c r="J9908" s="595">
        <f t="shared" si="293"/>
        <v>0</v>
      </c>
    </row>
    <row r="9909" spans="5:10" x14ac:dyDescent="0.25">
      <c r="E9909" s="218">
        <v>94</v>
      </c>
      <c r="F9909" s="380">
        <v>425</v>
      </c>
      <c r="G9909" s="375" t="s">
        <v>4202</v>
      </c>
      <c r="H9909" s="594">
        <v>1300000</v>
      </c>
      <c r="J9909" s="595">
        <f t="shared" si="293"/>
        <v>1300000</v>
      </c>
    </row>
    <row r="9910" spans="5:10" ht="15.75" thickBot="1" x14ac:dyDescent="0.3">
      <c r="E9910" s="218">
        <v>95</v>
      </c>
      <c r="F9910" s="380">
        <v>426</v>
      </c>
      <c r="G9910" s="375" t="s">
        <v>3805</v>
      </c>
      <c r="H9910" s="594">
        <v>2700000</v>
      </c>
      <c r="J9910" s="595">
        <f t="shared" si="293"/>
        <v>2700000</v>
      </c>
    </row>
    <row r="9911" spans="5:10" hidden="1" x14ac:dyDescent="0.25">
      <c r="F9911" s="380">
        <v>431</v>
      </c>
      <c r="G9911" s="375" t="s">
        <v>4203</v>
      </c>
      <c r="J9911" s="595">
        <f t="shared" si="293"/>
        <v>0</v>
      </c>
    </row>
    <row r="9912" spans="5:10" hidden="1" x14ac:dyDescent="0.25">
      <c r="F9912" s="380">
        <v>432</v>
      </c>
      <c r="G9912" s="375" t="s">
        <v>4204</v>
      </c>
      <c r="J9912" s="595">
        <f t="shared" si="293"/>
        <v>0</v>
      </c>
    </row>
    <row r="9913" spans="5:10" hidden="1" x14ac:dyDescent="0.25">
      <c r="F9913" s="380">
        <v>433</v>
      </c>
      <c r="G9913" s="375" t="s">
        <v>4205</v>
      </c>
      <c r="J9913" s="595">
        <f t="shared" si="293"/>
        <v>0</v>
      </c>
    </row>
    <row r="9914" spans="5:10" hidden="1" x14ac:dyDescent="0.25">
      <c r="F9914" s="380">
        <v>434</v>
      </c>
      <c r="G9914" s="375" t="s">
        <v>4206</v>
      </c>
      <c r="J9914" s="595">
        <f t="shared" si="293"/>
        <v>0</v>
      </c>
    </row>
    <row r="9915" spans="5:10" hidden="1" x14ac:dyDescent="0.25">
      <c r="F9915" s="380">
        <v>435</v>
      </c>
      <c r="G9915" s="375" t="s">
        <v>3812</v>
      </c>
      <c r="J9915" s="595">
        <f t="shared" si="293"/>
        <v>0</v>
      </c>
    </row>
    <row r="9916" spans="5:10" hidden="1" x14ac:dyDescent="0.25">
      <c r="F9916" s="380">
        <v>441</v>
      </c>
      <c r="G9916" s="375" t="s">
        <v>4207</v>
      </c>
      <c r="J9916" s="595">
        <f t="shared" si="293"/>
        <v>0</v>
      </c>
    </row>
    <row r="9917" spans="5:10" hidden="1" x14ac:dyDescent="0.25">
      <c r="F9917" s="380">
        <v>442</v>
      </c>
      <c r="G9917" s="375" t="s">
        <v>4208</v>
      </c>
      <c r="J9917" s="595">
        <f t="shared" si="293"/>
        <v>0</v>
      </c>
    </row>
    <row r="9918" spans="5:10" hidden="1" x14ac:dyDescent="0.25">
      <c r="F9918" s="380">
        <v>443</v>
      </c>
      <c r="G9918" s="375" t="s">
        <v>3817</v>
      </c>
      <c r="J9918" s="595">
        <f t="shared" si="293"/>
        <v>0</v>
      </c>
    </row>
    <row r="9919" spans="5:10" hidden="1" x14ac:dyDescent="0.25">
      <c r="F9919" s="380">
        <v>444</v>
      </c>
      <c r="G9919" s="375" t="s">
        <v>3818</v>
      </c>
      <c r="J9919" s="595">
        <f t="shared" si="293"/>
        <v>0</v>
      </c>
    </row>
    <row r="9920" spans="5:10" ht="30" hidden="1" x14ac:dyDescent="0.25">
      <c r="F9920" s="380">
        <v>4511</v>
      </c>
      <c r="G9920" s="223" t="s">
        <v>1692</v>
      </c>
      <c r="J9920" s="595">
        <f t="shared" si="293"/>
        <v>0</v>
      </c>
    </row>
    <row r="9921" spans="6:10" ht="19.5" hidden="1" customHeight="1" x14ac:dyDescent="0.25">
      <c r="F9921" s="380">
        <v>4512</v>
      </c>
      <c r="G9921" s="223" t="s">
        <v>1701</v>
      </c>
      <c r="J9921" s="595">
        <f t="shared" si="293"/>
        <v>0</v>
      </c>
    </row>
    <row r="9922" spans="6:10" hidden="1" x14ac:dyDescent="0.25">
      <c r="F9922" s="380">
        <v>452</v>
      </c>
      <c r="G9922" s="375" t="s">
        <v>4209</v>
      </c>
      <c r="J9922" s="595">
        <f t="shared" si="293"/>
        <v>0</v>
      </c>
    </row>
    <row r="9923" spans="6:10" hidden="1" x14ac:dyDescent="0.25">
      <c r="F9923" s="380">
        <v>453</v>
      </c>
      <c r="G9923" s="375" t="s">
        <v>4210</v>
      </c>
      <c r="J9923" s="595">
        <f t="shared" si="293"/>
        <v>0</v>
      </c>
    </row>
    <row r="9924" spans="6:10" hidden="1" x14ac:dyDescent="0.25">
      <c r="F9924" s="380">
        <v>454</v>
      </c>
      <c r="G9924" s="375" t="s">
        <v>3823</v>
      </c>
      <c r="J9924" s="595">
        <f t="shared" si="293"/>
        <v>0</v>
      </c>
    </row>
    <row r="9925" spans="6:10" hidden="1" x14ac:dyDescent="0.25">
      <c r="F9925" s="380">
        <v>461</v>
      </c>
      <c r="G9925" s="375" t="s">
        <v>4191</v>
      </c>
      <c r="J9925" s="595">
        <f t="shared" si="293"/>
        <v>0</v>
      </c>
    </row>
    <row r="9926" spans="6:10" hidden="1" x14ac:dyDescent="0.25">
      <c r="F9926" s="380">
        <v>462</v>
      </c>
      <c r="G9926" s="375" t="s">
        <v>3826</v>
      </c>
      <c r="J9926" s="595">
        <f t="shared" si="293"/>
        <v>0</v>
      </c>
    </row>
    <row r="9927" spans="6:10" hidden="1" x14ac:dyDescent="0.25">
      <c r="F9927" s="380">
        <v>4631</v>
      </c>
      <c r="G9927" s="375" t="s">
        <v>3827</v>
      </c>
      <c r="J9927" s="595">
        <f t="shared" si="293"/>
        <v>0</v>
      </c>
    </row>
    <row r="9928" spans="6:10" hidden="1" x14ac:dyDescent="0.25">
      <c r="F9928" s="380">
        <v>4632</v>
      </c>
      <c r="G9928" s="375" t="s">
        <v>3828</v>
      </c>
      <c r="J9928" s="595">
        <f t="shared" si="293"/>
        <v>0</v>
      </c>
    </row>
    <row r="9929" spans="6:10" hidden="1" x14ac:dyDescent="0.25">
      <c r="F9929" s="380">
        <v>464</v>
      </c>
      <c r="G9929" s="375" t="s">
        <v>3829</v>
      </c>
      <c r="J9929" s="595">
        <f t="shared" si="293"/>
        <v>0</v>
      </c>
    </row>
    <row r="9930" spans="6:10" hidden="1" x14ac:dyDescent="0.25">
      <c r="F9930" s="380">
        <v>465</v>
      </c>
      <c r="G9930" s="375" t="s">
        <v>4192</v>
      </c>
      <c r="J9930" s="595">
        <f t="shared" si="293"/>
        <v>0</v>
      </c>
    </row>
    <row r="9931" spans="6:10" hidden="1" x14ac:dyDescent="0.25">
      <c r="F9931" s="380">
        <v>472</v>
      </c>
      <c r="G9931" s="375" t="s">
        <v>3833</v>
      </c>
      <c r="J9931" s="595">
        <f t="shared" si="293"/>
        <v>0</v>
      </c>
    </row>
    <row r="9932" spans="6:10" hidden="1" x14ac:dyDescent="0.25">
      <c r="F9932" s="380">
        <v>481</v>
      </c>
      <c r="G9932" s="375" t="s">
        <v>4211</v>
      </c>
      <c r="J9932" s="595">
        <f t="shared" si="293"/>
        <v>0</v>
      </c>
    </row>
    <row r="9933" spans="6:10" hidden="1" x14ac:dyDescent="0.25">
      <c r="F9933" s="380">
        <v>482</v>
      </c>
      <c r="G9933" s="375" t="s">
        <v>4212</v>
      </c>
      <c r="J9933" s="595">
        <f t="shared" si="293"/>
        <v>0</v>
      </c>
    </row>
    <row r="9934" spans="6:10" hidden="1" x14ac:dyDescent="0.25">
      <c r="F9934" s="380">
        <v>483</v>
      </c>
      <c r="G9934" s="378" t="s">
        <v>4213</v>
      </c>
      <c r="J9934" s="595">
        <f t="shared" si="293"/>
        <v>0</v>
      </c>
    </row>
    <row r="9935" spans="6:10" ht="30" hidden="1" x14ac:dyDescent="0.25">
      <c r="F9935" s="380">
        <v>484</v>
      </c>
      <c r="G9935" s="375" t="s">
        <v>4214</v>
      </c>
      <c r="J9935" s="595">
        <f t="shared" si="293"/>
        <v>0</v>
      </c>
    </row>
    <row r="9936" spans="6:10" ht="30" hidden="1" x14ac:dyDescent="0.25">
      <c r="F9936" s="380">
        <v>485</v>
      </c>
      <c r="G9936" s="375" t="s">
        <v>4215</v>
      </c>
      <c r="J9936" s="595">
        <f t="shared" si="293"/>
        <v>0</v>
      </c>
    </row>
    <row r="9937" spans="6:10" ht="30" hidden="1" x14ac:dyDescent="0.25">
      <c r="F9937" s="380">
        <v>489</v>
      </c>
      <c r="G9937" s="375" t="s">
        <v>3841</v>
      </c>
      <c r="J9937" s="595">
        <f t="shared" si="293"/>
        <v>0</v>
      </c>
    </row>
    <row r="9938" spans="6:10" hidden="1" x14ac:dyDescent="0.25">
      <c r="F9938" s="380">
        <v>494</v>
      </c>
      <c r="G9938" s="375" t="s">
        <v>4193</v>
      </c>
      <c r="J9938" s="595">
        <f t="shared" si="293"/>
        <v>0</v>
      </c>
    </row>
    <row r="9939" spans="6:10" ht="30" hidden="1" x14ac:dyDescent="0.25">
      <c r="F9939" s="380">
        <v>495</v>
      </c>
      <c r="G9939" s="375" t="s">
        <v>4194</v>
      </c>
      <c r="J9939" s="595">
        <f t="shared" si="293"/>
        <v>0</v>
      </c>
    </row>
    <row r="9940" spans="6:10" ht="30" hidden="1" x14ac:dyDescent="0.25">
      <c r="F9940" s="380">
        <v>496</v>
      </c>
      <c r="G9940" s="375" t="s">
        <v>4195</v>
      </c>
      <c r="J9940" s="595">
        <f t="shared" si="293"/>
        <v>0</v>
      </c>
    </row>
    <row r="9941" spans="6:10" hidden="1" x14ac:dyDescent="0.25">
      <c r="F9941" s="380">
        <v>499</v>
      </c>
      <c r="G9941" s="375" t="s">
        <v>4196</v>
      </c>
      <c r="J9941" s="595">
        <f t="shared" si="293"/>
        <v>0</v>
      </c>
    </row>
    <row r="9942" spans="6:10" hidden="1" x14ac:dyDescent="0.25">
      <c r="F9942" s="380">
        <v>511</v>
      </c>
      <c r="G9942" s="378" t="s">
        <v>4216</v>
      </c>
      <c r="J9942" s="595">
        <f t="shared" si="293"/>
        <v>0</v>
      </c>
    </row>
    <row r="9943" spans="6:10" hidden="1" x14ac:dyDescent="0.25">
      <c r="F9943" s="380">
        <v>512</v>
      </c>
      <c r="G9943" s="378" t="s">
        <v>4217</v>
      </c>
      <c r="J9943" s="595">
        <f t="shared" si="293"/>
        <v>0</v>
      </c>
    </row>
    <row r="9944" spans="6:10" hidden="1" x14ac:dyDescent="0.25">
      <c r="F9944" s="380">
        <v>513</v>
      </c>
      <c r="G9944" s="378" t="s">
        <v>4218</v>
      </c>
      <c r="J9944" s="595">
        <f t="shared" si="293"/>
        <v>0</v>
      </c>
    </row>
    <row r="9945" spans="6:10" hidden="1" x14ac:dyDescent="0.25">
      <c r="F9945" s="380">
        <v>514</v>
      </c>
      <c r="G9945" s="375" t="s">
        <v>4219</v>
      </c>
      <c r="J9945" s="595">
        <f t="shared" si="293"/>
        <v>0</v>
      </c>
    </row>
    <row r="9946" spans="6:10" hidden="1" x14ac:dyDescent="0.25">
      <c r="F9946" s="380">
        <v>515</v>
      </c>
      <c r="G9946" s="375" t="s">
        <v>3852</v>
      </c>
      <c r="J9946" s="595">
        <f t="shared" si="293"/>
        <v>0</v>
      </c>
    </row>
    <row r="9947" spans="6:10" hidden="1" x14ac:dyDescent="0.25">
      <c r="F9947" s="380">
        <v>521</v>
      </c>
      <c r="G9947" s="375" t="s">
        <v>4220</v>
      </c>
      <c r="J9947" s="595">
        <f t="shared" si="293"/>
        <v>0</v>
      </c>
    </row>
    <row r="9948" spans="6:10" hidden="1" x14ac:dyDescent="0.25">
      <c r="F9948" s="380">
        <v>522</v>
      </c>
      <c r="G9948" s="375" t="s">
        <v>4221</v>
      </c>
      <c r="J9948" s="595">
        <f t="shared" si="293"/>
        <v>0</v>
      </c>
    </row>
    <row r="9949" spans="6:10" hidden="1" x14ac:dyDescent="0.25">
      <c r="F9949" s="380">
        <v>523</v>
      </c>
      <c r="G9949" s="375" t="s">
        <v>3857</v>
      </c>
      <c r="J9949" s="595">
        <f t="shared" si="293"/>
        <v>0</v>
      </c>
    </row>
    <row r="9950" spans="6:10" hidden="1" x14ac:dyDescent="0.25">
      <c r="F9950" s="380">
        <v>531</v>
      </c>
      <c r="G9950" s="373" t="s">
        <v>4197</v>
      </c>
      <c r="J9950" s="595">
        <f t="shared" si="293"/>
        <v>0</v>
      </c>
    </row>
    <row r="9951" spans="6:10" hidden="1" x14ac:dyDescent="0.25">
      <c r="F9951" s="380">
        <v>541</v>
      </c>
      <c r="G9951" s="375" t="s">
        <v>4222</v>
      </c>
      <c r="J9951" s="595">
        <f t="shared" si="293"/>
        <v>0</v>
      </c>
    </row>
    <row r="9952" spans="6:10" hidden="1" x14ac:dyDescent="0.25">
      <c r="F9952" s="380">
        <v>542</v>
      </c>
      <c r="G9952" s="375" t="s">
        <v>4223</v>
      </c>
      <c r="J9952" s="595">
        <f t="shared" si="293"/>
        <v>0</v>
      </c>
    </row>
    <row r="9953" spans="5:10" hidden="1" x14ac:dyDescent="0.25">
      <c r="F9953" s="380">
        <v>543</v>
      </c>
      <c r="G9953" s="375" t="s">
        <v>3862</v>
      </c>
      <c r="J9953" s="595">
        <f t="shared" si="293"/>
        <v>0</v>
      </c>
    </row>
    <row r="9954" spans="5:10" ht="30" hidden="1" x14ac:dyDescent="0.25">
      <c r="F9954" s="380">
        <v>551</v>
      </c>
      <c r="G9954" s="375" t="s">
        <v>4198</v>
      </c>
      <c r="J9954" s="595">
        <f t="shared" si="293"/>
        <v>0</v>
      </c>
    </row>
    <row r="9955" spans="5:10" hidden="1" x14ac:dyDescent="0.25">
      <c r="F9955" s="381">
        <v>611</v>
      </c>
      <c r="G9955" s="379" t="s">
        <v>3868</v>
      </c>
      <c r="J9955" s="595">
        <f t="shared" si="293"/>
        <v>0</v>
      </c>
    </row>
    <row r="9956" spans="5:10" ht="15.75" hidden="1" thickBot="1" x14ac:dyDescent="0.3">
      <c r="F9956" s="381">
        <v>620</v>
      </c>
      <c r="G9956" s="379" t="s">
        <v>88</v>
      </c>
      <c r="J9956" s="595">
        <f t="shared" si="293"/>
        <v>0</v>
      </c>
    </row>
    <row r="9957" spans="5:10" x14ac:dyDescent="0.25">
      <c r="E9957" s="374"/>
      <c r="F9957" s="381"/>
      <c r="G9957" s="327" t="s">
        <v>4428</v>
      </c>
      <c r="H9957" s="596"/>
      <c r="I9957" s="622"/>
      <c r="J9957" s="597"/>
    </row>
    <row r="9958" spans="5:10" ht="15.75" thickBot="1" x14ac:dyDescent="0.3">
      <c r="E9958" s="222"/>
      <c r="F9958" s="249" t="s">
        <v>234</v>
      </c>
      <c r="G9958" s="252" t="s">
        <v>235</v>
      </c>
      <c r="H9958" s="598">
        <f>SUM(H9897:H9956)</f>
        <v>10000000</v>
      </c>
      <c r="I9958" s="599"/>
      <c r="J9958" s="599">
        <f t="shared" ref="J9958:J9973" si="294">SUM(H9958:I9958)</f>
        <v>10000000</v>
      </c>
    </row>
    <row r="9959" spans="5:10" hidden="1" x14ac:dyDescent="0.25">
      <c r="F9959" s="249" t="s">
        <v>236</v>
      </c>
      <c r="G9959" s="252" t="s">
        <v>237</v>
      </c>
      <c r="J9959" s="599">
        <f t="shared" si="294"/>
        <v>0</v>
      </c>
    </row>
    <row r="9960" spans="5:10" hidden="1" x14ac:dyDescent="0.25">
      <c r="F9960" s="249" t="s">
        <v>238</v>
      </c>
      <c r="G9960" s="252" t="s">
        <v>239</v>
      </c>
      <c r="J9960" s="599">
        <f t="shared" si="294"/>
        <v>0</v>
      </c>
    </row>
    <row r="9961" spans="5:10" hidden="1" x14ac:dyDescent="0.25">
      <c r="F9961" s="249" t="s">
        <v>240</v>
      </c>
      <c r="G9961" s="252" t="s">
        <v>241</v>
      </c>
      <c r="J9961" s="599">
        <f t="shared" si="294"/>
        <v>0</v>
      </c>
    </row>
    <row r="9962" spans="5:10" hidden="1" x14ac:dyDescent="0.25">
      <c r="F9962" s="249" t="s">
        <v>242</v>
      </c>
      <c r="G9962" s="252" t="s">
        <v>243</v>
      </c>
      <c r="J9962" s="599">
        <f t="shared" si="294"/>
        <v>0</v>
      </c>
    </row>
    <row r="9963" spans="5:10" hidden="1" x14ac:dyDescent="0.25">
      <c r="F9963" s="249" t="s">
        <v>244</v>
      </c>
      <c r="G9963" s="252" t="s">
        <v>245</v>
      </c>
      <c r="J9963" s="599">
        <f t="shared" si="294"/>
        <v>0</v>
      </c>
    </row>
    <row r="9964" spans="5:10" hidden="1" x14ac:dyDescent="0.25">
      <c r="F9964" s="249" t="s">
        <v>246</v>
      </c>
      <c r="G9964" s="252" t="s">
        <v>247</v>
      </c>
      <c r="J9964" s="599">
        <f t="shared" si="294"/>
        <v>0</v>
      </c>
    </row>
    <row r="9965" spans="5:10" hidden="1" x14ac:dyDescent="0.25">
      <c r="F9965" s="249" t="s">
        <v>248</v>
      </c>
      <c r="G9965" s="252" t="s">
        <v>249</v>
      </c>
      <c r="J9965" s="599">
        <f t="shared" si="294"/>
        <v>0</v>
      </c>
    </row>
    <row r="9966" spans="5:10" hidden="1" x14ac:dyDescent="0.25">
      <c r="F9966" s="249" t="s">
        <v>250</v>
      </c>
      <c r="G9966" s="252" t="s">
        <v>57</v>
      </c>
      <c r="J9966" s="599">
        <f t="shared" si="294"/>
        <v>0</v>
      </c>
    </row>
    <row r="9967" spans="5:10" hidden="1" x14ac:dyDescent="0.25">
      <c r="F9967" s="249" t="s">
        <v>251</v>
      </c>
      <c r="G9967" s="252" t="s">
        <v>252</v>
      </c>
      <c r="J9967" s="599">
        <f t="shared" si="294"/>
        <v>0</v>
      </c>
    </row>
    <row r="9968" spans="5:10" hidden="1" x14ac:dyDescent="0.25">
      <c r="F9968" s="249" t="s">
        <v>253</v>
      </c>
      <c r="G9968" s="252" t="s">
        <v>254</v>
      </c>
      <c r="J9968" s="599">
        <f t="shared" si="294"/>
        <v>0</v>
      </c>
    </row>
    <row r="9969" spans="5:10" ht="30" hidden="1" x14ac:dyDescent="0.25">
      <c r="F9969" s="249" t="s">
        <v>255</v>
      </c>
      <c r="G9969" s="252" t="s">
        <v>256</v>
      </c>
      <c r="J9969" s="599">
        <f t="shared" si="294"/>
        <v>0</v>
      </c>
    </row>
    <row r="9970" spans="5:10" hidden="1" x14ac:dyDescent="0.25">
      <c r="F9970" s="249" t="s">
        <v>257</v>
      </c>
      <c r="G9970" s="252" t="s">
        <v>258</v>
      </c>
      <c r="J9970" s="599">
        <f t="shared" si="294"/>
        <v>0</v>
      </c>
    </row>
    <row r="9971" spans="5:10" ht="30" hidden="1" x14ac:dyDescent="0.25">
      <c r="F9971" s="249" t="s">
        <v>259</v>
      </c>
      <c r="G9971" s="252" t="s">
        <v>260</v>
      </c>
      <c r="J9971" s="599">
        <f t="shared" si="294"/>
        <v>0</v>
      </c>
    </row>
    <row r="9972" spans="5:10" hidden="1" x14ac:dyDescent="0.25">
      <c r="F9972" s="249" t="s">
        <v>261</v>
      </c>
      <c r="G9972" s="252" t="s">
        <v>262</v>
      </c>
      <c r="J9972" s="599">
        <f t="shared" si="294"/>
        <v>0</v>
      </c>
    </row>
    <row r="9973" spans="5:10" ht="15.75" hidden="1" thickBot="1" x14ac:dyDescent="0.3">
      <c r="F9973" s="249" t="s">
        <v>263</v>
      </c>
      <c r="G9973" s="252" t="s">
        <v>264</v>
      </c>
      <c r="H9973" s="598"/>
      <c r="I9973" s="599"/>
      <c r="J9973" s="599">
        <f t="shared" si="294"/>
        <v>0</v>
      </c>
    </row>
    <row r="9974" spans="5:10" ht="15.75" thickBot="1" x14ac:dyDescent="0.3">
      <c r="G9974" s="229" t="s">
        <v>4429</v>
      </c>
      <c r="H9974" s="600">
        <f>SUM(H9958:H9973)</f>
        <v>10000000</v>
      </c>
      <c r="I9974" s="601">
        <f>SUM(I9959:I9973)</f>
        <v>0</v>
      </c>
      <c r="J9974" s="601">
        <f>SUM(J9958:J9973)</f>
        <v>10000000</v>
      </c>
    </row>
    <row r="9975" spans="5:10" ht="28.5" collapsed="1" x14ac:dyDescent="0.25">
      <c r="E9975" s="374"/>
      <c r="F9975" s="381"/>
      <c r="G9975" s="231" t="s">
        <v>4447</v>
      </c>
      <c r="H9975" s="602"/>
      <c r="I9975" s="623"/>
      <c r="J9975" s="603"/>
    </row>
    <row r="9976" spans="5:10" ht="15.75" thickBot="1" x14ac:dyDescent="0.3">
      <c r="E9976" s="222"/>
      <c r="F9976" s="249" t="s">
        <v>234</v>
      </c>
      <c r="G9976" s="252" t="s">
        <v>235</v>
      </c>
      <c r="H9976" s="598">
        <f>SUM(H9897:H9956)</f>
        <v>10000000</v>
      </c>
      <c r="I9976" s="599"/>
      <c r="J9976" s="599">
        <f>SUM(H9976:I9976)</f>
        <v>10000000</v>
      </c>
    </row>
    <row r="9977" spans="5:10" hidden="1" x14ac:dyDescent="0.25">
      <c r="F9977" s="249" t="s">
        <v>236</v>
      </c>
      <c r="G9977" s="252" t="s">
        <v>237</v>
      </c>
      <c r="J9977" s="599">
        <f t="shared" ref="J9977:J9991" si="295">SUM(H9977:I9977)</f>
        <v>0</v>
      </c>
    </row>
    <row r="9978" spans="5:10" hidden="1" x14ac:dyDescent="0.25">
      <c r="F9978" s="249" t="s">
        <v>238</v>
      </c>
      <c r="G9978" s="252" t="s">
        <v>239</v>
      </c>
      <c r="J9978" s="599">
        <f t="shared" si="295"/>
        <v>0</v>
      </c>
    </row>
    <row r="9979" spans="5:10" hidden="1" x14ac:dyDescent="0.25">
      <c r="F9979" s="249" t="s">
        <v>240</v>
      </c>
      <c r="G9979" s="252" t="s">
        <v>241</v>
      </c>
      <c r="J9979" s="599">
        <f t="shared" si="295"/>
        <v>0</v>
      </c>
    </row>
    <row r="9980" spans="5:10" hidden="1" x14ac:dyDescent="0.25">
      <c r="F9980" s="249" t="s">
        <v>242</v>
      </c>
      <c r="G9980" s="252" t="s">
        <v>243</v>
      </c>
      <c r="J9980" s="599">
        <f t="shared" si="295"/>
        <v>0</v>
      </c>
    </row>
    <row r="9981" spans="5:10" hidden="1" x14ac:dyDescent="0.25">
      <c r="F9981" s="249" t="s">
        <v>244</v>
      </c>
      <c r="G9981" s="252" t="s">
        <v>245</v>
      </c>
      <c r="J9981" s="599">
        <f t="shared" si="295"/>
        <v>0</v>
      </c>
    </row>
    <row r="9982" spans="5:10" hidden="1" x14ac:dyDescent="0.25">
      <c r="F9982" s="249" t="s">
        <v>246</v>
      </c>
      <c r="G9982" s="252" t="s">
        <v>247</v>
      </c>
      <c r="J9982" s="599">
        <f t="shared" si="295"/>
        <v>0</v>
      </c>
    </row>
    <row r="9983" spans="5:10" hidden="1" x14ac:dyDescent="0.25">
      <c r="F9983" s="249" t="s">
        <v>248</v>
      </c>
      <c r="G9983" s="252" t="s">
        <v>249</v>
      </c>
      <c r="J9983" s="599">
        <f t="shared" si="295"/>
        <v>0</v>
      </c>
    </row>
    <row r="9984" spans="5:10" hidden="1" x14ac:dyDescent="0.25">
      <c r="F9984" s="249" t="s">
        <v>250</v>
      </c>
      <c r="G9984" s="252" t="s">
        <v>57</v>
      </c>
      <c r="J9984" s="599">
        <f t="shared" si="295"/>
        <v>0</v>
      </c>
    </row>
    <row r="9985" spans="1:25" hidden="1" x14ac:dyDescent="0.25">
      <c r="F9985" s="249" t="s">
        <v>251</v>
      </c>
      <c r="G9985" s="252" t="s">
        <v>252</v>
      </c>
      <c r="J9985" s="599">
        <f t="shared" si="295"/>
        <v>0</v>
      </c>
    </row>
    <row r="9986" spans="1:25" hidden="1" x14ac:dyDescent="0.25">
      <c r="F9986" s="249" t="s">
        <v>253</v>
      </c>
      <c r="G9986" s="252" t="s">
        <v>254</v>
      </c>
      <c r="J9986" s="599">
        <f t="shared" si="295"/>
        <v>0</v>
      </c>
    </row>
    <row r="9987" spans="1:25" ht="30" hidden="1" x14ac:dyDescent="0.25">
      <c r="F9987" s="249" t="s">
        <v>255</v>
      </c>
      <c r="G9987" s="252" t="s">
        <v>256</v>
      </c>
      <c r="J9987" s="599">
        <f t="shared" si="295"/>
        <v>0</v>
      </c>
    </row>
    <row r="9988" spans="1:25" hidden="1" x14ac:dyDescent="0.25">
      <c r="F9988" s="249" t="s">
        <v>257</v>
      </c>
      <c r="G9988" s="252" t="s">
        <v>258</v>
      </c>
      <c r="J9988" s="599">
        <f t="shared" si="295"/>
        <v>0</v>
      </c>
    </row>
    <row r="9989" spans="1:25" ht="30" hidden="1" x14ac:dyDescent="0.25">
      <c r="F9989" s="249" t="s">
        <v>259</v>
      </c>
      <c r="G9989" s="252" t="s">
        <v>260</v>
      </c>
      <c r="J9989" s="599">
        <f t="shared" si="295"/>
        <v>0</v>
      </c>
    </row>
    <row r="9990" spans="1:25" hidden="1" x14ac:dyDescent="0.25">
      <c r="F9990" s="249" t="s">
        <v>261</v>
      </c>
      <c r="G9990" s="252" t="s">
        <v>262</v>
      </c>
      <c r="J9990" s="599">
        <f t="shared" si="295"/>
        <v>0</v>
      </c>
    </row>
    <row r="9991" spans="1:25" ht="15.75" hidden="1" thickBot="1" x14ac:dyDescent="0.3">
      <c r="F9991" s="249" t="s">
        <v>263</v>
      </c>
      <c r="G9991" s="252" t="s">
        <v>264</v>
      </c>
      <c r="H9991" s="598"/>
      <c r="I9991" s="599"/>
      <c r="J9991" s="599">
        <f t="shared" si="295"/>
        <v>0</v>
      </c>
    </row>
    <row r="9992" spans="1:25" ht="15.75" collapsed="1" thickBot="1" x14ac:dyDescent="0.3">
      <c r="G9992" s="229" t="s">
        <v>4448</v>
      </c>
      <c r="H9992" s="600">
        <f>SUM(H9976:H9991)</f>
        <v>10000000</v>
      </c>
      <c r="I9992" s="601">
        <f>SUM(I9977:I9991)</f>
        <v>0</v>
      </c>
      <c r="J9992" s="601">
        <f>SUM(J9976:J9991)</f>
        <v>10000000</v>
      </c>
    </row>
    <row r="9994" spans="1:25" s="88" customFormat="1" hidden="1" x14ac:dyDescent="0.25">
      <c r="A9994" s="377"/>
      <c r="B9994" s="256"/>
      <c r="C9994" s="276" t="s">
        <v>4093</v>
      </c>
      <c r="D9994" s="219"/>
      <c r="E9994" s="219"/>
      <c r="F9994" s="277"/>
      <c r="G9994" s="278" t="s">
        <v>4328</v>
      </c>
      <c r="H9994" s="627"/>
      <c r="I9994" s="610"/>
      <c r="J9994" s="628"/>
      <c r="K9994" s="533"/>
      <c r="L9994" s="533"/>
      <c r="M9994" s="533"/>
      <c r="N9994" s="533"/>
      <c r="O9994" s="533"/>
      <c r="P9994" s="533"/>
      <c r="Q9994" s="533"/>
      <c r="R9994" s="533"/>
      <c r="S9994" s="533"/>
      <c r="T9994" s="533"/>
      <c r="U9994" s="533"/>
      <c r="V9994" s="533"/>
      <c r="W9994" s="533"/>
      <c r="X9994" s="533"/>
      <c r="Y9994" s="533"/>
    </row>
    <row r="9995" spans="1:25" ht="30" hidden="1" x14ac:dyDescent="0.25">
      <c r="C9995" s="228"/>
      <c r="D9995" s="312">
        <v>660</v>
      </c>
      <c r="E9995" s="312"/>
      <c r="F9995" s="312"/>
      <c r="G9995" s="313" t="s">
        <v>186</v>
      </c>
    </row>
    <row r="9996" spans="1:25" hidden="1" x14ac:dyDescent="0.25">
      <c r="F9996" s="380">
        <v>411</v>
      </c>
      <c r="G9996" s="375" t="s">
        <v>4189</v>
      </c>
      <c r="J9996" s="595">
        <f>SUM(H9996:I9996)</f>
        <v>0</v>
      </c>
    </row>
    <row r="9997" spans="1:25" hidden="1" x14ac:dyDescent="0.25">
      <c r="F9997" s="380">
        <v>412</v>
      </c>
      <c r="G9997" s="373" t="s">
        <v>3784</v>
      </c>
      <c r="J9997" s="595">
        <f t="shared" ref="J9997:J10055" si="296">SUM(H9997:I9997)</f>
        <v>0</v>
      </c>
    </row>
    <row r="9998" spans="1:25" hidden="1" x14ac:dyDescent="0.25">
      <c r="F9998" s="380">
        <v>413</v>
      </c>
      <c r="G9998" s="375" t="s">
        <v>4190</v>
      </c>
      <c r="J9998" s="595">
        <f t="shared" si="296"/>
        <v>0</v>
      </c>
    </row>
    <row r="9999" spans="1:25" hidden="1" x14ac:dyDescent="0.25">
      <c r="F9999" s="380">
        <v>414</v>
      </c>
      <c r="G9999" s="375" t="s">
        <v>3787</v>
      </c>
      <c r="J9999" s="595">
        <f t="shared" si="296"/>
        <v>0</v>
      </c>
    </row>
    <row r="10000" spans="1:25" hidden="1" x14ac:dyDescent="0.25">
      <c r="F10000" s="380">
        <v>415</v>
      </c>
      <c r="G10000" s="375" t="s">
        <v>4199</v>
      </c>
      <c r="J10000" s="595">
        <f t="shared" si="296"/>
        <v>0</v>
      </c>
    </row>
    <row r="10001" spans="6:10" hidden="1" x14ac:dyDescent="0.25">
      <c r="F10001" s="380">
        <v>416</v>
      </c>
      <c r="G10001" s="375" t="s">
        <v>4200</v>
      </c>
      <c r="J10001" s="595">
        <f t="shared" si="296"/>
        <v>0</v>
      </c>
    </row>
    <row r="10002" spans="6:10" hidden="1" x14ac:dyDescent="0.25">
      <c r="F10002" s="380">
        <v>417</v>
      </c>
      <c r="G10002" s="375" t="s">
        <v>4201</v>
      </c>
      <c r="J10002" s="595">
        <f t="shared" si="296"/>
        <v>0</v>
      </c>
    </row>
    <row r="10003" spans="6:10" hidden="1" x14ac:dyDescent="0.25">
      <c r="F10003" s="380">
        <v>418</v>
      </c>
      <c r="G10003" s="375" t="s">
        <v>3793</v>
      </c>
      <c r="J10003" s="595">
        <f t="shared" si="296"/>
        <v>0</v>
      </c>
    </row>
    <row r="10004" spans="6:10" hidden="1" x14ac:dyDescent="0.25">
      <c r="F10004" s="380">
        <v>421</v>
      </c>
      <c r="G10004" s="375" t="s">
        <v>3797</v>
      </c>
      <c r="J10004" s="595">
        <f t="shared" si="296"/>
        <v>0</v>
      </c>
    </row>
    <row r="10005" spans="6:10" hidden="1" x14ac:dyDescent="0.25">
      <c r="F10005" s="380">
        <v>422</v>
      </c>
      <c r="G10005" s="375" t="s">
        <v>3798</v>
      </c>
      <c r="J10005" s="595">
        <f t="shared" si="296"/>
        <v>0</v>
      </c>
    </row>
    <row r="10006" spans="6:10" hidden="1" x14ac:dyDescent="0.25">
      <c r="F10006" s="380">
        <v>423</v>
      </c>
      <c r="G10006" s="375" t="s">
        <v>3799</v>
      </c>
      <c r="J10006" s="595">
        <f t="shared" si="296"/>
        <v>0</v>
      </c>
    </row>
    <row r="10007" spans="6:10" ht="15.75" hidden="1" thickBot="1" x14ac:dyDescent="0.3">
      <c r="F10007" s="380">
        <v>424</v>
      </c>
      <c r="G10007" s="375" t="s">
        <v>3801</v>
      </c>
      <c r="J10007" s="595">
        <f t="shared" si="296"/>
        <v>0</v>
      </c>
    </row>
    <row r="10008" spans="6:10" hidden="1" x14ac:dyDescent="0.25">
      <c r="F10008" s="380">
        <v>425</v>
      </c>
      <c r="G10008" s="375" t="s">
        <v>4202</v>
      </c>
      <c r="J10008" s="595">
        <f t="shared" si="296"/>
        <v>0</v>
      </c>
    </row>
    <row r="10009" spans="6:10" hidden="1" x14ac:dyDescent="0.25">
      <c r="F10009" s="380">
        <v>426</v>
      </c>
      <c r="G10009" s="375" t="s">
        <v>3805</v>
      </c>
      <c r="J10009" s="595">
        <f t="shared" si="296"/>
        <v>0</v>
      </c>
    </row>
    <row r="10010" spans="6:10" hidden="1" x14ac:dyDescent="0.25">
      <c r="F10010" s="380">
        <v>431</v>
      </c>
      <c r="G10010" s="375" t="s">
        <v>4203</v>
      </c>
      <c r="J10010" s="595">
        <f t="shared" si="296"/>
        <v>0</v>
      </c>
    </row>
    <row r="10011" spans="6:10" hidden="1" x14ac:dyDescent="0.25">
      <c r="F10011" s="380">
        <v>432</v>
      </c>
      <c r="G10011" s="375" t="s">
        <v>4204</v>
      </c>
      <c r="J10011" s="595">
        <f t="shared" si="296"/>
        <v>0</v>
      </c>
    </row>
    <row r="10012" spans="6:10" hidden="1" x14ac:dyDescent="0.25">
      <c r="F10012" s="380">
        <v>433</v>
      </c>
      <c r="G10012" s="375" t="s">
        <v>4205</v>
      </c>
      <c r="J10012" s="595">
        <f t="shared" si="296"/>
        <v>0</v>
      </c>
    </row>
    <row r="10013" spans="6:10" hidden="1" x14ac:dyDescent="0.25">
      <c r="F10013" s="380">
        <v>434</v>
      </c>
      <c r="G10013" s="375" t="s">
        <v>4206</v>
      </c>
      <c r="J10013" s="595">
        <f t="shared" si="296"/>
        <v>0</v>
      </c>
    </row>
    <row r="10014" spans="6:10" hidden="1" x14ac:dyDescent="0.25">
      <c r="F10014" s="380">
        <v>435</v>
      </c>
      <c r="G10014" s="375" t="s">
        <v>3812</v>
      </c>
      <c r="J10014" s="595">
        <f t="shared" si="296"/>
        <v>0</v>
      </c>
    </row>
    <row r="10015" spans="6:10" hidden="1" x14ac:dyDescent="0.25">
      <c r="F10015" s="380">
        <v>441</v>
      </c>
      <c r="G10015" s="375" t="s">
        <v>4207</v>
      </c>
      <c r="J10015" s="595">
        <f t="shared" si="296"/>
        <v>0</v>
      </c>
    </row>
    <row r="10016" spans="6:10" hidden="1" x14ac:dyDescent="0.25">
      <c r="F10016" s="380">
        <v>442</v>
      </c>
      <c r="G10016" s="375" t="s">
        <v>4208</v>
      </c>
      <c r="J10016" s="595">
        <f t="shared" si="296"/>
        <v>0</v>
      </c>
    </row>
    <row r="10017" spans="6:10" hidden="1" x14ac:dyDescent="0.25">
      <c r="F10017" s="380">
        <v>443</v>
      </c>
      <c r="G10017" s="375" t="s">
        <v>3817</v>
      </c>
      <c r="J10017" s="595">
        <f t="shared" si="296"/>
        <v>0</v>
      </c>
    </row>
    <row r="10018" spans="6:10" hidden="1" x14ac:dyDescent="0.25">
      <c r="F10018" s="380">
        <v>444</v>
      </c>
      <c r="G10018" s="375" t="s">
        <v>3818</v>
      </c>
      <c r="J10018" s="595">
        <f t="shared" si="296"/>
        <v>0</v>
      </c>
    </row>
    <row r="10019" spans="6:10" ht="30" hidden="1" x14ac:dyDescent="0.25">
      <c r="F10019" s="380">
        <v>4511</v>
      </c>
      <c r="G10019" s="223" t="s">
        <v>1692</v>
      </c>
      <c r="J10019" s="595">
        <f t="shared" si="296"/>
        <v>0</v>
      </c>
    </row>
    <row r="10020" spans="6:10" ht="19.5" hidden="1" customHeight="1" x14ac:dyDescent="0.25">
      <c r="F10020" s="380">
        <v>4512</v>
      </c>
      <c r="G10020" s="223" t="s">
        <v>1701</v>
      </c>
      <c r="J10020" s="595">
        <f t="shared" si="296"/>
        <v>0</v>
      </c>
    </row>
    <row r="10021" spans="6:10" hidden="1" x14ac:dyDescent="0.25">
      <c r="F10021" s="380">
        <v>452</v>
      </c>
      <c r="G10021" s="375" t="s">
        <v>4209</v>
      </c>
      <c r="J10021" s="595">
        <f t="shared" si="296"/>
        <v>0</v>
      </c>
    </row>
    <row r="10022" spans="6:10" hidden="1" x14ac:dyDescent="0.25">
      <c r="F10022" s="380">
        <v>453</v>
      </c>
      <c r="G10022" s="375" t="s">
        <v>4210</v>
      </c>
      <c r="J10022" s="595">
        <f t="shared" si="296"/>
        <v>0</v>
      </c>
    </row>
    <row r="10023" spans="6:10" hidden="1" x14ac:dyDescent="0.25">
      <c r="F10023" s="380">
        <v>454</v>
      </c>
      <c r="G10023" s="375" t="s">
        <v>3823</v>
      </c>
      <c r="J10023" s="595">
        <f t="shared" si="296"/>
        <v>0</v>
      </c>
    </row>
    <row r="10024" spans="6:10" hidden="1" x14ac:dyDescent="0.25">
      <c r="F10024" s="380">
        <v>461</v>
      </c>
      <c r="G10024" s="375" t="s">
        <v>4191</v>
      </c>
      <c r="J10024" s="595">
        <f t="shared" si="296"/>
        <v>0</v>
      </c>
    </row>
    <row r="10025" spans="6:10" hidden="1" x14ac:dyDescent="0.25">
      <c r="F10025" s="380">
        <v>462</v>
      </c>
      <c r="G10025" s="375" t="s">
        <v>3826</v>
      </c>
      <c r="J10025" s="595">
        <f t="shared" si="296"/>
        <v>0</v>
      </c>
    </row>
    <row r="10026" spans="6:10" hidden="1" x14ac:dyDescent="0.25">
      <c r="F10026" s="380">
        <v>4631</v>
      </c>
      <c r="G10026" s="375" t="s">
        <v>3827</v>
      </c>
      <c r="J10026" s="595">
        <f t="shared" si="296"/>
        <v>0</v>
      </c>
    </row>
    <row r="10027" spans="6:10" hidden="1" x14ac:dyDescent="0.25">
      <c r="F10027" s="380">
        <v>4632</v>
      </c>
      <c r="G10027" s="375" t="s">
        <v>3828</v>
      </c>
      <c r="J10027" s="595">
        <f t="shared" si="296"/>
        <v>0</v>
      </c>
    </row>
    <row r="10028" spans="6:10" hidden="1" x14ac:dyDescent="0.25">
      <c r="F10028" s="380">
        <v>464</v>
      </c>
      <c r="G10028" s="375" t="s">
        <v>3829</v>
      </c>
      <c r="J10028" s="595">
        <f t="shared" si="296"/>
        <v>0</v>
      </c>
    </row>
    <row r="10029" spans="6:10" hidden="1" x14ac:dyDescent="0.25">
      <c r="F10029" s="380">
        <v>465</v>
      </c>
      <c r="G10029" s="375" t="s">
        <v>4192</v>
      </c>
      <c r="J10029" s="595">
        <f t="shared" si="296"/>
        <v>0</v>
      </c>
    </row>
    <row r="10030" spans="6:10" hidden="1" x14ac:dyDescent="0.25">
      <c r="F10030" s="380">
        <v>472</v>
      </c>
      <c r="G10030" s="375" t="s">
        <v>3833</v>
      </c>
      <c r="J10030" s="595">
        <f t="shared" si="296"/>
        <v>0</v>
      </c>
    </row>
    <row r="10031" spans="6:10" hidden="1" x14ac:dyDescent="0.25">
      <c r="F10031" s="380">
        <v>481</v>
      </c>
      <c r="G10031" s="375" t="s">
        <v>4211</v>
      </c>
      <c r="J10031" s="595">
        <f t="shared" si="296"/>
        <v>0</v>
      </c>
    </row>
    <row r="10032" spans="6:10" hidden="1" x14ac:dyDescent="0.25">
      <c r="F10032" s="380">
        <v>482</v>
      </c>
      <c r="G10032" s="375" t="s">
        <v>4212</v>
      </c>
      <c r="J10032" s="595">
        <f t="shared" si="296"/>
        <v>0</v>
      </c>
    </row>
    <row r="10033" spans="6:10" hidden="1" x14ac:dyDescent="0.25">
      <c r="F10033" s="380">
        <v>483</v>
      </c>
      <c r="G10033" s="378" t="s">
        <v>4213</v>
      </c>
      <c r="J10033" s="595">
        <f t="shared" si="296"/>
        <v>0</v>
      </c>
    </row>
    <row r="10034" spans="6:10" ht="30" hidden="1" x14ac:dyDescent="0.25">
      <c r="F10034" s="380">
        <v>484</v>
      </c>
      <c r="G10034" s="375" t="s">
        <v>4214</v>
      </c>
      <c r="J10034" s="595">
        <f t="shared" si="296"/>
        <v>0</v>
      </c>
    </row>
    <row r="10035" spans="6:10" ht="30" hidden="1" x14ac:dyDescent="0.25">
      <c r="F10035" s="380">
        <v>485</v>
      </c>
      <c r="G10035" s="375" t="s">
        <v>4215</v>
      </c>
      <c r="J10035" s="595">
        <f t="shared" si="296"/>
        <v>0</v>
      </c>
    </row>
    <row r="10036" spans="6:10" ht="30" hidden="1" x14ac:dyDescent="0.25">
      <c r="F10036" s="380">
        <v>489</v>
      </c>
      <c r="G10036" s="375" t="s">
        <v>3841</v>
      </c>
      <c r="J10036" s="595">
        <f t="shared" si="296"/>
        <v>0</v>
      </c>
    </row>
    <row r="10037" spans="6:10" hidden="1" x14ac:dyDescent="0.25">
      <c r="F10037" s="380">
        <v>494</v>
      </c>
      <c r="G10037" s="375" t="s">
        <v>4193</v>
      </c>
      <c r="J10037" s="595">
        <f t="shared" si="296"/>
        <v>0</v>
      </c>
    </row>
    <row r="10038" spans="6:10" ht="30" hidden="1" x14ac:dyDescent="0.25">
      <c r="F10038" s="380">
        <v>495</v>
      </c>
      <c r="G10038" s="375" t="s">
        <v>4194</v>
      </c>
      <c r="J10038" s="595">
        <f t="shared" si="296"/>
        <v>0</v>
      </c>
    </row>
    <row r="10039" spans="6:10" ht="30" hidden="1" x14ac:dyDescent="0.25">
      <c r="F10039" s="380">
        <v>496</v>
      </c>
      <c r="G10039" s="375" t="s">
        <v>4195</v>
      </c>
      <c r="J10039" s="595">
        <f t="shared" si="296"/>
        <v>0</v>
      </c>
    </row>
    <row r="10040" spans="6:10" hidden="1" x14ac:dyDescent="0.25">
      <c r="F10040" s="380">
        <v>499</v>
      </c>
      <c r="G10040" s="375" t="s">
        <v>4196</v>
      </c>
      <c r="J10040" s="595">
        <f t="shared" si="296"/>
        <v>0</v>
      </c>
    </row>
    <row r="10041" spans="6:10" hidden="1" x14ac:dyDescent="0.25">
      <c r="F10041" s="380">
        <v>511</v>
      </c>
      <c r="G10041" s="378" t="s">
        <v>4216</v>
      </c>
      <c r="J10041" s="595">
        <f t="shared" si="296"/>
        <v>0</v>
      </c>
    </row>
    <row r="10042" spans="6:10" hidden="1" x14ac:dyDescent="0.25">
      <c r="F10042" s="380">
        <v>512</v>
      </c>
      <c r="G10042" s="378" t="s">
        <v>4217</v>
      </c>
      <c r="J10042" s="595">
        <f t="shared" si="296"/>
        <v>0</v>
      </c>
    </row>
    <row r="10043" spans="6:10" hidden="1" x14ac:dyDescent="0.25">
      <c r="F10043" s="380">
        <v>513</v>
      </c>
      <c r="G10043" s="378" t="s">
        <v>4218</v>
      </c>
      <c r="J10043" s="595">
        <f t="shared" si="296"/>
        <v>0</v>
      </c>
    </row>
    <row r="10044" spans="6:10" hidden="1" x14ac:dyDescent="0.25">
      <c r="F10044" s="380">
        <v>514</v>
      </c>
      <c r="G10044" s="375" t="s">
        <v>4219</v>
      </c>
      <c r="J10044" s="595">
        <f t="shared" si="296"/>
        <v>0</v>
      </c>
    </row>
    <row r="10045" spans="6:10" hidden="1" x14ac:dyDescent="0.25">
      <c r="F10045" s="380">
        <v>515</v>
      </c>
      <c r="G10045" s="375" t="s">
        <v>3852</v>
      </c>
      <c r="J10045" s="595">
        <f t="shared" si="296"/>
        <v>0</v>
      </c>
    </row>
    <row r="10046" spans="6:10" hidden="1" x14ac:dyDescent="0.25">
      <c r="F10046" s="380">
        <v>521</v>
      </c>
      <c r="G10046" s="375" t="s">
        <v>4220</v>
      </c>
      <c r="J10046" s="595">
        <f t="shared" si="296"/>
        <v>0</v>
      </c>
    </row>
    <row r="10047" spans="6:10" hidden="1" x14ac:dyDescent="0.25">
      <c r="F10047" s="380">
        <v>522</v>
      </c>
      <c r="G10047" s="375" t="s">
        <v>4221</v>
      </c>
      <c r="J10047" s="595">
        <f t="shared" si="296"/>
        <v>0</v>
      </c>
    </row>
    <row r="10048" spans="6:10" hidden="1" x14ac:dyDescent="0.25">
      <c r="F10048" s="380">
        <v>523</v>
      </c>
      <c r="G10048" s="375" t="s">
        <v>3857</v>
      </c>
      <c r="J10048" s="595">
        <f t="shared" si="296"/>
        <v>0</v>
      </c>
    </row>
    <row r="10049" spans="5:10" hidden="1" x14ac:dyDescent="0.25">
      <c r="F10049" s="380">
        <v>531</v>
      </c>
      <c r="G10049" s="373" t="s">
        <v>4197</v>
      </c>
      <c r="J10049" s="595">
        <f t="shared" si="296"/>
        <v>0</v>
      </c>
    </row>
    <row r="10050" spans="5:10" hidden="1" x14ac:dyDescent="0.25">
      <c r="F10050" s="380">
        <v>541</v>
      </c>
      <c r="G10050" s="375" t="s">
        <v>4222</v>
      </c>
      <c r="J10050" s="595">
        <f t="shared" si="296"/>
        <v>0</v>
      </c>
    </row>
    <row r="10051" spans="5:10" hidden="1" x14ac:dyDescent="0.25">
      <c r="F10051" s="380">
        <v>542</v>
      </c>
      <c r="G10051" s="375" t="s">
        <v>4223</v>
      </c>
      <c r="J10051" s="595">
        <f t="shared" si="296"/>
        <v>0</v>
      </c>
    </row>
    <row r="10052" spans="5:10" hidden="1" x14ac:dyDescent="0.25">
      <c r="F10052" s="380">
        <v>543</v>
      </c>
      <c r="G10052" s="375" t="s">
        <v>3862</v>
      </c>
      <c r="J10052" s="595">
        <f t="shared" si="296"/>
        <v>0</v>
      </c>
    </row>
    <row r="10053" spans="5:10" ht="30" hidden="1" x14ac:dyDescent="0.25">
      <c r="F10053" s="380">
        <v>551</v>
      </c>
      <c r="G10053" s="375" t="s">
        <v>4198</v>
      </c>
      <c r="J10053" s="595">
        <f t="shared" si="296"/>
        <v>0</v>
      </c>
    </row>
    <row r="10054" spans="5:10" hidden="1" x14ac:dyDescent="0.25">
      <c r="F10054" s="381">
        <v>611</v>
      </c>
      <c r="G10054" s="379" t="s">
        <v>3868</v>
      </c>
      <c r="J10054" s="595">
        <f t="shared" si="296"/>
        <v>0</v>
      </c>
    </row>
    <row r="10055" spans="5:10" ht="15.75" hidden="1" thickBot="1" x14ac:dyDescent="0.3">
      <c r="F10055" s="381">
        <v>620</v>
      </c>
      <c r="G10055" s="379" t="s">
        <v>88</v>
      </c>
      <c r="J10055" s="595">
        <f t="shared" si="296"/>
        <v>0</v>
      </c>
    </row>
    <row r="10056" spans="5:10" hidden="1" x14ac:dyDescent="0.25">
      <c r="E10056" s="374"/>
      <c r="F10056" s="381"/>
      <c r="G10056" s="327" t="s">
        <v>4426</v>
      </c>
      <c r="H10056" s="596"/>
      <c r="I10056" s="622"/>
      <c r="J10056" s="597"/>
    </row>
    <row r="10057" spans="5:10" ht="15.75" hidden="1" thickBot="1" x14ac:dyDescent="0.3">
      <c r="E10057" s="222"/>
      <c r="F10057" s="249" t="s">
        <v>234</v>
      </c>
      <c r="G10057" s="252" t="s">
        <v>235</v>
      </c>
      <c r="H10057" s="598">
        <f>SUM(H9996:H10055)</f>
        <v>0</v>
      </c>
      <c r="I10057" s="599"/>
      <c r="J10057" s="599">
        <f t="shared" ref="J10057:J10072" si="297">SUM(H10057:I10057)</f>
        <v>0</v>
      </c>
    </row>
    <row r="10058" spans="5:10" hidden="1" x14ac:dyDescent="0.25">
      <c r="F10058" s="249" t="s">
        <v>236</v>
      </c>
      <c r="G10058" s="252" t="s">
        <v>237</v>
      </c>
      <c r="J10058" s="599">
        <f t="shared" si="297"/>
        <v>0</v>
      </c>
    </row>
    <row r="10059" spans="5:10" hidden="1" x14ac:dyDescent="0.25">
      <c r="F10059" s="249" t="s">
        <v>238</v>
      </c>
      <c r="G10059" s="252" t="s">
        <v>239</v>
      </c>
      <c r="J10059" s="599">
        <f t="shared" si="297"/>
        <v>0</v>
      </c>
    </row>
    <row r="10060" spans="5:10" hidden="1" x14ac:dyDescent="0.25">
      <c r="F10060" s="249" t="s">
        <v>240</v>
      </c>
      <c r="G10060" s="252" t="s">
        <v>241</v>
      </c>
      <c r="J10060" s="599">
        <f t="shared" si="297"/>
        <v>0</v>
      </c>
    </row>
    <row r="10061" spans="5:10" hidden="1" x14ac:dyDescent="0.25">
      <c r="F10061" s="249" t="s">
        <v>242</v>
      </c>
      <c r="G10061" s="252" t="s">
        <v>243</v>
      </c>
      <c r="J10061" s="599">
        <f t="shared" si="297"/>
        <v>0</v>
      </c>
    </row>
    <row r="10062" spans="5:10" hidden="1" x14ac:dyDescent="0.25">
      <c r="F10062" s="249" t="s">
        <v>244</v>
      </c>
      <c r="G10062" s="252" t="s">
        <v>245</v>
      </c>
      <c r="J10062" s="599">
        <f t="shared" si="297"/>
        <v>0</v>
      </c>
    </row>
    <row r="10063" spans="5:10" hidden="1" x14ac:dyDescent="0.25">
      <c r="F10063" s="249" t="s">
        <v>246</v>
      </c>
      <c r="G10063" s="252" t="s">
        <v>247</v>
      </c>
      <c r="J10063" s="599">
        <f t="shared" si="297"/>
        <v>0</v>
      </c>
    </row>
    <row r="10064" spans="5:10" hidden="1" x14ac:dyDescent="0.25">
      <c r="F10064" s="249" t="s">
        <v>248</v>
      </c>
      <c r="G10064" s="252" t="s">
        <v>249</v>
      </c>
      <c r="J10064" s="599">
        <f t="shared" si="297"/>
        <v>0</v>
      </c>
    </row>
    <row r="10065" spans="5:10" hidden="1" x14ac:dyDescent="0.25">
      <c r="F10065" s="249" t="s">
        <v>250</v>
      </c>
      <c r="G10065" s="252" t="s">
        <v>57</v>
      </c>
      <c r="J10065" s="599">
        <f t="shared" si="297"/>
        <v>0</v>
      </c>
    </row>
    <row r="10066" spans="5:10" hidden="1" x14ac:dyDescent="0.25">
      <c r="F10066" s="249" t="s">
        <v>251</v>
      </c>
      <c r="G10066" s="252" t="s">
        <v>252</v>
      </c>
      <c r="J10066" s="599">
        <f t="shared" si="297"/>
        <v>0</v>
      </c>
    </row>
    <row r="10067" spans="5:10" hidden="1" x14ac:dyDescent="0.25">
      <c r="F10067" s="249" t="s">
        <v>253</v>
      </c>
      <c r="G10067" s="252" t="s">
        <v>254</v>
      </c>
      <c r="J10067" s="599">
        <f t="shared" si="297"/>
        <v>0</v>
      </c>
    </row>
    <row r="10068" spans="5:10" ht="30" hidden="1" x14ac:dyDescent="0.25">
      <c r="F10068" s="249" t="s">
        <v>255</v>
      </c>
      <c r="G10068" s="252" t="s">
        <v>256</v>
      </c>
      <c r="J10068" s="599">
        <f t="shared" si="297"/>
        <v>0</v>
      </c>
    </row>
    <row r="10069" spans="5:10" hidden="1" x14ac:dyDescent="0.25">
      <c r="F10069" s="249" t="s">
        <v>257</v>
      </c>
      <c r="G10069" s="252" t="s">
        <v>258</v>
      </c>
      <c r="J10069" s="599">
        <f t="shared" si="297"/>
        <v>0</v>
      </c>
    </row>
    <row r="10070" spans="5:10" ht="30" hidden="1" x14ac:dyDescent="0.25">
      <c r="F10070" s="249" t="s">
        <v>259</v>
      </c>
      <c r="G10070" s="252" t="s">
        <v>260</v>
      </c>
      <c r="J10070" s="599">
        <f t="shared" si="297"/>
        <v>0</v>
      </c>
    </row>
    <row r="10071" spans="5:10" hidden="1" x14ac:dyDescent="0.25">
      <c r="F10071" s="249" t="s">
        <v>261</v>
      </c>
      <c r="G10071" s="252" t="s">
        <v>262</v>
      </c>
      <c r="J10071" s="599">
        <f t="shared" si="297"/>
        <v>0</v>
      </c>
    </row>
    <row r="10072" spans="5:10" ht="15.75" hidden="1" thickBot="1" x14ac:dyDescent="0.3">
      <c r="F10072" s="249" t="s">
        <v>263</v>
      </c>
      <c r="G10072" s="252" t="s">
        <v>264</v>
      </c>
      <c r="H10072" s="598"/>
      <c r="I10072" s="599"/>
      <c r="J10072" s="599">
        <f t="shared" si="297"/>
        <v>0</v>
      </c>
    </row>
    <row r="10073" spans="5:10" ht="15.75" hidden="1" thickBot="1" x14ac:dyDescent="0.3">
      <c r="G10073" s="229" t="s">
        <v>4427</v>
      </c>
      <c r="H10073" s="600">
        <f>SUM(H10057:H10072)</f>
        <v>0</v>
      </c>
      <c r="I10073" s="601">
        <f>SUM(I10058:I10072)</f>
        <v>0</v>
      </c>
      <c r="J10073" s="601">
        <f>SUM(J10057:J10072)</f>
        <v>0</v>
      </c>
    </row>
    <row r="10074" spans="5:10" ht="28.5" hidden="1" collapsed="1" x14ac:dyDescent="0.25">
      <c r="E10074" s="374"/>
      <c r="F10074" s="381"/>
      <c r="G10074" s="231" t="s">
        <v>4449</v>
      </c>
      <c r="H10074" s="602"/>
      <c r="I10074" s="623"/>
      <c r="J10074" s="603"/>
    </row>
    <row r="10075" spans="5:10" ht="15.75" hidden="1" thickBot="1" x14ac:dyDescent="0.3">
      <c r="E10075" s="222"/>
      <c r="F10075" s="249" t="s">
        <v>234</v>
      </c>
      <c r="G10075" s="252" t="s">
        <v>235</v>
      </c>
      <c r="H10075" s="598">
        <f>SUM(H9996:H10055)</f>
        <v>0</v>
      </c>
      <c r="I10075" s="599"/>
      <c r="J10075" s="599">
        <f>SUM(H10075:I10075)</f>
        <v>0</v>
      </c>
    </row>
    <row r="10076" spans="5:10" hidden="1" x14ac:dyDescent="0.25">
      <c r="F10076" s="249" t="s">
        <v>236</v>
      </c>
      <c r="G10076" s="252" t="s">
        <v>237</v>
      </c>
      <c r="J10076" s="599">
        <f t="shared" ref="J10076:J10090" si="298">SUM(H10076:I10076)</f>
        <v>0</v>
      </c>
    </row>
    <row r="10077" spans="5:10" hidden="1" x14ac:dyDescent="0.25">
      <c r="F10077" s="249" t="s">
        <v>238</v>
      </c>
      <c r="G10077" s="252" t="s">
        <v>239</v>
      </c>
      <c r="J10077" s="599">
        <f t="shared" si="298"/>
        <v>0</v>
      </c>
    </row>
    <row r="10078" spans="5:10" hidden="1" x14ac:dyDescent="0.25">
      <c r="F10078" s="249" t="s">
        <v>240</v>
      </c>
      <c r="G10078" s="252" t="s">
        <v>241</v>
      </c>
      <c r="J10078" s="599">
        <f t="shared" si="298"/>
        <v>0</v>
      </c>
    </row>
    <row r="10079" spans="5:10" hidden="1" x14ac:dyDescent="0.25">
      <c r="F10079" s="249" t="s">
        <v>242</v>
      </c>
      <c r="G10079" s="252" t="s">
        <v>243</v>
      </c>
      <c r="J10079" s="599">
        <f t="shared" si="298"/>
        <v>0</v>
      </c>
    </row>
    <row r="10080" spans="5:10" hidden="1" x14ac:dyDescent="0.25">
      <c r="F10080" s="249" t="s">
        <v>244</v>
      </c>
      <c r="G10080" s="252" t="s">
        <v>245</v>
      </c>
      <c r="J10080" s="599">
        <f t="shared" si="298"/>
        <v>0</v>
      </c>
    </row>
    <row r="10081" spans="1:25" hidden="1" x14ac:dyDescent="0.25">
      <c r="F10081" s="249" t="s">
        <v>246</v>
      </c>
      <c r="G10081" s="252" t="s">
        <v>247</v>
      </c>
      <c r="J10081" s="599">
        <f t="shared" si="298"/>
        <v>0</v>
      </c>
    </row>
    <row r="10082" spans="1:25" hidden="1" x14ac:dyDescent="0.25">
      <c r="F10082" s="249" t="s">
        <v>248</v>
      </c>
      <c r="G10082" s="252" t="s">
        <v>249</v>
      </c>
      <c r="J10082" s="599">
        <f t="shared" si="298"/>
        <v>0</v>
      </c>
    </row>
    <row r="10083" spans="1:25" hidden="1" x14ac:dyDescent="0.25">
      <c r="F10083" s="249" t="s">
        <v>250</v>
      </c>
      <c r="G10083" s="252" t="s">
        <v>57</v>
      </c>
      <c r="J10083" s="599">
        <f t="shared" si="298"/>
        <v>0</v>
      </c>
    </row>
    <row r="10084" spans="1:25" hidden="1" x14ac:dyDescent="0.25">
      <c r="F10084" s="249" t="s">
        <v>251</v>
      </c>
      <c r="G10084" s="252" t="s">
        <v>252</v>
      </c>
      <c r="J10084" s="599">
        <f t="shared" si="298"/>
        <v>0</v>
      </c>
    </row>
    <row r="10085" spans="1:25" hidden="1" x14ac:dyDescent="0.25">
      <c r="F10085" s="249" t="s">
        <v>253</v>
      </c>
      <c r="G10085" s="252" t="s">
        <v>254</v>
      </c>
      <c r="J10085" s="599">
        <f t="shared" si="298"/>
        <v>0</v>
      </c>
    </row>
    <row r="10086" spans="1:25" ht="30" hidden="1" x14ac:dyDescent="0.25">
      <c r="F10086" s="249" t="s">
        <v>255</v>
      </c>
      <c r="G10086" s="252" t="s">
        <v>256</v>
      </c>
      <c r="J10086" s="599">
        <f t="shared" si="298"/>
        <v>0</v>
      </c>
    </row>
    <row r="10087" spans="1:25" hidden="1" x14ac:dyDescent="0.25">
      <c r="F10087" s="249" t="s">
        <v>257</v>
      </c>
      <c r="G10087" s="252" t="s">
        <v>258</v>
      </c>
      <c r="J10087" s="599">
        <f t="shared" si="298"/>
        <v>0</v>
      </c>
    </row>
    <row r="10088" spans="1:25" ht="30" hidden="1" x14ac:dyDescent="0.25">
      <c r="F10088" s="249" t="s">
        <v>259</v>
      </c>
      <c r="G10088" s="252" t="s">
        <v>260</v>
      </c>
      <c r="J10088" s="599">
        <f t="shared" si="298"/>
        <v>0</v>
      </c>
    </row>
    <row r="10089" spans="1:25" hidden="1" x14ac:dyDescent="0.25">
      <c r="F10089" s="249" t="s">
        <v>261</v>
      </c>
      <c r="G10089" s="252" t="s">
        <v>262</v>
      </c>
      <c r="J10089" s="599">
        <f t="shared" si="298"/>
        <v>0</v>
      </c>
    </row>
    <row r="10090" spans="1:25" ht="15.75" hidden="1" thickBot="1" x14ac:dyDescent="0.3">
      <c r="F10090" s="249" t="s">
        <v>263</v>
      </c>
      <c r="G10090" s="252" t="s">
        <v>264</v>
      </c>
      <c r="H10090" s="598"/>
      <c r="I10090" s="599"/>
      <c r="J10090" s="599">
        <f t="shared" si="298"/>
        <v>0</v>
      </c>
    </row>
    <row r="10091" spans="1:25" ht="15.75" hidden="1" collapsed="1" thickBot="1" x14ac:dyDescent="0.3">
      <c r="G10091" s="229" t="s">
        <v>4450</v>
      </c>
      <c r="H10091" s="600">
        <f>SUM(H10075:H10090)</f>
        <v>0</v>
      </c>
      <c r="I10091" s="601">
        <f>SUM(I10076:I10090)</f>
        <v>0</v>
      </c>
      <c r="J10091" s="601">
        <f>SUM(J10075:J10090)</f>
        <v>0</v>
      </c>
    </row>
    <row r="10092" spans="1:25" hidden="1" x14ac:dyDescent="0.25"/>
    <row r="10093" spans="1:25" s="88" customFormat="1" x14ac:dyDescent="0.25">
      <c r="A10093" s="377"/>
      <c r="B10093" s="256"/>
      <c r="C10093" s="276" t="s">
        <v>5189</v>
      </c>
      <c r="D10093" s="219"/>
      <c r="E10093" s="219"/>
      <c r="F10093" s="277"/>
      <c r="G10093" s="278" t="s">
        <v>4088</v>
      </c>
      <c r="H10093" s="627"/>
      <c r="I10093" s="610"/>
      <c r="J10093" s="628"/>
      <c r="K10093" s="533"/>
      <c r="L10093" s="533"/>
      <c r="M10093" s="533"/>
      <c r="N10093" s="533"/>
      <c r="O10093" s="533"/>
      <c r="P10093" s="533"/>
      <c r="Q10093" s="533"/>
      <c r="R10093" s="533"/>
      <c r="S10093" s="533"/>
      <c r="T10093" s="533"/>
      <c r="U10093" s="533"/>
      <c r="V10093" s="533"/>
      <c r="W10093" s="533"/>
      <c r="X10093" s="533"/>
      <c r="Y10093" s="533"/>
    </row>
    <row r="10094" spans="1:25" x14ac:dyDescent="0.25">
      <c r="C10094" s="228"/>
      <c r="D10094" s="312">
        <v>620</v>
      </c>
      <c r="E10094" s="312"/>
      <c r="F10094" s="312"/>
      <c r="G10094" s="313" t="s">
        <v>182</v>
      </c>
    </row>
    <row r="10095" spans="1:25" hidden="1" x14ac:dyDescent="0.25">
      <c r="F10095" s="380">
        <v>411</v>
      </c>
      <c r="G10095" s="375" t="s">
        <v>4189</v>
      </c>
      <c r="J10095" s="595">
        <f>SUM(H10095:I10095)</f>
        <v>0</v>
      </c>
    </row>
    <row r="10096" spans="1:25" hidden="1" x14ac:dyDescent="0.25">
      <c r="F10096" s="380">
        <v>412</v>
      </c>
      <c r="G10096" s="373" t="s">
        <v>3784</v>
      </c>
      <c r="J10096" s="595">
        <f t="shared" ref="J10096:J10154" si="299">SUM(H10096:I10096)</f>
        <v>0</v>
      </c>
    </row>
    <row r="10097" spans="5:10" hidden="1" x14ac:dyDescent="0.25">
      <c r="F10097" s="380">
        <v>413</v>
      </c>
      <c r="G10097" s="375" t="s">
        <v>4190</v>
      </c>
      <c r="J10097" s="595">
        <f t="shared" si="299"/>
        <v>0</v>
      </c>
    </row>
    <row r="10098" spans="5:10" hidden="1" x14ac:dyDescent="0.25">
      <c r="F10098" s="380">
        <v>414</v>
      </c>
      <c r="G10098" s="375" t="s">
        <v>3787</v>
      </c>
      <c r="J10098" s="595">
        <f t="shared" si="299"/>
        <v>0</v>
      </c>
    </row>
    <row r="10099" spans="5:10" hidden="1" x14ac:dyDescent="0.25">
      <c r="F10099" s="380">
        <v>415</v>
      </c>
      <c r="G10099" s="375" t="s">
        <v>4199</v>
      </c>
      <c r="J10099" s="595">
        <f t="shared" si="299"/>
        <v>0</v>
      </c>
    </row>
    <row r="10100" spans="5:10" hidden="1" x14ac:dyDescent="0.25">
      <c r="F10100" s="380">
        <v>416</v>
      </c>
      <c r="G10100" s="375" t="s">
        <v>4200</v>
      </c>
      <c r="J10100" s="595">
        <f t="shared" si="299"/>
        <v>0</v>
      </c>
    </row>
    <row r="10101" spans="5:10" hidden="1" x14ac:dyDescent="0.25">
      <c r="F10101" s="380">
        <v>417</v>
      </c>
      <c r="G10101" s="375" t="s">
        <v>4201</v>
      </c>
      <c r="J10101" s="595">
        <f t="shared" si="299"/>
        <v>0</v>
      </c>
    </row>
    <row r="10102" spans="5:10" hidden="1" x14ac:dyDescent="0.25">
      <c r="F10102" s="380">
        <v>418</v>
      </c>
      <c r="G10102" s="375" t="s">
        <v>3793</v>
      </c>
      <c r="J10102" s="595">
        <f t="shared" si="299"/>
        <v>0</v>
      </c>
    </row>
    <row r="10103" spans="5:10" ht="15.75" thickBot="1" x14ac:dyDescent="0.3">
      <c r="E10103" s="218">
        <v>96</v>
      </c>
      <c r="F10103" s="380">
        <v>421</v>
      </c>
      <c r="G10103" s="375" t="s">
        <v>3797</v>
      </c>
      <c r="H10103" s="594">
        <v>3000000</v>
      </c>
      <c r="J10103" s="595">
        <f t="shared" si="299"/>
        <v>3000000</v>
      </c>
    </row>
    <row r="10104" spans="5:10" hidden="1" x14ac:dyDescent="0.25">
      <c r="F10104" s="380">
        <v>422</v>
      </c>
      <c r="G10104" s="375" t="s">
        <v>3798</v>
      </c>
      <c r="J10104" s="595">
        <f t="shared" si="299"/>
        <v>0</v>
      </c>
    </row>
    <row r="10105" spans="5:10" hidden="1" x14ac:dyDescent="0.25">
      <c r="F10105" s="380">
        <v>423</v>
      </c>
      <c r="G10105" s="375" t="s">
        <v>3799</v>
      </c>
      <c r="J10105" s="595">
        <f t="shared" si="299"/>
        <v>0</v>
      </c>
    </row>
    <row r="10106" spans="5:10" ht="15.75" hidden="1" thickBot="1" x14ac:dyDescent="0.3">
      <c r="F10106" s="380">
        <v>424</v>
      </c>
      <c r="G10106" s="375" t="s">
        <v>3801</v>
      </c>
      <c r="J10106" s="595">
        <f t="shared" si="299"/>
        <v>0</v>
      </c>
    </row>
    <row r="10107" spans="5:10" hidden="1" x14ac:dyDescent="0.25">
      <c r="F10107" s="380">
        <v>425</v>
      </c>
      <c r="G10107" s="375" t="s">
        <v>4202</v>
      </c>
      <c r="J10107" s="595">
        <f t="shared" si="299"/>
        <v>0</v>
      </c>
    </row>
    <row r="10108" spans="5:10" hidden="1" x14ac:dyDescent="0.25">
      <c r="F10108" s="380">
        <v>426</v>
      </c>
      <c r="G10108" s="375" t="s">
        <v>3805</v>
      </c>
      <c r="J10108" s="595">
        <f t="shared" si="299"/>
        <v>0</v>
      </c>
    </row>
    <row r="10109" spans="5:10" hidden="1" x14ac:dyDescent="0.25">
      <c r="F10109" s="380">
        <v>431</v>
      </c>
      <c r="G10109" s="375" t="s">
        <v>4203</v>
      </c>
      <c r="J10109" s="595">
        <f t="shared" si="299"/>
        <v>0</v>
      </c>
    </row>
    <row r="10110" spans="5:10" hidden="1" x14ac:dyDescent="0.25">
      <c r="F10110" s="380">
        <v>432</v>
      </c>
      <c r="G10110" s="375" t="s">
        <v>4204</v>
      </c>
      <c r="J10110" s="595">
        <f t="shared" si="299"/>
        <v>0</v>
      </c>
    </row>
    <row r="10111" spans="5:10" hidden="1" x14ac:dyDescent="0.25">
      <c r="F10111" s="380">
        <v>433</v>
      </c>
      <c r="G10111" s="375" t="s">
        <v>4205</v>
      </c>
      <c r="J10111" s="595">
        <f t="shared" si="299"/>
        <v>0</v>
      </c>
    </row>
    <row r="10112" spans="5:10" hidden="1" x14ac:dyDescent="0.25">
      <c r="F10112" s="380">
        <v>434</v>
      </c>
      <c r="G10112" s="375" t="s">
        <v>4206</v>
      </c>
      <c r="J10112" s="595">
        <f t="shared" si="299"/>
        <v>0</v>
      </c>
    </row>
    <row r="10113" spans="6:10" hidden="1" x14ac:dyDescent="0.25">
      <c r="F10113" s="380">
        <v>435</v>
      </c>
      <c r="G10113" s="375" t="s">
        <v>3812</v>
      </c>
      <c r="J10113" s="595">
        <f t="shared" si="299"/>
        <v>0</v>
      </c>
    </row>
    <row r="10114" spans="6:10" hidden="1" x14ac:dyDescent="0.25">
      <c r="F10114" s="380">
        <v>441</v>
      </c>
      <c r="G10114" s="375" t="s">
        <v>4207</v>
      </c>
      <c r="J10114" s="595">
        <f t="shared" si="299"/>
        <v>0</v>
      </c>
    </row>
    <row r="10115" spans="6:10" hidden="1" x14ac:dyDescent="0.25">
      <c r="F10115" s="380">
        <v>442</v>
      </c>
      <c r="G10115" s="375" t="s">
        <v>4208</v>
      </c>
      <c r="J10115" s="595">
        <f t="shared" si="299"/>
        <v>0</v>
      </c>
    </row>
    <row r="10116" spans="6:10" hidden="1" x14ac:dyDescent="0.25">
      <c r="F10116" s="380">
        <v>443</v>
      </c>
      <c r="G10116" s="375" t="s">
        <v>3817</v>
      </c>
      <c r="J10116" s="595">
        <f t="shared" si="299"/>
        <v>0</v>
      </c>
    </row>
    <row r="10117" spans="6:10" hidden="1" x14ac:dyDescent="0.25">
      <c r="F10117" s="380">
        <v>444</v>
      </c>
      <c r="G10117" s="375" t="s">
        <v>3818</v>
      </c>
      <c r="J10117" s="595">
        <f t="shared" si="299"/>
        <v>0</v>
      </c>
    </row>
    <row r="10118" spans="6:10" ht="30" hidden="1" x14ac:dyDescent="0.25">
      <c r="F10118" s="380">
        <v>4511</v>
      </c>
      <c r="G10118" s="223" t="s">
        <v>1692</v>
      </c>
      <c r="J10118" s="595">
        <f t="shared" si="299"/>
        <v>0</v>
      </c>
    </row>
    <row r="10119" spans="6:10" ht="19.5" hidden="1" customHeight="1" x14ac:dyDescent="0.25">
      <c r="F10119" s="380">
        <v>4512</v>
      </c>
      <c r="G10119" s="223" t="s">
        <v>1701</v>
      </c>
      <c r="J10119" s="595">
        <f t="shared" si="299"/>
        <v>0</v>
      </c>
    </row>
    <row r="10120" spans="6:10" hidden="1" x14ac:dyDescent="0.25">
      <c r="F10120" s="380">
        <v>452</v>
      </c>
      <c r="G10120" s="375" t="s">
        <v>4209</v>
      </c>
      <c r="J10120" s="595">
        <f t="shared" si="299"/>
        <v>0</v>
      </c>
    </row>
    <row r="10121" spans="6:10" hidden="1" x14ac:dyDescent="0.25">
      <c r="F10121" s="380">
        <v>453</v>
      </c>
      <c r="G10121" s="375" t="s">
        <v>4210</v>
      </c>
      <c r="J10121" s="595">
        <f t="shared" si="299"/>
        <v>0</v>
      </c>
    </row>
    <row r="10122" spans="6:10" hidden="1" x14ac:dyDescent="0.25">
      <c r="F10122" s="380">
        <v>454</v>
      </c>
      <c r="G10122" s="375" t="s">
        <v>3823</v>
      </c>
      <c r="J10122" s="595">
        <f t="shared" si="299"/>
        <v>0</v>
      </c>
    </row>
    <row r="10123" spans="6:10" hidden="1" x14ac:dyDescent="0.25">
      <c r="F10123" s="380">
        <v>461</v>
      </c>
      <c r="G10123" s="375" t="s">
        <v>4191</v>
      </c>
      <c r="J10123" s="595">
        <f t="shared" si="299"/>
        <v>0</v>
      </c>
    </row>
    <row r="10124" spans="6:10" hidden="1" x14ac:dyDescent="0.25">
      <c r="F10124" s="380">
        <v>462</v>
      </c>
      <c r="G10124" s="375" t="s">
        <v>3826</v>
      </c>
      <c r="J10124" s="595">
        <f t="shared" si="299"/>
        <v>0</v>
      </c>
    </row>
    <row r="10125" spans="6:10" hidden="1" x14ac:dyDescent="0.25">
      <c r="F10125" s="380">
        <v>4631</v>
      </c>
      <c r="G10125" s="375" t="s">
        <v>3827</v>
      </c>
      <c r="J10125" s="595">
        <f t="shared" si="299"/>
        <v>0</v>
      </c>
    </row>
    <row r="10126" spans="6:10" hidden="1" x14ac:dyDescent="0.25">
      <c r="F10126" s="380">
        <v>4632</v>
      </c>
      <c r="G10126" s="375" t="s">
        <v>3828</v>
      </c>
      <c r="J10126" s="595">
        <f t="shared" si="299"/>
        <v>0</v>
      </c>
    </row>
    <row r="10127" spans="6:10" hidden="1" x14ac:dyDescent="0.25">
      <c r="F10127" s="380">
        <v>464</v>
      </c>
      <c r="G10127" s="375" t="s">
        <v>3829</v>
      </c>
      <c r="J10127" s="595">
        <f t="shared" si="299"/>
        <v>0</v>
      </c>
    </row>
    <row r="10128" spans="6:10" hidden="1" x14ac:dyDescent="0.25">
      <c r="F10128" s="380">
        <v>465</v>
      </c>
      <c r="G10128" s="375" t="s">
        <v>4192</v>
      </c>
      <c r="J10128" s="595">
        <f t="shared" si="299"/>
        <v>0</v>
      </c>
    </row>
    <row r="10129" spans="6:10" hidden="1" x14ac:dyDescent="0.25">
      <c r="F10129" s="380">
        <v>472</v>
      </c>
      <c r="G10129" s="375" t="s">
        <v>3833</v>
      </c>
      <c r="J10129" s="595">
        <f t="shared" si="299"/>
        <v>0</v>
      </c>
    </row>
    <row r="10130" spans="6:10" hidden="1" x14ac:dyDescent="0.25">
      <c r="F10130" s="380">
        <v>481</v>
      </c>
      <c r="G10130" s="375" t="s">
        <v>4211</v>
      </c>
      <c r="J10130" s="595">
        <f t="shared" si="299"/>
        <v>0</v>
      </c>
    </row>
    <row r="10131" spans="6:10" hidden="1" x14ac:dyDescent="0.25">
      <c r="F10131" s="380">
        <v>482</v>
      </c>
      <c r="G10131" s="375" t="s">
        <v>4212</v>
      </c>
      <c r="J10131" s="595">
        <f t="shared" si="299"/>
        <v>0</v>
      </c>
    </row>
    <row r="10132" spans="6:10" hidden="1" x14ac:dyDescent="0.25">
      <c r="F10132" s="380">
        <v>483</v>
      </c>
      <c r="G10132" s="378" t="s">
        <v>4213</v>
      </c>
      <c r="J10132" s="595">
        <f t="shared" si="299"/>
        <v>0</v>
      </c>
    </row>
    <row r="10133" spans="6:10" ht="30" hidden="1" x14ac:dyDescent="0.25">
      <c r="F10133" s="380">
        <v>484</v>
      </c>
      <c r="G10133" s="375" t="s">
        <v>4214</v>
      </c>
      <c r="J10133" s="595">
        <f t="shared" si="299"/>
        <v>0</v>
      </c>
    </row>
    <row r="10134" spans="6:10" ht="30" hidden="1" x14ac:dyDescent="0.25">
      <c r="F10134" s="380">
        <v>485</v>
      </c>
      <c r="G10134" s="375" t="s">
        <v>4215</v>
      </c>
      <c r="J10134" s="595">
        <f t="shared" si="299"/>
        <v>0</v>
      </c>
    </row>
    <row r="10135" spans="6:10" ht="30" hidden="1" x14ac:dyDescent="0.25">
      <c r="F10135" s="380">
        <v>489</v>
      </c>
      <c r="G10135" s="375" t="s">
        <v>3841</v>
      </c>
      <c r="J10135" s="595">
        <f t="shared" si="299"/>
        <v>0</v>
      </c>
    </row>
    <row r="10136" spans="6:10" hidden="1" x14ac:dyDescent="0.25">
      <c r="F10136" s="380">
        <v>494</v>
      </c>
      <c r="G10136" s="375" t="s">
        <v>4193</v>
      </c>
      <c r="J10136" s="595">
        <f t="shared" si="299"/>
        <v>0</v>
      </c>
    </row>
    <row r="10137" spans="6:10" ht="30" hidden="1" x14ac:dyDescent="0.25">
      <c r="F10137" s="380">
        <v>495</v>
      </c>
      <c r="G10137" s="375" t="s">
        <v>4194</v>
      </c>
      <c r="J10137" s="595">
        <f t="shared" si="299"/>
        <v>0</v>
      </c>
    </row>
    <row r="10138" spans="6:10" ht="30" hidden="1" x14ac:dyDescent="0.25">
      <c r="F10138" s="380">
        <v>496</v>
      </c>
      <c r="G10138" s="375" t="s">
        <v>4195</v>
      </c>
      <c r="J10138" s="595">
        <f t="shared" si="299"/>
        <v>0</v>
      </c>
    </row>
    <row r="10139" spans="6:10" hidden="1" x14ac:dyDescent="0.25">
      <c r="F10139" s="380">
        <v>499</v>
      </c>
      <c r="G10139" s="375" t="s">
        <v>4196</v>
      </c>
      <c r="J10139" s="595">
        <f t="shared" si="299"/>
        <v>0</v>
      </c>
    </row>
    <row r="10140" spans="6:10" hidden="1" x14ac:dyDescent="0.25">
      <c r="F10140" s="380">
        <v>511</v>
      </c>
      <c r="G10140" s="378" t="s">
        <v>4216</v>
      </c>
      <c r="J10140" s="595">
        <f t="shared" si="299"/>
        <v>0</v>
      </c>
    </row>
    <row r="10141" spans="6:10" hidden="1" x14ac:dyDescent="0.25">
      <c r="F10141" s="380">
        <v>512</v>
      </c>
      <c r="G10141" s="378" t="s">
        <v>4217</v>
      </c>
      <c r="J10141" s="595">
        <f t="shared" si="299"/>
        <v>0</v>
      </c>
    </row>
    <row r="10142" spans="6:10" hidden="1" x14ac:dyDescent="0.25">
      <c r="F10142" s="380">
        <v>513</v>
      </c>
      <c r="G10142" s="378" t="s">
        <v>4218</v>
      </c>
      <c r="J10142" s="595">
        <f t="shared" si="299"/>
        <v>0</v>
      </c>
    </row>
    <row r="10143" spans="6:10" hidden="1" x14ac:dyDescent="0.25">
      <c r="F10143" s="380">
        <v>514</v>
      </c>
      <c r="G10143" s="375" t="s">
        <v>4219</v>
      </c>
      <c r="J10143" s="595">
        <f t="shared" si="299"/>
        <v>0</v>
      </c>
    </row>
    <row r="10144" spans="6:10" hidden="1" x14ac:dyDescent="0.25">
      <c r="F10144" s="380">
        <v>515</v>
      </c>
      <c r="G10144" s="375" t="s">
        <v>3852</v>
      </c>
      <c r="J10144" s="595">
        <f t="shared" si="299"/>
        <v>0</v>
      </c>
    </row>
    <row r="10145" spans="5:10" hidden="1" x14ac:dyDescent="0.25">
      <c r="F10145" s="380">
        <v>521</v>
      </c>
      <c r="G10145" s="375" t="s">
        <v>4220</v>
      </c>
      <c r="J10145" s="595">
        <f t="shared" si="299"/>
        <v>0</v>
      </c>
    </row>
    <row r="10146" spans="5:10" hidden="1" x14ac:dyDescent="0.25">
      <c r="F10146" s="380">
        <v>522</v>
      </c>
      <c r="G10146" s="375" t="s">
        <v>4221</v>
      </c>
      <c r="J10146" s="595">
        <f t="shared" si="299"/>
        <v>0</v>
      </c>
    </row>
    <row r="10147" spans="5:10" hidden="1" x14ac:dyDescent="0.25">
      <c r="F10147" s="380">
        <v>523</v>
      </c>
      <c r="G10147" s="375" t="s">
        <v>3857</v>
      </c>
      <c r="J10147" s="595">
        <f t="shared" si="299"/>
        <v>0</v>
      </c>
    </row>
    <row r="10148" spans="5:10" hidden="1" x14ac:dyDescent="0.25">
      <c r="F10148" s="380">
        <v>531</v>
      </c>
      <c r="G10148" s="373" t="s">
        <v>4197</v>
      </c>
      <c r="J10148" s="595">
        <f t="shared" si="299"/>
        <v>0</v>
      </c>
    </row>
    <row r="10149" spans="5:10" hidden="1" x14ac:dyDescent="0.25">
      <c r="F10149" s="380">
        <v>541</v>
      </c>
      <c r="G10149" s="375" t="s">
        <v>4222</v>
      </c>
      <c r="J10149" s="595">
        <f t="shared" si="299"/>
        <v>0</v>
      </c>
    </row>
    <row r="10150" spans="5:10" hidden="1" x14ac:dyDescent="0.25">
      <c r="F10150" s="380">
        <v>542</v>
      </c>
      <c r="G10150" s="375" t="s">
        <v>4223</v>
      </c>
      <c r="J10150" s="595">
        <f t="shared" si="299"/>
        <v>0</v>
      </c>
    </row>
    <row r="10151" spans="5:10" hidden="1" x14ac:dyDescent="0.25">
      <c r="F10151" s="380">
        <v>543</v>
      </c>
      <c r="G10151" s="375" t="s">
        <v>3862</v>
      </c>
      <c r="J10151" s="595">
        <f t="shared" si="299"/>
        <v>0</v>
      </c>
    </row>
    <row r="10152" spans="5:10" ht="30" hidden="1" x14ac:dyDescent="0.25">
      <c r="F10152" s="380">
        <v>551</v>
      </c>
      <c r="G10152" s="375" t="s">
        <v>4198</v>
      </c>
      <c r="J10152" s="595">
        <f t="shared" si="299"/>
        <v>0</v>
      </c>
    </row>
    <row r="10153" spans="5:10" hidden="1" x14ac:dyDescent="0.25">
      <c r="F10153" s="381">
        <v>611</v>
      </c>
      <c r="G10153" s="379" t="s">
        <v>3868</v>
      </c>
      <c r="J10153" s="595">
        <f t="shared" si="299"/>
        <v>0</v>
      </c>
    </row>
    <row r="10154" spans="5:10" ht="15.75" hidden="1" thickBot="1" x14ac:dyDescent="0.3">
      <c r="F10154" s="381">
        <v>620</v>
      </c>
      <c r="G10154" s="379" t="s">
        <v>88</v>
      </c>
      <c r="J10154" s="595">
        <f t="shared" si="299"/>
        <v>0</v>
      </c>
    </row>
    <row r="10155" spans="5:10" x14ac:dyDescent="0.25">
      <c r="E10155" s="374"/>
      <c r="F10155" s="381"/>
      <c r="G10155" s="327" t="s">
        <v>4368</v>
      </c>
      <c r="H10155" s="596"/>
      <c r="I10155" s="622"/>
      <c r="J10155" s="597"/>
    </row>
    <row r="10156" spans="5:10" ht="15.75" thickBot="1" x14ac:dyDescent="0.3">
      <c r="E10156" s="222"/>
      <c r="F10156" s="249" t="s">
        <v>234</v>
      </c>
      <c r="G10156" s="252" t="s">
        <v>235</v>
      </c>
      <c r="H10156" s="598">
        <f>SUM(H10095:H10154)</f>
        <v>3000000</v>
      </c>
      <c r="I10156" s="599"/>
      <c r="J10156" s="599">
        <f t="shared" ref="J10156:J10171" si="300">SUM(H10156:I10156)</f>
        <v>3000000</v>
      </c>
    </row>
    <row r="10157" spans="5:10" hidden="1" x14ac:dyDescent="0.25">
      <c r="F10157" s="249" t="s">
        <v>236</v>
      </c>
      <c r="G10157" s="252" t="s">
        <v>237</v>
      </c>
      <c r="J10157" s="599">
        <f t="shared" si="300"/>
        <v>0</v>
      </c>
    </row>
    <row r="10158" spans="5:10" hidden="1" x14ac:dyDescent="0.25">
      <c r="F10158" s="249" t="s">
        <v>238</v>
      </c>
      <c r="G10158" s="252" t="s">
        <v>239</v>
      </c>
      <c r="J10158" s="599">
        <f t="shared" si="300"/>
        <v>0</v>
      </c>
    </row>
    <row r="10159" spans="5:10" hidden="1" x14ac:dyDescent="0.25">
      <c r="F10159" s="249" t="s">
        <v>240</v>
      </c>
      <c r="G10159" s="252" t="s">
        <v>241</v>
      </c>
      <c r="J10159" s="599">
        <f t="shared" si="300"/>
        <v>0</v>
      </c>
    </row>
    <row r="10160" spans="5:10" hidden="1" x14ac:dyDescent="0.25">
      <c r="F10160" s="249" t="s">
        <v>242</v>
      </c>
      <c r="G10160" s="252" t="s">
        <v>243</v>
      </c>
      <c r="J10160" s="599">
        <f t="shared" si="300"/>
        <v>0</v>
      </c>
    </row>
    <row r="10161" spans="5:10" hidden="1" x14ac:dyDescent="0.25">
      <c r="F10161" s="249" t="s">
        <v>244</v>
      </c>
      <c r="G10161" s="252" t="s">
        <v>245</v>
      </c>
      <c r="J10161" s="599">
        <f t="shared" si="300"/>
        <v>0</v>
      </c>
    </row>
    <row r="10162" spans="5:10" hidden="1" x14ac:dyDescent="0.25">
      <c r="F10162" s="249" t="s">
        <v>246</v>
      </c>
      <c r="G10162" s="252" t="s">
        <v>247</v>
      </c>
      <c r="J10162" s="599">
        <f t="shared" si="300"/>
        <v>0</v>
      </c>
    </row>
    <row r="10163" spans="5:10" hidden="1" x14ac:dyDescent="0.25">
      <c r="F10163" s="249" t="s">
        <v>248</v>
      </c>
      <c r="G10163" s="252" t="s">
        <v>249</v>
      </c>
      <c r="J10163" s="599">
        <f t="shared" si="300"/>
        <v>0</v>
      </c>
    </row>
    <row r="10164" spans="5:10" hidden="1" x14ac:dyDescent="0.25">
      <c r="F10164" s="249" t="s">
        <v>250</v>
      </c>
      <c r="G10164" s="252" t="s">
        <v>57</v>
      </c>
      <c r="J10164" s="599">
        <f t="shared" si="300"/>
        <v>0</v>
      </c>
    </row>
    <row r="10165" spans="5:10" hidden="1" x14ac:dyDescent="0.25">
      <c r="F10165" s="249" t="s">
        <v>251</v>
      </c>
      <c r="G10165" s="252" t="s">
        <v>252</v>
      </c>
      <c r="J10165" s="599">
        <f t="shared" si="300"/>
        <v>0</v>
      </c>
    </row>
    <row r="10166" spans="5:10" hidden="1" x14ac:dyDescent="0.25">
      <c r="F10166" s="249" t="s">
        <v>253</v>
      </c>
      <c r="G10166" s="252" t="s">
        <v>254</v>
      </c>
      <c r="J10166" s="599">
        <f t="shared" si="300"/>
        <v>0</v>
      </c>
    </row>
    <row r="10167" spans="5:10" ht="30" hidden="1" x14ac:dyDescent="0.25">
      <c r="F10167" s="249" t="s">
        <v>255</v>
      </c>
      <c r="G10167" s="252" t="s">
        <v>256</v>
      </c>
      <c r="J10167" s="599">
        <f t="shared" si="300"/>
        <v>0</v>
      </c>
    </row>
    <row r="10168" spans="5:10" hidden="1" x14ac:dyDescent="0.25">
      <c r="F10168" s="249" t="s">
        <v>257</v>
      </c>
      <c r="G10168" s="252" t="s">
        <v>258</v>
      </c>
      <c r="J10168" s="599">
        <f t="shared" si="300"/>
        <v>0</v>
      </c>
    </row>
    <row r="10169" spans="5:10" ht="30" hidden="1" x14ac:dyDescent="0.25">
      <c r="F10169" s="249" t="s">
        <v>259</v>
      </c>
      <c r="G10169" s="252" t="s">
        <v>260</v>
      </c>
      <c r="J10169" s="599">
        <f t="shared" si="300"/>
        <v>0</v>
      </c>
    </row>
    <row r="10170" spans="5:10" hidden="1" x14ac:dyDescent="0.25">
      <c r="F10170" s="249" t="s">
        <v>261</v>
      </c>
      <c r="G10170" s="252" t="s">
        <v>262</v>
      </c>
      <c r="J10170" s="599">
        <f t="shared" si="300"/>
        <v>0</v>
      </c>
    </row>
    <row r="10171" spans="5:10" ht="15.75" hidden="1" thickBot="1" x14ac:dyDescent="0.3">
      <c r="F10171" s="249" t="s">
        <v>263</v>
      </c>
      <c r="G10171" s="252" t="s">
        <v>264</v>
      </c>
      <c r="H10171" s="598"/>
      <c r="I10171" s="599"/>
      <c r="J10171" s="599">
        <f t="shared" si="300"/>
        <v>0</v>
      </c>
    </row>
    <row r="10172" spans="5:10" ht="15.75" thickBot="1" x14ac:dyDescent="0.3">
      <c r="G10172" s="229" t="s">
        <v>4369</v>
      </c>
      <c r="H10172" s="600">
        <f>SUM(H10156:H10171)</f>
        <v>3000000</v>
      </c>
      <c r="I10172" s="601">
        <f>SUM(I10157:I10171)</f>
        <v>0</v>
      </c>
      <c r="J10172" s="601">
        <f>SUM(J10156:J10171)</f>
        <v>3000000</v>
      </c>
    </row>
    <row r="10173" spans="5:10" ht="18" customHeight="1" collapsed="1" x14ac:dyDescent="0.25">
      <c r="E10173" s="374"/>
      <c r="F10173" s="381"/>
      <c r="G10173" s="231" t="s">
        <v>4443</v>
      </c>
      <c r="H10173" s="602"/>
      <c r="I10173" s="623"/>
      <c r="J10173" s="603"/>
    </row>
    <row r="10174" spans="5:10" ht="15.75" thickBot="1" x14ac:dyDescent="0.3">
      <c r="E10174" s="222"/>
      <c r="F10174" s="249" t="s">
        <v>234</v>
      </c>
      <c r="G10174" s="252" t="s">
        <v>235</v>
      </c>
      <c r="H10174" s="598">
        <f>SUM(H10095:H10154)</f>
        <v>3000000</v>
      </c>
      <c r="I10174" s="599"/>
      <c r="J10174" s="599">
        <f>SUM(H10174:I10174)</f>
        <v>3000000</v>
      </c>
    </row>
    <row r="10175" spans="5:10" hidden="1" x14ac:dyDescent="0.25">
      <c r="F10175" s="249" t="s">
        <v>236</v>
      </c>
      <c r="G10175" s="252" t="s">
        <v>237</v>
      </c>
      <c r="J10175" s="599">
        <f t="shared" ref="J10175:J10189" si="301">SUM(H10175:I10175)</f>
        <v>0</v>
      </c>
    </row>
    <row r="10176" spans="5:10" hidden="1" x14ac:dyDescent="0.25">
      <c r="F10176" s="249" t="s">
        <v>238</v>
      </c>
      <c r="G10176" s="252" t="s">
        <v>239</v>
      </c>
      <c r="J10176" s="599">
        <f t="shared" si="301"/>
        <v>0</v>
      </c>
    </row>
    <row r="10177" spans="6:10" hidden="1" x14ac:dyDescent="0.25">
      <c r="F10177" s="249" t="s">
        <v>240</v>
      </c>
      <c r="G10177" s="252" t="s">
        <v>241</v>
      </c>
      <c r="J10177" s="599">
        <f t="shared" si="301"/>
        <v>0</v>
      </c>
    </row>
    <row r="10178" spans="6:10" hidden="1" x14ac:dyDescent="0.25">
      <c r="F10178" s="249" t="s">
        <v>242</v>
      </c>
      <c r="G10178" s="252" t="s">
        <v>243</v>
      </c>
      <c r="J10178" s="599">
        <f t="shared" si="301"/>
        <v>0</v>
      </c>
    </row>
    <row r="10179" spans="6:10" hidden="1" x14ac:dyDescent="0.25">
      <c r="F10179" s="249" t="s">
        <v>244</v>
      </c>
      <c r="G10179" s="252" t="s">
        <v>245</v>
      </c>
      <c r="J10179" s="599">
        <f t="shared" si="301"/>
        <v>0</v>
      </c>
    </row>
    <row r="10180" spans="6:10" hidden="1" x14ac:dyDescent="0.25">
      <c r="F10180" s="249" t="s">
        <v>246</v>
      </c>
      <c r="G10180" s="252" t="s">
        <v>247</v>
      </c>
      <c r="J10180" s="599">
        <f t="shared" si="301"/>
        <v>0</v>
      </c>
    </row>
    <row r="10181" spans="6:10" hidden="1" x14ac:dyDescent="0.25">
      <c r="F10181" s="249" t="s">
        <v>248</v>
      </c>
      <c r="G10181" s="252" t="s">
        <v>249</v>
      </c>
      <c r="J10181" s="599">
        <f t="shared" si="301"/>
        <v>0</v>
      </c>
    </row>
    <row r="10182" spans="6:10" hidden="1" x14ac:dyDescent="0.25">
      <c r="F10182" s="249" t="s">
        <v>250</v>
      </c>
      <c r="G10182" s="252" t="s">
        <v>57</v>
      </c>
      <c r="J10182" s="599">
        <f t="shared" si="301"/>
        <v>0</v>
      </c>
    </row>
    <row r="10183" spans="6:10" hidden="1" x14ac:dyDescent="0.25">
      <c r="F10183" s="249" t="s">
        <v>251</v>
      </c>
      <c r="G10183" s="252" t="s">
        <v>252</v>
      </c>
      <c r="J10183" s="599">
        <f t="shared" si="301"/>
        <v>0</v>
      </c>
    </row>
    <row r="10184" spans="6:10" hidden="1" x14ac:dyDescent="0.25">
      <c r="F10184" s="249" t="s">
        <v>253</v>
      </c>
      <c r="G10184" s="252" t="s">
        <v>254</v>
      </c>
      <c r="J10184" s="599">
        <f t="shared" si="301"/>
        <v>0</v>
      </c>
    </row>
    <row r="10185" spans="6:10" ht="30" hidden="1" x14ac:dyDescent="0.25">
      <c r="F10185" s="249" t="s">
        <v>255</v>
      </c>
      <c r="G10185" s="252" t="s">
        <v>256</v>
      </c>
      <c r="J10185" s="599">
        <f t="shared" si="301"/>
        <v>0</v>
      </c>
    </row>
    <row r="10186" spans="6:10" hidden="1" x14ac:dyDescent="0.25">
      <c r="F10186" s="249" t="s">
        <v>257</v>
      </c>
      <c r="G10186" s="252" t="s">
        <v>258</v>
      </c>
      <c r="J10186" s="599">
        <f t="shared" si="301"/>
        <v>0</v>
      </c>
    </row>
    <row r="10187" spans="6:10" ht="30" hidden="1" x14ac:dyDescent="0.25">
      <c r="F10187" s="249" t="s">
        <v>259</v>
      </c>
      <c r="G10187" s="252" t="s">
        <v>260</v>
      </c>
      <c r="J10187" s="599">
        <f t="shared" si="301"/>
        <v>0</v>
      </c>
    </row>
    <row r="10188" spans="6:10" hidden="1" x14ac:dyDescent="0.25">
      <c r="F10188" s="249" t="s">
        <v>261</v>
      </c>
      <c r="G10188" s="252" t="s">
        <v>262</v>
      </c>
      <c r="J10188" s="599">
        <f t="shared" si="301"/>
        <v>0</v>
      </c>
    </row>
    <row r="10189" spans="6:10" ht="15.75" hidden="1" thickBot="1" x14ac:dyDescent="0.3">
      <c r="F10189" s="249" t="s">
        <v>263</v>
      </c>
      <c r="G10189" s="252" t="s">
        <v>264</v>
      </c>
      <c r="H10189" s="598"/>
      <c r="I10189" s="599"/>
      <c r="J10189" s="599">
        <f t="shared" si="301"/>
        <v>0</v>
      </c>
    </row>
    <row r="10190" spans="6:10" ht="15.75" collapsed="1" thickBot="1" x14ac:dyDescent="0.3">
      <c r="G10190" s="229" t="s">
        <v>4444</v>
      </c>
      <c r="H10190" s="600">
        <f>SUM(H10174:H10189)</f>
        <v>3000000</v>
      </c>
      <c r="I10190" s="601">
        <f>SUM(I10175:I10189)</f>
        <v>0</v>
      </c>
      <c r="J10190" s="601">
        <f>SUM(J10174:J10189)</f>
        <v>3000000</v>
      </c>
    </row>
    <row r="10192" spans="6:10" hidden="1" x14ac:dyDescent="0.25">
      <c r="G10192" s="286"/>
      <c r="H10192" s="604"/>
      <c r="I10192" s="605"/>
      <c r="J10192" s="605"/>
    </row>
    <row r="10193" spans="5:10" x14ac:dyDescent="0.25">
      <c r="E10193" s="384"/>
      <c r="F10193" s="391"/>
      <c r="G10193" s="250" t="s">
        <v>4330</v>
      </c>
      <c r="H10193" s="606"/>
      <c r="I10193" s="624"/>
      <c r="J10193" s="607"/>
    </row>
    <row r="10194" spans="5:10" ht="15.75" thickBot="1" x14ac:dyDescent="0.3">
      <c r="E10194" s="222"/>
      <c r="F10194" s="249" t="s">
        <v>234</v>
      </c>
      <c r="G10194" s="252" t="s">
        <v>235</v>
      </c>
      <c r="H10194" s="598">
        <f>SUM(H10174,H10075,H9976,H9877,H9778,H9679,H9580,H9481)</f>
        <v>13000000</v>
      </c>
      <c r="I10194" s="599"/>
      <c r="J10194" s="599">
        <f>SUM(H10194:I10194)</f>
        <v>13000000</v>
      </c>
    </row>
    <row r="10195" spans="5:10" hidden="1" x14ac:dyDescent="0.25">
      <c r="F10195" s="249" t="s">
        <v>236</v>
      </c>
      <c r="G10195" s="252" t="s">
        <v>237</v>
      </c>
      <c r="J10195" s="599">
        <f t="shared" ref="J10195:J10209" si="302">SUM(H10195:I10195)</f>
        <v>0</v>
      </c>
    </row>
    <row r="10196" spans="5:10" hidden="1" x14ac:dyDescent="0.25">
      <c r="F10196" s="249" t="s">
        <v>238</v>
      </c>
      <c r="G10196" s="252" t="s">
        <v>239</v>
      </c>
      <c r="J10196" s="599">
        <f t="shared" si="302"/>
        <v>0</v>
      </c>
    </row>
    <row r="10197" spans="5:10" hidden="1" x14ac:dyDescent="0.25">
      <c r="F10197" s="249" t="s">
        <v>240</v>
      </c>
      <c r="G10197" s="252" t="s">
        <v>241</v>
      </c>
      <c r="J10197" s="599">
        <f t="shared" si="302"/>
        <v>0</v>
      </c>
    </row>
    <row r="10198" spans="5:10" hidden="1" x14ac:dyDescent="0.25">
      <c r="F10198" s="249" t="s">
        <v>242</v>
      </c>
      <c r="G10198" s="252" t="s">
        <v>243</v>
      </c>
      <c r="J10198" s="599">
        <f t="shared" si="302"/>
        <v>0</v>
      </c>
    </row>
    <row r="10199" spans="5:10" hidden="1" x14ac:dyDescent="0.25">
      <c r="F10199" s="249" t="s">
        <v>244</v>
      </c>
      <c r="G10199" s="252" t="s">
        <v>245</v>
      </c>
      <c r="J10199" s="599">
        <f t="shared" si="302"/>
        <v>0</v>
      </c>
    </row>
    <row r="10200" spans="5:10" hidden="1" x14ac:dyDescent="0.25">
      <c r="F10200" s="249" t="s">
        <v>246</v>
      </c>
      <c r="G10200" s="252" t="s">
        <v>247</v>
      </c>
      <c r="J10200" s="599">
        <f t="shared" si="302"/>
        <v>0</v>
      </c>
    </row>
    <row r="10201" spans="5:10" hidden="1" x14ac:dyDescent="0.25">
      <c r="F10201" s="249" t="s">
        <v>248</v>
      </c>
      <c r="G10201" s="252" t="s">
        <v>249</v>
      </c>
      <c r="J10201" s="599">
        <f t="shared" si="302"/>
        <v>0</v>
      </c>
    </row>
    <row r="10202" spans="5:10" hidden="1" x14ac:dyDescent="0.25">
      <c r="F10202" s="249" t="s">
        <v>250</v>
      </c>
      <c r="G10202" s="252" t="s">
        <v>57</v>
      </c>
      <c r="J10202" s="599">
        <f t="shared" si="302"/>
        <v>0</v>
      </c>
    </row>
    <row r="10203" spans="5:10" hidden="1" x14ac:dyDescent="0.25">
      <c r="F10203" s="249" t="s">
        <v>251</v>
      </c>
      <c r="G10203" s="252" t="s">
        <v>252</v>
      </c>
      <c r="J10203" s="599">
        <f t="shared" si="302"/>
        <v>0</v>
      </c>
    </row>
    <row r="10204" spans="5:10" hidden="1" x14ac:dyDescent="0.25">
      <c r="F10204" s="249" t="s">
        <v>253</v>
      </c>
      <c r="G10204" s="252" t="s">
        <v>254</v>
      </c>
      <c r="J10204" s="599">
        <f t="shared" si="302"/>
        <v>0</v>
      </c>
    </row>
    <row r="10205" spans="5:10" ht="30" hidden="1" x14ac:dyDescent="0.25">
      <c r="F10205" s="249" t="s">
        <v>255</v>
      </c>
      <c r="G10205" s="252" t="s">
        <v>256</v>
      </c>
      <c r="J10205" s="599">
        <f t="shared" si="302"/>
        <v>0</v>
      </c>
    </row>
    <row r="10206" spans="5:10" hidden="1" x14ac:dyDescent="0.25">
      <c r="F10206" s="249" t="s">
        <v>257</v>
      </c>
      <c r="G10206" s="252" t="s">
        <v>258</v>
      </c>
      <c r="J10206" s="599">
        <f t="shared" si="302"/>
        <v>0</v>
      </c>
    </row>
    <row r="10207" spans="5:10" ht="30" hidden="1" x14ac:dyDescent="0.25">
      <c r="F10207" s="249" t="s">
        <v>259</v>
      </c>
      <c r="G10207" s="252" t="s">
        <v>260</v>
      </c>
      <c r="J10207" s="599">
        <f t="shared" si="302"/>
        <v>0</v>
      </c>
    </row>
    <row r="10208" spans="5:10" hidden="1" x14ac:dyDescent="0.25">
      <c r="F10208" s="249" t="s">
        <v>261</v>
      </c>
      <c r="G10208" s="252" t="s">
        <v>262</v>
      </c>
      <c r="J10208" s="599">
        <f t="shared" si="302"/>
        <v>0</v>
      </c>
    </row>
    <row r="10209" spans="1:25" ht="15.75" hidden="1" thickBot="1" x14ac:dyDescent="0.3">
      <c r="F10209" s="249" t="s">
        <v>263</v>
      </c>
      <c r="G10209" s="252" t="s">
        <v>264</v>
      </c>
      <c r="H10209" s="598"/>
      <c r="I10209" s="599"/>
      <c r="J10209" s="599">
        <f t="shared" si="302"/>
        <v>0</v>
      </c>
    </row>
    <row r="10210" spans="1:25" ht="15.75" thickBot="1" x14ac:dyDescent="0.3">
      <c r="G10210" s="229" t="s">
        <v>4331</v>
      </c>
      <c r="H10210" s="600">
        <f>SUM(H10194:H10209)</f>
        <v>13000000</v>
      </c>
      <c r="I10210" s="601">
        <f>SUM(I10195:I10209)</f>
        <v>0</v>
      </c>
      <c r="J10210" s="601">
        <f>SUM(J10194:J10209)</f>
        <v>13000000</v>
      </c>
    </row>
    <row r="10212" spans="1:25" hidden="1" x14ac:dyDescent="0.25"/>
    <row r="10213" spans="1:25" x14ac:dyDescent="0.25">
      <c r="G10213" s="386" t="s">
        <v>4329</v>
      </c>
    </row>
    <row r="10214" spans="1:25" s="88" customFormat="1" hidden="1" x14ac:dyDescent="0.25">
      <c r="A10214" s="387"/>
      <c r="B10214" s="256"/>
      <c r="C10214" s="276" t="s">
        <v>4453</v>
      </c>
      <c r="D10214" s="219"/>
      <c r="E10214" s="219"/>
      <c r="F10214" s="277"/>
      <c r="G10214" s="400" t="s">
        <v>4123</v>
      </c>
      <c r="H10214" s="627"/>
      <c r="I10214" s="610"/>
      <c r="J10214" s="628"/>
      <c r="K10214" s="533"/>
      <c r="L10214" s="533"/>
      <c r="M10214" s="533"/>
      <c r="N10214" s="533"/>
      <c r="O10214" s="533"/>
      <c r="P10214" s="533"/>
      <c r="Q10214" s="533"/>
      <c r="R10214" s="533"/>
      <c r="S10214" s="533"/>
      <c r="T10214" s="533"/>
      <c r="U10214" s="533"/>
      <c r="V10214" s="533"/>
      <c r="W10214" s="533"/>
      <c r="X10214" s="533"/>
      <c r="Y10214" s="533"/>
    </row>
    <row r="10215" spans="1:25" hidden="1" x14ac:dyDescent="0.25">
      <c r="C10215" s="228"/>
      <c r="D10215" s="312">
        <v>451</v>
      </c>
      <c r="E10215" s="312"/>
      <c r="F10215" s="312"/>
      <c r="G10215" s="313" t="s">
        <v>153</v>
      </c>
    </row>
    <row r="10216" spans="1:25" hidden="1" x14ac:dyDescent="0.25">
      <c r="F10216" s="390">
        <v>411</v>
      </c>
      <c r="G10216" s="385" t="s">
        <v>4189</v>
      </c>
      <c r="J10216" s="595">
        <f>SUM(H10216:I10216)</f>
        <v>0</v>
      </c>
    </row>
    <row r="10217" spans="1:25" hidden="1" x14ac:dyDescent="0.25">
      <c r="F10217" s="390">
        <v>412</v>
      </c>
      <c r="G10217" s="383" t="s">
        <v>3784</v>
      </c>
      <c r="J10217" s="595">
        <f t="shared" ref="J10217:J10275" si="303">SUM(H10217:I10217)</f>
        <v>0</v>
      </c>
    </row>
    <row r="10218" spans="1:25" hidden="1" x14ac:dyDescent="0.25">
      <c r="F10218" s="390">
        <v>413</v>
      </c>
      <c r="G10218" s="385" t="s">
        <v>4190</v>
      </c>
      <c r="J10218" s="595">
        <f t="shared" si="303"/>
        <v>0</v>
      </c>
    </row>
    <row r="10219" spans="1:25" hidden="1" x14ac:dyDescent="0.25">
      <c r="F10219" s="390">
        <v>414</v>
      </c>
      <c r="G10219" s="385" t="s">
        <v>3787</v>
      </c>
      <c r="J10219" s="595">
        <f t="shared" si="303"/>
        <v>0</v>
      </c>
    </row>
    <row r="10220" spans="1:25" hidden="1" x14ac:dyDescent="0.25">
      <c r="F10220" s="390">
        <v>415</v>
      </c>
      <c r="G10220" s="385" t="s">
        <v>4199</v>
      </c>
      <c r="J10220" s="595">
        <f t="shared" si="303"/>
        <v>0</v>
      </c>
    </row>
    <row r="10221" spans="1:25" hidden="1" x14ac:dyDescent="0.25">
      <c r="F10221" s="390">
        <v>416</v>
      </c>
      <c r="G10221" s="385" t="s">
        <v>4200</v>
      </c>
      <c r="J10221" s="595">
        <f t="shared" si="303"/>
        <v>0</v>
      </c>
    </row>
    <row r="10222" spans="1:25" hidden="1" x14ac:dyDescent="0.25">
      <c r="F10222" s="390">
        <v>417</v>
      </c>
      <c r="G10222" s="385" t="s">
        <v>4201</v>
      </c>
      <c r="J10222" s="595">
        <f t="shared" si="303"/>
        <v>0</v>
      </c>
    </row>
    <row r="10223" spans="1:25" hidden="1" x14ac:dyDescent="0.25">
      <c r="F10223" s="390">
        <v>418</v>
      </c>
      <c r="G10223" s="385" t="s">
        <v>3793</v>
      </c>
      <c r="J10223" s="595">
        <f t="shared" si="303"/>
        <v>0</v>
      </c>
    </row>
    <row r="10224" spans="1:25" hidden="1" x14ac:dyDescent="0.25">
      <c r="F10224" s="390">
        <v>421</v>
      </c>
      <c r="G10224" s="385" t="s">
        <v>3797</v>
      </c>
      <c r="J10224" s="595">
        <f t="shared" si="303"/>
        <v>0</v>
      </c>
    </row>
    <row r="10225" spans="6:10" hidden="1" x14ac:dyDescent="0.25">
      <c r="F10225" s="390">
        <v>422</v>
      </c>
      <c r="G10225" s="385" t="s">
        <v>3798</v>
      </c>
      <c r="J10225" s="595">
        <f t="shared" si="303"/>
        <v>0</v>
      </c>
    </row>
    <row r="10226" spans="6:10" hidden="1" x14ac:dyDescent="0.25">
      <c r="F10226" s="390">
        <v>423</v>
      </c>
      <c r="G10226" s="385" t="s">
        <v>3799</v>
      </c>
      <c r="J10226" s="595">
        <f t="shared" si="303"/>
        <v>0</v>
      </c>
    </row>
    <row r="10227" spans="6:10" hidden="1" x14ac:dyDescent="0.25">
      <c r="F10227" s="390">
        <v>424</v>
      </c>
      <c r="G10227" s="385" t="s">
        <v>3801</v>
      </c>
      <c r="J10227" s="595">
        <f t="shared" si="303"/>
        <v>0</v>
      </c>
    </row>
    <row r="10228" spans="6:10" hidden="1" x14ac:dyDescent="0.25">
      <c r="F10228" s="390">
        <v>425</v>
      </c>
      <c r="G10228" s="385" t="s">
        <v>4202</v>
      </c>
      <c r="J10228" s="595">
        <f t="shared" si="303"/>
        <v>0</v>
      </c>
    </row>
    <row r="10229" spans="6:10" hidden="1" x14ac:dyDescent="0.25">
      <c r="F10229" s="390">
        <v>426</v>
      </c>
      <c r="G10229" s="385" t="s">
        <v>3805</v>
      </c>
      <c r="J10229" s="595">
        <f t="shared" si="303"/>
        <v>0</v>
      </c>
    </row>
    <row r="10230" spans="6:10" hidden="1" x14ac:dyDescent="0.25">
      <c r="F10230" s="390">
        <v>431</v>
      </c>
      <c r="G10230" s="385" t="s">
        <v>4203</v>
      </c>
      <c r="J10230" s="595">
        <f t="shared" si="303"/>
        <v>0</v>
      </c>
    </row>
    <row r="10231" spans="6:10" hidden="1" x14ac:dyDescent="0.25">
      <c r="F10231" s="390">
        <v>432</v>
      </c>
      <c r="G10231" s="385" t="s">
        <v>4204</v>
      </c>
      <c r="J10231" s="595">
        <f t="shared" si="303"/>
        <v>0</v>
      </c>
    </row>
    <row r="10232" spans="6:10" hidden="1" x14ac:dyDescent="0.25">
      <c r="F10232" s="390">
        <v>433</v>
      </c>
      <c r="G10232" s="385" t="s">
        <v>4205</v>
      </c>
      <c r="J10232" s="595">
        <f t="shared" si="303"/>
        <v>0</v>
      </c>
    </row>
    <row r="10233" spans="6:10" hidden="1" x14ac:dyDescent="0.25">
      <c r="F10233" s="390">
        <v>434</v>
      </c>
      <c r="G10233" s="385" t="s">
        <v>4206</v>
      </c>
      <c r="J10233" s="595">
        <f t="shared" si="303"/>
        <v>0</v>
      </c>
    </row>
    <row r="10234" spans="6:10" hidden="1" x14ac:dyDescent="0.25">
      <c r="F10234" s="390">
        <v>435</v>
      </c>
      <c r="G10234" s="385" t="s">
        <v>3812</v>
      </c>
      <c r="J10234" s="595">
        <f t="shared" si="303"/>
        <v>0</v>
      </c>
    </row>
    <row r="10235" spans="6:10" hidden="1" x14ac:dyDescent="0.25">
      <c r="F10235" s="390">
        <v>441</v>
      </c>
      <c r="G10235" s="385" t="s">
        <v>4207</v>
      </c>
      <c r="J10235" s="595">
        <f t="shared" si="303"/>
        <v>0</v>
      </c>
    </row>
    <row r="10236" spans="6:10" hidden="1" x14ac:dyDescent="0.25">
      <c r="F10236" s="390">
        <v>442</v>
      </c>
      <c r="G10236" s="385" t="s">
        <v>4208</v>
      </c>
      <c r="J10236" s="595">
        <f t="shared" si="303"/>
        <v>0</v>
      </c>
    </row>
    <row r="10237" spans="6:10" hidden="1" x14ac:dyDescent="0.25">
      <c r="F10237" s="390">
        <v>443</v>
      </c>
      <c r="G10237" s="385" t="s">
        <v>3817</v>
      </c>
      <c r="J10237" s="595">
        <f t="shared" si="303"/>
        <v>0</v>
      </c>
    </row>
    <row r="10238" spans="6:10" hidden="1" x14ac:dyDescent="0.25">
      <c r="F10238" s="390">
        <v>444</v>
      </c>
      <c r="G10238" s="385" t="s">
        <v>3818</v>
      </c>
      <c r="J10238" s="595">
        <f t="shared" si="303"/>
        <v>0</v>
      </c>
    </row>
    <row r="10239" spans="6:10" ht="30" hidden="1" x14ac:dyDescent="0.25">
      <c r="F10239" s="390">
        <v>4511</v>
      </c>
      <c r="G10239" s="223" t="s">
        <v>1692</v>
      </c>
      <c r="J10239" s="595">
        <f t="shared" si="303"/>
        <v>0</v>
      </c>
    </row>
    <row r="10240" spans="6:10" ht="19.5" hidden="1" customHeight="1" x14ac:dyDescent="0.25">
      <c r="F10240" s="390">
        <v>4512</v>
      </c>
      <c r="G10240" s="223" t="s">
        <v>1701</v>
      </c>
      <c r="J10240" s="595">
        <f t="shared" si="303"/>
        <v>0</v>
      </c>
    </row>
    <row r="10241" spans="6:10" hidden="1" x14ac:dyDescent="0.25">
      <c r="F10241" s="390">
        <v>452</v>
      </c>
      <c r="G10241" s="385" t="s">
        <v>4209</v>
      </c>
      <c r="J10241" s="595">
        <f t="shared" si="303"/>
        <v>0</v>
      </c>
    </row>
    <row r="10242" spans="6:10" hidden="1" x14ac:dyDescent="0.25">
      <c r="F10242" s="390">
        <v>453</v>
      </c>
      <c r="G10242" s="385" t="s">
        <v>4210</v>
      </c>
      <c r="J10242" s="595">
        <f t="shared" si="303"/>
        <v>0</v>
      </c>
    </row>
    <row r="10243" spans="6:10" hidden="1" x14ac:dyDescent="0.25">
      <c r="F10243" s="390">
        <v>454</v>
      </c>
      <c r="G10243" s="385" t="s">
        <v>3823</v>
      </c>
      <c r="J10243" s="595">
        <f t="shared" si="303"/>
        <v>0</v>
      </c>
    </row>
    <row r="10244" spans="6:10" hidden="1" x14ac:dyDescent="0.25">
      <c r="F10244" s="390">
        <v>461</v>
      </c>
      <c r="G10244" s="385" t="s">
        <v>4191</v>
      </c>
      <c r="J10244" s="595">
        <f t="shared" si="303"/>
        <v>0</v>
      </c>
    </row>
    <row r="10245" spans="6:10" hidden="1" x14ac:dyDescent="0.25">
      <c r="F10245" s="390">
        <v>462</v>
      </c>
      <c r="G10245" s="385" t="s">
        <v>3826</v>
      </c>
      <c r="J10245" s="595">
        <f t="shared" si="303"/>
        <v>0</v>
      </c>
    </row>
    <row r="10246" spans="6:10" hidden="1" x14ac:dyDescent="0.25">
      <c r="F10246" s="390">
        <v>4631</v>
      </c>
      <c r="G10246" s="385" t="s">
        <v>3827</v>
      </c>
      <c r="J10246" s="595">
        <f t="shared" si="303"/>
        <v>0</v>
      </c>
    </row>
    <row r="10247" spans="6:10" hidden="1" x14ac:dyDescent="0.25">
      <c r="F10247" s="390">
        <v>4632</v>
      </c>
      <c r="G10247" s="385" t="s">
        <v>3828</v>
      </c>
      <c r="J10247" s="595">
        <f t="shared" si="303"/>
        <v>0</v>
      </c>
    </row>
    <row r="10248" spans="6:10" hidden="1" x14ac:dyDescent="0.25">
      <c r="F10248" s="390">
        <v>464</v>
      </c>
      <c r="G10248" s="385" t="s">
        <v>3829</v>
      </c>
      <c r="J10248" s="595">
        <f t="shared" si="303"/>
        <v>0</v>
      </c>
    </row>
    <row r="10249" spans="6:10" hidden="1" x14ac:dyDescent="0.25">
      <c r="F10249" s="390">
        <v>465</v>
      </c>
      <c r="G10249" s="385" t="s">
        <v>4192</v>
      </c>
      <c r="J10249" s="595">
        <f t="shared" si="303"/>
        <v>0</v>
      </c>
    </row>
    <row r="10250" spans="6:10" hidden="1" x14ac:dyDescent="0.25">
      <c r="F10250" s="390">
        <v>472</v>
      </c>
      <c r="G10250" s="385" t="s">
        <v>3833</v>
      </c>
      <c r="J10250" s="595">
        <f t="shared" si="303"/>
        <v>0</v>
      </c>
    </row>
    <row r="10251" spans="6:10" hidden="1" x14ac:dyDescent="0.25">
      <c r="F10251" s="390">
        <v>481</v>
      </c>
      <c r="G10251" s="385" t="s">
        <v>4211</v>
      </c>
      <c r="J10251" s="595">
        <f t="shared" si="303"/>
        <v>0</v>
      </c>
    </row>
    <row r="10252" spans="6:10" hidden="1" x14ac:dyDescent="0.25">
      <c r="F10252" s="390">
        <v>482</v>
      </c>
      <c r="G10252" s="385" t="s">
        <v>4212</v>
      </c>
      <c r="J10252" s="595">
        <f t="shared" si="303"/>
        <v>0</v>
      </c>
    </row>
    <row r="10253" spans="6:10" hidden="1" x14ac:dyDescent="0.25">
      <c r="F10253" s="390">
        <v>483</v>
      </c>
      <c r="G10253" s="388" t="s">
        <v>4213</v>
      </c>
      <c r="J10253" s="595">
        <f t="shared" si="303"/>
        <v>0</v>
      </c>
    </row>
    <row r="10254" spans="6:10" ht="30" hidden="1" x14ac:dyDescent="0.25">
      <c r="F10254" s="390">
        <v>484</v>
      </c>
      <c r="G10254" s="385" t="s">
        <v>4214</v>
      </c>
      <c r="J10254" s="595">
        <f t="shared" si="303"/>
        <v>0</v>
      </c>
    </row>
    <row r="10255" spans="6:10" ht="30" hidden="1" x14ac:dyDescent="0.25">
      <c r="F10255" s="390">
        <v>485</v>
      </c>
      <c r="G10255" s="385" t="s">
        <v>4215</v>
      </c>
      <c r="J10255" s="595">
        <f t="shared" si="303"/>
        <v>0</v>
      </c>
    </row>
    <row r="10256" spans="6:10" ht="30" hidden="1" x14ac:dyDescent="0.25">
      <c r="F10256" s="390">
        <v>489</v>
      </c>
      <c r="G10256" s="385" t="s">
        <v>3841</v>
      </c>
      <c r="J10256" s="595">
        <f t="shared" si="303"/>
        <v>0</v>
      </c>
    </row>
    <row r="10257" spans="6:10" hidden="1" x14ac:dyDescent="0.25">
      <c r="F10257" s="390">
        <v>494</v>
      </c>
      <c r="G10257" s="385" t="s">
        <v>4193</v>
      </c>
      <c r="J10257" s="595">
        <f t="shared" si="303"/>
        <v>0</v>
      </c>
    </row>
    <row r="10258" spans="6:10" ht="30" hidden="1" x14ac:dyDescent="0.25">
      <c r="F10258" s="390">
        <v>495</v>
      </c>
      <c r="G10258" s="385" t="s">
        <v>4194</v>
      </c>
      <c r="J10258" s="595">
        <f t="shared" si="303"/>
        <v>0</v>
      </c>
    </row>
    <row r="10259" spans="6:10" ht="30" hidden="1" x14ac:dyDescent="0.25">
      <c r="F10259" s="390">
        <v>496</v>
      </c>
      <c r="G10259" s="385" t="s">
        <v>4195</v>
      </c>
      <c r="J10259" s="595">
        <f t="shared" si="303"/>
        <v>0</v>
      </c>
    </row>
    <row r="10260" spans="6:10" hidden="1" x14ac:dyDescent="0.25">
      <c r="F10260" s="390">
        <v>499</v>
      </c>
      <c r="G10260" s="385" t="s">
        <v>4196</v>
      </c>
      <c r="J10260" s="595">
        <f t="shared" si="303"/>
        <v>0</v>
      </c>
    </row>
    <row r="10261" spans="6:10" hidden="1" x14ac:dyDescent="0.25">
      <c r="F10261" s="390">
        <v>511</v>
      </c>
      <c r="G10261" s="388" t="s">
        <v>4216</v>
      </c>
      <c r="J10261" s="595">
        <f t="shared" si="303"/>
        <v>0</v>
      </c>
    </row>
    <row r="10262" spans="6:10" ht="15.75" hidden="1" thickBot="1" x14ac:dyDescent="0.3">
      <c r="F10262" s="390">
        <v>512</v>
      </c>
      <c r="G10262" s="388" t="s">
        <v>4217</v>
      </c>
      <c r="J10262" s="595">
        <f t="shared" si="303"/>
        <v>0</v>
      </c>
    </row>
    <row r="10263" spans="6:10" hidden="1" x14ac:dyDescent="0.25">
      <c r="F10263" s="390">
        <v>513</v>
      </c>
      <c r="G10263" s="388" t="s">
        <v>4218</v>
      </c>
      <c r="J10263" s="595">
        <f t="shared" si="303"/>
        <v>0</v>
      </c>
    </row>
    <row r="10264" spans="6:10" hidden="1" x14ac:dyDescent="0.25">
      <c r="F10264" s="390">
        <v>514</v>
      </c>
      <c r="G10264" s="385" t="s">
        <v>4219</v>
      </c>
      <c r="J10264" s="595">
        <f t="shared" si="303"/>
        <v>0</v>
      </c>
    </row>
    <row r="10265" spans="6:10" hidden="1" x14ac:dyDescent="0.25">
      <c r="F10265" s="390">
        <v>515</v>
      </c>
      <c r="G10265" s="385" t="s">
        <v>3852</v>
      </c>
      <c r="J10265" s="595">
        <f t="shared" si="303"/>
        <v>0</v>
      </c>
    </row>
    <row r="10266" spans="6:10" hidden="1" x14ac:dyDescent="0.25">
      <c r="F10266" s="390">
        <v>521</v>
      </c>
      <c r="G10266" s="385" t="s">
        <v>4220</v>
      </c>
      <c r="J10266" s="595">
        <f t="shared" si="303"/>
        <v>0</v>
      </c>
    </row>
    <row r="10267" spans="6:10" hidden="1" x14ac:dyDescent="0.25">
      <c r="F10267" s="390">
        <v>522</v>
      </c>
      <c r="G10267" s="385" t="s">
        <v>4221</v>
      </c>
      <c r="J10267" s="595">
        <f t="shared" si="303"/>
        <v>0</v>
      </c>
    </row>
    <row r="10268" spans="6:10" hidden="1" x14ac:dyDescent="0.25">
      <c r="F10268" s="390">
        <v>523</v>
      </c>
      <c r="G10268" s="385" t="s">
        <v>3857</v>
      </c>
      <c r="J10268" s="595">
        <f t="shared" si="303"/>
        <v>0</v>
      </c>
    </row>
    <row r="10269" spans="6:10" hidden="1" x14ac:dyDescent="0.25">
      <c r="F10269" s="390">
        <v>531</v>
      </c>
      <c r="G10269" s="383" t="s">
        <v>4197</v>
      </c>
      <c r="J10269" s="595">
        <f t="shared" si="303"/>
        <v>0</v>
      </c>
    </row>
    <row r="10270" spans="6:10" hidden="1" x14ac:dyDescent="0.25">
      <c r="F10270" s="390">
        <v>541</v>
      </c>
      <c r="G10270" s="385" t="s">
        <v>4222</v>
      </c>
      <c r="J10270" s="595">
        <f t="shared" si="303"/>
        <v>0</v>
      </c>
    </row>
    <row r="10271" spans="6:10" hidden="1" x14ac:dyDescent="0.25">
      <c r="F10271" s="390">
        <v>542</v>
      </c>
      <c r="G10271" s="385" t="s">
        <v>4223</v>
      </c>
      <c r="J10271" s="595">
        <f t="shared" si="303"/>
        <v>0</v>
      </c>
    </row>
    <row r="10272" spans="6:10" hidden="1" x14ac:dyDescent="0.25">
      <c r="F10272" s="390">
        <v>543</v>
      </c>
      <c r="G10272" s="385" t="s">
        <v>3862</v>
      </c>
      <c r="J10272" s="595">
        <f t="shared" si="303"/>
        <v>0</v>
      </c>
    </row>
    <row r="10273" spans="5:10" ht="30" hidden="1" x14ac:dyDescent="0.25">
      <c r="F10273" s="390">
        <v>551</v>
      </c>
      <c r="G10273" s="385" t="s">
        <v>4198</v>
      </c>
      <c r="J10273" s="595">
        <f t="shared" si="303"/>
        <v>0</v>
      </c>
    </row>
    <row r="10274" spans="5:10" hidden="1" x14ac:dyDescent="0.25">
      <c r="F10274" s="391">
        <v>611</v>
      </c>
      <c r="G10274" s="389" t="s">
        <v>3868</v>
      </c>
      <c r="J10274" s="595">
        <f t="shared" si="303"/>
        <v>0</v>
      </c>
    </row>
    <row r="10275" spans="5:10" ht="15.75" hidden="1" thickBot="1" x14ac:dyDescent="0.3">
      <c r="F10275" s="391">
        <v>620</v>
      </c>
      <c r="G10275" s="389" t="s">
        <v>88</v>
      </c>
      <c r="J10275" s="595">
        <f t="shared" si="303"/>
        <v>0</v>
      </c>
    </row>
    <row r="10276" spans="5:10" hidden="1" x14ac:dyDescent="0.25">
      <c r="E10276" s="384"/>
      <c r="F10276" s="391"/>
      <c r="G10276" s="327" t="s">
        <v>4387</v>
      </c>
      <c r="H10276" s="596"/>
      <c r="I10276" s="622"/>
      <c r="J10276" s="597"/>
    </row>
    <row r="10277" spans="5:10" ht="15.75" hidden="1" thickBot="1" x14ac:dyDescent="0.3">
      <c r="E10277" s="222"/>
      <c r="F10277" s="249" t="s">
        <v>234</v>
      </c>
      <c r="G10277" s="252" t="s">
        <v>235</v>
      </c>
      <c r="H10277" s="598">
        <f>SUM(H10216:H10275)</f>
        <v>0</v>
      </c>
      <c r="I10277" s="599"/>
      <c r="J10277" s="599">
        <f t="shared" ref="J10277:J10292" si="304">SUM(H10277:I10277)</f>
        <v>0</v>
      </c>
    </row>
    <row r="10278" spans="5:10" hidden="1" x14ac:dyDescent="0.25">
      <c r="F10278" s="249" t="s">
        <v>236</v>
      </c>
      <c r="G10278" s="252" t="s">
        <v>237</v>
      </c>
      <c r="J10278" s="599">
        <f t="shared" si="304"/>
        <v>0</v>
      </c>
    </row>
    <row r="10279" spans="5:10" hidden="1" x14ac:dyDescent="0.25">
      <c r="F10279" s="249" t="s">
        <v>238</v>
      </c>
      <c r="G10279" s="252" t="s">
        <v>239</v>
      </c>
      <c r="J10279" s="599">
        <f t="shared" si="304"/>
        <v>0</v>
      </c>
    </row>
    <row r="10280" spans="5:10" hidden="1" x14ac:dyDescent="0.25">
      <c r="F10280" s="249" t="s">
        <v>240</v>
      </c>
      <c r="G10280" s="252" t="s">
        <v>241</v>
      </c>
      <c r="J10280" s="599">
        <f t="shared" si="304"/>
        <v>0</v>
      </c>
    </row>
    <row r="10281" spans="5:10" hidden="1" x14ac:dyDescent="0.25">
      <c r="F10281" s="249" t="s">
        <v>242</v>
      </c>
      <c r="G10281" s="252" t="s">
        <v>243</v>
      </c>
      <c r="J10281" s="599">
        <f t="shared" si="304"/>
        <v>0</v>
      </c>
    </row>
    <row r="10282" spans="5:10" hidden="1" x14ac:dyDescent="0.25">
      <c r="F10282" s="249" t="s">
        <v>244</v>
      </c>
      <c r="G10282" s="252" t="s">
        <v>245</v>
      </c>
      <c r="J10282" s="599">
        <f t="shared" si="304"/>
        <v>0</v>
      </c>
    </row>
    <row r="10283" spans="5:10" hidden="1" x14ac:dyDescent="0.25">
      <c r="F10283" s="249" t="s">
        <v>246</v>
      </c>
      <c r="G10283" s="252" t="s">
        <v>247</v>
      </c>
      <c r="J10283" s="599">
        <f t="shared" si="304"/>
        <v>0</v>
      </c>
    </row>
    <row r="10284" spans="5:10" hidden="1" x14ac:dyDescent="0.25">
      <c r="F10284" s="249" t="s">
        <v>248</v>
      </c>
      <c r="G10284" s="252" t="s">
        <v>249</v>
      </c>
      <c r="J10284" s="599">
        <f t="shared" si="304"/>
        <v>0</v>
      </c>
    </row>
    <row r="10285" spans="5:10" hidden="1" x14ac:dyDescent="0.25">
      <c r="F10285" s="249" t="s">
        <v>250</v>
      </c>
      <c r="G10285" s="252" t="s">
        <v>57</v>
      </c>
      <c r="J10285" s="599">
        <f t="shared" si="304"/>
        <v>0</v>
      </c>
    </row>
    <row r="10286" spans="5:10" hidden="1" x14ac:dyDescent="0.25">
      <c r="F10286" s="249" t="s">
        <v>251</v>
      </c>
      <c r="G10286" s="252" t="s">
        <v>252</v>
      </c>
      <c r="J10286" s="599">
        <f t="shared" si="304"/>
        <v>0</v>
      </c>
    </row>
    <row r="10287" spans="5:10" hidden="1" x14ac:dyDescent="0.25">
      <c r="F10287" s="249" t="s">
        <v>253</v>
      </c>
      <c r="G10287" s="252" t="s">
        <v>254</v>
      </c>
      <c r="J10287" s="599">
        <f t="shared" si="304"/>
        <v>0</v>
      </c>
    </row>
    <row r="10288" spans="5:10" ht="30" hidden="1" x14ac:dyDescent="0.25">
      <c r="F10288" s="249" t="s">
        <v>255</v>
      </c>
      <c r="G10288" s="252" t="s">
        <v>256</v>
      </c>
      <c r="J10288" s="599">
        <f t="shared" si="304"/>
        <v>0</v>
      </c>
    </row>
    <row r="10289" spans="5:10" hidden="1" x14ac:dyDescent="0.25">
      <c r="F10289" s="249" t="s">
        <v>257</v>
      </c>
      <c r="G10289" s="252" t="s">
        <v>258</v>
      </c>
      <c r="J10289" s="599">
        <f t="shared" si="304"/>
        <v>0</v>
      </c>
    </row>
    <row r="10290" spans="5:10" ht="30" hidden="1" x14ac:dyDescent="0.25">
      <c r="F10290" s="249" t="s">
        <v>259</v>
      </c>
      <c r="G10290" s="252" t="s">
        <v>260</v>
      </c>
      <c r="J10290" s="599">
        <f t="shared" si="304"/>
        <v>0</v>
      </c>
    </row>
    <row r="10291" spans="5:10" hidden="1" x14ac:dyDescent="0.25">
      <c r="F10291" s="249" t="s">
        <v>261</v>
      </c>
      <c r="G10291" s="252" t="s">
        <v>262</v>
      </c>
      <c r="J10291" s="599">
        <f t="shared" si="304"/>
        <v>0</v>
      </c>
    </row>
    <row r="10292" spans="5:10" ht="15.75" hidden="1" thickBot="1" x14ac:dyDescent="0.3">
      <c r="F10292" s="249" t="s">
        <v>263</v>
      </c>
      <c r="G10292" s="252" t="s">
        <v>264</v>
      </c>
      <c r="H10292" s="598"/>
      <c r="I10292" s="599"/>
      <c r="J10292" s="599">
        <f t="shared" si="304"/>
        <v>0</v>
      </c>
    </row>
    <row r="10293" spans="5:10" ht="15.75" hidden="1" thickBot="1" x14ac:dyDescent="0.3">
      <c r="G10293" s="229" t="s">
        <v>4386</v>
      </c>
      <c r="H10293" s="600">
        <f>SUM(H10277:H10292)</f>
        <v>0</v>
      </c>
      <c r="I10293" s="601">
        <f>SUM(I10278:I10292)</f>
        <v>0</v>
      </c>
      <c r="J10293" s="601">
        <f>SUM(J10277:J10292)</f>
        <v>0</v>
      </c>
    </row>
    <row r="10294" spans="5:10" ht="28.5" hidden="1" collapsed="1" x14ac:dyDescent="0.25">
      <c r="E10294" s="384"/>
      <c r="F10294" s="391"/>
      <c r="G10294" s="231" t="s">
        <v>4454</v>
      </c>
      <c r="H10294" s="602"/>
      <c r="I10294" s="623"/>
      <c r="J10294" s="603"/>
    </row>
    <row r="10295" spans="5:10" ht="15.75" hidden="1" thickBot="1" x14ac:dyDescent="0.3">
      <c r="E10295" s="222"/>
      <c r="F10295" s="249" t="s">
        <v>234</v>
      </c>
      <c r="G10295" s="252" t="s">
        <v>235</v>
      </c>
      <c r="H10295" s="598">
        <f>SUM(H10216:H10275)</f>
        <v>0</v>
      </c>
      <c r="I10295" s="599"/>
      <c r="J10295" s="599">
        <f>SUM(H10295:I10295)</f>
        <v>0</v>
      </c>
    </row>
    <row r="10296" spans="5:10" hidden="1" x14ac:dyDescent="0.25">
      <c r="F10296" s="249" t="s">
        <v>236</v>
      </c>
      <c r="G10296" s="252" t="s">
        <v>237</v>
      </c>
      <c r="J10296" s="599">
        <f t="shared" ref="J10296:J10310" si="305">SUM(H10296:I10296)</f>
        <v>0</v>
      </c>
    </row>
    <row r="10297" spans="5:10" hidden="1" x14ac:dyDescent="0.25">
      <c r="F10297" s="249" t="s">
        <v>238</v>
      </c>
      <c r="G10297" s="252" t="s">
        <v>239</v>
      </c>
      <c r="J10297" s="599">
        <f t="shared" si="305"/>
        <v>0</v>
      </c>
    </row>
    <row r="10298" spans="5:10" hidden="1" x14ac:dyDescent="0.25">
      <c r="F10298" s="249" t="s">
        <v>240</v>
      </c>
      <c r="G10298" s="252" t="s">
        <v>241</v>
      </c>
      <c r="J10298" s="599">
        <f t="shared" si="305"/>
        <v>0</v>
      </c>
    </row>
    <row r="10299" spans="5:10" hidden="1" x14ac:dyDescent="0.25">
      <c r="F10299" s="249" t="s">
        <v>242</v>
      </c>
      <c r="G10299" s="252" t="s">
        <v>243</v>
      </c>
      <c r="J10299" s="599">
        <f t="shared" si="305"/>
        <v>0</v>
      </c>
    </row>
    <row r="10300" spans="5:10" hidden="1" x14ac:dyDescent="0.25">
      <c r="F10300" s="249" t="s">
        <v>244</v>
      </c>
      <c r="G10300" s="252" t="s">
        <v>245</v>
      </c>
      <c r="J10300" s="599">
        <f t="shared" si="305"/>
        <v>0</v>
      </c>
    </row>
    <row r="10301" spans="5:10" hidden="1" x14ac:dyDescent="0.25">
      <c r="F10301" s="249" t="s">
        <v>246</v>
      </c>
      <c r="G10301" s="252" t="s">
        <v>247</v>
      </c>
      <c r="J10301" s="599">
        <f t="shared" si="305"/>
        <v>0</v>
      </c>
    </row>
    <row r="10302" spans="5:10" hidden="1" x14ac:dyDescent="0.25">
      <c r="F10302" s="249" t="s">
        <v>248</v>
      </c>
      <c r="G10302" s="252" t="s">
        <v>249</v>
      </c>
      <c r="J10302" s="599">
        <f t="shared" si="305"/>
        <v>0</v>
      </c>
    </row>
    <row r="10303" spans="5:10" hidden="1" x14ac:dyDescent="0.25">
      <c r="F10303" s="249" t="s">
        <v>250</v>
      </c>
      <c r="G10303" s="252" t="s">
        <v>57</v>
      </c>
      <c r="J10303" s="599">
        <f t="shared" si="305"/>
        <v>0</v>
      </c>
    </row>
    <row r="10304" spans="5:10" hidden="1" x14ac:dyDescent="0.25">
      <c r="F10304" s="249" t="s">
        <v>251</v>
      </c>
      <c r="G10304" s="252" t="s">
        <v>252</v>
      </c>
      <c r="J10304" s="599">
        <f t="shared" si="305"/>
        <v>0</v>
      </c>
    </row>
    <row r="10305" spans="1:25" hidden="1" x14ac:dyDescent="0.25">
      <c r="F10305" s="249" t="s">
        <v>253</v>
      </c>
      <c r="G10305" s="252" t="s">
        <v>254</v>
      </c>
      <c r="J10305" s="599">
        <f t="shared" si="305"/>
        <v>0</v>
      </c>
    </row>
    <row r="10306" spans="1:25" ht="30" hidden="1" x14ac:dyDescent="0.25">
      <c r="F10306" s="249" t="s">
        <v>255</v>
      </c>
      <c r="G10306" s="252" t="s">
        <v>256</v>
      </c>
      <c r="J10306" s="599">
        <f t="shared" si="305"/>
        <v>0</v>
      </c>
    </row>
    <row r="10307" spans="1:25" hidden="1" x14ac:dyDescent="0.25">
      <c r="F10307" s="249" t="s">
        <v>257</v>
      </c>
      <c r="G10307" s="252" t="s">
        <v>258</v>
      </c>
      <c r="J10307" s="599">
        <f t="shared" si="305"/>
        <v>0</v>
      </c>
    </row>
    <row r="10308" spans="1:25" ht="30" hidden="1" x14ac:dyDescent="0.25">
      <c r="F10308" s="249" t="s">
        <v>259</v>
      </c>
      <c r="G10308" s="252" t="s">
        <v>260</v>
      </c>
      <c r="J10308" s="599">
        <f t="shared" si="305"/>
        <v>0</v>
      </c>
    </row>
    <row r="10309" spans="1:25" hidden="1" x14ac:dyDescent="0.25">
      <c r="F10309" s="249" t="s">
        <v>261</v>
      </c>
      <c r="G10309" s="252" t="s">
        <v>262</v>
      </c>
      <c r="J10309" s="599">
        <f t="shared" si="305"/>
        <v>0</v>
      </c>
    </row>
    <row r="10310" spans="1:25" ht="15.75" hidden="1" thickBot="1" x14ac:dyDescent="0.3">
      <c r="F10310" s="249" t="s">
        <v>263</v>
      </c>
      <c r="G10310" s="252" t="s">
        <v>264</v>
      </c>
      <c r="H10310" s="598"/>
      <c r="I10310" s="599"/>
      <c r="J10310" s="599">
        <f t="shared" si="305"/>
        <v>0</v>
      </c>
    </row>
    <row r="10311" spans="1:25" ht="15.75" hidden="1" collapsed="1" thickBot="1" x14ac:dyDescent="0.3">
      <c r="G10311" s="229" t="s">
        <v>4455</v>
      </c>
      <c r="H10311" s="600">
        <f>SUM(H10295:H10310)</f>
        <v>0</v>
      </c>
      <c r="I10311" s="601">
        <f>SUM(I10296:I10310)</f>
        <v>0</v>
      </c>
      <c r="J10311" s="601">
        <f>SUM(J10295:J10310)</f>
        <v>0</v>
      </c>
    </row>
    <row r="10312" spans="1:25" hidden="1" x14ac:dyDescent="0.25"/>
    <row r="10313" spans="1:25" s="88" customFormat="1" x14ac:dyDescent="0.25">
      <c r="A10313" s="398"/>
      <c r="B10313" s="256"/>
      <c r="C10313" s="276" t="s">
        <v>5079</v>
      </c>
      <c r="D10313" s="219"/>
      <c r="E10313" s="219"/>
      <c r="F10313" s="277"/>
      <c r="G10313" s="400" t="s">
        <v>4124</v>
      </c>
      <c r="H10313" s="627"/>
      <c r="I10313" s="610"/>
      <c r="J10313" s="628"/>
      <c r="K10313" s="533"/>
      <c r="L10313" s="533"/>
      <c r="M10313" s="533"/>
      <c r="N10313" s="533"/>
      <c r="O10313" s="533"/>
      <c r="P10313" s="533"/>
      <c r="Q10313" s="533"/>
      <c r="R10313" s="533"/>
      <c r="S10313" s="533"/>
      <c r="T10313" s="533"/>
      <c r="U10313" s="533"/>
      <c r="V10313" s="533"/>
      <c r="W10313" s="533"/>
      <c r="X10313" s="533"/>
      <c r="Y10313" s="533"/>
    </row>
    <row r="10314" spans="1:25" x14ac:dyDescent="0.25">
      <c r="C10314" s="228"/>
      <c r="D10314" s="312">
        <v>620</v>
      </c>
      <c r="E10314" s="312"/>
      <c r="F10314" s="312"/>
      <c r="G10314" s="313" t="s">
        <v>182</v>
      </c>
    </row>
    <row r="10315" spans="1:25" x14ac:dyDescent="0.25">
      <c r="E10315" s="218">
        <v>97</v>
      </c>
      <c r="F10315" s="404">
        <v>411</v>
      </c>
      <c r="G10315" s="394" t="s">
        <v>4189</v>
      </c>
      <c r="H10315" s="594">
        <v>10801685</v>
      </c>
      <c r="J10315" s="595">
        <f>SUM(H10315:I10315)</f>
        <v>10801685</v>
      </c>
    </row>
    <row r="10316" spans="1:25" x14ac:dyDescent="0.25">
      <c r="E10316" s="218">
        <v>98</v>
      </c>
      <c r="F10316" s="404">
        <v>412</v>
      </c>
      <c r="G10316" s="392" t="s">
        <v>3784</v>
      </c>
      <c r="H10316" s="594">
        <v>1933501</v>
      </c>
      <c r="J10316" s="595">
        <f t="shared" ref="J10316:J10374" si="306">SUM(H10316:I10316)</f>
        <v>1933501</v>
      </c>
    </row>
    <row r="10317" spans="1:25" hidden="1" x14ac:dyDescent="0.25">
      <c r="F10317" s="404">
        <v>413</v>
      </c>
      <c r="G10317" s="394" t="s">
        <v>4190</v>
      </c>
      <c r="J10317" s="595">
        <f t="shared" si="306"/>
        <v>0</v>
      </c>
    </row>
    <row r="10318" spans="1:25" x14ac:dyDescent="0.25">
      <c r="E10318" s="218">
        <v>99</v>
      </c>
      <c r="F10318" s="404">
        <v>414</v>
      </c>
      <c r="G10318" s="394" t="s">
        <v>3787</v>
      </c>
      <c r="H10318" s="594">
        <v>580000</v>
      </c>
      <c r="J10318" s="595">
        <f t="shared" si="306"/>
        <v>580000</v>
      </c>
    </row>
    <row r="10319" spans="1:25" x14ac:dyDescent="0.25">
      <c r="E10319" s="218">
        <v>100</v>
      </c>
      <c r="F10319" s="404">
        <v>415</v>
      </c>
      <c r="G10319" s="394" t="s">
        <v>4199</v>
      </c>
      <c r="H10319" s="594">
        <v>450000</v>
      </c>
      <c r="J10319" s="595">
        <f t="shared" si="306"/>
        <v>450000</v>
      </c>
    </row>
    <row r="10320" spans="1:25" x14ac:dyDescent="0.25">
      <c r="E10320" s="218">
        <v>101</v>
      </c>
      <c r="F10320" s="404">
        <v>416</v>
      </c>
      <c r="G10320" s="394" t="s">
        <v>4200</v>
      </c>
      <c r="H10320" s="594">
        <v>100000</v>
      </c>
      <c r="J10320" s="595">
        <f t="shared" si="306"/>
        <v>100000</v>
      </c>
    </row>
    <row r="10321" spans="5:10" hidden="1" x14ac:dyDescent="0.25">
      <c r="F10321" s="404">
        <v>417</v>
      </c>
      <c r="G10321" s="394" t="s">
        <v>4201</v>
      </c>
      <c r="J10321" s="595">
        <f t="shared" si="306"/>
        <v>0</v>
      </c>
    </row>
    <row r="10322" spans="5:10" hidden="1" x14ac:dyDescent="0.25">
      <c r="F10322" s="404">
        <v>418</v>
      </c>
      <c r="G10322" s="394" t="s">
        <v>3793</v>
      </c>
      <c r="J10322" s="595">
        <f t="shared" si="306"/>
        <v>0</v>
      </c>
    </row>
    <row r="10323" spans="5:10" x14ac:dyDescent="0.25">
      <c r="E10323" s="218">
        <v>102</v>
      </c>
      <c r="F10323" s="404">
        <v>421</v>
      </c>
      <c r="G10323" s="394" t="s">
        <v>3797</v>
      </c>
      <c r="H10323" s="594">
        <v>2490000</v>
      </c>
      <c r="J10323" s="595">
        <f t="shared" si="306"/>
        <v>2490000</v>
      </c>
    </row>
    <row r="10324" spans="5:10" x14ac:dyDescent="0.25">
      <c r="E10324" s="218">
        <v>103</v>
      </c>
      <c r="F10324" s="404">
        <v>422</v>
      </c>
      <c r="G10324" s="394" t="s">
        <v>3798</v>
      </c>
      <c r="H10324" s="594">
        <v>220000</v>
      </c>
      <c r="J10324" s="595">
        <f t="shared" si="306"/>
        <v>220000</v>
      </c>
    </row>
    <row r="10325" spans="5:10" x14ac:dyDescent="0.25">
      <c r="E10325" s="218">
        <v>104</v>
      </c>
      <c r="F10325" s="404">
        <v>423</v>
      </c>
      <c r="G10325" s="394" t="s">
        <v>3799</v>
      </c>
      <c r="H10325" s="594">
        <v>3120000</v>
      </c>
      <c r="J10325" s="595">
        <f t="shared" si="306"/>
        <v>3120000</v>
      </c>
    </row>
    <row r="10326" spans="5:10" x14ac:dyDescent="0.25">
      <c r="E10326" s="218">
        <v>105</v>
      </c>
      <c r="F10326" s="404">
        <v>424</v>
      </c>
      <c r="G10326" s="394" t="s">
        <v>3801</v>
      </c>
      <c r="H10326" s="594">
        <v>22680000</v>
      </c>
      <c r="J10326" s="595">
        <f t="shared" si="306"/>
        <v>22680000</v>
      </c>
    </row>
    <row r="10327" spans="5:10" x14ac:dyDescent="0.25">
      <c r="E10327" s="218">
        <v>106</v>
      </c>
      <c r="F10327" s="404">
        <v>425</v>
      </c>
      <c r="G10327" s="394" t="s">
        <v>4202</v>
      </c>
      <c r="H10327" s="594">
        <v>1640000</v>
      </c>
      <c r="J10327" s="595">
        <f t="shared" si="306"/>
        <v>1640000</v>
      </c>
    </row>
    <row r="10328" spans="5:10" x14ac:dyDescent="0.25">
      <c r="E10328" s="218">
        <v>107</v>
      </c>
      <c r="F10328" s="404">
        <v>426</v>
      </c>
      <c r="G10328" s="394" t="s">
        <v>3805</v>
      </c>
      <c r="H10328" s="594">
        <v>21480000</v>
      </c>
      <c r="J10328" s="595">
        <f t="shared" si="306"/>
        <v>21480000</v>
      </c>
    </row>
    <row r="10329" spans="5:10" hidden="1" x14ac:dyDescent="0.25">
      <c r="F10329" s="404">
        <v>431</v>
      </c>
      <c r="G10329" s="394" t="s">
        <v>4203</v>
      </c>
      <c r="J10329" s="595">
        <f t="shared" si="306"/>
        <v>0</v>
      </c>
    </row>
    <row r="10330" spans="5:10" hidden="1" x14ac:dyDescent="0.25">
      <c r="F10330" s="404">
        <v>432</v>
      </c>
      <c r="G10330" s="394" t="s">
        <v>4204</v>
      </c>
      <c r="J10330" s="595">
        <f t="shared" si="306"/>
        <v>0</v>
      </c>
    </row>
    <row r="10331" spans="5:10" hidden="1" x14ac:dyDescent="0.25">
      <c r="F10331" s="404">
        <v>433</v>
      </c>
      <c r="G10331" s="394" t="s">
        <v>4205</v>
      </c>
      <c r="J10331" s="595">
        <f t="shared" si="306"/>
        <v>0</v>
      </c>
    </row>
    <row r="10332" spans="5:10" hidden="1" x14ac:dyDescent="0.25">
      <c r="F10332" s="404">
        <v>434</v>
      </c>
      <c r="G10332" s="394" t="s">
        <v>4206</v>
      </c>
      <c r="J10332" s="595">
        <f t="shared" si="306"/>
        <v>0</v>
      </c>
    </row>
    <row r="10333" spans="5:10" hidden="1" x14ac:dyDescent="0.25">
      <c r="F10333" s="404">
        <v>435</v>
      </c>
      <c r="G10333" s="394" t="s">
        <v>3812</v>
      </c>
      <c r="J10333" s="595">
        <f t="shared" si="306"/>
        <v>0</v>
      </c>
    </row>
    <row r="10334" spans="5:10" hidden="1" x14ac:dyDescent="0.25">
      <c r="F10334" s="404">
        <v>441</v>
      </c>
      <c r="G10334" s="394" t="s">
        <v>4207</v>
      </c>
      <c r="J10334" s="595">
        <f t="shared" si="306"/>
        <v>0</v>
      </c>
    </row>
    <row r="10335" spans="5:10" hidden="1" x14ac:dyDescent="0.25">
      <c r="F10335" s="404">
        <v>442</v>
      </c>
      <c r="G10335" s="394" t="s">
        <v>4208</v>
      </c>
      <c r="J10335" s="595">
        <f t="shared" si="306"/>
        <v>0</v>
      </c>
    </row>
    <row r="10336" spans="5:10" hidden="1" x14ac:dyDescent="0.25">
      <c r="F10336" s="404">
        <v>443</v>
      </c>
      <c r="G10336" s="394" t="s">
        <v>3817</v>
      </c>
      <c r="J10336" s="595">
        <f t="shared" si="306"/>
        <v>0</v>
      </c>
    </row>
    <row r="10337" spans="5:10" hidden="1" x14ac:dyDescent="0.25">
      <c r="F10337" s="404">
        <v>444</v>
      </c>
      <c r="G10337" s="394" t="s">
        <v>3818</v>
      </c>
      <c r="J10337" s="595">
        <f t="shared" si="306"/>
        <v>0</v>
      </c>
    </row>
    <row r="10338" spans="5:10" ht="30" hidden="1" x14ac:dyDescent="0.25">
      <c r="F10338" s="404">
        <v>4511</v>
      </c>
      <c r="G10338" s="223" t="s">
        <v>1692</v>
      </c>
      <c r="J10338" s="595">
        <f t="shared" si="306"/>
        <v>0</v>
      </c>
    </row>
    <row r="10339" spans="5:10" ht="19.5" hidden="1" customHeight="1" x14ac:dyDescent="0.25">
      <c r="F10339" s="404">
        <v>4512</v>
      </c>
      <c r="G10339" s="223" t="s">
        <v>1701</v>
      </c>
      <c r="J10339" s="595">
        <f t="shared" si="306"/>
        <v>0</v>
      </c>
    </row>
    <row r="10340" spans="5:10" hidden="1" x14ac:dyDescent="0.25">
      <c r="F10340" s="404">
        <v>452</v>
      </c>
      <c r="G10340" s="394" t="s">
        <v>4209</v>
      </c>
      <c r="J10340" s="595">
        <f t="shared" si="306"/>
        <v>0</v>
      </c>
    </row>
    <row r="10341" spans="5:10" hidden="1" x14ac:dyDescent="0.25">
      <c r="F10341" s="404">
        <v>453</v>
      </c>
      <c r="G10341" s="394" t="s">
        <v>4210</v>
      </c>
      <c r="J10341" s="595">
        <f t="shared" si="306"/>
        <v>0</v>
      </c>
    </row>
    <row r="10342" spans="5:10" hidden="1" x14ac:dyDescent="0.25">
      <c r="F10342" s="404">
        <v>454</v>
      </c>
      <c r="G10342" s="394" t="s">
        <v>3823</v>
      </c>
      <c r="J10342" s="595">
        <f t="shared" si="306"/>
        <v>0</v>
      </c>
    </row>
    <row r="10343" spans="5:10" hidden="1" x14ac:dyDescent="0.25">
      <c r="F10343" s="404">
        <v>461</v>
      </c>
      <c r="G10343" s="394" t="s">
        <v>4191</v>
      </c>
      <c r="J10343" s="595">
        <f t="shared" si="306"/>
        <v>0</v>
      </c>
    </row>
    <row r="10344" spans="5:10" hidden="1" x14ac:dyDescent="0.25">
      <c r="F10344" s="404">
        <v>462</v>
      </c>
      <c r="G10344" s="394" t="s">
        <v>3826</v>
      </c>
      <c r="J10344" s="595">
        <f t="shared" si="306"/>
        <v>0</v>
      </c>
    </row>
    <row r="10345" spans="5:10" hidden="1" x14ac:dyDescent="0.25">
      <c r="F10345" s="404">
        <v>4631</v>
      </c>
      <c r="G10345" s="394" t="s">
        <v>3827</v>
      </c>
      <c r="J10345" s="595">
        <f t="shared" si="306"/>
        <v>0</v>
      </c>
    </row>
    <row r="10346" spans="5:10" hidden="1" x14ac:dyDescent="0.25">
      <c r="F10346" s="404">
        <v>4632</v>
      </c>
      <c r="G10346" s="394" t="s">
        <v>3828</v>
      </c>
      <c r="J10346" s="595">
        <f t="shared" si="306"/>
        <v>0</v>
      </c>
    </row>
    <row r="10347" spans="5:10" hidden="1" x14ac:dyDescent="0.25">
      <c r="F10347" s="404">
        <v>464</v>
      </c>
      <c r="G10347" s="394" t="s">
        <v>3829</v>
      </c>
      <c r="J10347" s="595">
        <f t="shared" si="306"/>
        <v>0</v>
      </c>
    </row>
    <row r="10348" spans="5:10" x14ac:dyDescent="0.25">
      <c r="E10348" s="218">
        <v>108</v>
      </c>
      <c r="F10348" s="404">
        <v>465</v>
      </c>
      <c r="G10348" s="394" t="s">
        <v>4192</v>
      </c>
      <c r="H10348" s="594">
        <v>1415020</v>
      </c>
      <c r="J10348" s="595">
        <f t="shared" si="306"/>
        <v>1415020</v>
      </c>
    </row>
    <row r="10349" spans="5:10" hidden="1" x14ac:dyDescent="0.25">
      <c r="F10349" s="404">
        <v>472</v>
      </c>
      <c r="G10349" s="394" t="s">
        <v>3833</v>
      </c>
      <c r="J10349" s="595">
        <f t="shared" si="306"/>
        <v>0</v>
      </c>
    </row>
    <row r="10350" spans="5:10" hidden="1" x14ac:dyDescent="0.25">
      <c r="F10350" s="404">
        <v>481</v>
      </c>
      <c r="G10350" s="394" t="s">
        <v>4211</v>
      </c>
      <c r="J10350" s="595">
        <f t="shared" si="306"/>
        <v>0</v>
      </c>
    </row>
    <row r="10351" spans="5:10" x14ac:dyDescent="0.25">
      <c r="E10351" s="218">
        <v>109</v>
      </c>
      <c r="F10351" s="404">
        <v>482</v>
      </c>
      <c r="G10351" s="394" t="s">
        <v>4212</v>
      </c>
      <c r="H10351" s="594">
        <v>6050000</v>
      </c>
      <c r="J10351" s="595">
        <f t="shared" si="306"/>
        <v>6050000</v>
      </c>
    </row>
    <row r="10352" spans="5:10" x14ac:dyDescent="0.25">
      <c r="E10352" s="218">
        <v>110</v>
      </c>
      <c r="F10352" s="404">
        <v>483</v>
      </c>
      <c r="G10352" s="399" t="s">
        <v>4213</v>
      </c>
      <c r="H10352" s="594">
        <v>300000</v>
      </c>
      <c r="J10352" s="595">
        <f t="shared" si="306"/>
        <v>300000</v>
      </c>
    </row>
    <row r="10353" spans="5:10" ht="30" hidden="1" x14ac:dyDescent="0.25">
      <c r="F10353" s="404">
        <v>484</v>
      </c>
      <c r="G10353" s="394" t="s">
        <v>4214</v>
      </c>
      <c r="J10353" s="595">
        <f t="shared" si="306"/>
        <v>0</v>
      </c>
    </row>
    <row r="10354" spans="5:10" ht="30" hidden="1" x14ac:dyDescent="0.25">
      <c r="F10354" s="404">
        <v>485</v>
      </c>
      <c r="G10354" s="394" t="s">
        <v>4215</v>
      </c>
      <c r="J10354" s="595">
        <f t="shared" si="306"/>
        <v>0</v>
      </c>
    </row>
    <row r="10355" spans="5:10" ht="30" hidden="1" x14ac:dyDescent="0.25">
      <c r="F10355" s="404">
        <v>489</v>
      </c>
      <c r="G10355" s="394" t="s">
        <v>3841</v>
      </c>
      <c r="J10355" s="595">
        <f t="shared" si="306"/>
        <v>0</v>
      </c>
    </row>
    <row r="10356" spans="5:10" hidden="1" x14ac:dyDescent="0.25">
      <c r="F10356" s="404">
        <v>494</v>
      </c>
      <c r="G10356" s="394" t="s">
        <v>4193</v>
      </c>
      <c r="J10356" s="595">
        <f t="shared" si="306"/>
        <v>0</v>
      </c>
    </row>
    <row r="10357" spans="5:10" ht="30" hidden="1" x14ac:dyDescent="0.25">
      <c r="F10357" s="404">
        <v>495</v>
      </c>
      <c r="G10357" s="394" t="s">
        <v>4194</v>
      </c>
      <c r="J10357" s="595">
        <f t="shared" si="306"/>
        <v>0</v>
      </c>
    </row>
    <row r="10358" spans="5:10" ht="30" hidden="1" x14ac:dyDescent="0.25">
      <c r="F10358" s="404">
        <v>496</v>
      </c>
      <c r="G10358" s="394" t="s">
        <v>4195</v>
      </c>
      <c r="J10358" s="595">
        <f t="shared" si="306"/>
        <v>0</v>
      </c>
    </row>
    <row r="10359" spans="5:10" hidden="1" x14ac:dyDescent="0.25">
      <c r="F10359" s="404">
        <v>499</v>
      </c>
      <c r="G10359" s="394" t="s">
        <v>4196</v>
      </c>
      <c r="J10359" s="595">
        <f t="shared" si="306"/>
        <v>0</v>
      </c>
    </row>
    <row r="10360" spans="5:10" hidden="1" x14ac:dyDescent="0.25">
      <c r="F10360" s="404">
        <v>511</v>
      </c>
      <c r="G10360" s="399" t="s">
        <v>4216</v>
      </c>
      <c r="J10360" s="595">
        <f t="shared" si="306"/>
        <v>0</v>
      </c>
    </row>
    <row r="10361" spans="5:10" ht="15.75" thickBot="1" x14ac:dyDescent="0.3">
      <c r="E10361" s="218">
        <v>111</v>
      </c>
      <c r="F10361" s="404">
        <v>512</v>
      </c>
      <c r="G10361" s="399" t="s">
        <v>4217</v>
      </c>
      <c r="H10361" s="594">
        <v>5623000</v>
      </c>
      <c r="J10361" s="595">
        <f t="shared" si="306"/>
        <v>5623000</v>
      </c>
    </row>
    <row r="10362" spans="5:10" hidden="1" x14ac:dyDescent="0.25">
      <c r="F10362" s="404">
        <v>513</v>
      </c>
      <c r="G10362" s="399" t="s">
        <v>4218</v>
      </c>
      <c r="J10362" s="595">
        <f t="shared" si="306"/>
        <v>0</v>
      </c>
    </row>
    <row r="10363" spans="5:10" hidden="1" x14ac:dyDescent="0.25">
      <c r="F10363" s="404">
        <v>514</v>
      </c>
      <c r="G10363" s="394" t="s">
        <v>4219</v>
      </c>
      <c r="J10363" s="595">
        <f t="shared" si="306"/>
        <v>0</v>
      </c>
    </row>
    <row r="10364" spans="5:10" hidden="1" x14ac:dyDescent="0.25">
      <c r="F10364" s="404">
        <v>515</v>
      </c>
      <c r="G10364" s="394" t="s">
        <v>3852</v>
      </c>
      <c r="J10364" s="595">
        <f t="shared" si="306"/>
        <v>0</v>
      </c>
    </row>
    <row r="10365" spans="5:10" hidden="1" x14ac:dyDescent="0.25">
      <c r="F10365" s="404">
        <v>521</v>
      </c>
      <c r="G10365" s="394" t="s">
        <v>4220</v>
      </c>
      <c r="J10365" s="595">
        <f t="shared" si="306"/>
        <v>0</v>
      </c>
    </row>
    <row r="10366" spans="5:10" hidden="1" x14ac:dyDescent="0.25">
      <c r="F10366" s="404">
        <v>522</v>
      </c>
      <c r="G10366" s="394" t="s">
        <v>4221</v>
      </c>
      <c r="J10366" s="595">
        <f t="shared" si="306"/>
        <v>0</v>
      </c>
    </row>
    <row r="10367" spans="5:10" hidden="1" x14ac:dyDescent="0.25">
      <c r="F10367" s="404">
        <v>523</v>
      </c>
      <c r="G10367" s="394" t="s">
        <v>3857</v>
      </c>
      <c r="J10367" s="595">
        <f t="shared" si="306"/>
        <v>0</v>
      </c>
    </row>
    <row r="10368" spans="5:10" hidden="1" x14ac:dyDescent="0.25">
      <c r="F10368" s="404">
        <v>531</v>
      </c>
      <c r="G10368" s="392" t="s">
        <v>4197</v>
      </c>
      <c r="J10368" s="595">
        <f t="shared" si="306"/>
        <v>0</v>
      </c>
    </row>
    <row r="10369" spans="5:10" hidden="1" x14ac:dyDescent="0.25">
      <c r="F10369" s="404">
        <v>541</v>
      </c>
      <c r="G10369" s="394" t="s">
        <v>4222</v>
      </c>
      <c r="J10369" s="595">
        <f t="shared" si="306"/>
        <v>0</v>
      </c>
    </row>
    <row r="10370" spans="5:10" hidden="1" x14ac:dyDescent="0.25">
      <c r="F10370" s="404">
        <v>542</v>
      </c>
      <c r="G10370" s="394" t="s">
        <v>4223</v>
      </c>
      <c r="J10370" s="595">
        <f t="shared" si="306"/>
        <v>0</v>
      </c>
    </row>
    <row r="10371" spans="5:10" hidden="1" x14ac:dyDescent="0.25">
      <c r="F10371" s="404">
        <v>543</v>
      </c>
      <c r="G10371" s="394" t="s">
        <v>3862</v>
      </c>
      <c r="J10371" s="595">
        <f t="shared" si="306"/>
        <v>0</v>
      </c>
    </row>
    <row r="10372" spans="5:10" ht="30" hidden="1" x14ac:dyDescent="0.25">
      <c r="F10372" s="404">
        <v>551</v>
      </c>
      <c r="G10372" s="394" t="s">
        <v>4198</v>
      </c>
      <c r="J10372" s="595">
        <f t="shared" si="306"/>
        <v>0</v>
      </c>
    </row>
    <row r="10373" spans="5:10" hidden="1" x14ac:dyDescent="0.25">
      <c r="F10373" s="405">
        <v>611</v>
      </c>
      <c r="G10373" s="403" t="s">
        <v>3868</v>
      </c>
      <c r="J10373" s="595">
        <f t="shared" si="306"/>
        <v>0</v>
      </c>
    </row>
    <row r="10374" spans="5:10" ht="15.75" hidden="1" thickBot="1" x14ac:dyDescent="0.3">
      <c r="F10374" s="405">
        <v>620</v>
      </c>
      <c r="G10374" s="403" t="s">
        <v>88</v>
      </c>
      <c r="J10374" s="595">
        <f t="shared" si="306"/>
        <v>0</v>
      </c>
    </row>
    <row r="10375" spans="5:10" x14ac:dyDescent="0.25">
      <c r="E10375" s="393"/>
      <c r="F10375" s="405"/>
      <c r="G10375" s="327" t="s">
        <v>4368</v>
      </c>
      <c r="H10375" s="596"/>
      <c r="I10375" s="622"/>
      <c r="J10375" s="597"/>
    </row>
    <row r="10376" spans="5:10" ht="15.75" thickBot="1" x14ac:dyDescent="0.3">
      <c r="E10376" s="222"/>
      <c r="F10376" s="249" t="s">
        <v>234</v>
      </c>
      <c r="G10376" s="252" t="s">
        <v>235</v>
      </c>
      <c r="H10376" s="598">
        <f>SUM(H10315:H10374)</f>
        <v>78883206</v>
      </c>
      <c r="I10376" s="599"/>
      <c r="J10376" s="599">
        <f t="shared" ref="J10376:J10391" si="307">SUM(H10376:I10376)</f>
        <v>78883206</v>
      </c>
    </row>
    <row r="10377" spans="5:10" hidden="1" x14ac:dyDescent="0.25">
      <c r="F10377" s="249" t="s">
        <v>236</v>
      </c>
      <c r="G10377" s="252" t="s">
        <v>237</v>
      </c>
      <c r="J10377" s="599">
        <f t="shared" si="307"/>
        <v>0</v>
      </c>
    </row>
    <row r="10378" spans="5:10" hidden="1" x14ac:dyDescent="0.25">
      <c r="F10378" s="249" t="s">
        <v>238</v>
      </c>
      <c r="G10378" s="252" t="s">
        <v>239</v>
      </c>
      <c r="J10378" s="599">
        <f t="shared" si="307"/>
        <v>0</v>
      </c>
    </row>
    <row r="10379" spans="5:10" hidden="1" x14ac:dyDescent="0.25">
      <c r="F10379" s="249" t="s">
        <v>240</v>
      </c>
      <c r="G10379" s="252" t="s">
        <v>241</v>
      </c>
      <c r="J10379" s="599">
        <f t="shared" si="307"/>
        <v>0</v>
      </c>
    </row>
    <row r="10380" spans="5:10" hidden="1" x14ac:dyDescent="0.25">
      <c r="F10380" s="249" t="s">
        <v>242</v>
      </c>
      <c r="G10380" s="252" t="s">
        <v>243</v>
      </c>
      <c r="J10380" s="599">
        <f t="shared" si="307"/>
        <v>0</v>
      </c>
    </row>
    <row r="10381" spans="5:10" hidden="1" x14ac:dyDescent="0.25">
      <c r="F10381" s="249" t="s">
        <v>244</v>
      </c>
      <c r="G10381" s="252" t="s">
        <v>245</v>
      </c>
      <c r="J10381" s="599">
        <f t="shared" si="307"/>
        <v>0</v>
      </c>
    </row>
    <row r="10382" spans="5:10" hidden="1" x14ac:dyDescent="0.25">
      <c r="F10382" s="249" t="s">
        <v>246</v>
      </c>
      <c r="G10382" s="252" t="s">
        <v>247</v>
      </c>
      <c r="J10382" s="599">
        <f t="shared" si="307"/>
        <v>0</v>
      </c>
    </row>
    <row r="10383" spans="5:10" hidden="1" x14ac:dyDescent="0.25">
      <c r="F10383" s="249" t="s">
        <v>248</v>
      </c>
      <c r="G10383" s="252" t="s">
        <v>249</v>
      </c>
      <c r="J10383" s="599">
        <f t="shared" si="307"/>
        <v>0</v>
      </c>
    </row>
    <row r="10384" spans="5:10" hidden="1" x14ac:dyDescent="0.25">
      <c r="F10384" s="249" t="s">
        <v>250</v>
      </c>
      <c r="G10384" s="252" t="s">
        <v>57</v>
      </c>
      <c r="J10384" s="599">
        <f t="shared" si="307"/>
        <v>0</v>
      </c>
    </row>
    <row r="10385" spans="5:10" hidden="1" x14ac:dyDescent="0.25">
      <c r="F10385" s="249" t="s">
        <v>251</v>
      </c>
      <c r="G10385" s="252" t="s">
        <v>252</v>
      </c>
      <c r="J10385" s="599">
        <f t="shared" si="307"/>
        <v>0</v>
      </c>
    </row>
    <row r="10386" spans="5:10" hidden="1" x14ac:dyDescent="0.25">
      <c r="F10386" s="249" t="s">
        <v>253</v>
      </c>
      <c r="G10386" s="252" t="s">
        <v>254</v>
      </c>
      <c r="J10386" s="599">
        <f t="shared" si="307"/>
        <v>0</v>
      </c>
    </row>
    <row r="10387" spans="5:10" ht="30" hidden="1" x14ac:dyDescent="0.25">
      <c r="F10387" s="249" t="s">
        <v>255</v>
      </c>
      <c r="G10387" s="252" t="s">
        <v>256</v>
      </c>
      <c r="J10387" s="599">
        <f t="shared" si="307"/>
        <v>0</v>
      </c>
    </row>
    <row r="10388" spans="5:10" hidden="1" x14ac:dyDescent="0.25">
      <c r="F10388" s="249" t="s">
        <v>257</v>
      </c>
      <c r="G10388" s="252" t="s">
        <v>258</v>
      </c>
      <c r="J10388" s="599">
        <f t="shared" si="307"/>
        <v>0</v>
      </c>
    </row>
    <row r="10389" spans="5:10" ht="30" hidden="1" x14ac:dyDescent="0.25">
      <c r="F10389" s="249" t="s">
        <v>259</v>
      </c>
      <c r="G10389" s="252" t="s">
        <v>260</v>
      </c>
      <c r="J10389" s="599">
        <f t="shared" si="307"/>
        <v>0</v>
      </c>
    </row>
    <row r="10390" spans="5:10" hidden="1" x14ac:dyDescent="0.25">
      <c r="F10390" s="249" t="s">
        <v>261</v>
      </c>
      <c r="G10390" s="252" t="s">
        <v>262</v>
      </c>
      <c r="J10390" s="599">
        <f t="shared" si="307"/>
        <v>0</v>
      </c>
    </row>
    <row r="10391" spans="5:10" ht="15.75" hidden="1" thickBot="1" x14ac:dyDescent="0.3">
      <c r="F10391" s="249" t="s">
        <v>263</v>
      </c>
      <c r="G10391" s="252" t="s">
        <v>264</v>
      </c>
      <c r="H10391" s="598"/>
      <c r="I10391" s="599"/>
      <c r="J10391" s="599">
        <f t="shared" si="307"/>
        <v>0</v>
      </c>
    </row>
    <row r="10392" spans="5:10" ht="15.75" thickBot="1" x14ac:dyDescent="0.3">
      <c r="G10392" s="229" t="s">
        <v>4369</v>
      </c>
      <c r="H10392" s="600">
        <f>SUM(H10376:H10391)</f>
        <v>78883206</v>
      </c>
      <c r="I10392" s="601">
        <f>SUM(I10377:I10391)</f>
        <v>0</v>
      </c>
      <c r="J10392" s="601">
        <f>SUM(J10376:J10391)</f>
        <v>78883206</v>
      </c>
    </row>
    <row r="10393" spans="5:10" ht="28.5" collapsed="1" x14ac:dyDescent="0.25">
      <c r="E10393" s="393"/>
      <c r="F10393" s="405"/>
      <c r="G10393" s="231" t="s">
        <v>5080</v>
      </c>
      <c r="H10393" s="602"/>
      <c r="I10393" s="623"/>
      <c r="J10393" s="603"/>
    </row>
    <row r="10394" spans="5:10" ht="15.75" thickBot="1" x14ac:dyDescent="0.3">
      <c r="E10394" s="222"/>
      <c r="F10394" s="249" t="s">
        <v>234</v>
      </c>
      <c r="G10394" s="252" t="s">
        <v>235</v>
      </c>
      <c r="H10394" s="598">
        <f>SUM(H10315:H10374)</f>
        <v>78883206</v>
      </c>
      <c r="I10394" s="599"/>
      <c r="J10394" s="599">
        <f>SUM(H10394:I10394)</f>
        <v>78883206</v>
      </c>
    </row>
    <row r="10395" spans="5:10" hidden="1" x14ac:dyDescent="0.25">
      <c r="F10395" s="249" t="s">
        <v>236</v>
      </c>
      <c r="G10395" s="252" t="s">
        <v>237</v>
      </c>
      <c r="J10395" s="599">
        <f t="shared" ref="J10395:J10409" si="308">SUM(H10395:I10395)</f>
        <v>0</v>
      </c>
    </row>
    <row r="10396" spans="5:10" hidden="1" x14ac:dyDescent="0.25">
      <c r="F10396" s="249" t="s">
        <v>238</v>
      </c>
      <c r="G10396" s="252" t="s">
        <v>239</v>
      </c>
      <c r="J10396" s="599">
        <f t="shared" si="308"/>
        <v>0</v>
      </c>
    </row>
    <row r="10397" spans="5:10" hidden="1" x14ac:dyDescent="0.25">
      <c r="F10397" s="249" t="s">
        <v>240</v>
      </c>
      <c r="G10397" s="252" t="s">
        <v>241</v>
      </c>
      <c r="J10397" s="599">
        <f t="shared" si="308"/>
        <v>0</v>
      </c>
    </row>
    <row r="10398" spans="5:10" hidden="1" x14ac:dyDescent="0.25">
      <c r="F10398" s="249" t="s">
        <v>242</v>
      </c>
      <c r="G10398" s="252" t="s">
        <v>243</v>
      </c>
      <c r="J10398" s="599">
        <f t="shared" si="308"/>
        <v>0</v>
      </c>
    </row>
    <row r="10399" spans="5:10" hidden="1" x14ac:dyDescent="0.25">
      <c r="F10399" s="249" t="s">
        <v>244</v>
      </c>
      <c r="G10399" s="252" t="s">
        <v>245</v>
      </c>
      <c r="J10399" s="599">
        <f t="shared" si="308"/>
        <v>0</v>
      </c>
    </row>
    <row r="10400" spans="5:10" hidden="1" x14ac:dyDescent="0.25">
      <c r="F10400" s="249" t="s">
        <v>246</v>
      </c>
      <c r="G10400" s="252" t="s">
        <v>247</v>
      </c>
      <c r="J10400" s="599">
        <f t="shared" si="308"/>
        <v>0</v>
      </c>
    </row>
    <row r="10401" spans="3:10" hidden="1" x14ac:dyDescent="0.25">
      <c r="F10401" s="249" t="s">
        <v>248</v>
      </c>
      <c r="G10401" s="252" t="s">
        <v>249</v>
      </c>
      <c r="J10401" s="599">
        <f t="shared" si="308"/>
        <v>0</v>
      </c>
    </row>
    <row r="10402" spans="3:10" hidden="1" x14ac:dyDescent="0.25">
      <c r="F10402" s="249" t="s">
        <v>250</v>
      </c>
      <c r="G10402" s="252" t="s">
        <v>57</v>
      </c>
      <c r="J10402" s="599">
        <f t="shared" si="308"/>
        <v>0</v>
      </c>
    </row>
    <row r="10403" spans="3:10" hidden="1" x14ac:dyDescent="0.25">
      <c r="F10403" s="249" t="s">
        <v>251</v>
      </c>
      <c r="G10403" s="252" t="s">
        <v>252</v>
      </c>
      <c r="J10403" s="599">
        <f t="shared" si="308"/>
        <v>0</v>
      </c>
    </row>
    <row r="10404" spans="3:10" hidden="1" x14ac:dyDescent="0.25">
      <c r="F10404" s="249" t="s">
        <v>253</v>
      </c>
      <c r="G10404" s="252" t="s">
        <v>254</v>
      </c>
      <c r="J10404" s="599">
        <f t="shared" si="308"/>
        <v>0</v>
      </c>
    </row>
    <row r="10405" spans="3:10" ht="30" hidden="1" x14ac:dyDescent="0.25">
      <c r="F10405" s="249" t="s">
        <v>255</v>
      </c>
      <c r="G10405" s="252" t="s">
        <v>256</v>
      </c>
      <c r="J10405" s="599">
        <f t="shared" si="308"/>
        <v>0</v>
      </c>
    </row>
    <row r="10406" spans="3:10" hidden="1" x14ac:dyDescent="0.25">
      <c r="F10406" s="249" t="s">
        <v>257</v>
      </c>
      <c r="G10406" s="252" t="s">
        <v>258</v>
      </c>
      <c r="J10406" s="599">
        <f t="shared" si="308"/>
        <v>0</v>
      </c>
    </row>
    <row r="10407" spans="3:10" ht="30" hidden="1" x14ac:dyDescent="0.25">
      <c r="F10407" s="249" t="s">
        <v>259</v>
      </c>
      <c r="G10407" s="252" t="s">
        <v>260</v>
      </c>
      <c r="J10407" s="599">
        <f t="shared" si="308"/>
        <v>0</v>
      </c>
    </row>
    <row r="10408" spans="3:10" hidden="1" x14ac:dyDescent="0.25">
      <c r="F10408" s="249" t="s">
        <v>261</v>
      </c>
      <c r="G10408" s="252" t="s">
        <v>262</v>
      </c>
      <c r="J10408" s="599">
        <f t="shared" si="308"/>
        <v>0</v>
      </c>
    </row>
    <row r="10409" spans="3:10" ht="15.75" hidden="1" thickBot="1" x14ac:dyDescent="0.3">
      <c r="F10409" s="249" t="s">
        <v>263</v>
      </c>
      <c r="G10409" s="252" t="s">
        <v>264</v>
      </c>
      <c r="H10409" s="598"/>
      <c r="I10409" s="599"/>
      <c r="J10409" s="599">
        <f t="shared" si="308"/>
        <v>0</v>
      </c>
    </row>
    <row r="10410" spans="3:10" ht="15.75" collapsed="1" thickBot="1" x14ac:dyDescent="0.3">
      <c r="G10410" s="229" t="s">
        <v>5081</v>
      </c>
      <c r="H10410" s="600">
        <f>SUM(H10394:H10409)</f>
        <v>78883206</v>
      </c>
      <c r="I10410" s="601">
        <f>SUM(I10395:I10409)</f>
        <v>0</v>
      </c>
      <c r="J10410" s="601">
        <f>SUM(J10394:J10409)</f>
        <v>78883206</v>
      </c>
    </row>
    <row r="10411" spans="3:10" hidden="1" x14ac:dyDescent="0.25"/>
    <row r="10412" spans="3:10" hidden="1" x14ac:dyDescent="0.25">
      <c r="C10412" s="228" t="s">
        <v>4663</v>
      </c>
      <c r="D10412" s="219"/>
      <c r="G10412" s="395" t="s">
        <v>5114</v>
      </c>
    </row>
    <row r="10413" spans="3:10" hidden="1" x14ac:dyDescent="0.25">
      <c r="C10413" s="228"/>
      <c r="D10413" s="312">
        <v>451</v>
      </c>
      <c r="E10413" s="312"/>
      <c r="F10413" s="312"/>
      <c r="G10413" s="313" t="s">
        <v>153</v>
      </c>
    </row>
    <row r="10414" spans="3:10" hidden="1" x14ac:dyDescent="0.25">
      <c r="F10414" s="404">
        <v>411</v>
      </c>
      <c r="G10414" s="394" t="s">
        <v>4189</v>
      </c>
      <c r="J10414" s="595">
        <f>SUM(H10414:I10414)</f>
        <v>0</v>
      </c>
    </row>
    <row r="10415" spans="3:10" hidden="1" x14ac:dyDescent="0.25">
      <c r="F10415" s="404">
        <v>412</v>
      </c>
      <c r="G10415" s="392" t="s">
        <v>3784</v>
      </c>
      <c r="J10415" s="595">
        <f t="shared" ref="J10415:J10473" si="309">SUM(H10415:I10415)</f>
        <v>0</v>
      </c>
    </row>
    <row r="10416" spans="3:10" hidden="1" x14ac:dyDescent="0.25">
      <c r="F10416" s="404">
        <v>413</v>
      </c>
      <c r="G10416" s="394" t="s">
        <v>4190</v>
      </c>
      <c r="J10416" s="595">
        <f t="shared" si="309"/>
        <v>0</v>
      </c>
    </row>
    <row r="10417" spans="6:10" hidden="1" x14ac:dyDescent="0.25">
      <c r="F10417" s="404">
        <v>414</v>
      </c>
      <c r="G10417" s="394" t="s">
        <v>3787</v>
      </c>
      <c r="J10417" s="595">
        <f t="shared" si="309"/>
        <v>0</v>
      </c>
    </row>
    <row r="10418" spans="6:10" hidden="1" x14ac:dyDescent="0.25">
      <c r="F10418" s="404">
        <v>415</v>
      </c>
      <c r="G10418" s="394" t="s">
        <v>4199</v>
      </c>
      <c r="J10418" s="595">
        <f t="shared" si="309"/>
        <v>0</v>
      </c>
    </row>
    <row r="10419" spans="6:10" hidden="1" x14ac:dyDescent="0.25">
      <c r="F10419" s="404">
        <v>416</v>
      </c>
      <c r="G10419" s="394" t="s">
        <v>4200</v>
      </c>
      <c r="J10419" s="595">
        <f t="shared" si="309"/>
        <v>0</v>
      </c>
    </row>
    <row r="10420" spans="6:10" hidden="1" x14ac:dyDescent="0.25">
      <c r="F10420" s="404">
        <v>417</v>
      </c>
      <c r="G10420" s="394" t="s">
        <v>4201</v>
      </c>
      <c r="J10420" s="595">
        <f t="shared" si="309"/>
        <v>0</v>
      </c>
    </row>
    <row r="10421" spans="6:10" hidden="1" x14ac:dyDescent="0.25">
      <c r="F10421" s="404">
        <v>418</v>
      </c>
      <c r="G10421" s="394" t="s">
        <v>3793</v>
      </c>
      <c r="J10421" s="595">
        <f t="shared" si="309"/>
        <v>0</v>
      </c>
    </row>
    <row r="10422" spans="6:10" hidden="1" x14ac:dyDescent="0.25">
      <c r="F10422" s="404">
        <v>421</v>
      </c>
      <c r="G10422" s="394" t="s">
        <v>3797</v>
      </c>
      <c r="J10422" s="595">
        <f t="shared" si="309"/>
        <v>0</v>
      </c>
    </row>
    <row r="10423" spans="6:10" hidden="1" x14ac:dyDescent="0.25">
      <c r="F10423" s="404">
        <v>422</v>
      </c>
      <c r="G10423" s="394" t="s">
        <v>3798</v>
      </c>
      <c r="J10423" s="595">
        <f t="shared" si="309"/>
        <v>0</v>
      </c>
    </row>
    <row r="10424" spans="6:10" hidden="1" x14ac:dyDescent="0.25">
      <c r="F10424" s="404">
        <v>423</v>
      </c>
      <c r="G10424" s="394" t="s">
        <v>3799</v>
      </c>
      <c r="J10424" s="595">
        <f t="shared" si="309"/>
        <v>0</v>
      </c>
    </row>
    <row r="10425" spans="6:10" hidden="1" x14ac:dyDescent="0.25">
      <c r="F10425" s="404">
        <v>424</v>
      </c>
      <c r="G10425" s="394" t="s">
        <v>3801</v>
      </c>
      <c r="J10425" s="595">
        <f t="shared" si="309"/>
        <v>0</v>
      </c>
    </row>
    <row r="10426" spans="6:10" hidden="1" x14ac:dyDescent="0.25">
      <c r="F10426" s="404">
        <v>425</v>
      </c>
      <c r="G10426" s="394" t="s">
        <v>4202</v>
      </c>
      <c r="J10426" s="595">
        <f t="shared" si="309"/>
        <v>0</v>
      </c>
    </row>
    <row r="10427" spans="6:10" hidden="1" x14ac:dyDescent="0.25">
      <c r="F10427" s="404">
        <v>426</v>
      </c>
      <c r="G10427" s="394" t="s">
        <v>3805</v>
      </c>
      <c r="J10427" s="595">
        <f t="shared" si="309"/>
        <v>0</v>
      </c>
    </row>
    <row r="10428" spans="6:10" hidden="1" x14ac:dyDescent="0.25">
      <c r="F10428" s="404">
        <v>431</v>
      </c>
      <c r="G10428" s="394" t="s">
        <v>4203</v>
      </c>
      <c r="J10428" s="595">
        <f t="shared" si="309"/>
        <v>0</v>
      </c>
    </row>
    <row r="10429" spans="6:10" hidden="1" x14ac:dyDescent="0.25">
      <c r="F10429" s="404">
        <v>432</v>
      </c>
      <c r="G10429" s="394" t="s">
        <v>4204</v>
      </c>
      <c r="J10429" s="595">
        <f t="shared" si="309"/>
        <v>0</v>
      </c>
    </row>
    <row r="10430" spans="6:10" hidden="1" x14ac:dyDescent="0.25">
      <c r="F10430" s="404">
        <v>433</v>
      </c>
      <c r="G10430" s="394" t="s">
        <v>4205</v>
      </c>
      <c r="J10430" s="595">
        <f t="shared" si="309"/>
        <v>0</v>
      </c>
    </row>
    <row r="10431" spans="6:10" hidden="1" x14ac:dyDescent="0.25">
      <c r="F10431" s="404">
        <v>434</v>
      </c>
      <c r="G10431" s="394" t="s">
        <v>4206</v>
      </c>
      <c r="J10431" s="595">
        <f t="shared" si="309"/>
        <v>0</v>
      </c>
    </row>
    <row r="10432" spans="6:10" hidden="1" x14ac:dyDescent="0.25">
      <c r="F10432" s="404">
        <v>435</v>
      </c>
      <c r="G10432" s="394" t="s">
        <v>3812</v>
      </c>
      <c r="J10432" s="595">
        <f t="shared" si="309"/>
        <v>0</v>
      </c>
    </row>
    <row r="10433" spans="6:10" hidden="1" x14ac:dyDescent="0.25">
      <c r="F10433" s="404">
        <v>441</v>
      </c>
      <c r="G10433" s="394" t="s">
        <v>4207</v>
      </c>
      <c r="J10433" s="595">
        <f t="shared" si="309"/>
        <v>0</v>
      </c>
    </row>
    <row r="10434" spans="6:10" hidden="1" x14ac:dyDescent="0.25">
      <c r="F10434" s="404">
        <v>442</v>
      </c>
      <c r="G10434" s="394" t="s">
        <v>4208</v>
      </c>
      <c r="J10434" s="595">
        <f t="shared" si="309"/>
        <v>0</v>
      </c>
    </row>
    <row r="10435" spans="6:10" hidden="1" x14ac:dyDescent="0.25">
      <c r="F10435" s="404">
        <v>443</v>
      </c>
      <c r="G10435" s="394" t="s">
        <v>3817</v>
      </c>
      <c r="J10435" s="595">
        <f t="shared" si="309"/>
        <v>0</v>
      </c>
    </row>
    <row r="10436" spans="6:10" hidden="1" x14ac:dyDescent="0.25">
      <c r="F10436" s="404">
        <v>444</v>
      </c>
      <c r="G10436" s="394" t="s">
        <v>3818</v>
      </c>
      <c r="J10436" s="595">
        <f t="shared" si="309"/>
        <v>0</v>
      </c>
    </row>
    <row r="10437" spans="6:10" ht="30" hidden="1" x14ac:dyDescent="0.25">
      <c r="F10437" s="404">
        <v>4511</v>
      </c>
      <c r="G10437" s="223" t="s">
        <v>1692</v>
      </c>
      <c r="J10437" s="595">
        <f t="shared" si="309"/>
        <v>0</v>
      </c>
    </row>
    <row r="10438" spans="6:10" ht="30" hidden="1" x14ac:dyDescent="0.25">
      <c r="F10438" s="404">
        <v>4512</v>
      </c>
      <c r="G10438" s="223" t="s">
        <v>1701</v>
      </c>
      <c r="J10438" s="595">
        <f t="shared" si="309"/>
        <v>0</v>
      </c>
    </row>
    <row r="10439" spans="6:10" hidden="1" x14ac:dyDescent="0.25">
      <c r="F10439" s="404">
        <v>452</v>
      </c>
      <c r="G10439" s="394" t="s">
        <v>4209</v>
      </c>
      <c r="J10439" s="595">
        <f t="shared" si="309"/>
        <v>0</v>
      </c>
    </row>
    <row r="10440" spans="6:10" hidden="1" x14ac:dyDescent="0.25">
      <c r="F10440" s="404">
        <v>453</v>
      </c>
      <c r="G10440" s="394" t="s">
        <v>4210</v>
      </c>
      <c r="J10440" s="595">
        <f t="shared" si="309"/>
        <v>0</v>
      </c>
    </row>
    <row r="10441" spans="6:10" hidden="1" x14ac:dyDescent="0.25">
      <c r="F10441" s="404">
        <v>454</v>
      </c>
      <c r="G10441" s="394" t="s">
        <v>3823</v>
      </c>
      <c r="J10441" s="595">
        <f t="shared" si="309"/>
        <v>0</v>
      </c>
    </row>
    <row r="10442" spans="6:10" hidden="1" x14ac:dyDescent="0.25">
      <c r="F10442" s="404">
        <v>461</v>
      </c>
      <c r="G10442" s="394" t="s">
        <v>4191</v>
      </c>
      <c r="J10442" s="595">
        <f t="shared" si="309"/>
        <v>0</v>
      </c>
    </row>
    <row r="10443" spans="6:10" hidden="1" x14ac:dyDescent="0.25">
      <c r="F10443" s="404">
        <v>462</v>
      </c>
      <c r="G10443" s="394" t="s">
        <v>3826</v>
      </c>
      <c r="J10443" s="595">
        <f t="shared" si="309"/>
        <v>0</v>
      </c>
    </row>
    <row r="10444" spans="6:10" hidden="1" x14ac:dyDescent="0.25">
      <c r="F10444" s="404">
        <v>4631</v>
      </c>
      <c r="G10444" s="394" t="s">
        <v>3827</v>
      </c>
      <c r="J10444" s="595">
        <f t="shared" si="309"/>
        <v>0</v>
      </c>
    </row>
    <row r="10445" spans="6:10" hidden="1" x14ac:dyDescent="0.25">
      <c r="F10445" s="404">
        <v>4632</v>
      </c>
      <c r="G10445" s="394" t="s">
        <v>3828</v>
      </c>
      <c r="J10445" s="595">
        <f t="shared" si="309"/>
        <v>0</v>
      </c>
    </row>
    <row r="10446" spans="6:10" hidden="1" x14ac:dyDescent="0.25">
      <c r="F10446" s="404">
        <v>464</v>
      </c>
      <c r="G10446" s="394" t="s">
        <v>3829</v>
      </c>
      <c r="J10446" s="595">
        <f t="shared" si="309"/>
        <v>0</v>
      </c>
    </row>
    <row r="10447" spans="6:10" hidden="1" x14ac:dyDescent="0.25">
      <c r="F10447" s="404">
        <v>465</v>
      </c>
      <c r="G10447" s="394" t="s">
        <v>4192</v>
      </c>
      <c r="J10447" s="595">
        <f t="shared" si="309"/>
        <v>0</v>
      </c>
    </row>
    <row r="10448" spans="6:10" hidden="1" x14ac:dyDescent="0.25">
      <c r="F10448" s="404">
        <v>472</v>
      </c>
      <c r="G10448" s="394" t="s">
        <v>3833</v>
      </c>
      <c r="J10448" s="595">
        <f t="shared" si="309"/>
        <v>0</v>
      </c>
    </row>
    <row r="10449" spans="6:10" hidden="1" x14ac:dyDescent="0.25">
      <c r="F10449" s="404">
        <v>481</v>
      </c>
      <c r="G10449" s="394" t="s">
        <v>4211</v>
      </c>
      <c r="J10449" s="595">
        <f t="shared" si="309"/>
        <v>0</v>
      </c>
    </row>
    <row r="10450" spans="6:10" hidden="1" x14ac:dyDescent="0.25">
      <c r="F10450" s="404">
        <v>482</v>
      </c>
      <c r="G10450" s="394" t="s">
        <v>4212</v>
      </c>
      <c r="J10450" s="595">
        <f t="shared" si="309"/>
        <v>0</v>
      </c>
    </row>
    <row r="10451" spans="6:10" hidden="1" x14ac:dyDescent="0.25">
      <c r="F10451" s="404">
        <v>483</v>
      </c>
      <c r="G10451" s="399" t="s">
        <v>4213</v>
      </c>
      <c r="J10451" s="595">
        <f t="shared" si="309"/>
        <v>0</v>
      </c>
    </row>
    <row r="10452" spans="6:10" ht="30" hidden="1" x14ac:dyDescent="0.25">
      <c r="F10452" s="404">
        <v>484</v>
      </c>
      <c r="G10452" s="394" t="s">
        <v>4214</v>
      </c>
      <c r="J10452" s="595">
        <f t="shared" si="309"/>
        <v>0</v>
      </c>
    </row>
    <row r="10453" spans="6:10" ht="30" hidden="1" x14ac:dyDescent="0.25">
      <c r="F10453" s="404">
        <v>485</v>
      </c>
      <c r="G10453" s="394" t="s">
        <v>4215</v>
      </c>
      <c r="J10453" s="595">
        <f t="shared" si="309"/>
        <v>0</v>
      </c>
    </row>
    <row r="10454" spans="6:10" ht="30" hidden="1" x14ac:dyDescent="0.25">
      <c r="F10454" s="404">
        <v>489</v>
      </c>
      <c r="G10454" s="394" t="s">
        <v>3841</v>
      </c>
      <c r="J10454" s="595">
        <f t="shared" si="309"/>
        <v>0</v>
      </c>
    </row>
    <row r="10455" spans="6:10" hidden="1" x14ac:dyDescent="0.25">
      <c r="F10455" s="404">
        <v>494</v>
      </c>
      <c r="G10455" s="394" t="s">
        <v>4193</v>
      </c>
      <c r="J10455" s="595">
        <f t="shared" si="309"/>
        <v>0</v>
      </c>
    </row>
    <row r="10456" spans="6:10" ht="30" hidden="1" x14ac:dyDescent="0.25">
      <c r="F10456" s="404">
        <v>495</v>
      </c>
      <c r="G10456" s="394" t="s">
        <v>4194</v>
      </c>
      <c r="J10456" s="595">
        <f t="shared" si="309"/>
        <v>0</v>
      </c>
    </row>
    <row r="10457" spans="6:10" ht="30" hidden="1" x14ac:dyDescent="0.25">
      <c r="F10457" s="404">
        <v>496</v>
      </c>
      <c r="G10457" s="394" t="s">
        <v>4195</v>
      </c>
      <c r="J10457" s="595">
        <f t="shared" si="309"/>
        <v>0</v>
      </c>
    </row>
    <row r="10458" spans="6:10" hidden="1" x14ac:dyDescent="0.25">
      <c r="F10458" s="404">
        <v>499</v>
      </c>
      <c r="G10458" s="394" t="s">
        <v>4196</v>
      </c>
      <c r="J10458" s="595">
        <f t="shared" si="309"/>
        <v>0</v>
      </c>
    </row>
    <row r="10459" spans="6:10" ht="15.75" hidden="1" thickBot="1" x14ac:dyDescent="0.3">
      <c r="F10459" s="404">
        <v>511</v>
      </c>
      <c r="G10459" s="399" t="s">
        <v>4216</v>
      </c>
      <c r="J10459" s="595">
        <f t="shared" si="309"/>
        <v>0</v>
      </c>
    </row>
    <row r="10460" spans="6:10" hidden="1" x14ac:dyDescent="0.25">
      <c r="F10460" s="404">
        <v>512</v>
      </c>
      <c r="G10460" s="399" t="s">
        <v>4217</v>
      </c>
      <c r="J10460" s="595">
        <f t="shared" si="309"/>
        <v>0</v>
      </c>
    </row>
    <row r="10461" spans="6:10" hidden="1" x14ac:dyDescent="0.25">
      <c r="F10461" s="404">
        <v>513</v>
      </c>
      <c r="G10461" s="399" t="s">
        <v>4218</v>
      </c>
      <c r="J10461" s="595">
        <f t="shared" si="309"/>
        <v>0</v>
      </c>
    </row>
    <row r="10462" spans="6:10" hidden="1" x14ac:dyDescent="0.25">
      <c r="F10462" s="404">
        <v>514</v>
      </c>
      <c r="G10462" s="394" t="s">
        <v>4219</v>
      </c>
      <c r="J10462" s="595">
        <f t="shared" si="309"/>
        <v>0</v>
      </c>
    </row>
    <row r="10463" spans="6:10" hidden="1" x14ac:dyDescent="0.25">
      <c r="F10463" s="404">
        <v>515</v>
      </c>
      <c r="G10463" s="394" t="s">
        <v>3852</v>
      </c>
      <c r="J10463" s="595">
        <f t="shared" si="309"/>
        <v>0</v>
      </c>
    </row>
    <row r="10464" spans="6:10" hidden="1" x14ac:dyDescent="0.25">
      <c r="F10464" s="404">
        <v>521</v>
      </c>
      <c r="G10464" s="394" t="s">
        <v>4220</v>
      </c>
      <c r="J10464" s="595">
        <f t="shared" si="309"/>
        <v>0</v>
      </c>
    </row>
    <row r="10465" spans="5:10" hidden="1" x14ac:dyDescent="0.25">
      <c r="F10465" s="404">
        <v>522</v>
      </c>
      <c r="G10465" s="394" t="s">
        <v>4221</v>
      </c>
      <c r="J10465" s="595">
        <f t="shared" si="309"/>
        <v>0</v>
      </c>
    </row>
    <row r="10466" spans="5:10" hidden="1" x14ac:dyDescent="0.25">
      <c r="F10466" s="404">
        <v>523</v>
      </c>
      <c r="G10466" s="394" t="s">
        <v>3857</v>
      </c>
      <c r="J10466" s="595">
        <f t="shared" si="309"/>
        <v>0</v>
      </c>
    </row>
    <row r="10467" spans="5:10" hidden="1" x14ac:dyDescent="0.25">
      <c r="F10467" s="404">
        <v>531</v>
      </c>
      <c r="G10467" s="392" t="s">
        <v>4197</v>
      </c>
      <c r="J10467" s="595">
        <f t="shared" si="309"/>
        <v>0</v>
      </c>
    </row>
    <row r="10468" spans="5:10" hidden="1" x14ac:dyDescent="0.25">
      <c r="F10468" s="404">
        <v>541</v>
      </c>
      <c r="G10468" s="394" t="s">
        <v>4222</v>
      </c>
      <c r="J10468" s="595">
        <f t="shared" si="309"/>
        <v>0</v>
      </c>
    </row>
    <row r="10469" spans="5:10" hidden="1" x14ac:dyDescent="0.25">
      <c r="F10469" s="404">
        <v>542</v>
      </c>
      <c r="G10469" s="394" t="s">
        <v>4223</v>
      </c>
      <c r="J10469" s="595">
        <f t="shared" si="309"/>
        <v>0</v>
      </c>
    </row>
    <row r="10470" spans="5:10" hidden="1" x14ac:dyDescent="0.25">
      <c r="F10470" s="404">
        <v>543</v>
      </c>
      <c r="G10470" s="394" t="s">
        <v>3862</v>
      </c>
      <c r="J10470" s="595">
        <f t="shared" si="309"/>
        <v>0</v>
      </c>
    </row>
    <row r="10471" spans="5:10" ht="30" hidden="1" x14ac:dyDescent="0.25">
      <c r="F10471" s="404">
        <v>551</v>
      </c>
      <c r="G10471" s="394" t="s">
        <v>4198</v>
      </c>
      <c r="J10471" s="595">
        <f t="shared" si="309"/>
        <v>0</v>
      </c>
    </row>
    <row r="10472" spans="5:10" hidden="1" x14ac:dyDescent="0.25">
      <c r="F10472" s="405">
        <v>611</v>
      </c>
      <c r="G10472" s="403" t="s">
        <v>3868</v>
      </c>
      <c r="J10472" s="595">
        <f t="shared" si="309"/>
        <v>0</v>
      </c>
    </row>
    <row r="10473" spans="5:10" ht="15.75" hidden="1" thickBot="1" x14ac:dyDescent="0.3">
      <c r="F10473" s="405">
        <v>620</v>
      </c>
      <c r="G10473" s="403" t="s">
        <v>88</v>
      </c>
      <c r="J10473" s="595">
        <f t="shared" si="309"/>
        <v>0</v>
      </c>
    </row>
    <row r="10474" spans="5:10" hidden="1" x14ac:dyDescent="0.25">
      <c r="E10474" s="393"/>
      <c r="F10474" s="405"/>
      <c r="G10474" s="326" t="s">
        <v>4387</v>
      </c>
      <c r="H10474" s="596"/>
      <c r="I10474" s="622"/>
      <c r="J10474" s="597"/>
    </row>
    <row r="10475" spans="5:10" ht="15.75" hidden="1" thickBot="1" x14ac:dyDescent="0.3">
      <c r="E10475" s="222"/>
      <c r="F10475" s="249" t="s">
        <v>234</v>
      </c>
      <c r="G10475" s="252" t="s">
        <v>235</v>
      </c>
      <c r="H10475" s="598">
        <f>SUM(H10414:H10473)</f>
        <v>0</v>
      </c>
      <c r="I10475" s="599"/>
      <c r="J10475" s="599">
        <f>SUM(H10475:I10475)</f>
        <v>0</v>
      </c>
    </row>
    <row r="10476" spans="5:10" hidden="1" x14ac:dyDescent="0.25">
      <c r="F10476" s="249" t="s">
        <v>236</v>
      </c>
      <c r="G10476" s="252" t="s">
        <v>237</v>
      </c>
      <c r="J10476" s="599">
        <f t="shared" ref="J10476:J10490" si="310">SUM(H10476:I10476)</f>
        <v>0</v>
      </c>
    </row>
    <row r="10477" spans="5:10" hidden="1" x14ac:dyDescent="0.25">
      <c r="F10477" s="249" t="s">
        <v>238</v>
      </c>
      <c r="G10477" s="252" t="s">
        <v>239</v>
      </c>
      <c r="J10477" s="599">
        <f t="shared" si="310"/>
        <v>0</v>
      </c>
    </row>
    <row r="10478" spans="5:10" hidden="1" x14ac:dyDescent="0.25">
      <c r="F10478" s="249" t="s">
        <v>240</v>
      </c>
      <c r="G10478" s="252" t="s">
        <v>241</v>
      </c>
      <c r="J10478" s="599">
        <f t="shared" si="310"/>
        <v>0</v>
      </c>
    </row>
    <row r="10479" spans="5:10" hidden="1" x14ac:dyDescent="0.25">
      <c r="F10479" s="249" t="s">
        <v>242</v>
      </c>
      <c r="G10479" s="252" t="s">
        <v>243</v>
      </c>
      <c r="J10479" s="599">
        <f t="shared" si="310"/>
        <v>0</v>
      </c>
    </row>
    <row r="10480" spans="5:10" hidden="1" x14ac:dyDescent="0.25">
      <c r="F10480" s="249" t="s">
        <v>244</v>
      </c>
      <c r="G10480" s="252" t="s">
        <v>245</v>
      </c>
      <c r="J10480" s="599">
        <f t="shared" si="310"/>
        <v>0</v>
      </c>
    </row>
    <row r="10481" spans="5:10" hidden="1" x14ac:dyDescent="0.25">
      <c r="F10481" s="249" t="s">
        <v>246</v>
      </c>
      <c r="G10481" s="252" t="s">
        <v>247</v>
      </c>
      <c r="J10481" s="599">
        <f t="shared" si="310"/>
        <v>0</v>
      </c>
    </row>
    <row r="10482" spans="5:10" hidden="1" x14ac:dyDescent="0.25">
      <c r="F10482" s="249" t="s">
        <v>248</v>
      </c>
      <c r="G10482" s="252" t="s">
        <v>249</v>
      </c>
      <c r="J10482" s="599">
        <f t="shared" si="310"/>
        <v>0</v>
      </c>
    </row>
    <row r="10483" spans="5:10" hidden="1" x14ac:dyDescent="0.25">
      <c r="F10483" s="249" t="s">
        <v>250</v>
      </c>
      <c r="G10483" s="252" t="s">
        <v>57</v>
      </c>
      <c r="J10483" s="599">
        <f t="shared" si="310"/>
        <v>0</v>
      </c>
    </row>
    <row r="10484" spans="5:10" hidden="1" x14ac:dyDescent="0.25">
      <c r="F10484" s="249" t="s">
        <v>251</v>
      </c>
      <c r="G10484" s="252" t="s">
        <v>252</v>
      </c>
      <c r="J10484" s="599">
        <f t="shared" si="310"/>
        <v>0</v>
      </c>
    </row>
    <row r="10485" spans="5:10" hidden="1" x14ac:dyDescent="0.25">
      <c r="F10485" s="249" t="s">
        <v>253</v>
      </c>
      <c r="G10485" s="252" t="s">
        <v>254</v>
      </c>
      <c r="J10485" s="599">
        <f t="shared" si="310"/>
        <v>0</v>
      </c>
    </row>
    <row r="10486" spans="5:10" ht="30" hidden="1" x14ac:dyDescent="0.25">
      <c r="F10486" s="249" t="s">
        <v>255</v>
      </c>
      <c r="G10486" s="252" t="s">
        <v>256</v>
      </c>
      <c r="J10486" s="599">
        <f t="shared" si="310"/>
        <v>0</v>
      </c>
    </row>
    <row r="10487" spans="5:10" hidden="1" x14ac:dyDescent="0.25">
      <c r="F10487" s="249" t="s">
        <v>257</v>
      </c>
      <c r="G10487" s="252" t="s">
        <v>258</v>
      </c>
      <c r="J10487" s="599">
        <f t="shared" si="310"/>
        <v>0</v>
      </c>
    </row>
    <row r="10488" spans="5:10" ht="30" hidden="1" x14ac:dyDescent="0.25">
      <c r="F10488" s="249" t="s">
        <v>259</v>
      </c>
      <c r="G10488" s="252" t="s">
        <v>260</v>
      </c>
      <c r="J10488" s="599">
        <f t="shared" si="310"/>
        <v>0</v>
      </c>
    </row>
    <row r="10489" spans="5:10" hidden="1" x14ac:dyDescent="0.25">
      <c r="F10489" s="249" t="s">
        <v>261</v>
      </c>
      <c r="G10489" s="252" t="s">
        <v>262</v>
      </c>
      <c r="J10489" s="599">
        <f t="shared" si="310"/>
        <v>0</v>
      </c>
    </row>
    <row r="10490" spans="5:10" ht="15.75" hidden="1" thickBot="1" x14ac:dyDescent="0.3">
      <c r="F10490" s="249" t="s">
        <v>263</v>
      </c>
      <c r="G10490" s="252" t="s">
        <v>264</v>
      </c>
      <c r="H10490" s="598"/>
      <c r="I10490" s="599"/>
      <c r="J10490" s="599">
        <f t="shared" si="310"/>
        <v>0</v>
      </c>
    </row>
    <row r="10491" spans="5:10" ht="15.75" hidden="1" thickBot="1" x14ac:dyDescent="0.3">
      <c r="G10491" s="229" t="s">
        <v>4386</v>
      </c>
      <c r="H10491" s="600">
        <f>SUM(H10475:H10490)</f>
        <v>0</v>
      </c>
      <c r="I10491" s="601">
        <f>SUM(I10476:I10490)</f>
        <v>0</v>
      </c>
      <c r="J10491" s="601">
        <f>SUM(J10475:J10490)</f>
        <v>0</v>
      </c>
    </row>
    <row r="10492" spans="5:10" hidden="1" collapsed="1" x14ac:dyDescent="0.25">
      <c r="E10492" s="393"/>
      <c r="F10492" s="405"/>
      <c r="G10492" s="231" t="s">
        <v>5054</v>
      </c>
      <c r="H10492" s="602"/>
      <c r="I10492" s="623"/>
      <c r="J10492" s="603"/>
    </row>
    <row r="10493" spans="5:10" ht="15.75" hidden="1" thickBot="1" x14ac:dyDescent="0.3">
      <c r="E10493" s="222"/>
      <c r="F10493" s="249" t="s">
        <v>234</v>
      </c>
      <c r="G10493" s="252" t="s">
        <v>235</v>
      </c>
      <c r="H10493" s="598">
        <f>SUM(H10414:H10473)</f>
        <v>0</v>
      </c>
      <c r="I10493" s="599"/>
      <c r="J10493" s="599">
        <f>SUM(H10493:I10493)</f>
        <v>0</v>
      </c>
    </row>
    <row r="10494" spans="5:10" hidden="1" x14ac:dyDescent="0.25">
      <c r="F10494" s="249" t="s">
        <v>236</v>
      </c>
      <c r="G10494" s="252" t="s">
        <v>237</v>
      </c>
      <c r="J10494" s="599">
        <f t="shared" ref="J10494:J10508" si="311">SUM(H10494:I10494)</f>
        <v>0</v>
      </c>
    </row>
    <row r="10495" spans="5:10" hidden="1" x14ac:dyDescent="0.25">
      <c r="F10495" s="249" t="s">
        <v>238</v>
      </c>
      <c r="G10495" s="252" t="s">
        <v>239</v>
      </c>
      <c r="J10495" s="599">
        <f t="shared" si="311"/>
        <v>0</v>
      </c>
    </row>
    <row r="10496" spans="5:10" hidden="1" x14ac:dyDescent="0.25">
      <c r="F10496" s="249" t="s">
        <v>240</v>
      </c>
      <c r="G10496" s="252" t="s">
        <v>241</v>
      </c>
      <c r="J10496" s="599">
        <f t="shared" si="311"/>
        <v>0</v>
      </c>
    </row>
    <row r="10497" spans="3:10" hidden="1" x14ac:dyDescent="0.25">
      <c r="F10497" s="249" t="s">
        <v>242</v>
      </c>
      <c r="G10497" s="252" t="s">
        <v>243</v>
      </c>
      <c r="J10497" s="599">
        <f t="shared" si="311"/>
        <v>0</v>
      </c>
    </row>
    <row r="10498" spans="3:10" hidden="1" x14ac:dyDescent="0.25">
      <c r="F10498" s="249" t="s">
        <v>244</v>
      </c>
      <c r="G10498" s="252" t="s">
        <v>245</v>
      </c>
      <c r="J10498" s="599">
        <f t="shared" si="311"/>
        <v>0</v>
      </c>
    </row>
    <row r="10499" spans="3:10" hidden="1" x14ac:dyDescent="0.25">
      <c r="F10499" s="249" t="s">
        <v>246</v>
      </c>
      <c r="G10499" s="252" t="s">
        <v>247</v>
      </c>
      <c r="J10499" s="599">
        <f t="shared" si="311"/>
        <v>0</v>
      </c>
    </row>
    <row r="10500" spans="3:10" hidden="1" x14ac:dyDescent="0.25">
      <c r="F10500" s="249" t="s">
        <v>248</v>
      </c>
      <c r="G10500" s="252" t="s">
        <v>249</v>
      </c>
      <c r="J10500" s="599">
        <f t="shared" si="311"/>
        <v>0</v>
      </c>
    </row>
    <row r="10501" spans="3:10" hidden="1" x14ac:dyDescent="0.25">
      <c r="F10501" s="249" t="s">
        <v>250</v>
      </c>
      <c r="G10501" s="252" t="s">
        <v>57</v>
      </c>
      <c r="J10501" s="599">
        <f t="shared" si="311"/>
        <v>0</v>
      </c>
    </row>
    <row r="10502" spans="3:10" hidden="1" x14ac:dyDescent="0.25">
      <c r="F10502" s="249" t="s">
        <v>251</v>
      </c>
      <c r="G10502" s="252" t="s">
        <v>252</v>
      </c>
      <c r="J10502" s="599">
        <f t="shared" si="311"/>
        <v>0</v>
      </c>
    </row>
    <row r="10503" spans="3:10" hidden="1" x14ac:dyDescent="0.25">
      <c r="F10503" s="249" t="s">
        <v>253</v>
      </c>
      <c r="G10503" s="252" t="s">
        <v>254</v>
      </c>
      <c r="J10503" s="599">
        <f t="shared" si="311"/>
        <v>0</v>
      </c>
    </row>
    <row r="10504" spans="3:10" ht="30" hidden="1" x14ac:dyDescent="0.25">
      <c r="F10504" s="249" t="s">
        <v>255</v>
      </c>
      <c r="G10504" s="252" t="s">
        <v>256</v>
      </c>
      <c r="J10504" s="599">
        <f t="shared" si="311"/>
        <v>0</v>
      </c>
    </row>
    <row r="10505" spans="3:10" hidden="1" x14ac:dyDescent="0.25">
      <c r="F10505" s="249" t="s">
        <v>257</v>
      </c>
      <c r="G10505" s="252" t="s">
        <v>258</v>
      </c>
      <c r="J10505" s="599">
        <f t="shared" si="311"/>
        <v>0</v>
      </c>
    </row>
    <row r="10506" spans="3:10" ht="30" hidden="1" x14ac:dyDescent="0.25">
      <c r="F10506" s="249" t="s">
        <v>259</v>
      </c>
      <c r="G10506" s="252" t="s">
        <v>260</v>
      </c>
      <c r="J10506" s="599">
        <f t="shared" si="311"/>
        <v>0</v>
      </c>
    </row>
    <row r="10507" spans="3:10" hidden="1" x14ac:dyDescent="0.25">
      <c r="F10507" s="249" t="s">
        <v>261</v>
      </c>
      <c r="G10507" s="252" t="s">
        <v>262</v>
      </c>
      <c r="J10507" s="599">
        <f t="shared" si="311"/>
        <v>0</v>
      </c>
    </row>
    <row r="10508" spans="3:10" ht="15.75" hidden="1" thickBot="1" x14ac:dyDescent="0.3">
      <c r="F10508" s="249" t="s">
        <v>263</v>
      </c>
      <c r="G10508" s="252" t="s">
        <v>264</v>
      </c>
      <c r="H10508" s="598"/>
      <c r="I10508" s="599"/>
      <c r="J10508" s="599">
        <f t="shared" si="311"/>
        <v>0</v>
      </c>
    </row>
    <row r="10509" spans="3:10" ht="15.75" hidden="1" thickBot="1" x14ac:dyDescent="0.3">
      <c r="G10509" s="229" t="s">
        <v>5040</v>
      </c>
      <c r="H10509" s="600">
        <f>SUM(H10493:H10508)</f>
        <v>0</v>
      </c>
      <c r="I10509" s="601">
        <f>SUM(I10494:I10508)</f>
        <v>0</v>
      </c>
      <c r="J10509" s="601">
        <f>SUM(J10493:J10508)</f>
        <v>0</v>
      </c>
    </row>
    <row r="10510" spans="3:10" hidden="1" x14ac:dyDescent="0.25"/>
    <row r="10511" spans="3:10" hidden="1" x14ac:dyDescent="0.25">
      <c r="C10511" s="228" t="s">
        <v>4664</v>
      </c>
      <c r="D10511" s="219"/>
      <c r="G10511" s="395" t="s">
        <v>5115</v>
      </c>
    </row>
    <row r="10512" spans="3:10" hidden="1" x14ac:dyDescent="0.25">
      <c r="C10512" s="228"/>
      <c r="D10512" s="312">
        <v>451</v>
      </c>
      <c r="E10512" s="312"/>
      <c r="F10512" s="312"/>
      <c r="G10512" s="313" t="s">
        <v>153</v>
      </c>
    </row>
    <row r="10513" spans="6:10" hidden="1" x14ac:dyDescent="0.25">
      <c r="F10513" s="404">
        <v>411</v>
      </c>
      <c r="G10513" s="394" t="s">
        <v>4189</v>
      </c>
      <c r="J10513" s="595">
        <f>SUM(H10513:I10513)</f>
        <v>0</v>
      </c>
    </row>
    <row r="10514" spans="6:10" hidden="1" x14ac:dyDescent="0.25">
      <c r="F10514" s="404">
        <v>412</v>
      </c>
      <c r="G10514" s="392" t="s">
        <v>3784</v>
      </c>
      <c r="J10514" s="595">
        <f t="shared" ref="J10514:J10572" si="312">SUM(H10514:I10514)</f>
        <v>0</v>
      </c>
    </row>
    <row r="10515" spans="6:10" hidden="1" x14ac:dyDescent="0.25">
      <c r="F10515" s="404">
        <v>413</v>
      </c>
      <c r="G10515" s="394" t="s">
        <v>4190</v>
      </c>
      <c r="J10515" s="595">
        <f t="shared" si="312"/>
        <v>0</v>
      </c>
    </row>
    <row r="10516" spans="6:10" hidden="1" x14ac:dyDescent="0.25">
      <c r="F10516" s="404">
        <v>414</v>
      </c>
      <c r="G10516" s="394" t="s">
        <v>3787</v>
      </c>
      <c r="J10516" s="595">
        <f t="shared" si="312"/>
        <v>0</v>
      </c>
    </row>
    <row r="10517" spans="6:10" hidden="1" x14ac:dyDescent="0.25">
      <c r="F10517" s="404">
        <v>415</v>
      </c>
      <c r="G10517" s="394" t="s">
        <v>4199</v>
      </c>
      <c r="J10517" s="595">
        <f t="shared" si="312"/>
        <v>0</v>
      </c>
    </row>
    <row r="10518" spans="6:10" hidden="1" x14ac:dyDescent="0.25">
      <c r="F10518" s="404">
        <v>416</v>
      </c>
      <c r="G10518" s="394" t="s">
        <v>4200</v>
      </c>
      <c r="J10518" s="595">
        <f t="shared" si="312"/>
        <v>0</v>
      </c>
    </row>
    <row r="10519" spans="6:10" hidden="1" x14ac:dyDescent="0.25">
      <c r="F10519" s="404">
        <v>417</v>
      </c>
      <c r="G10519" s="394" t="s">
        <v>4201</v>
      </c>
      <c r="J10519" s="595">
        <f t="shared" si="312"/>
        <v>0</v>
      </c>
    </row>
    <row r="10520" spans="6:10" hidden="1" x14ac:dyDescent="0.25">
      <c r="F10520" s="404">
        <v>418</v>
      </c>
      <c r="G10520" s="394" t="s">
        <v>3793</v>
      </c>
      <c r="J10520" s="595">
        <f t="shared" si="312"/>
        <v>0</v>
      </c>
    </row>
    <row r="10521" spans="6:10" hidden="1" x14ac:dyDescent="0.25">
      <c r="F10521" s="404">
        <v>421</v>
      </c>
      <c r="G10521" s="394" t="s">
        <v>3797</v>
      </c>
      <c r="J10521" s="595">
        <f t="shared" si="312"/>
        <v>0</v>
      </c>
    </row>
    <row r="10522" spans="6:10" hidden="1" x14ac:dyDescent="0.25">
      <c r="F10522" s="404">
        <v>422</v>
      </c>
      <c r="G10522" s="394" t="s">
        <v>3798</v>
      </c>
      <c r="J10522" s="595">
        <f t="shared" si="312"/>
        <v>0</v>
      </c>
    </row>
    <row r="10523" spans="6:10" hidden="1" x14ac:dyDescent="0.25">
      <c r="F10523" s="404">
        <v>423</v>
      </c>
      <c r="G10523" s="394" t="s">
        <v>3799</v>
      </c>
      <c r="J10523" s="595">
        <f t="shared" si="312"/>
        <v>0</v>
      </c>
    </row>
    <row r="10524" spans="6:10" hidden="1" x14ac:dyDescent="0.25">
      <c r="F10524" s="404">
        <v>424</v>
      </c>
      <c r="G10524" s="394" t="s">
        <v>3801</v>
      </c>
      <c r="J10524" s="595">
        <f t="shared" si="312"/>
        <v>0</v>
      </c>
    </row>
    <row r="10525" spans="6:10" hidden="1" x14ac:dyDescent="0.25">
      <c r="F10525" s="404">
        <v>425</v>
      </c>
      <c r="G10525" s="394" t="s">
        <v>4202</v>
      </c>
      <c r="J10525" s="595">
        <f t="shared" si="312"/>
        <v>0</v>
      </c>
    </row>
    <row r="10526" spans="6:10" hidden="1" x14ac:dyDescent="0.25">
      <c r="F10526" s="404">
        <v>426</v>
      </c>
      <c r="G10526" s="394" t="s">
        <v>3805</v>
      </c>
      <c r="J10526" s="595">
        <f t="shared" si="312"/>
        <v>0</v>
      </c>
    </row>
    <row r="10527" spans="6:10" hidden="1" x14ac:dyDescent="0.25">
      <c r="F10527" s="404">
        <v>431</v>
      </c>
      <c r="G10527" s="394" t="s">
        <v>4203</v>
      </c>
      <c r="J10527" s="595">
        <f t="shared" si="312"/>
        <v>0</v>
      </c>
    </row>
    <row r="10528" spans="6:10" hidden="1" x14ac:dyDescent="0.25">
      <c r="F10528" s="404">
        <v>432</v>
      </c>
      <c r="G10528" s="394" t="s">
        <v>4204</v>
      </c>
      <c r="J10528" s="595">
        <f t="shared" si="312"/>
        <v>0</v>
      </c>
    </row>
    <row r="10529" spans="6:10" hidden="1" x14ac:dyDescent="0.25">
      <c r="F10529" s="404">
        <v>433</v>
      </c>
      <c r="G10529" s="394" t="s">
        <v>4205</v>
      </c>
      <c r="J10529" s="595">
        <f t="shared" si="312"/>
        <v>0</v>
      </c>
    </row>
    <row r="10530" spans="6:10" hidden="1" x14ac:dyDescent="0.25">
      <c r="F10530" s="404">
        <v>434</v>
      </c>
      <c r="G10530" s="394" t="s">
        <v>4206</v>
      </c>
      <c r="J10530" s="595">
        <f t="shared" si="312"/>
        <v>0</v>
      </c>
    </row>
    <row r="10531" spans="6:10" hidden="1" x14ac:dyDescent="0.25">
      <c r="F10531" s="404">
        <v>435</v>
      </c>
      <c r="G10531" s="394" t="s">
        <v>3812</v>
      </c>
      <c r="J10531" s="595">
        <f t="shared" si="312"/>
        <v>0</v>
      </c>
    </row>
    <row r="10532" spans="6:10" hidden="1" x14ac:dyDescent="0.25">
      <c r="F10532" s="404">
        <v>441</v>
      </c>
      <c r="G10532" s="394" t="s">
        <v>4207</v>
      </c>
      <c r="J10532" s="595">
        <f t="shared" si="312"/>
        <v>0</v>
      </c>
    </row>
    <row r="10533" spans="6:10" hidden="1" x14ac:dyDescent="0.25">
      <c r="F10533" s="404">
        <v>442</v>
      </c>
      <c r="G10533" s="394" t="s">
        <v>4208</v>
      </c>
      <c r="J10533" s="595">
        <f t="shared" si="312"/>
        <v>0</v>
      </c>
    </row>
    <row r="10534" spans="6:10" hidden="1" x14ac:dyDescent="0.25">
      <c r="F10534" s="404">
        <v>443</v>
      </c>
      <c r="G10534" s="394" t="s">
        <v>3817</v>
      </c>
      <c r="J10534" s="595">
        <f t="shared" si="312"/>
        <v>0</v>
      </c>
    </row>
    <row r="10535" spans="6:10" hidden="1" x14ac:dyDescent="0.25">
      <c r="F10535" s="404">
        <v>444</v>
      </c>
      <c r="G10535" s="394" t="s">
        <v>3818</v>
      </c>
      <c r="J10535" s="595">
        <f t="shared" si="312"/>
        <v>0</v>
      </c>
    </row>
    <row r="10536" spans="6:10" ht="30" hidden="1" x14ac:dyDescent="0.25">
      <c r="F10536" s="404">
        <v>4511</v>
      </c>
      <c r="G10536" s="223" t="s">
        <v>1692</v>
      </c>
      <c r="J10536" s="595">
        <f t="shared" si="312"/>
        <v>0</v>
      </c>
    </row>
    <row r="10537" spans="6:10" ht="30" hidden="1" x14ac:dyDescent="0.25">
      <c r="F10537" s="404">
        <v>4512</v>
      </c>
      <c r="G10537" s="223" t="s">
        <v>1701</v>
      </c>
      <c r="J10537" s="595">
        <f t="shared" si="312"/>
        <v>0</v>
      </c>
    </row>
    <row r="10538" spans="6:10" hidden="1" x14ac:dyDescent="0.25">
      <c r="F10538" s="404">
        <v>452</v>
      </c>
      <c r="G10538" s="394" t="s">
        <v>4209</v>
      </c>
      <c r="J10538" s="595">
        <f t="shared" si="312"/>
        <v>0</v>
      </c>
    </row>
    <row r="10539" spans="6:10" hidden="1" x14ac:dyDescent="0.25">
      <c r="F10539" s="404">
        <v>453</v>
      </c>
      <c r="G10539" s="394" t="s">
        <v>4210</v>
      </c>
      <c r="J10539" s="595">
        <f t="shared" si="312"/>
        <v>0</v>
      </c>
    </row>
    <row r="10540" spans="6:10" hidden="1" x14ac:dyDescent="0.25">
      <c r="F10540" s="404">
        <v>454</v>
      </c>
      <c r="G10540" s="394" t="s">
        <v>3823</v>
      </c>
      <c r="J10540" s="595">
        <f t="shared" si="312"/>
        <v>0</v>
      </c>
    </row>
    <row r="10541" spans="6:10" hidden="1" x14ac:dyDescent="0.25">
      <c r="F10541" s="404">
        <v>461</v>
      </c>
      <c r="G10541" s="394" t="s">
        <v>4191</v>
      </c>
      <c r="J10541" s="595">
        <f t="shared" si="312"/>
        <v>0</v>
      </c>
    </row>
    <row r="10542" spans="6:10" hidden="1" x14ac:dyDescent="0.25">
      <c r="F10542" s="404">
        <v>462</v>
      </c>
      <c r="G10542" s="394" t="s">
        <v>3826</v>
      </c>
      <c r="J10542" s="595">
        <f t="shared" si="312"/>
        <v>0</v>
      </c>
    </row>
    <row r="10543" spans="6:10" hidden="1" x14ac:dyDescent="0.25">
      <c r="F10543" s="404">
        <v>4631</v>
      </c>
      <c r="G10543" s="394" t="s">
        <v>3827</v>
      </c>
      <c r="J10543" s="595">
        <f t="shared" si="312"/>
        <v>0</v>
      </c>
    </row>
    <row r="10544" spans="6:10" hidden="1" x14ac:dyDescent="0.25">
      <c r="F10544" s="404">
        <v>4632</v>
      </c>
      <c r="G10544" s="394" t="s">
        <v>3828</v>
      </c>
      <c r="J10544" s="595">
        <f t="shared" si="312"/>
        <v>0</v>
      </c>
    </row>
    <row r="10545" spans="6:10" hidden="1" x14ac:dyDescent="0.25">
      <c r="F10545" s="404">
        <v>464</v>
      </c>
      <c r="G10545" s="394" t="s">
        <v>3829</v>
      </c>
      <c r="J10545" s="595">
        <f t="shared" si="312"/>
        <v>0</v>
      </c>
    </row>
    <row r="10546" spans="6:10" hidden="1" x14ac:dyDescent="0.25">
      <c r="F10546" s="404">
        <v>465</v>
      </c>
      <c r="G10546" s="394" t="s">
        <v>4192</v>
      </c>
      <c r="J10546" s="595">
        <f t="shared" si="312"/>
        <v>0</v>
      </c>
    </row>
    <row r="10547" spans="6:10" hidden="1" x14ac:dyDescent="0.25">
      <c r="F10547" s="404">
        <v>472</v>
      </c>
      <c r="G10547" s="394" t="s">
        <v>3833</v>
      </c>
      <c r="J10547" s="595">
        <f t="shared" si="312"/>
        <v>0</v>
      </c>
    </row>
    <row r="10548" spans="6:10" hidden="1" x14ac:dyDescent="0.25">
      <c r="F10548" s="404">
        <v>481</v>
      </c>
      <c r="G10548" s="394" t="s">
        <v>4211</v>
      </c>
      <c r="J10548" s="595">
        <f t="shared" si="312"/>
        <v>0</v>
      </c>
    </row>
    <row r="10549" spans="6:10" hidden="1" x14ac:dyDescent="0.25">
      <c r="F10549" s="404">
        <v>482</v>
      </c>
      <c r="G10549" s="394" t="s">
        <v>4212</v>
      </c>
      <c r="J10549" s="595">
        <f t="shared" si="312"/>
        <v>0</v>
      </c>
    </row>
    <row r="10550" spans="6:10" hidden="1" x14ac:dyDescent="0.25">
      <c r="F10550" s="404">
        <v>483</v>
      </c>
      <c r="G10550" s="399" t="s">
        <v>4213</v>
      </c>
      <c r="J10550" s="595">
        <f t="shared" si="312"/>
        <v>0</v>
      </c>
    </row>
    <row r="10551" spans="6:10" ht="30" hidden="1" x14ac:dyDescent="0.25">
      <c r="F10551" s="404">
        <v>484</v>
      </c>
      <c r="G10551" s="394" t="s">
        <v>4214</v>
      </c>
      <c r="J10551" s="595">
        <f t="shared" si="312"/>
        <v>0</v>
      </c>
    </row>
    <row r="10552" spans="6:10" ht="30" hidden="1" x14ac:dyDescent="0.25">
      <c r="F10552" s="404">
        <v>485</v>
      </c>
      <c r="G10552" s="394" t="s">
        <v>4215</v>
      </c>
      <c r="J10552" s="595">
        <f t="shared" si="312"/>
        <v>0</v>
      </c>
    </row>
    <row r="10553" spans="6:10" ht="30" hidden="1" x14ac:dyDescent="0.25">
      <c r="F10553" s="404">
        <v>489</v>
      </c>
      <c r="G10553" s="394" t="s">
        <v>3841</v>
      </c>
      <c r="J10553" s="595">
        <f t="shared" si="312"/>
        <v>0</v>
      </c>
    </row>
    <row r="10554" spans="6:10" hidden="1" x14ac:dyDescent="0.25">
      <c r="F10554" s="404">
        <v>494</v>
      </c>
      <c r="G10554" s="394" t="s">
        <v>4193</v>
      </c>
      <c r="J10554" s="595">
        <f t="shared" si="312"/>
        <v>0</v>
      </c>
    </row>
    <row r="10555" spans="6:10" ht="30" hidden="1" x14ac:dyDescent="0.25">
      <c r="F10555" s="404">
        <v>495</v>
      </c>
      <c r="G10555" s="394" t="s">
        <v>4194</v>
      </c>
      <c r="J10555" s="595">
        <f t="shared" si="312"/>
        <v>0</v>
      </c>
    </row>
    <row r="10556" spans="6:10" ht="30" hidden="1" x14ac:dyDescent="0.25">
      <c r="F10556" s="404">
        <v>496</v>
      </c>
      <c r="G10556" s="394" t="s">
        <v>4195</v>
      </c>
      <c r="J10556" s="595">
        <f t="shared" si="312"/>
        <v>0</v>
      </c>
    </row>
    <row r="10557" spans="6:10" hidden="1" x14ac:dyDescent="0.25">
      <c r="F10557" s="404">
        <v>499</v>
      </c>
      <c r="G10557" s="394" t="s">
        <v>4196</v>
      </c>
      <c r="J10557" s="595">
        <f t="shared" si="312"/>
        <v>0</v>
      </c>
    </row>
    <row r="10558" spans="6:10" ht="15.75" hidden="1" thickBot="1" x14ac:dyDescent="0.3">
      <c r="F10558" s="404">
        <v>511</v>
      </c>
      <c r="G10558" s="399" t="s">
        <v>4216</v>
      </c>
      <c r="J10558" s="595">
        <f t="shared" si="312"/>
        <v>0</v>
      </c>
    </row>
    <row r="10559" spans="6:10" hidden="1" x14ac:dyDescent="0.25">
      <c r="F10559" s="404">
        <v>512</v>
      </c>
      <c r="G10559" s="399" t="s">
        <v>4217</v>
      </c>
      <c r="J10559" s="595">
        <f t="shared" si="312"/>
        <v>0</v>
      </c>
    </row>
    <row r="10560" spans="6:10" hidden="1" x14ac:dyDescent="0.25">
      <c r="F10560" s="404">
        <v>513</v>
      </c>
      <c r="G10560" s="399" t="s">
        <v>4218</v>
      </c>
      <c r="J10560" s="595">
        <f t="shared" si="312"/>
        <v>0</v>
      </c>
    </row>
    <row r="10561" spans="5:10" hidden="1" x14ac:dyDescent="0.25">
      <c r="F10561" s="404">
        <v>514</v>
      </c>
      <c r="G10561" s="394" t="s">
        <v>4219</v>
      </c>
      <c r="J10561" s="595">
        <f t="shared" si="312"/>
        <v>0</v>
      </c>
    </row>
    <row r="10562" spans="5:10" hidden="1" x14ac:dyDescent="0.25">
      <c r="F10562" s="404">
        <v>515</v>
      </c>
      <c r="G10562" s="394" t="s">
        <v>3852</v>
      </c>
      <c r="J10562" s="595">
        <f t="shared" si="312"/>
        <v>0</v>
      </c>
    </row>
    <row r="10563" spans="5:10" hidden="1" x14ac:dyDescent="0.25">
      <c r="F10563" s="404">
        <v>521</v>
      </c>
      <c r="G10563" s="394" t="s">
        <v>4220</v>
      </c>
      <c r="J10563" s="595">
        <f t="shared" si="312"/>
        <v>0</v>
      </c>
    </row>
    <row r="10564" spans="5:10" hidden="1" x14ac:dyDescent="0.25">
      <c r="F10564" s="404">
        <v>522</v>
      </c>
      <c r="G10564" s="394" t="s">
        <v>4221</v>
      </c>
      <c r="J10564" s="595">
        <f t="shared" si="312"/>
        <v>0</v>
      </c>
    </row>
    <row r="10565" spans="5:10" hidden="1" x14ac:dyDescent="0.25">
      <c r="F10565" s="404">
        <v>523</v>
      </c>
      <c r="G10565" s="394" t="s">
        <v>3857</v>
      </c>
      <c r="J10565" s="595">
        <f t="shared" si="312"/>
        <v>0</v>
      </c>
    </row>
    <row r="10566" spans="5:10" hidden="1" x14ac:dyDescent="0.25">
      <c r="F10566" s="404">
        <v>531</v>
      </c>
      <c r="G10566" s="392" t="s">
        <v>4197</v>
      </c>
      <c r="J10566" s="595">
        <f t="shared" si="312"/>
        <v>0</v>
      </c>
    </row>
    <row r="10567" spans="5:10" hidden="1" x14ac:dyDescent="0.25">
      <c r="F10567" s="404">
        <v>541</v>
      </c>
      <c r="G10567" s="394" t="s">
        <v>4222</v>
      </c>
      <c r="J10567" s="595">
        <f t="shared" si="312"/>
        <v>0</v>
      </c>
    </row>
    <row r="10568" spans="5:10" hidden="1" x14ac:dyDescent="0.25">
      <c r="F10568" s="404">
        <v>542</v>
      </c>
      <c r="G10568" s="394" t="s">
        <v>4223</v>
      </c>
      <c r="J10568" s="595">
        <f t="shared" si="312"/>
        <v>0</v>
      </c>
    </row>
    <row r="10569" spans="5:10" hidden="1" x14ac:dyDescent="0.25">
      <c r="F10569" s="404">
        <v>543</v>
      </c>
      <c r="G10569" s="394" t="s">
        <v>3862</v>
      </c>
      <c r="J10569" s="595">
        <f t="shared" si="312"/>
        <v>0</v>
      </c>
    </row>
    <row r="10570" spans="5:10" ht="30" hidden="1" x14ac:dyDescent="0.25">
      <c r="F10570" s="404">
        <v>551</v>
      </c>
      <c r="G10570" s="394" t="s">
        <v>4198</v>
      </c>
      <c r="J10570" s="595">
        <f t="shared" si="312"/>
        <v>0</v>
      </c>
    </row>
    <row r="10571" spans="5:10" hidden="1" x14ac:dyDescent="0.25">
      <c r="F10571" s="405">
        <v>611</v>
      </c>
      <c r="G10571" s="403" t="s">
        <v>3868</v>
      </c>
      <c r="J10571" s="595">
        <f t="shared" si="312"/>
        <v>0</v>
      </c>
    </row>
    <row r="10572" spans="5:10" ht="15.75" hidden="1" thickBot="1" x14ac:dyDescent="0.3">
      <c r="F10572" s="405">
        <v>620</v>
      </c>
      <c r="G10572" s="403" t="s">
        <v>88</v>
      </c>
      <c r="J10572" s="595">
        <f t="shared" si="312"/>
        <v>0</v>
      </c>
    </row>
    <row r="10573" spans="5:10" hidden="1" x14ac:dyDescent="0.25">
      <c r="E10573" s="393"/>
      <c r="F10573" s="405"/>
      <c r="G10573" s="326" t="s">
        <v>4387</v>
      </c>
      <c r="H10573" s="596"/>
      <c r="I10573" s="622"/>
      <c r="J10573" s="597"/>
    </row>
    <row r="10574" spans="5:10" ht="15.75" hidden="1" thickBot="1" x14ac:dyDescent="0.3">
      <c r="E10574" s="222"/>
      <c r="F10574" s="249" t="s">
        <v>234</v>
      </c>
      <c r="G10574" s="252" t="s">
        <v>235</v>
      </c>
      <c r="H10574" s="598">
        <f>SUM(H10513:H10572)</f>
        <v>0</v>
      </c>
      <c r="I10574" s="599"/>
      <c r="J10574" s="599">
        <f>SUM(H10574:I10574)</f>
        <v>0</v>
      </c>
    </row>
    <row r="10575" spans="5:10" hidden="1" x14ac:dyDescent="0.25">
      <c r="F10575" s="249" t="s">
        <v>236</v>
      </c>
      <c r="G10575" s="252" t="s">
        <v>237</v>
      </c>
      <c r="J10575" s="599">
        <f t="shared" ref="J10575:J10589" si="313">SUM(H10575:I10575)</f>
        <v>0</v>
      </c>
    </row>
    <row r="10576" spans="5:10" hidden="1" x14ac:dyDescent="0.25">
      <c r="F10576" s="249" t="s">
        <v>238</v>
      </c>
      <c r="G10576" s="252" t="s">
        <v>239</v>
      </c>
      <c r="J10576" s="599">
        <f t="shared" si="313"/>
        <v>0</v>
      </c>
    </row>
    <row r="10577" spans="5:10" hidden="1" x14ac:dyDescent="0.25">
      <c r="F10577" s="249" t="s">
        <v>240</v>
      </c>
      <c r="G10577" s="252" t="s">
        <v>241</v>
      </c>
      <c r="J10577" s="599">
        <f t="shared" si="313"/>
        <v>0</v>
      </c>
    </row>
    <row r="10578" spans="5:10" hidden="1" x14ac:dyDescent="0.25">
      <c r="F10578" s="249" t="s">
        <v>242</v>
      </c>
      <c r="G10578" s="252" t="s">
        <v>243</v>
      </c>
      <c r="J10578" s="599">
        <f t="shared" si="313"/>
        <v>0</v>
      </c>
    </row>
    <row r="10579" spans="5:10" hidden="1" x14ac:dyDescent="0.25">
      <c r="F10579" s="249" t="s">
        <v>244</v>
      </c>
      <c r="G10579" s="252" t="s">
        <v>245</v>
      </c>
      <c r="J10579" s="599">
        <f t="shared" si="313"/>
        <v>0</v>
      </c>
    </row>
    <row r="10580" spans="5:10" hidden="1" x14ac:dyDescent="0.25">
      <c r="F10580" s="249" t="s">
        <v>246</v>
      </c>
      <c r="G10580" s="252" t="s">
        <v>247</v>
      </c>
      <c r="J10580" s="599">
        <f t="shared" si="313"/>
        <v>0</v>
      </c>
    </row>
    <row r="10581" spans="5:10" hidden="1" x14ac:dyDescent="0.25">
      <c r="F10581" s="249" t="s">
        <v>248</v>
      </c>
      <c r="G10581" s="252" t="s">
        <v>249</v>
      </c>
      <c r="J10581" s="599">
        <f t="shared" si="313"/>
        <v>0</v>
      </c>
    </row>
    <row r="10582" spans="5:10" hidden="1" x14ac:dyDescent="0.25">
      <c r="F10582" s="249" t="s">
        <v>250</v>
      </c>
      <c r="G10582" s="252" t="s">
        <v>57</v>
      </c>
      <c r="J10582" s="599">
        <f t="shared" si="313"/>
        <v>0</v>
      </c>
    </row>
    <row r="10583" spans="5:10" hidden="1" x14ac:dyDescent="0.25">
      <c r="F10583" s="249" t="s">
        <v>251</v>
      </c>
      <c r="G10583" s="252" t="s">
        <v>252</v>
      </c>
      <c r="J10583" s="599">
        <f t="shared" si="313"/>
        <v>0</v>
      </c>
    </row>
    <row r="10584" spans="5:10" hidden="1" x14ac:dyDescent="0.25">
      <c r="F10584" s="249" t="s">
        <v>253</v>
      </c>
      <c r="G10584" s="252" t="s">
        <v>254</v>
      </c>
      <c r="J10584" s="599">
        <f t="shared" si="313"/>
        <v>0</v>
      </c>
    </row>
    <row r="10585" spans="5:10" ht="30" hidden="1" x14ac:dyDescent="0.25">
      <c r="F10585" s="249" t="s">
        <v>255</v>
      </c>
      <c r="G10585" s="252" t="s">
        <v>256</v>
      </c>
      <c r="J10585" s="599">
        <f t="shared" si="313"/>
        <v>0</v>
      </c>
    </row>
    <row r="10586" spans="5:10" hidden="1" x14ac:dyDescent="0.25">
      <c r="F10586" s="249" t="s">
        <v>257</v>
      </c>
      <c r="G10586" s="252" t="s">
        <v>258</v>
      </c>
      <c r="J10586" s="599">
        <f t="shared" si="313"/>
        <v>0</v>
      </c>
    </row>
    <row r="10587" spans="5:10" ht="30" hidden="1" x14ac:dyDescent="0.25">
      <c r="F10587" s="249" t="s">
        <v>259</v>
      </c>
      <c r="G10587" s="252" t="s">
        <v>260</v>
      </c>
      <c r="J10587" s="599">
        <f t="shared" si="313"/>
        <v>0</v>
      </c>
    </row>
    <row r="10588" spans="5:10" hidden="1" x14ac:dyDescent="0.25">
      <c r="F10588" s="249" t="s">
        <v>261</v>
      </c>
      <c r="G10588" s="252" t="s">
        <v>262</v>
      </c>
      <c r="J10588" s="599">
        <f t="shared" si="313"/>
        <v>0</v>
      </c>
    </row>
    <row r="10589" spans="5:10" ht="15.75" hidden="1" thickBot="1" x14ac:dyDescent="0.3">
      <c r="F10589" s="249" t="s">
        <v>263</v>
      </c>
      <c r="G10589" s="252" t="s">
        <v>264</v>
      </c>
      <c r="H10589" s="598"/>
      <c r="I10589" s="599"/>
      <c r="J10589" s="599">
        <f t="shared" si="313"/>
        <v>0</v>
      </c>
    </row>
    <row r="10590" spans="5:10" ht="15.75" hidden="1" thickBot="1" x14ac:dyDescent="0.3">
      <c r="G10590" s="229" t="s">
        <v>4386</v>
      </c>
      <c r="H10590" s="600">
        <f>SUM(H10574:H10589)</f>
        <v>0</v>
      </c>
      <c r="I10590" s="601">
        <f>SUM(I10575:I10589)</f>
        <v>0</v>
      </c>
      <c r="J10590" s="601">
        <f>SUM(J10574:J10589)</f>
        <v>0</v>
      </c>
    </row>
    <row r="10591" spans="5:10" hidden="1" collapsed="1" x14ac:dyDescent="0.25">
      <c r="E10591" s="393"/>
      <c r="F10591" s="405"/>
      <c r="G10591" s="231" t="s">
        <v>5082</v>
      </c>
      <c r="H10591" s="602"/>
      <c r="I10591" s="623"/>
      <c r="J10591" s="603"/>
    </row>
    <row r="10592" spans="5:10" ht="15.75" hidden="1" thickBot="1" x14ac:dyDescent="0.3">
      <c r="E10592" s="222"/>
      <c r="F10592" s="249" t="s">
        <v>234</v>
      </c>
      <c r="G10592" s="252" t="s">
        <v>235</v>
      </c>
      <c r="H10592" s="598">
        <f>SUM(H10513:H10572)</f>
        <v>0</v>
      </c>
      <c r="I10592" s="599"/>
      <c r="J10592" s="599">
        <f>SUM(H10592:I10592)</f>
        <v>0</v>
      </c>
    </row>
    <row r="10593" spans="6:10" hidden="1" x14ac:dyDescent="0.25">
      <c r="F10593" s="249" t="s">
        <v>236</v>
      </c>
      <c r="G10593" s="252" t="s">
        <v>237</v>
      </c>
      <c r="J10593" s="599">
        <f t="shared" ref="J10593:J10607" si="314">SUM(H10593:I10593)</f>
        <v>0</v>
      </c>
    </row>
    <row r="10594" spans="6:10" hidden="1" x14ac:dyDescent="0.25">
      <c r="F10594" s="249" t="s">
        <v>238</v>
      </c>
      <c r="G10594" s="252" t="s">
        <v>239</v>
      </c>
      <c r="J10594" s="599">
        <f t="shared" si="314"/>
        <v>0</v>
      </c>
    </row>
    <row r="10595" spans="6:10" hidden="1" x14ac:dyDescent="0.25">
      <c r="F10595" s="249" t="s">
        <v>240</v>
      </c>
      <c r="G10595" s="252" t="s">
        <v>241</v>
      </c>
      <c r="J10595" s="599">
        <f t="shared" si="314"/>
        <v>0</v>
      </c>
    </row>
    <row r="10596" spans="6:10" hidden="1" x14ac:dyDescent="0.25">
      <c r="F10596" s="249" t="s">
        <v>242</v>
      </c>
      <c r="G10596" s="252" t="s">
        <v>243</v>
      </c>
      <c r="J10596" s="599">
        <f t="shared" si="314"/>
        <v>0</v>
      </c>
    </row>
    <row r="10597" spans="6:10" hidden="1" x14ac:dyDescent="0.25">
      <c r="F10597" s="249" t="s">
        <v>244</v>
      </c>
      <c r="G10597" s="252" t="s">
        <v>245</v>
      </c>
      <c r="J10597" s="599">
        <f t="shared" si="314"/>
        <v>0</v>
      </c>
    </row>
    <row r="10598" spans="6:10" hidden="1" x14ac:dyDescent="0.25">
      <c r="F10598" s="249" t="s">
        <v>246</v>
      </c>
      <c r="G10598" s="252" t="s">
        <v>247</v>
      </c>
      <c r="J10598" s="599">
        <f t="shared" si="314"/>
        <v>0</v>
      </c>
    </row>
    <row r="10599" spans="6:10" hidden="1" x14ac:dyDescent="0.25">
      <c r="F10599" s="249" t="s">
        <v>248</v>
      </c>
      <c r="G10599" s="252" t="s">
        <v>249</v>
      </c>
      <c r="J10599" s="599">
        <f t="shared" si="314"/>
        <v>0</v>
      </c>
    </row>
    <row r="10600" spans="6:10" hidden="1" x14ac:dyDescent="0.25">
      <c r="F10600" s="249" t="s">
        <v>250</v>
      </c>
      <c r="G10600" s="252" t="s">
        <v>57</v>
      </c>
      <c r="J10600" s="599">
        <f t="shared" si="314"/>
        <v>0</v>
      </c>
    </row>
    <row r="10601" spans="6:10" hidden="1" x14ac:dyDescent="0.25">
      <c r="F10601" s="249" t="s">
        <v>251</v>
      </c>
      <c r="G10601" s="252" t="s">
        <v>252</v>
      </c>
      <c r="J10601" s="599">
        <f t="shared" si="314"/>
        <v>0</v>
      </c>
    </row>
    <row r="10602" spans="6:10" hidden="1" x14ac:dyDescent="0.25">
      <c r="F10602" s="249" t="s">
        <v>253</v>
      </c>
      <c r="G10602" s="252" t="s">
        <v>254</v>
      </c>
      <c r="J10602" s="599">
        <f t="shared" si="314"/>
        <v>0</v>
      </c>
    </row>
    <row r="10603" spans="6:10" ht="30" hidden="1" x14ac:dyDescent="0.25">
      <c r="F10603" s="249" t="s">
        <v>255</v>
      </c>
      <c r="G10603" s="252" t="s">
        <v>256</v>
      </c>
      <c r="J10603" s="599">
        <f t="shared" si="314"/>
        <v>0</v>
      </c>
    </row>
    <row r="10604" spans="6:10" hidden="1" x14ac:dyDescent="0.25">
      <c r="F10604" s="249" t="s">
        <v>257</v>
      </c>
      <c r="G10604" s="252" t="s">
        <v>258</v>
      </c>
      <c r="J10604" s="599">
        <f t="shared" si="314"/>
        <v>0</v>
      </c>
    </row>
    <row r="10605" spans="6:10" ht="30" hidden="1" x14ac:dyDescent="0.25">
      <c r="F10605" s="249" t="s">
        <v>259</v>
      </c>
      <c r="G10605" s="252" t="s">
        <v>260</v>
      </c>
      <c r="J10605" s="599">
        <f t="shared" si="314"/>
        <v>0</v>
      </c>
    </row>
    <row r="10606" spans="6:10" hidden="1" x14ac:dyDescent="0.25">
      <c r="F10606" s="249" t="s">
        <v>261</v>
      </c>
      <c r="G10606" s="252" t="s">
        <v>262</v>
      </c>
      <c r="J10606" s="599">
        <f t="shared" si="314"/>
        <v>0</v>
      </c>
    </row>
    <row r="10607" spans="6:10" ht="15.75" hidden="1" thickBot="1" x14ac:dyDescent="0.3">
      <c r="F10607" s="249" t="s">
        <v>263</v>
      </c>
      <c r="G10607" s="252" t="s">
        <v>264</v>
      </c>
      <c r="H10607" s="598"/>
      <c r="I10607" s="599"/>
      <c r="J10607" s="599">
        <f t="shared" si="314"/>
        <v>0</v>
      </c>
    </row>
    <row r="10608" spans="6:10" ht="15.75" hidden="1" thickBot="1" x14ac:dyDescent="0.3">
      <c r="G10608" s="229" t="s">
        <v>5041</v>
      </c>
      <c r="H10608" s="600">
        <f>SUM(H10592:H10607)</f>
        <v>0</v>
      </c>
      <c r="I10608" s="601">
        <f>SUM(I10593:I10607)</f>
        <v>0</v>
      </c>
      <c r="J10608" s="601">
        <f>SUM(J10592:J10607)</f>
        <v>0</v>
      </c>
    </row>
    <row r="10609" spans="3:10" hidden="1" x14ac:dyDescent="0.25"/>
    <row r="10610" spans="3:10" hidden="1" x14ac:dyDescent="0.25">
      <c r="C10610" s="228" t="s">
        <v>4665</v>
      </c>
      <c r="D10610" s="219"/>
      <c r="G10610" s="395"/>
    </row>
    <row r="10611" spans="3:10" ht="15.75" hidden="1" thickBot="1" x14ac:dyDescent="0.3">
      <c r="C10611" s="228"/>
      <c r="D10611" s="312">
        <v>451</v>
      </c>
      <c r="E10611" s="312"/>
      <c r="F10611" s="312"/>
      <c r="G10611" s="313" t="s">
        <v>153</v>
      </c>
    </row>
    <row r="10612" spans="3:10" hidden="1" x14ac:dyDescent="0.25">
      <c r="F10612" s="404">
        <v>411</v>
      </c>
      <c r="G10612" s="394" t="s">
        <v>4189</v>
      </c>
      <c r="J10612" s="595">
        <f>SUM(H10612:I10612)</f>
        <v>0</v>
      </c>
    </row>
    <row r="10613" spans="3:10" hidden="1" x14ac:dyDescent="0.25">
      <c r="F10613" s="404">
        <v>412</v>
      </c>
      <c r="G10613" s="392" t="s">
        <v>3784</v>
      </c>
      <c r="J10613" s="595">
        <f t="shared" ref="J10613:J10671" si="315">SUM(H10613:I10613)</f>
        <v>0</v>
      </c>
    </row>
    <row r="10614" spans="3:10" hidden="1" x14ac:dyDescent="0.25">
      <c r="F10614" s="404">
        <v>413</v>
      </c>
      <c r="G10614" s="394" t="s">
        <v>4190</v>
      </c>
      <c r="J10614" s="595">
        <f t="shared" si="315"/>
        <v>0</v>
      </c>
    </row>
    <row r="10615" spans="3:10" hidden="1" x14ac:dyDescent="0.25">
      <c r="F10615" s="404">
        <v>414</v>
      </c>
      <c r="G10615" s="394" t="s">
        <v>3787</v>
      </c>
      <c r="J10615" s="595">
        <f t="shared" si="315"/>
        <v>0</v>
      </c>
    </row>
    <row r="10616" spans="3:10" hidden="1" x14ac:dyDescent="0.25">
      <c r="F10616" s="404">
        <v>415</v>
      </c>
      <c r="G10616" s="394" t="s">
        <v>4199</v>
      </c>
      <c r="J10616" s="595">
        <f t="shared" si="315"/>
        <v>0</v>
      </c>
    </row>
    <row r="10617" spans="3:10" hidden="1" x14ac:dyDescent="0.25">
      <c r="F10617" s="404">
        <v>416</v>
      </c>
      <c r="G10617" s="394" t="s">
        <v>4200</v>
      </c>
      <c r="J10617" s="595">
        <f t="shared" si="315"/>
        <v>0</v>
      </c>
    </row>
    <row r="10618" spans="3:10" hidden="1" x14ac:dyDescent="0.25">
      <c r="F10618" s="404">
        <v>417</v>
      </c>
      <c r="G10618" s="394" t="s">
        <v>4201</v>
      </c>
      <c r="J10618" s="595">
        <f t="shared" si="315"/>
        <v>0</v>
      </c>
    </row>
    <row r="10619" spans="3:10" hidden="1" x14ac:dyDescent="0.25">
      <c r="F10619" s="404">
        <v>418</v>
      </c>
      <c r="G10619" s="394" t="s">
        <v>3793</v>
      </c>
      <c r="J10619" s="595">
        <f t="shared" si="315"/>
        <v>0</v>
      </c>
    </row>
    <row r="10620" spans="3:10" hidden="1" x14ac:dyDescent="0.25">
      <c r="F10620" s="404">
        <v>421</v>
      </c>
      <c r="G10620" s="394" t="s">
        <v>3797</v>
      </c>
      <c r="J10620" s="595">
        <f t="shared" si="315"/>
        <v>0</v>
      </c>
    </row>
    <row r="10621" spans="3:10" hidden="1" x14ac:dyDescent="0.25">
      <c r="F10621" s="404">
        <v>422</v>
      </c>
      <c r="G10621" s="394" t="s">
        <v>3798</v>
      </c>
      <c r="J10621" s="595">
        <f t="shared" si="315"/>
        <v>0</v>
      </c>
    </row>
    <row r="10622" spans="3:10" hidden="1" x14ac:dyDescent="0.25">
      <c r="F10622" s="404">
        <v>423</v>
      </c>
      <c r="G10622" s="394" t="s">
        <v>3799</v>
      </c>
      <c r="J10622" s="595">
        <f t="shared" si="315"/>
        <v>0</v>
      </c>
    </row>
    <row r="10623" spans="3:10" hidden="1" x14ac:dyDescent="0.25">
      <c r="F10623" s="404">
        <v>424</v>
      </c>
      <c r="G10623" s="394" t="s">
        <v>3801</v>
      </c>
      <c r="J10623" s="595">
        <f t="shared" si="315"/>
        <v>0</v>
      </c>
    </row>
    <row r="10624" spans="3:10" hidden="1" x14ac:dyDescent="0.25">
      <c r="F10624" s="404">
        <v>425</v>
      </c>
      <c r="G10624" s="394" t="s">
        <v>4202</v>
      </c>
      <c r="J10624" s="595">
        <f t="shared" si="315"/>
        <v>0</v>
      </c>
    </row>
    <row r="10625" spans="6:10" hidden="1" x14ac:dyDescent="0.25">
      <c r="F10625" s="404">
        <v>426</v>
      </c>
      <c r="G10625" s="394" t="s">
        <v>3805</v>
      </c>
      <c r="J10625" s="595">
        <f t="shared" si="315"/>
        <v>0</v>
      </c>
    </row>
    <row r="10626" spans="6:10" hidden="1" x14ac:dyDescent="0.25">
      <c r="F10626" s="404">
        <v>431</v>
      </c>
      <c r="G10626" s="394" t="s">
        <v>4203</v>
      </c>
      <c r="J10626" s="595">
        <f t="shared" si="315"/>
        <v>0</v>
      </c>
    </row>
    <row r="10627" spans="6:10" hidden="1" x14ac:dyDescent="0.25">
      <c r="F10627" s="404">
        <v>432</v>
      </c>
      <c r="G10627" s="394" t="s">
        <v>4204</v>
      </c>
      <c r="J10627" s="595">
        <f t="shared" si="315"/>
        <v>0</v>
      </c>
    </row>
    <row r="10628" spans="6:10" hidden="1" x14ac:dyDescent="0.25">
      <c r="F10628" s="404">
        <v>433</v>
      </c>
      <c r="G10628" s="394" t="s">
        <v>4205</v>
      </c>
      <c r="J10628" s="595">
        <f t="shared" si="315"/>
        <v>0</v>
      </c>
    </row>
    <row r="10629" spans="6:10" hidden="1" x14ac:dyDescent="0.25">
      <c r="F10629" s="404">
        <v>434</v>
      </c>
      <c r="G10629" s="394" t="s">
        <v>4206</v>
      </c>
      <c r="J10629" s="595">
        <f t="shared" si="315"/>
        <v>0</v>
      </c>
    </row>
    <row r="10630" spans="6:10" hidden="1" x14ac:dyDescent="0.25">
      <c r="F10630" s="404">
        <v>435</v>
      </c>
      <c r="G10630" s="394" t="s">
        <v>3812</v>
      </c>
      <c r="J10630" s="595">
        <f t="shared" si="315"/>
        <v>0</v>
      </c>
    </row>
    <row r="10631" spans="6:10" hidden="1" x14ac:dyDescent="0.25">
      <c r="F10631" s="404">
        <v>441</v>
      </c>
      <c r="G10631" s="394" t="s">
        <v>4207</v>
      </c>
      <c r="J10631" s="595">
        <f t="shared" si="315"/>
        <v>0</v>
      </c>
    </row>
    <row r="10632" spans="6:10" hidden="1" x14ac:dyDescent="0.25">
      <c r="F10632" s="404">
        <v>442</v>
      </c>
      <c r="G10632" s="394" t="s">
        <v>4208</v>
      </c>
      <c r="J10632" s="595">
        <f t="shared" si="315"/>
        <v>0</v>
      </c>
    </row>
    <row r="10633" spans="6:10" hidden="1" x14ac:dyDescent="0.25">
      <c r="F10633" s="404">
        <v>443</v>
      </c>
      <c r="G10633" s="394" t="s">
        <v>3817</v>
      </c>
      <c r="J10633" s="595">
        <f t="shared" si="315"/>
        <v>0</v>
      </c>
    </row>
    <row r="10634" spans="6:10" hidden="1" x14ac:dyDescent="0.25">
      <c r="F10634" s="404">
        <v>444</v>
      </c>
      <c r="G10634" s="394" t="s">
        <v>3818</v>
      </c>
      <c r="J10634" s="595">
        <f t="shared" si="315"/>
        <v>0</v>
      </c>
    </row>
    <row r="10635" spans="6:10" ht="30" hidden="1" x14ac:dyDescent="0.25">
      <c r="F10635" s="404">
        <v>4511</v>
      </c>
      <c r="G10635" s="223" t="s">
        <v>1692</v>
      </c>
      <c r="J10635" s="595">
        <f t="shared" si="315"/>
        <v>0</v>
      </c>
    </row>
    <row r="10636" spans="6:10" ht="30" hidden="1" x14ac:dyDescent="0.25">
      <c r="F10636" s="404">
        <v>4512</v>
      </c>
      <c r="G10636" s="223" t="s">
        <v>1701</v>
      </c>
      <c r="J10636" s="595">
        <f t="shared" si="315"/>
        <v>0</v>
      </c>
    </row>
    <row r="10637" spans="6:10" hidden="1" x14ac:dyDescent="0.25">
      <c r="F10637" s="404">
        <v>452</v>
      </c>
      <c r="G10637" s="394" t="s">
        <v>4209</v>
      </c>
      <c r="J10637" s="595">
        <f t="shared" si="315"/>
        <v>0</v>
      </c>
    </row>
    <row r="10638" spans="6:10" hidden="1" x14ac:dyDescent="0.25">
      <c r="F10638" s="404">
        <v>453</v>
      </c>
      <c r="G10638" s="394" t="s">
        <v>4210</v>
      </c>
      <c r="J10638" s="595">
        <f t="shared" si="315"/>
        <v>0</v>
      </c>
    </row>
    <row r="10639" spans="6:10" hidden="1" x14ac:dyDescent="0.25">
      <c r="F10639" s="404">
        <v>454</v>
      </c>
      <c r="G10639" s="394" t="s">
        <v>3823</v>
      </c>
      <c r="J10639" s="595">
        <f t="shared" si="315"/>
        <v>0</v>
      </c>
    </row>
    <row r="10640" spans="6:10" hidden="1" x14ac:dyDescent="0.25">
      <c r="F10640" s="404">
        <v>461</v>
      </c>
      <c r="G10640" s="394" t="s">
        <v>4191</v>
      </c>
      <c r="J10640" s="595">
        <f t="shared" si="315"/>
        <v>0</v>
      </c>
    </row>
    <row r="10641" spans="6:10" hidden="1" x14ac:dyDescent="0.25">
      <c r="F10641" s="404">
        <v>462</v>
      </c>
      <c r="G10641" s="394" t="s">
        <v>3826</v>
      </c>
      <c r="J10641" s="595">
        <f t="shared" si="315"/>
        <v>0</v>
      </c>
    </row>
    <row r="10642" spans="6:10" hidden="1" x14ac:dyDescent="0.25">
      <c r="F10642" s="404">
        <v>4631</v>
      </c>
      <c r="G10642" s="394" t="s">
        <v>3827</v>
      </c>
      <c r="J10642" s="595">
        <f t="shared" si="315"/>
        <v>0</v>
      </c>
    </row>
    <row r="10643" spans="6:10" hidden="1" x14ac:dyDescent="0.25">
      <c r="F10643" s="404">
        <v>4632</v>
      </c>
      <c r="G10643" s="394" t="s">
        <v>3828</v>
      </c>
      <c r="J10643" s="595">
        <f t="shared" si="315"/>
        <v>0</v>
      </c>
    </row>
    <row r="10644" spans="6:10" hidden="1" x14ac:dyDescent="0.25">
      <c r="F10644" s="404">
        <v>464</v>
      </c>
      <c r="G10644" s="394" t="s">
        <v>3829</v>
      </c>
      <c r="J10644" s="595">
        <f t="shared" si="315"/>
        <v>0</v>
      </c>
    </row>
    <row r="10645" spans="6:10" hidden="1" x14ac:dyDescent="0.25">
      <c r="F10645" s="404">
        <v>465</v>
      </c>
      <c r="G10645" s="394" t="s">
        <v>4192</v>
      </c>
      <c r="J10645" s="595">
        <f t="shared" si="315"/>
        <v>0</v>
      </c>
    </row>
    <row r="10646" spans="6:10" hidden="1" x14ac:dyDescent="0.25">
      <c r="F10646" s="404">
        <v>472</v>
      </c>
      <c r="G10646" s="394" t="s">
        <v>3833</v>
      </c>
      <c r="J10646" s="595">
        <f t="shared" si="315"/>
        <v>0</v>
      </c>
    </row>
    <row r="10647" spans="6:10" hidden="1" x14ac:dyDescent="0.25">
      <c r="F10647" s="404">
        <v>481</v>
      </c>
      <c r="G10647" s="394" t="s">
        <v>4211</v>
      </c>
      <c r="J10647" s="595">
        <f t="shared" si="315"/>
        <v>0</v>
      </c>
    </row>
    <row r="10648" spans="6:10" hidden="1" x14ac:dyDescent="0.25">
      <c r="F10648" s="404">
        <v>482</v>
      </c>
      <c r="G10648" s="394" t="s">
        <v>4212</v>
      </c>
      <c r="J10648" s="595">
        <f t="shared" si="315"/>
        <v>0</v>
      </c>
    </row>
    <row r="10649" spans="6:10" hidden="1" x14ac:dyDescent="0.25">
      <c r="F10649" s="404">
        <v>483</v>
      </c>
      <c r="G10649" s="399" t="s">
        <v>4213</v>
      </c>
      <c r="J10649" s="595">
        <f t="shared" si="315"/>
        <v>0</v>
      </c>
    </row>
    <row r="10650" spans="6:10" ht="30" hidden="1" x14ac:dyDescent="0.25">
      <c r="F10650" s="404">
        <v>484</v>
      </c>
      <c r="G10650" s="394" t="s">
        <v>4214</v>
      </c>
      <c r="J10650" s="595">
        <f t="shared" si="315"/>
        <v>0</v>
      </c>
    </row>
    <row r="10651" spans="6:10" ht="30" hidden="1" x14ac:dyDescent="0.25">
      <c r="F10651" s="404">
        <v>485</v>
      </c>
      <c r="G10651" s="394" t="s">
        <v>4215</v>
      </c>
      <c r="J10651" s="595">
        <f t="shared" si="315"/>
        <v>0</v>
      </c>
    </row>
    <row r="10652" spans="6:10" ht="30" hidden="1" x14ac:dyDescent="0.25">
      <c r="F10652" s="404">
        <v>489</v>
      </c>
      <c r="G10652" s="394" t="s">
        <v>3841</v>
      </c>
      <c r="J10652" s="595">
        <f t="shared" si="315"/>
        <v>0</v>
      </c>
    </row>
    <row r="10653" spans="6:10" hidden="1" x14ac:dyDescent="0.25">
      <c r="F10653" s="404">
        <v>494</v>
      </c>
      <c r="G10653" s="394" t="s">
        <v>4193</v>
      </c>
      <c r="J10653" s="595">
        <f t="shared" si="315"/>
        <v>0</v>
      </c>
    </row>
    <row r="10654" spans="6:10" ht="30" hidden="1" x14ac:dyDescent="0.25">
      <c r="F10654" s="404">
        <v>495</v>
      </c>
      <c r="G10654" s="394" t="s">
        <v>4194</v>
      </c>
      <c r="J10654" s="595">
        <f t="shared" si="315"/>
        <v>0</v>
      </c>
    </row>
    <row r="10655" spans="6:10" ht="30" hidden="1" x14ac:dyDescent="0.25">
      <c r="F10655" s="404">
        <v>496</v>
      </c>
      <c r="G10655" s="394" t="s">
        <v>4195</v>
      </c>
      <c r="J10655" s="595">
        <f t="shared" si="315"/>
        <v>0</v>
      </c>
    </row>
    <row r="10656" spans="6:10" hidden="1" x14ac:dyDescent="0.25">
      <c r="F10656" s="404">
        <v>499</v>
      </c>
      <c r="G10656" s="394" t="s">
        <v>4196</v>
      </c>
      <c r="J10656" s="595">
        <f t="shared" si="315"/>
        <v>0</v>
      </c>
    </row>
    <row r="10657" spans="5:10" hidden="1" x14ac:dyDescent="0.25">
      <c r="F10657" s="404">
        <v>511</v>
      </c>
      <c r="G10657" s="399" t="s">
        <v>4216</v>
      </c>
      <c r="J10657" s="595">
        <f t="shared" si="315"/>
        <v>0</v>
      </c>
    </row>
    <row r="10658" spans="5:10" hidden="1" x14ac:dyDescent="0.25">
      <c r="F10658" s="404">
        <v>512</v>
      </c>
      <c r="G10658" s="399" t="s">
        <v>4217</v>
      </c>
      <c r="J10658" s="595">
        <f t="shared" si="315"/>
        <v>0</v>
      </c>
    </row>
    <row r="10659" spans="5:10" hidden="1" x14ac:dyDescent="0.25">
      <c r="F10659" s="404">
        <v>513</v>
      </c>
      <c r="G10659" s="399" t="s">
        <v>4218</v>
      </c>
      <c r="J10659" s="595">
        <f t="shared" si="315"/>
        <v>0</v>
      </c>
    </row>
    <row r="10660" spans="5:10" hidden="1" x14ac:dyDescent="0.25">
      <c r="F10660" s="404">
        <v>514</v>
      </c>
      <c r="G10660" s="394" t="s">
        <v>4219</v>
      </c>
      <c r="J10660" s="595">
        <f t="shared" si="315"/>
        <v>0</v>
      </c>
    </row>
    <row r="10661" spans="5:10" hidden="1" x14ac:dyDescent="0.25">
      <c r="F10661" s="404">
        <v>515</v>
      </c>
      <c r="G10661" s="394" t="s">
        <v>3852</v>
      </c>
      <c r="J10661" s="595">
        <f t="shared" si="315"/>
        <v>0</v>
      </c>
    </row>
    <row r="10662" spans="5:10" hidden="1" x14ac:dyDescent="0.25">
      <c r="F10662" s="404">
        <v>521</v>
      </c>
      <c r="G10662" s="394" t="s">
        <v>4220</v>
      </c>
      <c r="J10662" s="595">
        <f t="shared" si="315"/>
        <v>0</v>
      </c>
    </row>
    <row r="10663" spans="5:10" hidden="1" x14ac:dyDescent="0.25">
      <c r="F10663" s="404">
        <v>522</v>
      </c>
      <c r="G10663" s="394" t="s">
        <v>4221</v>
      </c>
      <c r="J10663" s="595">
        <f t="shared" si="315"/>
        <v>0</v>
      </c>
    </row>
    <row r="10664" spans="5:10" hidden="1" x14ac:dyDescent="0.25">
      <c r="F10664" s="404">
        <v>523</v>
      </c>
      <c r="G10664" s="394" t="s">
        <v>3857</v>
      </c>
      <c r="J10664" s="595">
        <f t="shared" si="315"/>
        <v>0</v>
      </c>
    </row>
    <row r="10665" spans="5:10" hidden="1" x14ac:dyDescent="0.25">
      <c r="F10665" s="404">
        <v>531</v>
      </c>
      <c r="G10665" s="392" t="s">
        <v>4197</v>
      </c>
      <c r="J10665" s="595">
        <f t="shared" si="315"/>
        <v>0</v>
      </c>
    </row>
    <row r="10666" spans="5:10" hidden="1" x14ac:dyDescent="0.25">
      <c r="F10666" s="404">
        <v>541</v>
      </c>
      <c r="G10666" s="394" t="s">
        <v>4222</v>
      </c>
      <c r="J10666" s="595">
        <f t="shared" si="315"/>
        <v>0</v>
      </c>
    </row>
    <row r="10667" spans="5:10" hidden="1" x14ac:dyDescent="0.25">
      <c r="F10667" s="404">
        <v>542</v>
      </c>
      <c r="G10667" s="394" t="s">
        <v>4223</v>
      </c>
      <c r="J10667" s="595">
        <f t="shared" si="315"/>
        <v>0</v>
      </c>
    </row>
    <row r="10668" spans="5:10" hidden="1" x14ac:dyDescent="0.25">
      <c r="F10668" s="404">
        <v>543</v>
      </c>
      <c r="G10668" s="394" t="s">
        <v>3862</v>
      </c>
      <c r="J10668" s="595">
        <f t="shared" si="315"/>
        <v>0</v>
      </c>
    </row>
    <row r="10669" spans="5:10" ht="30" hidden="1" x14ac:dyDescent="0.25">
      <c r="F10669" s="404">
        <v>551</v>
      </c>
      <c r="G10669" s="394" t="s">
        <v>4198</v>
      </c>
      <c r="J10669" s="595">
        <f t="shared" si="315"/>
        <v>0</v>
      </c>
    </row>
    <row r="10670" spans="5:10" hidden="1" x14ac:dyDescent="0.25">
      <c r="F10670" s="405">
        <v>611</v>
      </c>
      <c r="G10670" s="403" t="s">
        <v>3868</v>
      </c>
      <c r="J10670" s="595">
        <f t="shared" si="315"/>
        <v>0</v>
      </c>
    </row>
    <row r="10671" spans="5:10" ht="15.75" hidden="1" thickBot="1" x14ac:dyDescent="0.3">
      <c r="F10671" s="405">
        <v>620</v>
      </c>
      <c r="G10671" s="403" t="s">
        <v>88</v>
      </c>
      <c r="J10671" s="595">
        <f t="shared" si="315"/>
        <v>0</v>
      </c>
    </row>
    <row r="10672" spans="5:10" hidden="1" x14ac:dyDescent="0.25">
      <c r="E10672" s="393"/>
      <c r="F10672" s="405"/>
      <c r="G10672" s="326" t="s">
        <v>4387</v>
      </c>
      <c r="H10672" s="596"/>
      <c r="I10672" s="622"/>
      <c r="J10672" s="597"/>
    </row>
    <row r="10673" spans="5:10" ht="15.75" hidden="1" thickBot="1" x14ac:dyDescent="0.3">
      <c r="E10673" s="222"/>
      <c r="F10673" s="249" t="s">
        <v>234</v>
      </c>
      <c r="G10673" s="252" t="s">
        <v>235</v>
      </c>
      <c r="H10673" s="598">
        <f>SUM(H10612:H10671)</f>
        <v>0</v>
      </c>
      <c r="I10673" s="599"/>
      <c r="J10673" s="599">
        <f>SUM(H10673:I10673)</f>
        <v>0</v>
      </c>
    </row>
    <row r="10674" spans="5:10" hidden="1" x14ac:dyDescent="0.25">
      <c r="F10674" s="249" t="s">
        <v>236</v>
      </c>
      <c r="G10674" s="252" t="s">
        <v>237</v>
      </c>
      <c r="J10674" s="599">
        <f t="shared" ref="J10674:J10688" si="316">SUM(H10674:I10674)</f>
        <v>0</v>
      </c>
    </row>
    <row r="10675" spans="5:10" hidden="1" x14ac:dyDescent="0.25">
      <c r="F10675" s="249" t="s">
        <v>238</v>
      </c>
      <c r="G10675" s="252" t="s">
        <v>239</v>
      </c>
      <c r="J10675" s="599">
        <f t="shared" si="316"/>
        <v>0</v>
      </c>
    </row>
    <row r="10676" spans="5:10" hidden="1" x14ac:dyDescent="0.25">
      <c r="F10676" s="249" t="s">
        <v>240</v>
      </c>
      <c r="G10676" s="252" t="s">
        <v>241</v>
      </c>
      <c r="J10676" s="599">
        <f t="shared" si="316"/>
        <v>0</v>
      </c>
    </row>
    <row r="10677" spans="5:10" hidden="1" x14ac:dyDescent="0.25">
      <c r="F10677" s="249" t="s">
        <v>242</v>
      </c>
      <c r="G10677" s="252" t="s">
        <v>243</v>
      </c>
      <c r="J10677" s="599">
        <f t="shared" si="316"/>
        <v>0</v>
      </c>
    </row>
    <row r="10678" spans="5:10" hidden="1" x14ac:dyDescent="0.25">
      <c r="F10678" s="249" t="s">
        <v>244</v>
      </c>
      <c r="G10678" s="252" t="s">
        <v>245</v>
      </c>
      <c r="J10678" s="599">
        <f t="shared" si="316"/>
        <v>0</v>
      </c>
    </row>
    <row r="10679" spans="5:10" hidden="1" x14ac:dyDescent="0.25">
      <c r="F10679" s="249" t="s">
        <v>246</v>
      </c>
      <c r="G10679" s="252" t="s">
        <v>247</v>
      </c>
      <c r="J10679" s="599">
        <f t="shared" si="316"/>
        <v>0</v>
      </c>
    </row>
    <row r="10680" spans="5:10" hidden="1" x14ac:dyDescent="0.25">
      <c r="F10680" s="249" t="s">
        <v>248</v>
      </c>
      <c r="G10680" s="252" t="s">
        <v>249</v>
      </c>
      <c r="J10680" s="599">
        <f t="shared" si="316"/>
        <v>0</v>
      </c>
    </row>
    <row r="10681" spans="5:10" hidden="1" x14ac:dyDescent="0.25">
      <c r="F10681" s="249" t="s">
        <v>250</v>
      </c>
      <c r="G10681" s="252" t="s">
        <v>57</v>
      </c>
      <c r="J10681" s="599">
        <f t="shared" si="316"/>
        <v>0</v>
      </c>
    </row>
    <row r="10682" spans="5:10" hidden="1" x14ac:dyDescent="0.25">
      <c r="F10682" s="249" t="s">
        <v>251</v>
      </c>
      <c r="G10682" s="252" t="s">
        <v>252</v>
      </c>
      <c r="J10682" s="599">
        <f t="shared" si="316"/>
        <v>0</v>
      </c>
    </row>
    <row r="10683" spans="5:10" hidden="1" x14ac:dyDescent="0.25">
      <c r="F10683" s="249" t="s">
        <v>253</v>
      </c>
      <c r="G10683" s="252" t="s">
        <v>254</v>
      </c>
      <c r="J10683" s="599">
        <f t="shared" si="316"/>
        <v>0</v>
      </c>
    </row>
    <row r="10684" spans="5:10" ht="30" hidden="1" x14ac:dyDescent="0.25">
      <c r="F10684" s="249" t="s">
        <v>255</v>
      </c>
      <c r="G10684" s="252" t="s">
        <v>256</v>
      </c>
      <c r="J10684" s="599">
        <f t="shared" si="316"/>
        <v>0</v>
      </c>
    </row>
    <row r="10685" spans="5:10" hidden="1" x14ac:dyDescent="0.25">
      <c r="F10685" s="249" t="s">
        <v>257</v>
      </c>
      <c r="G10685" s="252" t="s">
        <v>258</v>
      </c>
      <c r="J10685" s="599">
        <f t="shared" si="316"/>
        <v>0</v>
      </c>
    </row>
    <row r="10686" spans="5:10" ht="30" hidden="1" x14ac:dyDescent="0.25">
      <c r="F10686" s="249" t="s">
        <v>259</v>
      </c>
      <c r="G10686" s="252" t="s">
        <v>260</v>
      </c>
      <c r="J10686" s="599">
        <f t="shared" si="316"/>
        <v>0</v>
      </c>
    </row>
    <row r="10687" spans="5:10" hidden="1" x14ac:dyDescent="0.25">
      <c r="F10687" s="249" t="s">
        <v>261</v>
      </c>
      <c r="G10687" s="252" t="s">
        <v>262</v>
      </c>
      <c r="J10687" s="599">
        <f t="shared" si="316"/>
        <v>0</v>
      </c>
    </row>
    <row r="10688" spans="5:10" ht="15.75" hidden="1" thickBot="1" x14ac:dyDescent="0.3">
      <c r="F10688" s="249" t="s">
        <v>263</v>
      </c>
      <c r="G10688" s="252" t="s">
        <v>264</v>
      </c>
      <c r="H10688" s="598"/>
      <c r="I10688" s="599"/>
      <c r="J10688" s="599">
        <f t="shared" si="316"/>
        <v>0</v>
      </c>
    </row>
    <row r="10689" spans="5:10" ht="15.75" hidden="1" thickBot="1" x14ac:dyDescent="0.3">
      <c r="G10689" s="229" t="s">
        <v>4386</v>
      </c>
      <c r="H10689" s="600">
        <f>SUM(H10673:H10688)</f>
        <v>0</v>
      </c>
      <c r="I10689" s="601">
        <f>SUM(I10674:I10688)</f>
        <v>0</v>
      </c>
      <c r="J10689" s="601">
        <f>SUM(J10673:J10688)</f>
        <v>0</v>
      </c>
    </row>
    <row r="10690" spans="5:10" hidden="1" collapsed="1" x14ac:dyDescent="0.25">
      <c r="E10690" s="393"/>
      <c r="F10690" s="405"/>
      <c r="G10690" s="231" t="s">
        <v>5055</v>
      </c>
      <c r="H10690" s="602"/>
      <c r="I10690" s="623"/>
      <c r="J10690" s="603"/>
    </row>
    <row r="10691" spans="5:10" ht="15.75" hidden="1" thickBot="1" x14ac:dyDescent="0.3">
      <c r="E10691" s="222"/>
      <c r="F10691" s="249" t="s">
        <v>234</v>
      </c>
      <c r="G10691" s="252" t="s">
        <v>235</v>
      </c>
      <c r="H10691" s="598">
        <f>SUM(H10612:H10671)</f>
        <v>0</v>
      </c>
      <c r="I10691" s="599"/>
      <c r="J10691" s="599">
        <f>SUM(H10691:I10691)</f>
        <v>0</v>
      </c>
    </row>
    <row r="10692" spans="5:10" hidden="1" x14ac:dyDescent="0.25">
      <c r="F10692" s="249" t="s">
        <v>236</v>
      </c>
      <c r="G10692" s="252" t="s">
        <v>237</v>
      </c>
      <c r="J10692" s="599">
        <f t="shared" ref="J10692:J10706" si="317">SUM(H10692:I10692)</f>
        <v>0</v>
      </c>
    </row>
    <row r="10693" spans="5:10" hidden="1" x14ac:dyDescent="0.25">
      <c r="F10693" s="249" t="s">
        <v>238</v>
      </c>
      <c r="G10693" s="252" t="s">
        <v>239</v>
      </c>
      <c r="J10693" s="599">
        <f t="shared" si="317"/>
        <v>0</v>
      </c>
    </row>
    <row r="10694" spans="5:10" hidden="1" x14ac:dyDescent="0.25">
      <c r="F10694" s="249" t="s">
        <v>240</v>
      </c>
      <c r="G10694" s="252" t="s">
        <v>241</v>
      </c>
      <c r="J10694" s="599">
        <f t="shared" si="317"/>
        <v>0</v>
      </c>
    </row>
    <row r="10695" spans="5:10" hidden="1" x14ac:dyDescent="0.25">
      <c r="F10695" s="249" t="s">
        <v>242</v>
      </c>
      <c r="G10695" s="252" t="s">
        <v>243</v>
      </c>
      <c r="J10695" s="599">
        <f t="shared" si="317"/>
        <v>0</v>
      </c>
    </row>
    <row r="10696" spans="5:10" hidden="1" x14ac:dyDescent="0.25">
      <c r="F10696" s="249" t="s">
        <v>244</v>
      </c>
      <c r="G10696" s="252" t="s">
        <v>245</v>
      </c>
      <c r="J10696" s="599">
        <f t="shared" si="317"/>
        <v>0</v>
      </c>
    </row>
    <row r="10697" spans="5:10" hidden="1" x14ac:dyDescent="0.25">
      <c r="F10697" s="249" t="s">
        <v>246</v>
      </c>
      <c r="G10697" s="252" t="s">
        <v>247</v>
      </c>
      <c r="J10697" s="599">
        <f t="shared" si="317"/>
        <v>0</v>
      </c>
    </row>
    <row r="10698" spans="5:10" hidden="1" x14ac:dyDescent="0.25">
      <c r="F10698" s="249" t="s">
        <v>248</v>
      </c>
      <c r="G10698" s="252" t="s">
        <v>249</v>
      </c>
      <c r="J10698" s="599">
        <f t="shared" si="317"/>
        <v>0</v>
      </c>
    </row>
    <row r="10699" spans="5:10" hidden="1" x14ac:dyDescent="0.25">
      <c r="F10699" s="249" t="s">
        <v>250</v>
      </c>
      <c r="G10699" s="252" t="s">
        <v>57</v>
      </c>
      <c r="J10699" s="599">
        <f t="shared" si="317"/>
        <v>0</v>
      </c>
    </row>
    <row r="10700" spans="5:10" hidden="1" x14ac:dyDescent="0.25">
      <c r="F10700" s="249" t="s">
        <v>251</v>
      </c>
      <c r="G10700" s="252" t="s">
        <v>252</v>
      </c>
      <c r="J10700" s="599">
        <f t="shared" si="317"/>
        <v>0</v>
      </c>
    </row>
    <row r="10701" spans="5:10" hidden="1" x14ac:dyDescent="0.25">
      <c r="F10701" s="249" t="s">
        <v>253</v>
      </c>
      <c r="G10701" s="252" t="s">
        <v>254</v>
      </c>
      <c r="J10701" s="599">
        <f t="shared" si="317"/>
        <v>0</v>
      </c>
    </row>
    <row r="10702" spans="5:10" ht="30" hidden="1" x14ac:dyDescent="0.25">
      <c r="F10702" s="249" t="s">
        <v>255</v>
      </c>
      <c r="G10702" s="252" t="s">
        <v>256</v>
      </c>
      <c r="J10702" s="599">
        <f t="shared" si="317"/>
        <v>0</v>
      </c>
    </row>
    <row r="10703" spans="5:10" hidden="1" x14ac:dyDescent="0.25">
      <c r="F10703" s="249" t="s">
        <v>257</v>
      </c>
      <c r="G10703" s="252" t="s">
        <v>258</v>
      </c>
      <c r="J10703" s="599">
        <f t="shared" si="317"/>
        <v>0</v>
      </c>
    </row>
    <row r="10704" spans="5:10" ht="30" hidden="1" x14ac:dyDescent="0.25">
      <c r="F10704" s="249" t="s">
        <v>259</v>
      </c>
      <c r="G10704" s="252" t="s">
        <v>260</v>
      </c>
      <c r="J10704" s="599">
        <f t="shared" si="317"/>
        <v>0</v>
      </c>
    </row>
    <row r="10705" spans="5:10" hidden="1" x14ac:dyDescent="0.25">
      <c r="F10705" s="249" t="s">
        <v>261</v>
      </c>
      <c r="G10705" s="252" t="s">
        <v>262</v>
      </c>
      <c r="J10705" s="599">
        <f t="shared" si="317"/>
        <v>0</v>
      </c>
    </row>
    <row r="10706" spans="5:10" ht="15.75" hidden="1" thickBot="1" x14ac:dyDescent="0.3">
      <c r="F10706" s="249" t="s">
        <v>263</v>
      </c>
      <c r="G10706" s="252" t="s">
        <v>264</v>
      </c>
      <c r="H10706" s="598"/>
      <c r="I10706" s="599"/>
      <c r="J10706" s="599">
        <f t="shared" si="317"/>
        <v>0</v>
      </c>
    </row>
    <row r="10707" spans="5:10" ht="15.75" hidden="1" thickBot="1" x14ac:dyDescent="0.3">
      <c r="G10707" s="229" t="s">
        <v>5056</v>
      </c>
      <c r="H10707" s="600">
        <f>SUM(H10691:H10706)</f>
        <v>0</v>
      </c>
      <c r="I10707" s="601">
        <f>SUM(I10692:I10706)</f>
        <v>0</v>
      </c>
      <c r="J10707" s="601">
        <f>SUM(J10691:J10706)</f>
        <v>0</v>
      </c>
    </row>
    <row r="10709" spans="5:10" x14ac:dyDescent="0.25">
      <c r="E10709" s="393"/>
      <c r="F10709" s="405"/>
      <c r="G10709" s="250" t="s">
        <v>4269</v>
      </c>
      <c r="H10709" s="606"/>
      <c r="I10709" s="624"/>
      <c r="J10709" s="607"/>
    </row>
    <row r="10710" spans="5:10" ht="15.75" thickBot="1" x14ac:dyDescent="0.3">
      <c r="E10710" s="222"/>
      <c r="F10710" s="249" t="s">
        <v>234</v>
      </c>
      <c r="G10710" s="252" t="s">
        <v>235</v>
      </c>
      <c r="H10710" s="598">
        <f>SUM(H10691,H10592,H10493,H10394,H10295)</f>
        <v>78883206</v>
      </c>
      <c r="I10710" s="599"/>
      <c r="J10710" s="599">
        <f>SUM(H10710:I10710)</f>
        <v>78883206</v>
      </c>
    </row>
    <row r="10711" spans="5:10" hidden="1" x14ac:dyDescent="0.25">
      <c r="F10711" s="249" t="s">
        <v>236</v>
      </c>
      <c r="G10711" s="252" t="s">
        <v>237</v>
      </c>
      <c r="J10711" s="599">
        <f t="shared" ref="J10711:J10725" si="318">SUM(H10711:I10711)</f>
        <v>0</v>
      </c>
    </row>
    <row r="10712" spans="5:10" hidden="1" x14ac:dyDescent="0.25">
      <c r="F10712" s="249" t="s">
        <v>238</v>
      </c>
      <c r="G10712" s="252" t="s">
        <v>239</v>
      </c>
      <c r="J10712" s="599">
        <f t="shared" si="318"/>
        <v>0</v>
      </c>
    </row>
    <row r="10713" spans="5:10" hidden="1" x14ac:dyDescent="0.25">
      <c r="F10713" s="249" t="s">
        <v>240</v>
      </c>
      <c r="G10713" s="252" t="s">
        <v>241</v>
      </c>
      <c r="J10713" s="599">
        <f t="shared" si="318"/>
        <v>0</v>
      </c>
    </row>
    <row r="10714" spans="5:10" hidden="1" x14ac:dyDescent="0.25">
      <c r="F10714" s="249" t="s">
        <v>242</v>
      </c>
      <c r="G10714" s="252" t="s">
        <v>243</v>
      </c>
      <c r="J10714" s="599">
        <f t="shared" si="318"/>
        <v>0</v>
      </c>
    </row>
    <row r="10715" spans="5:10" hidden="1" x14ac:dyDescent="0.25">
      <c r="F10715" s="249" t="s">
        <v>244</v>
      </c>
      <c r="G10715" s="252" t="s">
        <v>245</v>
      </c>
      <c r="J10715" s="599">
        <f t="shared" si="318"/>
        <v>0</v>
      </c>
    </row>
    <row r="10716" spans="5:10" hidden="1" x14ac:dyDescent="0.25">
      <c r="F10716" s="249" t="s">
        <v>246</v>
      </c>
      <c r="G10716" s="252" t="s">
        <v>247</v>
      </c>
      <c r="J10716" s="599">
        <f t="shared" si="318"/>
        <v>0</v>
      </c>
    </row>
    <row r="10717" spans="5:10" hidden="1" x14ac:dyDescent="0.25">
      <c r="F10717" s="249" t="s">
        <v>248</v>
      </c>
      <c r="G10717" s="252" t="s">
        <v>249</v>
      </c>
      <c r="J10717" s="599">
        <f t="shared" si="318"/>
        <v>0</v>
      </c>
    </row>
    <row r="10718" spans="5:10" hidden="1" x14ac:dyDescent="0.25">
      <c r="F10718" s="249" t="s">
        <v>250</v>
      </c>
      <c r="G10718" s="252" t="s">
        <v>57</v>
      </c>
      <c r="J10718" s="599">
        <f t="shared" si="318"/>
        <v>0</v>
      </c>
    </row>
    <row r="10719" spans="5:10" hidden="1" x14ac:dyDescent="0.25">
      <c r="F10719" s="249" t="s">
        <v>251</v>
      </c>
      <c r="G10719" s="252" t="s">
        <v>252</v>
      </c>
      <c r="J10719" s="599">
        <f t="shared" si="318"/>
        <v>0</v>
      </c>
    </row>
    <row r="10720" spans="5:10" hidden="1" x14ac:dyDescent="0.25">
      <c r="F10720" s="249" t="s">
        <v>253</v>
      </c>
      <c r="G10720" s="252" t="s">
        <v>254</v>
      </c>
      <c r="J10720" s="599">
        <f t="shared" si="318"/>
        <v>0</v>
      </c>
    </row>
    <row r="10721" spans="5:10" ht="30" hidden="1" x14ac:dyDescent="0.25">
      <c r="F10721" s="249" t="s">
        <v>255</v>
      </c>
      <c r="G10721" s="252" t="s">
        <v>256</v>
      </c>
      <c r="J10721" s="599">
        <f t="shared" si="318"/>
        <v>0</v>
      </c>
    </row>
    <row r="10722" spans="5:10" hidden="1" x14ac:dyDescent="0.25">
      <c r="F10722" s="249" t="s">
        <v>257</v>
      </c>
      <c r="G10722" s="252" t="s">
        <v>258</v>
      </c>
      <c r="J10722" s="599">
        <f t="shared" si="318"/>
        <v>0</v>
      </c>
    </row>
    <row r="10723" spans="5:10" ht="30" hidden="1" x14ac:dyDescent="0.25">
      <c r="F10723" s="249" t="s">
        <v>259</v>
      </c>
      <c r="G10723" s="252" t="s">
        <v>260</v>
      </c>
      <c r="J10723" s="599">
        <f t="shared" si="318"/>
        <v>0</v>
      </c>
    </row>
    <row r="10724" spans="5:10" hidden="1" x14ac:dyDescent="0.25">
      <c r="F10724" s="249" t="s">
        <v>261</v>
      </c>
      <c r="G10724" s="252" t="s">
        <v>262</v>
      </c>
      <c r="J10724" s="599">
        <f t="shared" si="318"/>
        <v>0</v>
      </c>
    </row>
    <row r="10725" spans="5:10" ht="15.75" hidden="1" thickBot="1" x14ac:dyDescent="0.3">
      <c r="F10725" s="249" t="s">
        <v>263</v>
      </c>
      <c r="G10725" s="252" t="s">
        <v>264</v>
      </c>
      <c r="H10725" s="598"/>
      <c r="I10725" s="599"/>
      <c r="J10725" s="599">
        <f t="shared" si="318"/>
        <v>0</v>
      </c>
    </row>
    <row r="10726" spans="5:10" ht="15.75" thickBot="1" x14ac:dyDescent="0.3">
      <c r="G10726" s="229" t="s">
        <v>4270</v>
      </c>
      <c r="H10726" s="600">
        <f>SUM(H10710:H10725)</f>
        <v>78883206</v>
      </c>
      <c r="I10726" s="601">
        <f>SUM(I10711:I10725)</f>
        <v>0</v>
      </c>
      <c r="J10726" s="601">
        <f>SUM(J10710:J10725)</f>
        <v>78883206</v>
      </c>
    </row>
    <row r="10728" spans="5:10" x14ac:dyDescent="0.25">
      <c r="E10728" s="393"/>
      <c r="F10728" s="405"/>
      <c r="G10728" s="250" t="s">
        <v>4472</v>
      </c>
      <c r="H10728" s="606"/>
      <c r="I10728" s="624"/>
      <c r="J10728" s="607"/>
    </row>
    <row r="10729" spans="5:10" ht="15.75" thickBot="1" x14ac:dyDescent="0.3">
      <c r="E10729" s="222"/>
      <c r="F10729" s="249" t="s">
        <v>234</v>
      </c>
      <c r="G10729" s="252" t="s">
        <v>235</v>
      </c>
      <c r="H10729" s="598">
        <f>SUM(H10710,H10194,H9380)</f>
        <v>91883206</v>
      </c>
      <c r="I10729" s="599"/>
      <c r="J10729" s="599">
        <f>SUM(H10729:I10729)</f>
        <v>91883206</v>
      </c>
    </row>
    <row r="10730" spans="5:10" hidden="1" x14ac:dyDescent="0.25">
      <c r="F10730" s="249" t="s">
        <v>236</v>
      </c>
      <c r="G10730" s="252" t="s">
        <v>237</v>
      </c>
      <c r="J10730" s="599">
        <f t="shared" ref="J10730:J10744" si="319">SUM(H10730:I10730)</f>
        <v>0</v>
      </c>
    </row>
    <row r="10731" spans="5:10" hidden="1" x14ac:dyDescent="0.25">
      <c r="F10731" s="249" t="s">
        <v>238</v>
      </c>
      <c r="G10731" s="252" t="s">
        <v>239</v>
      </c>
      <c r="J10731" s="599">
        <f t="shared" si="319"/>
        <v>0</v>
      </c>
    </row>
    <row r="10732" spans="5:10" hidden="1" x14ac:dyDescent="0.25">
      <c r="F10732" s="249" t="s">
        <v>240</v>
      </c>
      <c r="G10732" s="252" t="s">
        <v>241</v>
      </c>
      <c r="J10732" s="599">
        <f t="shared" si="319"/>
        <v>0</v>
      </c>
    </row>
    <row r="10733" spans="5:10" hidden="1" x14ac:dyDescent="0.25">
      <c r="F10733" s="249" t="s">
        <v>242</v>
      </c>
      <c r="G10733" s="252" t="s">
        <v>243</v>
      </c>
      <c r="J10733" s="599">
        <f t="shared" si="319"/>
        <v>0</v>
      </c>
    </row>
    <row r="10734" spans="5:10" hidden="1" x14ac:dyDescent="0.25">
      <c r="F10734" s="249" t="s">
        <v>244</v>
      </c>
      <c r="G10734" s="252" t="s">
        <v>245</v>
      </c>
      <c r="J10734" s="599">
        <f t="shared" si="319"/>
        <v>0</v>
      </c>
    </row>
    <row r="10735" spans="5:10" hidden="1" x14ac:dyDescent="0.25">
      <c r="F10735" s="249" t="s">
        <v>246</v>
      </c>
      <c r="G10735" s="252" t="s">
        <v>247</v>
      </c>
      <c r="J10735" s="599">
        <f t="shared" si="319"/>
        <v>0</v>
      </c>
    </row>
    <row r="10736" spans="5:10" hidden="1" x14ac:dyDescent="0.25">
      <c r="F10736" s="249" t="s">
        <v>248</v>
      </c>
      <c r="G10736" s="252" t="s">
        <v>249</v>
      </c>
      <c r="J10736" s="599">
        <f t="shared" si="319"/>
        <v>0</v>
      </c>
    </row>
    <row r="10737" spans="1:10" hidden="1" x14ac:dyDescent="0.25">
      <c r="F10737" s="249" t="s">
        <v>250</v>
      </c>
      <c r="G10737" s="252" t="s">
        <v>57</v>
      </c>
      <c r="J10737" s="599">
        <f t="shared" si="319"/>
        <v>0</v>
      </c>
    </row>
    <row r="10738" spans="1:10" hidden="1" x14ac:dyDescent="0.25">
      <c r="F10738" s="249" t="s">
        <v>251</v>
      </c>
      <c r="G10738" s="252" t="s">
        <v>252</v>
      </c>
      <c r="J10738" s="599">
        <f t="shared" si="319"/>
        <v>0</v>
      </c>
    </row>
    <row r="10739" spans="1:10" hidden="1" x14ac:dyDescent="0.25">
      <c r="F10739" s="249" t="s">
        <v>253</v>
      </c>
      <c r="G10739" s="252" t="s">
        <v>254</v>
      </c>
      <c r="J10739" s="599">
        <f t="shared" si="319"/>
        <v>0</v>
      </c>
    </row>
    <row r="10740" spans="1:10" ht="30" hidden="1" x14ac:dyDescent="0.25">
      <c r="F10740" s="249" t="s">
        <v>255</v>
      </c>
      <c r="G10740" s="252" t="s">
        <v>256</v>
      </c>
      <c r="J10740" s="599">
        <f t="shared" si="319"/>
        <v>0</v>
      </c>
    </row>
    <row r="10741" spans="1:10" hidden="1" x14ac:dyDescent="0.25">
      <c r="F10741" s="249" t="s">
        <v>257</v>
      </c>
      <c r="G10741" s="252" t="s">
        <v>258</v>
      </c>
      <c r="J10741" s="599">
        <f t="shared" si="319"/>
        <v>0</v>
      </c>
    </row>
    <row r="10742" spans="1:10" ht="30" hidden="1" x14ac:dyDescent="0.25">
      <c r="F10742" s="249" t="s">
        <v>259</v>
      </c>
      <c r="G10742" s="252" t="s">
        <v>260</v>
      </c>
      <c r="J10742" s="599">
        <f t="shared" si="319"/>
        <v>0</v>
      </c>
    </row>
    <row r="10743" spans="1:10" hidden="1" x14ac:dyDescent="0.25">
      <c r="F10743" s="249" t="s">
        <v>261</v>
      </c>
      <c r="G10743" s="252" t="s">
        <v>262</v>
      </c>
      <c r="J10743" s="599">
        <f t="shared" si="319"/>
        <v>0</v>
      </c>
    </row>
    <row r="10744" spans="1:10" ht="15.75" hidden="1" thickBot="1" x14ac:dyDescent="0.3">
      <c r="F10744" s="249" t="s">
        <v>263</v>
      </c>
      <c r="G10744" s="252" t="s">
        <v>264</v>
      </c>
      <c r="H10744" s="598"/>
      <c r="I10744" s="599"/>
      <c r="J10744" s="599">
        <f t="shared" si="319"/>
        <v>0</v>
      </c>
    </row>
    <row r="10745" spans="1:10" ht="15.75" thickBot="1" x14ac:dyDescent="0.3">
      <c r="G10745" s="229" t="s">
        <v>4473</v>
      </c>
      <c r="H10745" s="600">
        <f>SUM(H10729:H10744)</f>
        <v>91883206</v>
      </c>
      <c r="I10745" s="601">
        <f>SUM(I10730:I10744)</f>
        <v>0</v>
      </c>
      <c r="J10745" s="601">
        <f>SUM(J10729:J10744)</f>
        <v>91883206</v>
      </c>
    </row>
    <row r="10747" spans="1:10" hidden="1" x14ac:dyDescent="0.25"/>
    <row r="10748" spans="1:10" hidden="1" x14ac:dyDescent="0.25">
      <c r="A10748" s="396"/>
      <c r="B10748" s="406"/>
      <c r="C10748" s="396"/>
      <c r="D10748" s="397"/>
      <c r="E10748" s="401"/>
      <c r="F10748" s="401"/>
      <c r="G10748" s="402" t="s">
        <v>4337</v>
      </c>
      <c r="H10748" s="625"/>
      <c r="I10748" s="631"/>
      <c r="J10748" s="617"/>
    </row>
    <row r="10749" spans="1:10" hidden="1" x14ac:dyDescent="0.25">
      <c r="C10749" s="228" t="s">
        <v>3602</v>
      </c>
      <c r="G10749" s="428" t="s">
        <v>4338</v>
      </c>
    </row>
    <row r="10750" spans="1:10" hidden="1" x14ac:dyDescent="0.25">
      <c r="C10750" s="228" t="s">
        <v>4145</v>
      </c>
      <c r="D10750" s="219"/>
      <c r="G10750" s="436" t="s">
        <v>4339</v>
      </c>
    </row>
    <row r="10751" spans="1:10" hidden="1" x14ac:dyDescent="0.25">
      <c r="C10751" s="228"/>
      <c r="D10751" s="312">
        <v>820</v>
      </c>
      <c r="E10751" s="312"/>
      <c r="F10751" s="312"/>
      <c r="G10751" s="313" t="s">
        <v>207</v>
      </c>
    </row>
    <row r="10752" spans="1:10" hidden="1" x14ac:dyDescent="0.25">
      <c r="F10752" s="432">
        <v>411</v>
      </c>
      <c r="G10752" s="429" t="s">
        <v>4189</v>
      </c>
      <c r="J10752" s="595">
        <f>SUM(H10752:I10752)</f>
        <v>0</v>
      </c>
    </row>
    <row r="10753" spans="6:10" hidden="1" x14ac:dyDescent="0.25">
      <c r="F10753" s="432">
        <v>412</v>
      </c>
      <c r="G10753" s="426" t="s">
        <v>3784</v>
      </c>
      <c r="J10753" s="595">
        <f t="shared" ref="J10753:J10811" si="320">SUM(H10753:I10753)</f>
        <v>0</v>
      </c>
    </row>
    <row r="10754" spans="6:10" hidden="1" x14ac:dyDescent="0.25">
      <c r="F10754" s="432">
        <v>413</v>
      </c>
      <c r="G10754" s="429" t="s">
        <v>4190</v>
      </c>
      <c r="J10754" s="595">
        <f t="shared" si="320"/>
        <v>0</v>
      </c>
    </row>
    <row r="10755" spans="6:10" hidden="1" x14ac:dyDescent="0.25">
      <c r="F10755" s="432">
        <v>414</v>
      </c>
      <c r="G10755" s="429" t="s">
        <v>3787</v>
      </c>
      <c r="J10755" s="595">
        <f t="shared" si="320"/>
        <v>0</v>
      </c>
    </row>
    <row r="10756" spans="6:10" hidden="1" x14ac:dyDescent="0.25">
      <c r="F10756" s="432">
        <v>415</v>
      </c>
      <c r="G10756" s="429" t="s">
        <v>4199</v>
      </c>
      <c r="J10756" s="595">
        <f t="shared" si="320"/>
        <v>0</v>
      </c>
    </row>
    <row r="10757" spans="6:10" hidden="1" x14ac:dyDescent="0.25">
      <c r="F10757" s="432">
        <v>416</v>
      </c>
      <c r="G10757" s="429" t="s">
        <v>4200</v>
      </c>
      <c r="J10757" s="595">
        <f t="shared" si="320"/>
        <v>0</v>
      </c>
    </row>
    <row r="10758" spans="6:10" hidden="1" x14ac:dyDescent="0.25">
      <c r="F10758" s="432">
        <v>417</v>
      </c>
      <c r="G10758" s="429" t="s">
        <v>4201</v>
      </c>
      <c r="J10758" s="595">
        <f t="shared" si="320"/>
        <v>0</v>
      </c>
    </row>
    <row r="10759" spans="6:10" hidden="1" x14ac:dyDescent="0.25">
      <c r="F10759" s="432">
        <v>418</v>
      </c>
      <c r="G10759" s="429" t="s">
        <v>3793</v>
      </c>
      <c r="J10759" s="595">
        <f t="shared" si="320"/>
        <v>0</v>
      </c>
    </row>
    <row r="10760" spans="6:10" hidden="1" x14ac:dyDescent="0.25">
      <c r="F10760" s="432">
        <v>421</v>
      </c>
      <c r="G10760" s="429" t="s">
        <v>3797</v>
      </c>
      <c r="J10760" s="595">
        <f t="shared" si="320"/>
        <v>0</v>
      </c>
    </row>
    <row r="10761" spans="6:10" hidden="1" x14ac:dyDescent="0.25">
      <c r="F10761" s="432">
        <v>422</v>
      </c>
      <c r="G10761" s="429" t="s">
        <v>3798</v>
      </c>
      <c r="J10761" s="595">
        <f t="shared" si="320"/>
        <v>0</v>
      </c>
    </row>
    <row r="10762" spans="6:10" hidden="1" x14ac:dyDescent="0.25">
      <c r="F10762" s="432">
        <v>423</v>
      </c>
      <c r="G10762" s="429" t="s">
        <v>3799</v>
      </c>
      <c r="J10762" s="595">
        <f t="shared" si="320"/>
        <v>0</v>
      </c>
    </row>
    <row r="10763" spans="6:10" hidden="1" x14ac:dyDescent="0.25">
      <c r="F10763" s="432">
        <v>424</v>
      </c>
      <c r="G10763" s="429" t="s">
        <v>3801</v>
      </c>
      <c r="J10763" s="595">
        <f t="shared" si="320"/>
        <v>0</v>
      </c>
    </row>
    <row r="10764" spans="6:10" hidden="1" x14ac:dyDescent="0.25">
      <c r="F10764" s="432">
        <v>425</v>
      </c>
      <c r="G10764" s="429" t="s">
        <v>4202</v>
      </c>
      <c r="J10764" s="595">
        <f t="shared" si="320"/>
        <v>0</v>
      </c>
    </row>
    <row r="10765" spans="6:10" hidden="1" x14ac:dyDescent="0.25">
      <c r="F10765" s="432">
        <v>426</v>
      </c>
      <c r="G10765" s="429" t="s">
        <v>3805</v>
      </c>
      <c r="J10765" s="595">
        <f t="shared" si="320"/>
        <v>0</v>
      </c>
    </row>
    <row r="10766" spans="6:10" hidden="1" x14ac:dyDescent="0.25">
      <c r="F10766" s="432">
        <v>431</v>
      </c>
      <c r="G10766" s="429" t="s">
        <v>4203</v>
      </c>
      <c r="J10766" s="595">
        <f t="shared" si="320"/>
        <v>0</v>
      </c>
    </row>
    <row r="10767" spans="6:10" hidden="1" x14ac:dyDescent="0.25">
      <c r="F10767" s="432">
        <v>432</v>
      </c>
      <c r="G10767" s="429" t="s">
        <v>4204</v>
      </c>
      <c r="J10767" s="595">
        <f t="shared" si="320"/>
        <v>0</v>
      </c>
    </row>
    <row r="10768" spans="6:10" hidden="1" x14ac:dyDescent="0.25">
      <c r="F10768" s="432">
        <v>433</v>
      </c>
      <c r="G10768" s="429" t="s">
        <v>4205</v>
      </c>
      <c r="J10768" s="595">
        <f t="shared" si="320"/>
        <v>0</v>
      </c>
    </row>
    <row r="10769" spans="6:10" hidden="1" x14ac:dyDescent="0.25">
      <c r="F10769" s="432">
        <v>434</v>
      </c>
      <c r="G10769" s="429" t="s">
        <v>4206</v>
      </c>
      <c r="J10769" s="595">
        <f t="shared" si="320"/>
        <v>0</v>
      </c>
    </row>
    <row r="10770" spans="6:10" hidden="1" x14ac:dyDescent="0.25">
      <c r="F10770" s="432">
        <v>435</v>
      </c>
      <c r="G10770" s="429" t="s">
        <v>3812</v>
      </c>
      <c r="J10770" s="595">
        <f t="shared" si="320"/>
        <v>0</v>
      </c>
    </row>
    <row r="10771" spans="6:10" hidden="1" x14ac:dyDescent="0.25">
      <c r="F10771" s="432">
        <v>441</v>
      </c>
      <c r="G10771" s="429" t="s">
        <v>4207</v>
      </c>
      <c r="J10771" s="595">
        <f t="shared" si="320"/>
        <v>0</v>
      </c>
    </row>
    <row r="10772" spans="6:10" hidden="1" x14ac:dyDescent="0.25">
      <c r="F10772" s="432">
        <v>442</v>
      </c>
      <c r="G10772" s="429" t="s">
        <v>4208</v>
      </c>
      <c r="J10772" s="595">
        <f t="shared" si="320"/>
        <v>0</v>
      </c>
    </row>
    <row r="10773" spans="6:10" hidden="1" x14ac:dyDescent="0.25">
      <c r="F10773" s="432">
        <v>443</v>
      </c>
      <c r="G10773" s="429" t="s">
        <v>3817</v>
      </c>
      <c r="J10773" s="595">
        <f t="shared" si="320"/>
        <v>0</v>
      </c>
    </row>
    <row r="10774" spans="6:10" hidden="1" x14ac:dyDescent="0.25">
      <c r="F10774" s="432">
        <v>444</v>
      </c>
      <c r="G10774" s="429" t="s">
        <v>3818</v>
      </c>
      <c r="J10774" s="595">
        <f t="shared" si="320"/>
        <v>0</v>
      </c>
    </row>
    <row r="10775" spans="6:10" ht="30" hidden="1" x14ac:dyDescent="0.25">
      <c r="F10775" s="432">
        <v>4511</v>
      </c>
      <c r="G10775" s="223" t="s">
        <v>1692</v>
      </c>
      <c r="J10775" s="595">
        <f t="shared" si="320"/>
        <v>0</v>
      </c>
    </row>
    <row r="10776" spans="6:10" ht="19.5" hidden="1" customHeight="1" x14ac:dyDescent="0.25">
      <c r="F10776" s="432">
        <v>4512</v>
      </c>
      <c r="G10776" s="223" t="s">
        <v>1701</v>
      </c>
      <c r="J10776" s="595">
        <f t="shared" si="320"/>
        <v>0</v>
      </c>
    </row>
    <row r="10777" spans="6:10" hidden="1" x14ac:dyDescent="0.25">
      <c r="F10777" s="432">
        <v>452</v>
      </c>
      <c r="G10777" s="429" t="s">
        <v>4209</v>
      </c>
      <c r="J10777" s="595">
        <f t="shared" si="320"/>
        <v>0</v>
      </c>
    </row>
    <row r="10778" spans="6:10" hidden="1" x14ac:dyDescent="0.25">
      <c r="F10778" s="432">
        <v>453</v>
      </c>
      <c r="G10778" s="429" t="s">
        <v>4210</v>
      </c>
      <c r="J10778" s="595">
        <f t="shared" si="320"/>
        <v>0</v>
      </c>
    </row>
    <row r="10779" spans="6:10" hidden="1" x14ac:dyDescent="0.25">
      <c r="F10779" s="432">
        <v>454</v>
      </c>
      <c r="G10779" s="429" t="s">
        <v>3823</v>
      </c>
      <c r="J10779" s="595">
        <f t="shared" si="320"/>
        <v>0</v>
      </c>
    </row>
    <row r="10780" spans="6:10" hidden="1" x14ac:dyDescent="0.25">
      <c r="F10780" s="432">
        <v>461</v>
      </c>
      <c r="G10780" s="429" t="s">
        <v>4191</v>
      </c>
      <c r="J10780" s="595">
        <f t="shared" si="320"/>
        <v>0</v>
      </c>
    </row>
    <row r="10781" spans="6:10" hidden="1" x14ac:dyDescent="0.25">
      <c r="F10781" s="432">
        <v>462</v>
      </c>
      <c r="G10781" s="429" t="s">
        <v>3826</v>
      </c>
      <c r="J10781" s="595">
        <f t="shared" si="320"/>
        <v>0</v>
      </c>
    </row>
    <row r="10782" spans="6:10" hidden="1" x14ac:dyDescent="0.25">
      <c r="F10782" s="432">
        <v>4631</v>
      </c>
      <c r="G10782" s="429" t="s">
        <v>3827</v>
      </c>
      <c r="J10782" s="595">
        <f t="shared" si="320"/>
        <v>0</v>
      </c>
    </row>
    <row r="10783" spans="6:10" hidden="1" x14ac:dyDescent="0.25">
      <c r="F10783" s="432">
        <v>4632</v>
      </c>
      <c r="G10783" s="429" t="s">
        <v>3828</v>
      </c>
      <c r="J10783" s="595">
        <f t="shared" si="320"/>
        <v>0</v>
      </c>
    </row>
    <row r="10784" spans="6:10" hidden="1" x14ac:dyDescent="0.25">
      <c r="F10784" s="432">
        <v>464</v>
      </c>
      <c r="G10784" s="429" t="s">
        <v>3829</v>
      </c>
      <c r="J10784" s="595">
        <f t="shared" si="320"/>
        <v>0</v>
      </c>
    </row>
    <row r="10785" spans="6:10" hidden="1" x14ac:dyDescent="0.25">
      <c r="F10785" s="432">
        <v>465</v>
      </c>
      <c r="G10785" s="429" t="s">
        <v>4192</v>
      </c>
      <c r="J10785" s="595">
        <f t="shared" si="320"/>
        <v>0</v>
      </c>
    </row>
    <row r="10786" spans="6:10" hidden="1" x14ac:dyDescent="0.25">
      <c r="F10786" s="432">
        <v>472</v>
      </c>
      <c r="G10786" s="429" t="s">
        <v>3833</v>
      </c>
      <c r="J10786" s="595">
        <f t="shared" si="320"/>
        <v>0</v>
      </c>
    </row>
    <row r="10787" spans="6:10" hidden="1" x14ac:dyDescent="0.25">
      <c r="F10787" s="432">
        <v>481</v>
      </c>
      <c r="G10787" s="429" t="s">
        <v>4211</v>
      </c>
      <c r="J10787" s="595">
        <f t="shared" si="320"/>
        <v>0</v>
      </c>
    </row>
    <row r="10788" spans="6:10" hidden="1" x14ac:dyDescent="0.25">
      <c r="F10788" s="432">
        <v>482</v>
      </c>
      <c r="G10788" s="429" t="s">
        <v>4212</v>
      </c>
      <c r="J10788" s="595">
        <f t="shared" si="320"/>
        <v>0</v>
      </c>
    </row>
    <row r="10789" spans="6:10" hidden="1" x14ac:dyDescent="0.25">
      <c r="F10789" s="432">
        <v>483</v>
      </c>
      <c r="G10789" s="430" t="s">
        <v>4213</v>
      </c>
      <c r="J10789" s="595">
        <f t="shared" si="320"/>
        <v>0</v>
      </c>
    </row>
    <row r="10790" spans="6:10" ht="30" hidden="1" x14ac:dyDescent="0.25">
      <c r="F10790" s="432">
        <v>484</v>
      </c>
      <c r="G10790" s="429" t="s">
        <v>4214</v>
      </c>
      <c r="J10790" s="595">
        <f t="shared" si="320"/>
        <v>0</v>
      </c>
    </row>
    <row r="10791" spans="6:10" ht="30" hidden="1" x14ac:dyDescent="0.25">
      <c r="F10791" s="432">
        <v>485</v>
      </c>
      <c r="G10791" s="429" t="s">
        <v>4215</v>
      </c>
      <c r="J10791" s="595">
        <f t="shared" si="320"/>
        <v>0</v>
      </c>
    </row>
    <row r="10792" spans="6:10" ht="30" hidden="1" x14ac:dyDescent="0.25">
      <c r="F10792" s="432">
        <v>489</v>
      </c>
      <c r="G10792" s="429" t="s">
        <v>3841</v>
      </c>
      <c r="J10792" s="595">
        <f t="shared" si="320"/>
        <v>0</v>
      </c>
    </row>
    <row r="10793" spans="6:10" hidden="1" x14ac:dyDescent="0.25">
      <c r="F10793" s="432">
        <v>494</v>
      </c>
      <c r="G10793" s="429" t="s">
        <v>4193</v>
      </c>
      <c r="J10793" s="595">
        <f t="shared" si="320"/>
        <v>0</v>
      </c>
    </row>
    <row r="10794" spans="6:10" ht="30" hidden="1" x14ac:dyDescent="0.25">
      <c r="F10794" s="432">
        <v>495</v>
      </c>
      <c r="G10794" s="429" t="s">
        <v>4194</v>
      </c>
      <c r="J10794" s="595">
        <f t="shared" si="320"/>
        <v>0</v>
      </c>
    </row>
    <row r="10795" spans="6:10" ht="30" hidden="1" x14ac:dyDescent="0.25">
      <c r="F10795" s="432">
        <v>496</v>
      </c>
      <c r="G10795" s="429" t="s">
        <v>4195</v>
      </c>
      <c r="J10795" s="595">
        <f t="shared" si="320"/>
        <v>0</v>
      </c>
    </row>
    <row r="10796" spans="6:10" hidden="1" x14ac:dyDescent="0.25">
      <c r="F10796" s="432">
        <v>499</v>
      </c>
      <c r="G10796" s="429" t="s">
        <v>4196</v>
      </c>
      <c r="J10796" s="595">
        <f t="shared" si="320"/>
        <v>0</v>
      </c>
    </row>
    <row r="10797" spans="6:10" hidden="1" x14ac:dyDescent="0.25">
      <c r="F10797" s="432">
        <v>511</v>
      </c>
      <c r="G10797" s="430" t="s">
        <v>4216</v>
      </c>
      <c r="J10797" s="595">
        <f t="shared" si="320"/>
        <v>0</v>
      </c>
    </row>
    <row r="10798" spans="6:10" hidden="1" x14ac:dyDescent="0.25">
      <c r="F10798" s="432">
        <v>512</v>
      </c>
      <c r="G10798" s="430" t="s">
        <v>4217</v>
      </c>
      <c r="J10798" s="595">
        <f t="shared" si="320"/>
        <v>0</v>
      </c>
    </row>
    <row r="10799" spans="6:10" hidden="1" x14ac:dyDescent="0.25">
      <c r="F10799" s="432">
        <v>513</v>
      </c>
      <c r="G10799" s="430" t="s">
        <v>4218</v>
      </c>
      <c r="J10799" s="595">
        <f t="shared" si="320"/>
        <v>0</v>
      </c>
    </row>
    <row r="10800" spans="6:10" hidden="1" x14ac:dyDescent="0.25">
      <c r="F10800" s="432">
        <v>514</v>
      </c>
      <c r="G10800" s="429" t="s">
        <v>4219</v>
      </c>
      <c r="J10800" s="595">
        <f t="shared" si="320"/>
        <v>0</v>
      </c>
    </row>
    <row r="10801" spans="5:10" hidden="1" x14ac:dyDescent="0.25">
      <c r="F10801" s="432">
        <v>515</v>
      </c>
      <c r="G10801" s="429" t="s">
        <v>3852</v>
      </c>
      <c r="J10801" s="595">
        <f t="shared" si="320"/>
        <v>0</v>
      </c>
    </row>
    <row r="10802" spans="5:10" hidden="1" x14ac:dyDescent="0.25">
      <c r="F10802" s="432">
        <v>521</v>
      </c>
      <c r="G10802" s="429" t="s">
        <v>4220</v>
      </c>
      <c r="J10802" s="595">
        <f t="shared" si="320"/>
        <v>0</v>
      </c>
    </row>
    <row r="10803" spans="5:10" hidden="1" x14ac:dyDescent="0.25">
      <c r="F10803" s="432">
        <v>522</v>
      </c>
      <c r="G10803" s="429" t="s">
        <v>4221</v>
      </c>
      <c r="J10803" s="595">
        <f t="shared" si="320"/>
        <v>0</v>
      </c>
    </row>
    <row r="10804" spans="5:10" hidden="1" x14ac:dyDescent="0.25">
      <c r="F10804" s="432">
        <v>523</v>
      </c>
      <c r="G10804" s="429" t="s">
        <v>3857</v>
      </c>
      <c r="J10804" s="595">
        <f t="shared" si="320"/>
        <v>0</v>
      </c>
    </row>
    <row r="10805" spans="5:10" hidden="1" x14ac:dyDescent="0.25">
      <c r="F10805" s="432">
        <v>531</v>
      </c>
      <c r="G10805" s="426" t="s">
        <v>4197</v>
      </c>
      <c r="J10805" s="595">
        <f t="shared" si="320"/>
        <v>0</v>
      </c>
    </row>
    <row r="10806" spans="5:10" hidden="1" x14ac:dyDescent="0.25">
      <c r="F10806" s="432">
        <v>541</v>
      </c>
      <c r="G10806" s="429" t="s">
        <v>4222</v>
      </c>
      <c r="J10806" s="595">
        <f t="shared" si="320"/>
        <v>0</v>
      </c>
    </row>
    <row r="10807" spans="5:10" hidden="1" x14ac:dyDescent="0.25">
      <c r="F10807" s="432">
        <v>542</v>
      </c>
      <c r="G10807" s="429" t="s">
        <v>4223</v>
      </c>
      <c r="J10807" s="595">
        <f t="shared" si="320"/>
        <v>0</v>
      </c>
    </row>
    <row r="10808" spans="5:10" hidden="1" x14ac:dyDescent="0.25">
      <c r="F10808" s="432">
        <v>543</v>
      </c>
      <c r="G10808" s="429" t="s">
        <v>3862</v>
      </c>
      <c r="J10808" s="595">
        <f t="shared" si="320"/>
        <v>0</v>
      </c>
    </row>
    <row r="10809" spans="5:10" ht="30" hidden="1" x14ac:dyDescent="0.25">
      <c r="F10809" s="432">
        <v>551</v>
      </c>
      <c r="G10809" s="429" t="s">
        <v>4198</v>
      </c>
      <c r="J10809" s="595">
        <f t="shared" si="320"/>
        <v>0</v>
      </c>
    </row>
    <row r="10810" spans="5:10" hidden="1" x14ac:dyDescent="0.25">
      <c r="F10810" s="433">
        <v>611</v>
      </c>
      <c r="G10810" s="431" t="s">
        <v>3868</v>
      </c>
      <c r="H10810" s="598"/>
      <c r="J10810" s="595">
        <f t="shared" si="320"/>
        <v>0</v>
      </c>
    </row>
    <row r="10811" spans="5:10" ht="15.75" hidden="1" thickBot="1" x14ac:dyDescent="0.3">
      <c r="F10811" s="433">
        <v>620</v>
      </c>
      <c r="G10811" s="431" t="s">
        <v>88</v>
      </c>
      <c r="H10811" s="598"/>
      <c r="J10811" s="595">
        <f t="shared" si="320"/>
        <v>0</v>
      </c>
    </row>
    <row r="10812" spans="5:10" hidden="1" x14ac:dyDescent="0.25">
      <c r="E10812" s="427"/>
      <c r="F10812" s="433"/>
      <c r="G10812" s="327" t="s">
        <v>4459</v>
      </c>
      <c r="H10812" s="596"/>
      <c r="I10812" s="622"/>
      <c r="J10812" s="597"/>
    </row>
    <row r="10813" spans="5:10" hidden="1" x14ac:dyDescent="0.25">
      <c r="E10813" s="222"/>
      <c r="F10813" s="249" t="s">
        <v>234</v>
      </c>
      <c r="G10813" s="252" t="s">
        <v>235</v>
      </c>
      <c r="H10813" s="598">
        <f>SUM(H10752:H10811)</f>
        <v>0</v>
      </c>
      <c r="I10813" s="599"/>
      <c r="J10813" s="599">
        <f t="shared" ref="J10813:J10828" si="321">SUM(H10813:I10813)</f>
        <v>0</v>
      </c>
    </row>
    <row r="10814" spans="5:10" hidden="1" x14ac:dyDescent="0.25">
      <c r="F10814" s="249" t="s">
        <v>236</v>
      </c>
      <c r="G10814" s="252" t="s">
        <v>237</v>
      </c>
      <c r="J10814" s="599">
        <f t="shared" si="321"/>
        <v>0</v>
      </c>
    </row>
    <row r="10815" spans="5:10" hidden="1" x14ac:dyDescent="0.25">
      <c r="F10815" s="249" t="s">
        <v>238</v>
      </c>
      <c r="G10815" s="252" t="s">
        <v>239</v>
      </c>
      <c r="J10815" s="599">
        <f t="shared" si="321"/>
        <v>0</v>
      </c>
    </row>
    <row r="10816" spans="5:10" hidden="1" x14ac:dyDescent="0.25">
      <c r="F10816" s="249" t="s">
        <v>240</v>
      </c>
      <c r="G10816" s="252" t="s">
        <v>241</v>
      </c>
      <c r="J10816" s="599">
        <f t="shared" si="321"/>
        <v>0</v>
      </c>
    </row>
    <row r="10817" spans="5:10" hidden="1" x14ac:dyDescent="0.25">
      <c r="F10817" s="249" t="s">
        <v>242</v>
      </c>
      <c r="G10817" s="252" t="s">
        <v>243</v>
      </c>
      <c r="J10817" s="599">
        <f t="shared" si="321"/>
        <v>0</v>
      </c>
    </row>
    <row r="10818" spans="5:10" hidden="1" x14ac:dyDescent="0.25">
      <c r="F10818" s="249" t="s">
        <v>244</v>
      </c>
      <c r="G10818" s="252" t="s">
        <v>245</v>
      </c>
      <c r="J10818" s="599">
        <f t="shared" si="321"/>
        <v>0</v>
      </c>
    </row>
    <row r="10819" spans="5:10" hidden="1" x14ac:dyDescent="0.25">
      <c r="F10819" s="249" t="s">
        <v>246</v>
      </c>
      <c r="G10819" s="252" t="s">
        <v>247</v>
      </c>
      <c r="J10819" s="599">
        <f t="shared" si="321"/>
        <v>0</v>
      </c>
    </row>
    <row r="10820" spans="5:10" hidden="1" x14ac:dyDescent="0.25">
      <c r="F10820" s="249" t="s">
        <v>248</v>
      </c>
      <c r="G10820" s="252" t="s">
        <v>249</v>
      </c>
      <c r="J10820" s="599">
        <f t="shared" si="321"/>
        <v>0</v>
      </c>
    </row>
    <row r="10821" spans="5:10" hidden="1" x14ac:dyDescent="0.25">
      <c r="F10821" s="249" t="s">
        <v>250</v>
      </c>
      <c r="G10821" s="252" t="s">
        <v>57</v>
      </c>
      <c r="J10821" s="599">
        <f t="shared" si="321"/>
        <v>0</v>
      </c>
    </row>
    <row r="10822" spans="5:10" hidden="1" x14ac:dyDescent="0.25">
      <c r="F10822" s="249" t="s">
        <v>251</v>
      </c>
      <c r="G10822" s="252" t="s">
        <v>252</v>
      </c>
      <c r="J10822" s="599">
        <f t="shared" si="321"/>
        <v>0</v>
      </c>
    </row>
    <row r="10823" spans="5:10" hidden="1" x14ac:dyDescent="0.25">
      <c r="F10823" s="249" t="s">
        <v>253</v>
      </c>
      <c r="G10823" s="252" t="s">
        <v>254</v>
      </c>
      <c r="J10823" s="599">
        <f t="shared" si="321"/>
        <v>0</v>
      </c>
    </row>
    <row r="10824" spans="5:10" ht="30" hidden="1" x14ac:dyDescent="0.25">
      <c r="F10824" s="249" t="s">
        <v>255</v>
      </c>
      <c r="G10824" s="252" t="s">
        <v>256</v>
      </c>
      <c r="J10824" s="599">
        <f t="shared" si="321"/>
        <v>0</v>
      </c>
    </row>
    <row r="10825" spans="5:10" hidden="1" x14ac:dyDescent="0.25">
      <c r="F10825" s="249" t="s">
        <v>257</v>
      </c>
      <c r="G10825" s="252" t="s">
        <v>258</v>
      </c>
      <c r="J10825" s="599">
        <f t="shared" si="321"/>
        <v>0</v>
      </c>
    </row>
    <row r="10826" spans="5:10" ht="30" hidden="1" x14ac:dyDescent="0.25">
      <c r="F10826" s="249" t="s">
        <v>259</v>
      </c>
      <c r="G10826" s="252" t="s">
        <v>260</v>
      </c>
      <c r="J10826" s="599">
        <f t="shared" si="321"/>
        <v>0</v>
      </c>
    </row>
    <row r="10827" spans="5:10" hidden="1" x14ac:dyDescent="0.25">
      <c r="F10827" s="249" t="s">
        <v>261</v>
      </c>
      <c r="G10827" s="252" t="s">
        <v>262</v>
      </c>
      <c r="J10827" s="599">
        <f t="shared" si="321"/>
        <v>0</v>
      </c>
    </row>
    <row r="10828" spans="5:10" ht="15.75" hidden="1" thickBot="1" x14ac:dyDescent="0.3">
      <c r="F10828" s="249" t="s">
        <v>263</v>
      </c>
      <c r="G10828" s="252" t="s">
        <v>264</v>
      </c>
      <c r="H10828" s="598"/>
      <c r="I10828" s="599"/>
      <c r="J10828" s="599">
        <f t="shared" si="321"/>
        <v>0</v>
      </c>
    </row>
    <row r="10829" spans="5:10" ht="15.75" hidden="1" thickBot="1" x14ac:dyDescent="0.3">
      <c r="G10829" s="229" t="s">
        <v>4460</v>
      </c>
      <c r="H10829" s="600">
        <f>SUM(H10813:H10828)</f>
        <v>0</v>
      </c>
      <c r="I10829" s="601">
        <f>SUM(I10814:I10828)</f>
        <v>0</v>
      </c>
      <c r="J10829" s="601">
        <f>SUM(J10813:J10828)</f>
        <v>0</v>
      </c>
    </row>
    <row r="10830" spans="5:10" ht="28.5" hidden="1" collapsed="1" x14ac:dyDescent="0.25">
      <c r="E10830" s="427"/>
      <c r="F10830" s="433"/>
      <c r="G10830" s="231" t="s">
        <v>4461</v>
      </c>
      <c r="H10830" s="602"/>
      <c r="I10830" s="623"/>
      <c r="J10830" s="603"/>
    </row>
    <row r="10831" spans="5:10" hidden="1" x14ac:dyDescent="0.25">
      <c r="E10831" s="222"/>
      <c r="F10831" s="249" t="s">
        <v>234</v>
      </c>
      <c r="G10831" s="252" t="s">
        <v>235</v>
      </c>
      <c r="H10831" s="598">
        <f>SUM(H10752:H10811)</f>
        <v>0</v>
      </c>
      <c r="I10831" s="599"/>
      <c r="J10831" s="599">
        <f>SUM(H10831:I10831)</f>
        <v>0</v>
      </c>
    </row>
    <row r="10832" spans="5:10" hidden="1" x14ac:dyDescent="0.25">
      <c r="F10832" s="249" t="s">
        <v>236</v>
      </c>
      <c r="G10832" s="252" t="s">
        <v>237</v>
      </c>
      <c r="J10832" s="599">
        <f t="shared" ref="J10832:J10846" si="322">SUM(H10832:I10832)</f>
        <v>0</v>
      </c>
    </row>
    <row r="10833" spans="6:10" hidden="1" x14ac:dyDescent="0.25">
      <c r="F10833" s="249" t="s">
        <v>238</v>
      </c>
      <c r="G10833" s="252" t="s">
        <v>239</v>
      </c>
      <c r="J10833" s="599">
        <f t="shared" si="322"/>
        <v>0</v>
      </c>
    </row>
    <row r="10834" spans="6:10" hidden="1" x14ac:dyDescent="0.25">
      <c r="F10834" s="249" t="s">
        <v>240</v>
      </c>
      <c r="G10834" s="252" t="s">
        <v>241</v>
      </c>
      <c r="J10834" s="599">
        <f t="shared" si="322"/>
        <v>0</v>
      </c>
    </row>
    <row r="10835" spans="6:10" hidden="1" x14ac:dyDescent="0.25">
      <c r="F10835" s="249" t="s">
        <v>242</v>
      </c>
      <c r="G10835" s="252" t="s">
        <v>243</v>
      </c>
      <c r="J10835" s="599">
        <f t="shared" si="322"/>
        <v>0</v>
      </c>
    </row>
    <row r="10836" spans="6:10" hidden="1" x14ac:dyDescent="0.25">
      <c r="F10836" s="249" t="s">
        <v>244</v>
      </c>
      <c r="G10836" s="252" t="s">
        <v>245</v>
      </c>
      <c r="J10836" s="599">
        <f t="shared" si="322"/>
        <v>0</v>
      </c>
    </row>
    <row r="10837" spans="6:10" hidden="1" x14ac:dyDescent="0.25">
      <c r="F10837" s="249" t="s">
        <v>246</v>
      </c>
      <c r="G10837" s="252" t="s">
        <v>247</v>
      </c>
      <c r="J10837" s="599">
        <f t="shared" si="322"/>
        <v>0</v>
      </c>
    </row>
    <row r="10838" spans="6:10" hidden="1" x14ac:dyDescent="0.25">
      <c r="F10838" s="249" t="s">
        <v>248</v>
      </c>
      <c r="G10838" s="252" t="s">
        <v>249</v>
      </c>
      <c r="J10838" s="599">
        <f t="shared" si="322"/>
        <v>0</v>
      </c>
    </row>
    <row r="10839" spans="6:10" hidden="1" x14ac:dyDescent="0.25">
      <c r="F10839" s="249" t="s">
        <v>250</v>
      </c>
      <c r="G10839" s="252" t="s">
        <v>57</v>
      </c>
      <c r="J10839" s="599">
        <f t="shared" si="322"/>
        <v>0</v>
      </c>
    </row>
    <row r="10840" spans="6:10" hidden="1" x14ac:dyDescent="0.25">
      <c r="F10840" s="249" t="s">
        <v>251</v>
      </c>
      <c r="G10840" s="252" t="s">
        <v>252</v>
      </c>
      <c r="J10840" s="599">
        <f t="shared" si="322"/>
        <v>0</v>
      </c>
    </row>
    <row r="10841" spans="6:10" hidden="1" x14ac:dyDescent="0.25">
      <c r="F10841" s="249" t="s">
        <v>253</v>
      </c>
      <c r="G10841" s="252" t="s">
        <v>254</v>
      </c>
      <c r="J10841" s="599">
        <f t="shared" si="322"/>
        <v>0</v>
      </c>
    </row>
    <row r="10842" spans="6:10" ht="30" hidden="1" x14ac:dyDescent="0.25">
      <c r="F10842" s="249" t="s">
        <v>255</v>
      </c>
      <c r="G10842" s="252" t="s">
        <v>256</v>
      </c>
      <c r="J10842" s="599">
        <f t="shared" si="322"/>
        <v>0</v>
      </c>
    </row>
    <row r="10843" spans="6:10" hidden="1" x14ac:dyDescent="0.25">
      <c r="F10843" s="249" t="s">
        <v>257</v>
      </c>
      <c r="G10843" s="252" t="s">
        <v>258</v>
      </c>
      <c r="J10843" s="599">
        <f t="shared" si="322"/>
        <v>0</v>
      </c>
    </row>
    <row r="10844" spans="6:10" ht="30" hidden="1" x14ac:dyDescent="0.25">
      <c r="F10844" s="249" t="s">
        <v>259</v>
      </c>
      <c r="G10844" s="252" t="s">
        <v>260</v>
      </c>
      <c r="J10844" s="599">
        <f t="shared" si="322"/>
        <v>0</v>
      </c>
    </row>
    <row r="10845" spans="6:10" hidden="1" x14ac:dyDescent="0.25">
      <c r="F10845" s="249" t="s">
        <v>261</v>
      </c>
      <c r="G10845" s="252" t="s">
        <v>262</v>
      </c>
      <c r="J10845" s="599">
        <f t="shared" si="322"/>
        <v>0</v>
      </c>
    </row>
    <row r="10846" spans="6:10" ht="15.75" hidden="1" thickBot="1" x14ac:dyDescent="0.3">
      <c r="F10846" s="249" t="s">
        <v>263</v>
      </c>
      <c r="G10846" s="252" t="s">
        <v>264</v>
      </c>
      <c r="H10846" s="598"/>
      <c r="I10846" s="599"/>
      <c r="J10846" s="599">
        <f t="shared" si="322"/>
        <v>0</v>
      </c>
    </row>
    <row r="10847" spans="6:10" ht="15.75" hidden="1" collapsed="1" thickBot="1" x14ac:dyDescent="0.3">
      <c r="G10847" s="229" t="s">
        <v>4462</v>
      </c>
      <c r="H10847" s="600">
        <f>SUM(H10831:H10846)</f>
        <v>0</v>
      </c>
      <c r="I10847" s="601">
        <f>SUM(I10832:I10846)</f>
        <v>0</v>
      </c>
      <c r="J10847" s="601">
        <f>SUM(J10831:J10846)</f>
        <v>0</v>
      </c>
    </row>
    <row r="10848" spans="6:10" hidden="1" x14ac:dyDescent="0.25"/>
    <row r="10849" spans="3:10" hidden="1" x14ac:dyDescent="0.25">
      <c r="C10849" s="228" t="s">
        <v>4146</v>
      </c>
      <c r="D10849" s="219"/>
      <c r="G10849" s="438" t="s">
        <v>4254</v>
      </c>
    </row>
    <row r="10850" spans="3:10" hidden="1" x14ac:dyDescent="0.25">
      <c r="C10850" s="228"/>
      <c r="D10850" s="312">
        <v>820</v>
      </c>
      <c r="E10850" s="312"/>
      <c r="F10850" s="312"/>
      <c r="G10850" s="313" t="s">
        <v>207</v>
      </c>
    </row>
    <row r="10851" spans="3:10" hidden="1" x14ac:dyDescent="0.25">
      <c r="F10851" s="441">
        <v>411</v>
      </c>
      <c r="G10851" s="437" t="s">
        <v>4189</v>
      </c>
      <c r="J10851" s="595">
        <f>SUM(H10851:I10851)</f>
        <v>0</v>
      </c>
    </row>
    <row r="10852" spans="3:10" hidden="1" x14ac:dyDescent="0.25">
      <c r="F10852" s="441">
        <v>412</v>
      </c>
      <c r="G10852" s="434" t="s">
        <v>3784</v>
      </c>
      <c r="J10852" s="595">
        <f t="shared" ref="J10852:J10910" si="323">SUM(H10852:I10852)</f>
        <v>0</v>
      </c>
    </row>
    <row r="10853" spans="3:10" hidden="1" x14ac:dyDescent="0.25">
      <c r="F10853" s="441">
        <v>413</v>
      </c>
      <c r="G10853" s="437" t="s">
        <v>4190</v>
      </c>
      <c r="J10853" s="595">
        <f t="shared" si="323"/>
        <v>0</v>
      </c>
    </row>
    <row r="10854" spans="3:10" hidden="1" x14ac:dyDescent="0.25">
      <c r="F10854" s="441">
        <v>414</v>
      </c>
      <c r="G10854" s="437" t="s">
        <v>3787</v>
      </c>
      <c r="J10854" s="595">
        <f t="shared" si="323"/>
        <v>0</v>
      </c>
    </row>
    <row r="10855" spans="3:10" hidden="1" x14ac:dyDescent="0.25">
      <c r="F10855" s="441">
        <v>415</v>
      </c>
      <c r="G10855" s="437" t="s">
        <v>4199</v>
      </c>
      <c r="J10855" s="595">
        <f t="shared" si="323"/>
        <v>0</v>
      </c>
    </row>
    <row r="10856" spans="3:10" hidden="1" x14ac:dyDescent="0.25">
      <c r="F10856" s="441">
        <v>416</v>
      </c>
      <c r="G10856" s="437" t="s">
        <v>4200</v>
      </c>
      <c r="J10856" s="595">
        <f t="shared" si="323"/>
        <v>0</v>
      </c>
    </row>
    <row r="10857" spans="3:10" hidden="1" x14ac:dyDescent="0.25">
      <c r="F10857" s="441">
        <v>417</v>
      </c>
      <c r="G10857" s="437" t="s">
        <v>4201</v>
      </c>
      <c r="J10857" s="595">
        <f t="shared" si="323"/>
        <v>0</v>
      </c>
    </row>
    <row r="10858" spans="3:10" hidden="1" x14ac:dyDescent="0.25">
      <c r="F10858" s="441">
        <v>418</v>
      </c>
      <c r="G10858" s="437" t="s">
        <v>3793</v>
      </c>
      <c r="J10858" s="595">
        <f t="shared" si="323"/>
        <v>0</v>
      </c>
    </row>
    <row r="10859" spans="3:10" hidden="1" x14ac:dyDescent="0.25">
      <c r="F10859" s="441">
        <v>421</v>
      </c>
      <c r="G10859" s="437" t="s">
        <v>3797</v>
      </c>
      <c r="J10859" s="595">
        <f t="shared" si="323"/>
        <v>0</v>
      </c>
    </row>
    <row r="10860" spans="3:10" hidden="1" x14ac:dyDescent="0.25">
      <c r="F10860" s="441">
        <v>422</v>
      </c>
      <c r="G10860" s="437" t="s">
        <v>3798</v>
      </c>
      <c r="J10860" s="595">
        <f t="shared" si="323"/>
        <v>0</v>
      </c>
    </row>
    <row r="10861" spans="3:10" hidden="1" x14ac:dyDescent="0.25">
      <c r="F10861" s="441">
        <v>423</v>
      </c>
      <c r="G10861" s="437" t="s">
        <v>3799</v>
      </c>
      <c r="J10861" s="595">
        <f t="shared" si="323"/>
        <v>0</v>
      </c>
    </row>
    <row r="10862" spans="3:10" hidden="1" x14ac:dyDescent="0.25">
      <c r="F10862" s="441">
        <v>424</v>
      </c>
      <c r="G10862" s="437" t="s">
        <v>3801</v>
      </c>
      <c r="J10862" s="595">
        <f t="shared" si="323"/>
        <v>0</v>
      </c>
    </row>
    <row r="10863" spans="3:10" hidden="1" x14ac:dyDescent="0.25">
      <c r="F10863" s="441">
        <v>425</v>
      </c>
      <c r="G10863" s="437" t="s">
        <v>4202</v>
      </c>
      <c r="J10863" s="595">
        <f t="shared" si="323"/>
        <v>0</v>
      </c>
    </row>
    <row r="10864" spans="3:10" hidden="1" x14ac:dyDescent="0.25">
      <c r="F10864" s="441">
        <v>426</v>
      </c>
      <c r="G10864" s="437" t="s">
        <v>3805</v>
      </c>
      <c r="J10864" s="595">
        <f t="shared" si="323"/>
        <v>0</v>
      </c>
    </row>
    <row r="10865" spans="6:10" hidden="1" x14ac:dyDescent="0.25">
      <c r="F10865" s="441">
        <v>431</v>
      </c>
      <c r="G10865" s="437" t="s">
        <v>4203</v>
      </c>
      <c r="J10865" s="595">
        <f t="shared" si="323"/>
        <v>0</v>
      </c>
    </row>
    <row r="10866" spans="6:10" hidden="1" x14ac:dyDescent="0.25">
      <c r="F10866" s="441">
        <v>432</v>
      </c>
      <c r="G10866" s="437" t="s">
        <v>4204</v>
      </c>
      <c r="J10866" s="595">
        <f t="shared" si="323"/>
        <v>0</v>
      </c>
    </row>
    <row r="10867" spans="6:10" hidden="1" x14ac:dyDescent="0.25">
      <c r="F10867" s="441">
        <v>433</v>
      </c>
      <c r="G10867" s="437" t="s">
        <v>4205</v>
      </c>
      <c r="J10867" s="595">
        <f t="shared" si="323"/>
        <v>0</v>
      </c>
    </row>
    <row r="10868" spans="6:10" hidden="1" x14ac:dyDescent="0.25">
      <c r="F10868" s="441">
        <v>434</v>
      </c>
      <c r="G10868" s="437" t="s">
        <v>4206</v>
      </c>
      <c r="J10868" s="595">
        <f t="shared" si="323"/>
        <v>0</v>
      </c>
    </row>
    <row r="10869" spans="6:10" hidden="1" x14ac:dyDescent="0.25">
      <c r="F10869" s="441">
        <v>435</v>
      </c>
      <c r="G10869" s="437" t="s">
        <v>3812</v>
      </c>
      <c r="J10869" s="595">
        <f t="shared" si="323"/>
        <v>0</v>
      </c>
    </row>
    <row r="10870" spans="6:10" hidden="1" x14ac:dyDescent="0.25">
      <c r="F10870" s="441">
        <v>441</v>
      </c>
      <c r="G10870" s="437" t="s">
        <v>4207</v>
      </c>
      <c r="J10870" s="595">
        <f t="shared" si="323"/>
        <v>0</v>
      </c>
    </row>
    <row r="10871" spans="6:10" hidden="1" x14ac:dyDescent="0.25">
      <c r="F10871" s="441">
        <v>442</v>
      </c>
      <c r="G10871" s="437" t="s">
        <v>4208</v>
      </c>
      <c r="J10871" s="595">
        <f t="shared" si="323"/>
        <v>0</v>
      </c>
    </row>
    <row r="10872" spans="6:10" hidden="1" x14ac:dyDescent="0.25">
      <c r="F10872" s="441">
        <v>443</v>
      </c>
      <c r="G10872" s="437" t="s">
        <v>3817</v>
      </c>
      <c r="J10872" s="595">
        <f t="shared" si="323"/>
        <v>0</v>
      </c>
    </row>
    <row r="10873" spans="6:10" hidden="1" x14ac:dyDescent="0.25">
      <c r="F10873" s="441">
        <v>444</v>
      </c>
      <c r="G10873" s="437" t="s">
        <v>3818</v>
      </c>
      <c r="J10873" s="595">
        <f t="shared" si="323"/>
        <v>0</v>
      </c>
    </row>
    <row r="10874" spans="6:10" ht="30" hidden="1" x14ac:dyDescent="0.25">
      <c r="F10874" s="441">
        <v>4511</v>
      </c>
      <c r="G10874" s="223" t="s">
        <v>1692</v>
      </c>
      <c r="J10874" s="595">
        <f t="shared" si="323"/>
        <v>0</v>
      </c>
    </row>
    <row r="10875" spans="6:10" ht="30" hidden="1" x14ac:dyDescent="0.25">
      <c r="F10875" s="441">
        <v>4512</v>
      </c>
      <c r="G10875" s="223" t="s">
        <v>1701</v>
      </c>
      <c r="J10875" s="595">
        <f t="shared" si="323"/>
        <v>0</v>
      </c>
    </row>
    <row r="10876" spans="6:10" hidden="1" x14ac:dyDescent="0.25">
      <c r="F10876" s="441">
        <v>452</v>
      </c>
      <c r="G10876" s="437" t="s">
        <v>4209</v>
      </c>
      <c r="J10876" s="595">
        <f t="shared" si="323"/>
        <v>0</v>
      </c>
    </row>
    <row r="10877" spans="6:10" hidden="1" x14ac:dyDescent="0.25">
      <c r="F10877" s="441">
        <v>453</v>
      </c>
      <c r="G10877" s="437" t="s">
        <v>4210</v>
      </c>
      <c r="J10877" s="595">
        <f t="shared" si="323"/>
        <v>0</v>
      </c>
    </row>
    <row r="10878" spans="6:10" hidden="1" x14ac:dyDescent="0.25">
      <c r="F10878" s="441">
        <v>454</v>
      </c>
      <c r="G10878" s="437" t="s">
        <v>3823</v>
      </c>
      <c r="J10878" s="595">
        <f t="shared" si="323"/>
        <v>0</v>
      </c>
    </row>
    <row r="10879" spans="6:10" hidden="1" x14ac:dyDescent="0.25">
      <c r="F10879" s="441">
        <v>461</v>
      </c>
      <c r="G10879" s="437" t="s">
        <v>4191</v>
      </c>
      <c r="J10879" s="595">
        <f t="shared" si="323"/>
        <v>0</v>
      </c>
    </row>
    <row r="10880" spans="6:10" hidden="1" x14ac:dyDescent="0.25">
      <c r="F10880" s="441">
        <v>462</v>
      </c>
      <c r="G10880" s="437" t="s">
        <v>3826</v>
      </c>
      <c r="J10880" s="595">
        <f t="shared" si="323"/>
        <v>0</v>
      </c>
    </row>
    <row r="10881" spans="6:10" hidden="1" x14ac:dyDescent="0.25">
      <c r="F10881" s="441">
        <v>4631</v>
      </c>
      <c r="G10881" s="437" t="s">
        <v>3827</v>
      </c>
      <c r="J10881" s="595">
        <f t="shared" si="323"/>
        <v>0</v>
      </c>
    </row>
    <row r="10882" spans="6:10" hidden="1" x14ac:dyDescent="0.25">
      <c r="F10882" s="441">
        <v>4632</v>
      </c>
      <c r="G10882" s="437" t="s">
        <v>3828</v>
      </c>
      <c r="J10882" s="595">
        <f t="shared" si="323"/>
        <v>0</v>
      </c>
    </row>
    <row r="10883" spans="6:10" hidden="1" x14ac:dyDescent="0.25">
      <c r="F10883" s="441">
        <v>464</v>
      </c>
      <c r="G10883" s="437" t="s">
        <v>3829</v>
      </c>
      <c r="J10883" s="595">
        <f t="shared" si="323"/>
        <v>0</v>
      </c>
    </row>
    <row r="10884" spans="6:10" hidden="1" x14ac:dyDescent="0.25">
      <c r="F10884" s="441">
        <v>465</v>
      </c>
      <c r="G10884" s="437" t="s">
        <v>4192</v>
      </c>
      <c r="J10884" s="595">
        <f t="shared" si="323"/>
        <v>0</v>
      </c>
    </row>
    <row r="10885" spans="6:10" hidden="1" x14ac:dyDescent="0.25">
      <c r="F10885" s="441">
        <v>472</v>
      </c>
      <c r="G10885" s="437" t="s">
        <v>3833</v>
      </c>
      <c r="J10885" s="595">
        <f t="shared" si="323"/>
        <v>0</v>
      </c>
    </row>
    <row r="10886" spans="6:10" hidden="1" x14ac:dyDescent="0.25">
      <c r="F10886" s="441">
        <v>481</v>
      </c>
      <c r="G10886" s="437" t="s">
        <v>4211</v>
      </c>
      <c r="J10886" s="595">
        <f t="shared" si="323"/>
        <v>0</v>
      </c>
    </row>
    <row r="10887" spans="6:10" hidden="1" x14ac:dyDescent="0.25">
      <c r="F10887" s="441">
        <v>482</v>
      </c>
      <c r="G10887" s="437" t="s">
        <v>4212</v>
      </c>
      <c r="J10887" s="595">
        <f t="shared" si="323"/>
        <v>0</v>
      </c>
    </row>
    <row r="10888" spans="6:10" hidden="1" x14ac:dyDescent="0.25">
      <c r="F10888" s="441">
        <v>483</v>
      </c>
      <c r="G10888" s="439" t="s">
        <v>4213</v>
      </c>
      <c r="J10888" s="595">
        <f t="shared" si="323"/>
        <v>0</v>
      </c>
    </row>
    <row r="10889" spans="6:10" ht="30" hidden="1" x14ac:dyDescent="0.25">
      <c r="F10889" s="441">
        <v>484</v>
      </c>
      <c r="G10889" s="437" t="s">
        <v>4214</v>
      </c>
      <c r="J10889" s="595">
        <f t="shared" si="323"/>
        <v>0</v>
      </c>
    </row>
    <row r="10890" spans="6:10" ht="30" hidden="1" x14ac:dyDescent="0.25">
      <c r="F10890" s="441">
        <v>485</v>
      </c>
      <c r="G10890" s="437" t="s">
        <v>4215</v>
      </c>
      <c r="J10890" s="595">
        <f t="shared" si="323"/>
        <v>0</v>
      </c>
    </row>
    <row r="10891" spans="6:10" ht="30" hidden="1" x14ac:dyDescent="0.25">
      <c r="F10891" s="441">
        <v>489</v>
      </c>
      <c r="G10891" s="437" t="s">
        <v>3841</v>
      </c>
      <c r="J10891" s="595">
        <f t="shared" si="323"/>
        <v>0</v>
      </c>
    </row>
    <row r="10892" spans="6:10" hidden="1" x14ac:dyDescent="0.25">
      <c r="F10892" s="441">
        <v>494</v>
      </c>
      <c r="G10892" s="437" t="s">
        <v>4193</v>
      </c>
      <c r="J10892" s="595">
        <f t="shared" si="323"/>
        <v>0</v>
      </c>
    </row>
    <row r="10893" spans="6:10" ht="30" hidden="1" x14ac:dyDescent="0.25">
      <c r="F10893" s="441">
        <v>495</v>
      </c>
      <c r="G10893" s="437" t="s">
        <v>4194</v>
      </c>
      <c r="J10893" s="595">
        <f t="shared" si="323"/>
        <v>0</v>
      </c>
    </row>
    <row r="10894" spans="6:10" ht="30" hidden="1" x14ac:dyDescent="0.25">
      <c r="F10894" s="441">
        <v>496</v>
      </c>
      <c r="G10894" s="437" t="s">
        <v>4195</v>
      </c>
      <c r="J10894" s="595">
        <f t="shared" si="323"/>
        <v>0</v>
      </c>
    </row>
    <row r="10895" spans="6:10" hidden="1" x14ac:dyDescent="0.25">
      <c r="F10895" s="441">
        <v>499</v>
      </c>
      <c r="G10895" s="437" t="s">
        <v>4196</v>
      </c>
      <c r="J10895" s="595">
        <f t="shared" si="323"/>
        <v>0</v>
      </c>
    </row>
    <row r="10896" spans="6:10" hidden="1" x14ac:dyDescent="0.25">
      <c r="F10896" s="441">
        <v>511</v>
      </c>
      <c r="G10896" s="439" t="s">
        <v>4216</v>
      </c>
      <c r="J10896" s="595">
        <f t="shared" si="323"/>
        <v>0</v>
      </c>
    </row>
    <row r="10897" spans="5:10" hidden="1" x14ac:dyDescent="0.25">
      <c r="F10897" s="441">
        <v>512</v>
      </c>
      <c r="G10897" s="439" t="s">
        <v>4217</v>
      </c>
      <c r="J10897" s="595">
        <f t="shared" si="323"/>
        <v>0</v>
      </c>
    </row>
    <row r="10898" spans="5:10" hidden="1" x14ac:dyDescent="0.25">
      <c r="F10898" s="441">
        <v>513</v>
      </c>
      <c r="G10898" s="439" t="s">
        <v>4218</v>
      </c>
      <c r="J10898" s="595">
        <f t="shared" si="323"/>
        <v>0</v>
      </c>
    </row>
    <row r="10899" spans="5:10" hidden="1" x14ac:dyDescent="0.25">
      <c r="F10899" s="441">
        <v>514</v>
      </c>
      <c r="G10899" s="437" t="s">
        <v>4219</v>
      </c>
      <c r="J10899" s="595">
        <f t="shared" si="323"/>
        <v>0</v>
      </c>
    </row>
    <row r="10900" spans="5:10" hidden="1" x14ac:dyDescent="0.25">
      <c r="F10900" s="441">
        <v>515</v>
      </c>
      <c r="G10900" s="437" t="s">
        <v>3852</v>
      </c>
      <c r="J10900" s="595">
        <f t="shared" si="323"/>
        <v>0</v>
      </c>
    </row>
    <row r="10901" spans="5:10" hidden="1" x14ac:dyDescent="0.25">
      <c r="F10901" s="441">
        <v>521</v>
      </c>
      <c r="G10901" s="437" t="s">
        <v>4220</v>
      </c>
      <c r="J10901" s="595">
        <f t="shared" si="323"/>
        <v>0</v>
      </c>
    </row>
    <row r="10902" spans="5:10" hidden="1" x14ac:dyDescent="0.25">
      <c r="F10902" s="441">
        <v>522</v>
      </c>
      <c r="G10902" s="437" t="s">
        <v>4221</v>
      </c>
      <c r="J10902" s="595">
        <f t="shared" si="323"/>
        <v>0</v>
      </c>
    </row>
    <row r="10903" spans="5:10" hidden="1" x14ac:dyDescent="0.25">
      <c r="F10903" s="441">
        <v>523</v>
      </c>
      <c r="G10903" s="437" t="s">
        <v>3857</v>
      </c>
      <c r="J10903" s="595">
        <f t="shared" si="323"/>
        <v>0</v>
      </c>
    </row>
    <row r="10904" spans="5:10" hidden="1" x14ac:dyDescent="0.25">
      <c r="F10904" s="441">
        <v>531</v>
      </c>
      <c r="G10904" s="434" t="s">
        <v>4197</v>
      </c>
      <c r="J10904" s="595">
        <f t="shared" si="323"/>
        <v>0</v>
      </c>
    </row>
    <row r="10905" spans="5:10" hidden="1" x14ac:dyDescent="0.25">
      <c r="F10905" s="441">
        <v>541</v>
      </c>
      <c r="G10905" s="437" t="s">
        <v>4222</v>
      </c>
      <c r="J10905" s="595">
        <f t="shared" si="323"/>
        <v>0</v>
      </c>
    </row>
    <row r="10906" spans="5:10" hidden="1" x14ac:dyDescent="0.25">
      <c r="F10906" s="441">
        <v>542</v>
      </c>
      <c r="G10906" s="437" t="s">
        <v>4223</v>
      </c>
      <c r="J10906" s="595">
        <f t="shared" si="323"/>
        <v>0</v>
      </c>
    </row>
    <row r="10907" spans="5:10" hidden="1" x14ac:dyDescent="0.25">
      <c r="F10907" s="441">
        <v>543</v>
      </c>
      <c r="G10907" s="437" t="s">
        <v>3862</v>
      </c>
      <c r="J10907" s="595">
        <f t="shared" si="323"/>
        <v>0</v>
      </c>
    </row>
    <row r="10908" spans="5:10" ht="30" hidden="1" x14ac:dyDescent="0.25">
      <c r="F10908" s="441">
        <v>551</v>
      </c>
      <c r="G10908" s="437" t="s">
        <v>4198</v>
      </c>
      <c r="J10908" s="595">
        <f t="shared" si="323"/>
        <v>0</v>
      </c>
    </row>
    <row r="10909" spans="5:10" hidden="1" x14ac:dyDescent="0.25">
      <c r="F10909" s="442">
        <v>611</v>
      </c>
      <c r="G10909" s="440" t="s">
        <v>3868</v>
      </c>
      <c r="H10909" s="598"/>
      <c r="J10909" s="595">
        <f t="shared" si="323"/>
        <v>0</v>
      </c>
    </row>
    <row r="10910" spans="5:10" ht="15.75" hidden="1" thickBot="1" x14ac:dyDescent="0.3">
      <c r="F10910" s="442">
        <v>620</v>
      </c>
      <c r="G10910" s="440" t="s">
        <v>88</v>
      </c>
      <c r="H10910" s="598"/>
      <c r="J10910" s="595">
        <f t="shared" si="323"/>
        <v>0</v>
      </c>
    </row>
    <row r="10911" spans="5:10" hidden="1" x14ac:dyDescent="0.25">
      <c r="E10911" s="435"/>
      <c r="F10911" s="442"/>
      <c r="G10911" s="326" t="s">
        <v>4459</v>
      </c>
      <c r="H10911" s="596"/>
      <c r="I10911" s="622"/>
      <c r="J10911" s="597"/>
    </row>
    <row r="10912" spans="5:10" hidden="1" x14ac:dyDescent="0.25">
      <c r="E10912" s="222"/>
      <c r="F10912" s="249" t="s">
        <v>234</v>
      </c>
      <c r="G10912" s="252" t="s">
        <v>235</v>
      </c>
      <c r="H10912" s="598">
        <f>SUM(H10851:H10910)</f>
        <v>0</v>
      </c>
      <c r="I10912" s="599"/>
      <c r="J10912" s="599">
        <f>SUM(H10912:I10912)</f>
        <v>0</v>
      </c>
    </row>
    <row r="10913" spans="6:10" hidden="1" x14ac:dyDescent="0.25">
      <c r="F10913" s="249" t="s">
        <v>236</v>
      </c>
      <c r="G10913" s="252" t="s">
        <v>237</v>
      </c>
      <c r="J10913" s="599">
        <f t="shared" ref="J10913:J10927" si="324">SUM(H10913:I10913)</f>
        <v>0</v>
      </c>
    </row>
    <row r="10914" spans="6:10" hidden="1" x14ac:dyDescent="0.25">
      <c r="F10914" s="249" t="s">
        <v>238</v>
      </c>
      <c r="G10914" s="252" t="s">
        <v>239</v>
      </c>
      <c r="J10914" s="599">
        <f t="shared" si="324"/>
        <v>0</v>
      </c>
    </row>
    <row r="10915" spans="6:10" hidden="1" x14ac:dyDescent="0.25">
      <c r="F10915" s="249" t="s">
        <v>240</v>
      </c>
      <c r="G10915" s="252" t="s">
        <v>241</v>
      </c>
      <c r="J10915" s="599">
        <f t="shared" si="324"/>
        <v>0</v>
      </c>
    </row>
    <row r="10916" spans="6:10" hidden="1" x14ac:dyDescent="0.25">
      <c r="F10916" s="249" t="s">
        <v>242</v>
      </c>
      <c r="G10916" s="252" t="s">
        <v>243</v>
      </c>
      <c r="J10916" s="599">
        <f t="shared" si="324"/>
        <v>0</v>
      </c>
    </row>
    <row r="10917" spans="6:10" hidden="1" x14ac:dyDescent="0.25">
      <c r="F10917" s="249" t="s">
        <v>244</v>
      </c>
      <c r="G10917" s="252" t="s">
        <v>245</v>
      </c>
      <c r="J10917" s="599">
        <f t="shared" si="324"/>
        <v>0</v>
      </c>
    </row>
    <row r="10918" spans="6:10" hidden="1" x14ac:dyDescent="0.25">
      <c r="F10918" s="249" t="s">
        <v>246</v>
      </c>
      <c r="G10918" s="252" t="s">
        <v>247</v>
      </c>
      <c r="J10918" s="599">
        <f t="shared" si="324"/>
        <v>0</v>
      </c>
    </row>
    <row r="10919" spans="6:10" hidden="1" x14ac:dyDescent="0.25">
      <c r="F10919" s="249" t="s">
        <v>248</v>
      </c>
      <c r="G10919" s="252" t="s">
        <v>249</v>
      </c>
      <c r="J10919" s="599">
        <f t="shared" si="324"/>
        <v>0</v>
      </c>
    </row>
    <row r="10920" spans="6:10" hidden="1" x14ac:dyDescent="0.25">
      <c r="F10920" s="249" t="s">
        <v>250</v>
      </c>
      <c r="G10920" s="252" t="s">
        <v>57</v>
      </c>
      <c r="J10920" s="599">
        <f t="shared" si="324"/>
        <v>0</v>
      </c>
    </row>
    <row r="10921" spans="6:10" hidden="1" x14ac:dyDescent="0.25">
      <c r="F10921" s="249" t="s">
        <v>251</v>
      </c>
      <c r="G10921" s="252" t="s">
        <v>252</v>
      </c>
      <c r="J10921" s="599">
        <f t="shared" si="324"/>
        <v>0</v>
      </c>
    </row>
    <row r="10922" spans="6:10" hidden="1" x14ac:dyDescent="0.25">
      <c r="F10922" s="249" t="s">
        <v>253</v>
      </c>
      <c r="G10922" s="252" t="s">
        <v>254</v>
      </c>
      <c r="J10922" s="599">
        <f t="shared" si="324"/>
        <v>0</v>
      </c>
    </row>
    <row r="10923" spans="6:10" ht="30" hidden="1" x14ac:dyDescent="0.25">
      <c r="F10923" s="249" t="s">
        <v>255</v>
      </c>
      <c r="G10923" s="252" t="s">
        <v>256</v>
      </c>
      <c r="J10923" s="599">
        <f t="shared" si="324"/>
        <v>0</v>
      </c>
    </row>
    <row r="10924" spans="6:10" hidden="1" x14ac:dyDescent="0.25">
      <c r="F10924" s="249" t="s">
        <v>257</v>
      </c>
      <c r="G10924" s="252" t="s">
        <v>258</v>
      </c>
      <c r="J10924" s="599">
        <f t="shared" si="324"/>
        <v>0</v>
      </c>
    </row>
    <row r="10925" spans="6:10" ht="30" hidden="1" x14ac:dyDescent="0.25">
      <c r="F10925" s="249" t="s">
        <v>259</v>
      </c>
      <c r="G10925" s="252" t="s">
        <v>260</v>
      </c>
      <c r="J10925" s="599">
        <f t="shared" si="324"/>
        <v>0</v>
      </c>
    </row>
    <row r="10926" spans="6:10" hidden="1" x14ac:dyDescent="0.25">
      <c r="F10926" s="249" t="s">
        <v>261</v>
      </c>
      <c r="G10926" s="252" t="s">
        <v>262</v>
      </c>
      <c r="J10926" s="599">
        <f t="shared" si="324"/>
        <v>0</v>
      </c>
    </row>
    <row r="10927" spans="6:10" ht="15.75" hidden="1" thickBot="1" x14ac:dyDescent="0.3">
      <c r="F10927" s="249" t="s">
        <v>263</v>
      </c>
      <c r="G10927" s="252" t="s">
        <v>264</v>
      </c>
      <c r="H10927" s="598"/>
      <c r="I10927" s="599"/>
      <c r="J10927" s="599">
        <f t="shared" si="324"/>
        <v>0</v>
      </c>
    </row>
    <row r="10928" spans="6:10" ht="15.75" hidden="1" thickBot="1" x14ac:dyDescent="0.3">
      <c r="G10928" s="229" t="s">
        <v>4460</v>
      </c>
      <c r="H10928" s="600">
        <f>SUM(H10912:H10927)</f>
        <v>0</v>
      </c>
      <c r="I10928" s="601">
        <f>SUM(I10913:I10927)</f>
        <v>0</v>
      </c>
      <c r="J10928" s="601">
        <f>SUM(J10912:J10927)</f>
        <v>0</v>
      </c>
    </row>
    <row r="10929" spans="5:10" hidden="1" collapsed="1" x14ac:dyDescent="0.25">
      <c r="E10929" s="435"/>
      <c r="F10929" s="442"/>
      <c r="G10929" s="231" t="s">
        <v>4465</v>
      </c>
      <c r="H10929" s="602"/>
      <c r="I10929" s="623"/>
      <c r="J10929" s="603"/>
    </row>
    <row r="10930" spans="5:10" hidden="1" x14ac:dyDescent="0.25">
      <c r="E10930" s="222"/>
      <c r="F10930" s="249" t="s">
        <v>234</v>
      </c>
      <c r="G10930" s="252" t="s">
        <v>235</v>
      </c>
      <c r="H10930" s="598">
        <f>SUM(H10851:H10910)</f>
        <v>0</v>
      </c>
      <c r="I10930" s="599"/>
      <c r="J10930" s="599">
        <f>SUM(H10930:I10930)</f>
        <v>0</v>
      </c>
    </row>
    <row r="10931" spans="5:10" hidden="1" x14ac:dyDescent="0.25">
      <c r="F10931" s="249" t="s">
        <v>236</v>
      </c>
      <c r="G10931" s="252" t="s">
        <v>237</v>
      </c>
      <c r="J10931" s="599">
        <f t="shared" ref="J10931:J10945" si="325">SUM(H10931:I10931)</f>
        <v>0</v>
      </c>
    </row>
    <row r="10932" spans="5:10" hidden="1" x14ac:dyDescent="0.25">
      <c r="F10932" s="249" t="s">
        <v>238</v>
      </c>
      <c r="G10932" s="252" t="s">
        <v>239</v>
      </c>
      <c r="J10932" s="599">
        <f t="shared" si="325"/>
        <v>0</v>
      </c>
    </row>
    <row r="10933" spans="5:10" hidden="1" x14ac:dyDescent="0.25">
      <c r="F10933" s="249" t="s">
        <v>240</v>
      </c>
      <c r="G10933" s="252" t="s">
        <v>241</v>
      </c>
      <c r="J10933" s="599">
        <f t="shared" si="325"/>
        <v>0</v>
      </c>
    </row>
    <row r="10934" spans="5:10" hidden="1" x14ac:dyDescent="0.25">
      <c r="F10934" s="249" t="s">
        <v>242</v>
      </c>
      <c r="G10934" s="252" t="s">
        <v>243</v>
      </c>
      <c r="J10934" s="599">
        <f t="shared" si="325"/>
        <v>0</v>
      </c>
    </row>
    <row r="10935" spans="5:10" hidden="1" x14ac:dyDescent="0.25">
      <c r="F10935" s="249" t="s">
        <v>244</v>
      </c>
      <c r="G10935" s="252" t="s">
        <v>245</v>
      </c>
      <c r="J10935" s="599">
        <f t="shared" si="325"/>
        <v>0</v>
      </c>
    </row>
    <row r="10936" spans="5:10" hidden="1" x14ac:dyDescent="0.25">
      <c r="F10936" s="249" t="s">
        <v>246</v>
      </c>
      <c r="G10936" s="252" t="s">
        <v>247</v>
      </c>
      <c r="J10936" s="599">
        <f t="shared" si="325"/>
        <v>0</v>
      </c>
    </row>
    <row r="10937" spans="5:10" hidden="1" x14ac:dyDescent="0.25">
      <c r="F10937" s="249" t="s">
        <v>248</v>
      </c>
      <c r="G10937" s="252" t="s">
        <v>249</v>
      </c>
      <c r="J10937" s="599">
        <f t="shared" si="325"/>
        <v>0</v>
      </c>
    </row>
    <row r="10938" spans="5:10" hidden="1" x14ac:dyDescent="0.25">
      <c r="F10938" s="249" t="s">
        <v>250</v>
      </c>
      <c r="G10938" s="252" t="s">
        <v>57</v>
      </c>
      <c r="J10938" s="599">
        <f t="shared" si="325"/>
        <v>0</v>
      </c>
    </row>
    <row r="10939" spans="5:10" hidden="1" x14ac:dyDescent="0.25">
      <c r="F10939" s="249" t="s">
        <v>251</v>
      </c>
      <c r="G10939" s="252" t="s">
        <v>252</v>
      </c>
      <c r="J10939" s="599">
        <f t="shared" si="325"/>
        <v>0</v>
      </c>
    </row>
    <row r="10940" spans="5:10" hidden="1" x14ac:dyDescent="0.25">
      <c r="F10940" s="249" t="s">
        <v>253</v>
      </c>
      <c r="G10940" s="252" t="s">
        <v>254</v>
      </c>
      <c r="J10940" s="599">
        <f t="shared" si="325"/>
        <v>0</v>
      </c>
    </row>
    <row r="10941" spans="5:10" ht="30" hidden="1" x14ac:dyDescent="0.25">
      <c r="F10941" s="249" t="s">
        <v>255</v>
      </c>
      <c r="G10941" s="252" t="s">
        <v>256</v>
      </c>
      <c r="J10941" s="599">
        <f t="shared" si="325"/>
        <v>0</v>
      </c>
    </row>
    <row r="10942" spans="5:10" hidden="1" x14ac:dyDescent="0.25">
      <c r="F10942" s="249" t="s">
        <v>257</v>
      </c>
      <c r="G10942" s="252" t="s">
        <v>258</v>
      </c>
      <c r="J10942" s="599">
        <f t="shared" si="325"/>
        <v>0</v>
      </c>
    </row>
    <row r="10943" spans="5:10" ht="30" hidden="1" x14ac:dyDescent="0.25">
      <c r="F10943" s="249" t="s">
        <v>259</v>
      </c>
      <c r="G10943" s="252" t="s">
        <v>260</v>
      </c>
      <c r="J10943" s="599">
        <f t="shared" si="325"/>
        <v>0</v>
      </c>
    </row>
    <row r="10944" spans="5:10" hidden="1" x14ac:dyDescent="0.25">
      <c r="F10944" s="249" t="s">
        <v>261</v>
      </c>
      <c r="G10944" s="252" t="s">
        <v>262</v>
      </c>
      <c r="J10944" s="599">
        <f t="shared" si="325"/>
        <v>0</v>
      </c>
    </row>
    <row r="10945" spans="3:10" ht="15.75" hidden="1" thickBot="1" x14ac:dyDescent="0.3">
      <c r="F10945" s="249" t="s">
        <v>263</v>
      </c>
      <c r="G10945" s="252" t="s">
        <v>264</v>
      </c>
      <c r="H10945" s="598"/>
      <c r="I10945" s="599"/>
      <c r="J10945" s="599">
        <f t="shared" si="325"/>
        <v>0</v>
      </c>
    </row>
    <row r="10946" spans="3:10" ht="15.75" hidden="1" thickBot="1" x14ac:dyDescent="0.3">
      <c r="G10946" s="229" t="s">
        <v>5046</v>
      </c>
      <c r="H10946" s="600">
        <f>SUM(H10930:H10945)</f>
        <v>0</v>
      </c>
      <c r="I10946" s="601">
        <f>SUM(I10931:I10945)</f>
        <v>0</v>
      </c>
      <c r="J10946" s="601">
        <f>SUM(J10930:J10945)</f>
        <v>0</v>
      </c>
    </row>
    <row r="10947" spans="3:10" hidden="1" x14ac:dyDescent="0.25"/>
    <row r="10948" spans="3:10" hidden="1" x14ac:dyDescent="0.25">
      <c r="C10948" s="228" t="s">
        <v>4463</v>
      </c>
      <c r="D10948" s="219"/>
      <c r="G10948" s="438" t="s">
        <v>4254</v>
      </c>
    </row>
    <row r="10949" spans="3:10" hidden="1" x14ac:dyDescent="0.25">
      <c r="C10949" s="228"/>
      <c r="D10949" s="312">
        <v>820</v>
      </c>
      <c r="E10949" s="312"/>
      <c r="F10949" s="312"/>
      <c r="G10949" s="313" t="s">
        <v>207</v>
      </c>
    </row>
    <row r="10950" spans="3:10" hidden="1" x14ac:dyDescent="0.25">
      <c r="F10950" s="441">
        <v>411</v>
      </c>
      <c r="G10950" s="437" t="s">
        <v>4189</v>
      </c>
      <c r="J10950" s="595">
        <f>SUM(H10950:I10950)</f>
        <v>0</v>
      </c>
    </row>
    <row r="10951" spans="3:10" hidden="1" x14ac:dyDescent="0.25">
      <c r="F10951" s="441">
        <v>412</v>
      </c>
      <c r="G10951" s="434" t="s">
        <v>3784</v>
      </c>
      <c r="J10951" s="595">
        <f t="shared" ref="J10951:J11009" si="326">SUM(H10951:I10951)</f>
        <v>0</v>
      </c>
    </row>
    <row r="10952" spans="3:10" hidden="1" x14ac:dyDescent="0.25">
      <c r="F10952" s="441">
        <v>413</v>
      </c>
      <c r="G10952" s="437" t="s">
        <v>4190</v>
      </c>
      <c r="J10952" s="595">
        <f t="shared" si="326"/>
        <v>0</v>
      </c>
    </row>
    <row r="10953" spans="3:10" hidden="1" x14ac:dyDescent="0.25">
      <c r="F10953" s="441">
        <v>414</v>
      </c>
      <c r="G10953" s="437" t="s">
        <v>3787</v>
      </c>
      <c r="J10953" s="595">
        <f t="shared" si="326"/>
        <v>0</v>
      </c>
    </row>
    <row r="10954" spans="3:10" hidden="1" x14ac:dyDescent="0.25">
      <c r="F10954" s="441">
        <v>415</v>
      </c>
      <c r="G10954" s="437" t="s">
        <v>4199</v>
      </c>
      <c r="J10954" s="595">
        <f t="shared" si="326"/>
        <v>0</v>
      </c>
    </row>
    <row r="10955" spans="3:10" hidden="1" x14ac:dyDescent="0.25">
      <c r="F10955" s="441">
        <v>416</v>
      </c>
      <c r="G10955" s="437" t="s">
        <v>4200</v>
      </c>
      <c r="J10955" s="595">
        <f t="shared" si="326"/>
        <v>0</v>
      </c>
    </row>
    <row r="10956" spans="3:10" hidden="1" x14ac:dyDescent="0.25">
      <c r="F10956" s="441">
        <v>417</v>
      </c>
      <c r="G10956" s="437" t="s">
        <v>4201</v>
      </c>
      <c r="J10956" s="595">
        <f t="shared" si="326"/>
        <v>0</v>
      </c>
    </row>
    <row r="10957" spans="3:10" hidden="1" x14ac:dyDescent="0.25">
      <c r="F10957" s="441">
        <v>418</v>
      </c>
      <c r="G10957" s="437" t="s">
        <v>3793</v>
      </c>
      <c r="J10957" s="595">
        <f t="shared" si="326"/>
        <v>0</v>
      </c>
    </row>
    <row r="10958" spans="3:10" hidden="1" x14ac:dyDescent="0.25">
      <c r="F10958" s="441">
        <v>421</v>
      </c>
      <c r="G10958" s="437" t="s">
        <v>3797</v>
      </c>
      <c r="J10958" s="595">
        <f t="shared" si="326"/>
        <v>0</v>
      </c>
    </row>
    <row r="10959" spans="3:10" hidden="1" x14ac:dyDescent="0.25">
      <c r="F10959" s="441">
        <v>422</v>
      </c>
      <c r="G10959" s="437" t="s">
        <v>3798</v>
      </c>
      <c r="J10959" s="595">
        <f t="shared" si="326"/>
        <v>0</v>
      </c>
    </row>
    <row r="10960" spans="3:10" hidden="1" x14ac:dyDescent="0.25">
      <c r="F10960" s="441">
        <v>423</v>
      </c>
      <c r="G10960" s="437" t="s">
        <v>3799</v>
      </c>
      <c r="J10960" s="595">
        <f t="shared" si="326"/>
        <v>0</v>
      </c>
    </row>
    <row r="10961" spans="6:10" hidden="1" x14ac:dyDescent="0.25">
      <c r="F10961" s="441">
        <v>424</v>
      </c>
      <c r="G10961" s="437" t="s">
        <v>3801</v>
      </c>
      <c r="J10961" s="595">
        <f t="shared" si="326"/>
        <v>0</v>
      </c>
    </row>
    <row r="10962" spans="6:10" hidden="1" x14ac:dyDescent="0.25">
      <c r="F10962" s="441">
        <v>425</v>
      </c>
      <c r="G10962" s="437" t="s">
        <v>4202</v>
      </c>
      <c r="J10962" s="595">
        <f t="shared" si="326"/>
        <v>0</v>
      </c>
    </row>
    <row r="10963" spans="6:10" hidden="1" x14ac:dyDescent="0.25">
      <c r="F10963" s="441">
        <v>426</v>
      </c>
      <c r="G10963" s="437" t="s">
        <v>3805</v>
      </c>
      <c r="J10963" s="595">
        <f t="shared" si="326"/>
        <v>0</v>
      </c>
    </row>
    <row r="10964" spans="6:10" hidden="1" x14ac:dyDescent="0.25">
      <c r="F10964" s="441">
        <v>431</v>
      </c>
      <c r="G10964" s="437" t="s">
        <v>4203</v>
      </c>
      <c r="J10964" s="595">
        <f t="shared" si="326"/>
        <v>0</v>
      </c>
    </row>
    <row r="10965" spans="6:10" hidden="1" x14ac:dyDescent="0.25">
      <c r="F10965" s="441">
        <v>432</v>
      </c>
      <c r="G10965" s="437" t="s">
        <v>4204</v>
      </c>
      <c r="J10965" s="595">
        <f t="shared" si="326"/>
        <v>0</v>
      </c>
    </row>
    <row r="10966" spans="6:10" hidden="1" x14ac:dyDescent="0.25">
      <c r="F10966" s="441">
        <v>433</v>
      </c>
      <c r="G10966" s="437" t="s">
        <v>4205</v>
      </c>
      <c r="J10966" s="595">
        <f t="shared" si="326"/>
        <v>0</v>
      </c>
    </row>
    <row r="10967" spans="6:10" hidden="1" x14ac:dyDescent="0.25">
      <c r="F10967" s="441">
        <v>434</v>
      </c>
      <c r="G10967" s="437" t="s">
        <v>4206</v>
      </c>
      <c r="J10967" s="595">
        <f t="shared" si="326"/>
        <v>0</v>
      </c>
    </row>
    <row r="10968" spans="6:10" hidden="1" x14ac:dyDescent="0.25">
      <c r="F10968" s="441">
        <v>435</v>
      </c>
      <c r="G10968" s="437" t="s">
        <v>3812</v>
      </c>
      <c r="J10968" s="595">
        <f t="shared" si="326"/>
        <v>0</v>
      </c>
    </row>
    <row r="10969" spans="6:10" hidden="1" x14ac:dyDescent="0.25">
      <c r="F10969" s="441">
        <v>441</v>
      </c>
      <c r="G10969" s="437" t="s">
        <v>4207</v>
      </c>
      <c r="J10969" s="595">
        <f t="shared" si="326"/>
        <v>0</v>
      </c>
    </row>
    <row r="10970" spans="6:10" hidden="1" x14ac:dyDescent="0.25">
      <c r="F10970" s="441">
        <v>442</v>
      </c>
      <c r="G10970" s="437" t="s">
        <v>4208</v>
      </c>
      <c r="J10970" s="595">
        <f t="shared" si="326"/>
        <v>0</v>
      </c>
    </row>
    <row r="10971" spans="6:10" hidden="1" x14ac:dyDescent="0.25">
      <c r="F10971" s="441">
        <v>443</v>
      </c>
      <c r="G10971" s="437" t="s">
        <v>3817</v>
      </c>
      <c r="J10971" s="595">
        <f t="shared" si="326"/>
        <v>0</v>
      </c>
    </row>
    <row r="10972" spans="6:10" hidden="1" x14ac:dyDescent="0.25">
      <c r="F10972" s="441">
        <v>444</v>
      </c>
      <c r="G10972" s="437" t="s">
        <v>3818</v>
      </c>
      <c r="J10972" s="595">
        <f t="shared" si="326"/>
        <v>0</v>
      </c>
    </row>
    <row r="10973" spans="6:10" ht="30" hidden="1" x14ac:dyDescent="0.25">
      <c r="F10973" s="441">
        <v>4511</v>
      </c>
      <c r="G10973" s="223" t="s">
        <v>1692</v>
      </c>
      <c r="J10973" s="595">
        <f t="shared" si="326"/>
        <v>0</v>
      </c>
    </row>
    <row r="10974" spans="6:10" ht="30" hidden="1" x14ac:dyDescent="0.25">
      <c r="F10974" s="441">
        <v>4512</v>
      </c>
      <c r="G10974" s="223" t="s">
        <v>1701</v>
      </c>
      <c r="J10974" s="595">
        <f t="shared" si="326"/>
        <v>0</v>
      </c>
    </row>
    <row r="10975" spans="6:10" hidden="1" x14ac:dyDescent="0.25">
      <c r="F10975" s="441">
        <v>452</v>
      </c>
      <c r="G10975" s="437" t="s">
        <v>4209</v>
      </c>
      <c r="J10975" s="595">
        <f t="shared" si="326"/>
        <v>0</v>
      </c>
    </row>
    <row r="10976" spans="6:10" hidden="1" x14ac:dyDescent="0.25">
      <c r="F10976" s="441">
        <v>453</v>
      </c>
      <c r="G10976" s="437" t="s">
        <v>4210</v>
      </c>
      <c r="J10976" s="595">
        <f t="shared" si="326"/>
        <v>0</v>
      </c>
    </row>
    <row r="10977" spans="6:10" hidden="1" x14ac:dyDescent="0.25">
      <c r="F10977" s="441">
        <v>454</v>
      </c>
      <c r="G10977" s="437" t="s">
        <v>3823</v>
      </c>
      <c r="J10977" s="595">
        <f t="shared" si="326"/>
        <v>0</v>
      </c>
    </row>
    <row r="10978" spans="6:10" hidden="1" x14ac:dyDescent="0.25">
      <c r="F10978" s="441">
        <v>461</v>
      </c>
      <c r="G10978" s="437" t="s">
        <v>4191</v>
      </c>
      <c r="J10978" s="595">
        <f t="shared" si="326"/>
        <v>0</v>
      </c>
    </row>
    <row r="10979" spans="6:10" hidden="1" x14ac:dyDescent="0.25">
      <c r="F10979" s="441">
        <v>462</v>
      </c>
      <c r="G10979" s="437" t="s">
        <v>3826</v>
      </c>
      <c r="J10979" s="595">
        <f t="shared" si="326"/>
        <v>0</v>
      </c>
    </row>
    <row r="10980" spans="6:10" hidden="1" x14ac:dyDescent="0.25">
      <c r="F10980" s="441">
        <v>4631</v>
      </c>
      <c r="G10980" s="437" t="s">
        <v>3827</v>
      </c>
      <c r="J10980" s="595">
        <f t="shared" si="326"/>
        <v>0</v>
      </c>
    </row>
    <row r="10981" spans="6:10" hidden="1" x14ac:dyDescent="0.25">
      <c r="F10981" s="441">
        <v>4632</v>
      </c>
      <c r="G10981" s="437" t="s">
        <v>3828</v>
      </c>
      <c r="J10981" s="595">
        <f t="shared" si="326"/>
        <v>0</v>
      </c>
    </row>
    <row r="10982" spans="6:10" hidden="1" x14ac:dyDescent="0.25">
      <c r="F10982" s="441">
        <v>464</v>
      </c>
      <c r="G10982" s="437" t="s">
        <v>3829</v>
      </c>
      <c r="J10982" s="595">
        <f t="shared" si="326"/>
        <v>0</v>
      </c>
    </row>
    <row r="10983" spans="6:10" hidden="1" x14ac:dyDescent="0.25">
      <c r="F10983" s="441">
        <v>465</v>
      </c>
      <c r="G10983" s="437" t="s">
        <v>4192</v>
      </c>
      <c r="J10983" s="595">
        <f t="shared" si="326"/>
        <v>0</v>
      </c>
    </row>
    <row r="10984" spans="6:10" hidden="1" x14ac:dyDescent="0.25">
      <c r="F10984" s="441">
        <v>472</v>
      </c>
      <c r="G10984" s="437" t="s">
        <v>3833</v>
      </c>
      <c r="J10984" s="595">
        <f t="shared" si="326"/>
        <v>0</v>
      </c>
    </row>
    <row r="10985" spans="6:10" hidden="1" x14ac:dyDescent="0.25">
      <c r="F10985" s="441">
        <v>481</v>
      </c>
      <c r="G10985" s="437" t="s">
        <v>4211</v>
      </c>
      <c r="J10985" s="595">
        <f t="shared" si="326"/>
        <v>0</v>
      </c>
    </row>
    <row r="10986" spans="6:10" hidden="1" x14ac:dyDescent="0.25">
      <c r="F10986" s="441">
        <v>482</v>
      </c>
      <c r="G10986" s="437" t="s">
        <v>4212</v>
      </c>
      <c r="J10986" s="595">
        <f t="shared" si="326"/>
        <v>0</v>
      </c>
    </row>
    <row r="10987" spans="6:10" hidden="1" x14ac:dyDescent="0.25">
      <c r="F10987" s="441">
        <v>483</v>
      </c>
      <c r="G10987" s="439" t="s">
        <v>4213</v>
      </c>
      <c r="J10987" s="595">
        <f t="shared" si="326"/>
        <v>0</v>
      </c>
    </row>
    <row r="10988" spans="6:10" ht="30" hidden="1" x14ac:dyDescent="0.25">
      <c r="F10988" s="441">
        <v>484</v>
      </c>
      <c r="G10988" s="437" t="s">
        <v>4214</v>
      </c>
      <c r="J10988" s="595">
        <f t="shared" si="326"/>
        <v>0</v>
      </c>
    </row>
    <row r="10989" spans="6:10" ht="30" hidden="1" x14ac:dyDescent="0.25">
      <c r="F10989" s="441">
        <v>485</v>
      </c>
      <c r="G10989" s="437" t="s">
        <v>4215</v>
      </c>
      <c r="J10989" s="595">
        <f t="shared" si="326"/>
        <v>0</v>
      </c>
    </row>
    <row r="10990" spans="6:10" ht="30" hidden="1" x14ac:dyDescent="0.25">
      <c r="F10990" s="441">
        <v>489</v>
      </c>
      <c r="G10990" s="437" t="s">
        <v>3841</v>
      </c>
      <c r="J10990" s="595">
        <f t="shared" si="326"/>
        <v>0</v>
      </c>
    </row>
    <row r="10991" spans="6:10" hidden="1" x14ac:dyDescent="0.25">
      <c r="F10991" s="441">
        <v>494</v>
      </c>
      <c r="G10991" s="437" t="s">
        <v>4193</v>
      </c>
      <c r="J10991" s="595">
        <f t="shared" si="326"/>
        <v>0</v>
      </c>
    </row>
    <row r="10992" spans="6:10" ht="30" hidden="1" x14ac:dyDescent="0.25">
      <c r="F10992" s="441">
        <v>495</v>
      </c>
      <c r="G10992" s="437" t="s">
        <v>4194</v>
      </c>
      <c r="J10992" s="595">
        <f t="shared" si="326"/>
        <v>0</v>
      </c>
    </row>
    <row r="10993" spans="6:10" ht="30" hidden="1" x14ac:dyDescent="0.25">
      <c r="F10993" s="441">
        <v>496</v>
      </c>
      <c r="G10993" s="437" t="s">
        <v>4195</v>
      </c>
      <c r="J10993" s="595">
        <f t="shared" si="326"/>
        <v>0</v>
      </c>
    </row>
    <row r="10994" spans="6:10" hidden="1" x14ac:dyDescent="0.25">
      <c r="F10994" s="441">
        <v>499</v>
      </c>
      <c r="G10994" s="437" t="s">
        <v>4196</v>
      </c>
      <c r="J10994" s="595">
        <f t="shared" si="326"/>
        <v>0</v>
      </c>
    </row>
    <row r="10995" spans="6:10" hidden="1" x14ac:dyDescent="0.25">
      <c r="F10995" s="441">
        <v>511</v>
      </c>
      <c r="G10995" s="439" t="s">
        <v>4216</v>
      </c>
      <c r="J10995" s="595">
        <f t="shared" si="326"/>
        <v>0</v>
      </c>
    </row>
    <row r="10996" spans="6:10" hidden="1" x14ac:dyDescent="0.25">
      <c r="F10996" s="441">
        <v>512</v>
      </c>
      <c r="G10996" s="439" t="s">
        <v>4217</v>
      </c>
      <c r="J10996" s="595">
        <f t="shared" si="326"/>
        <v>0</v>
      </c>
    </row>
    <row r="10997" spans="6:10" hidden="1" x14ac:dyDescent="0.25">
      <c r="F10997" s="441">
        <v>513</v>
      </c>
      <c r="G10997" s="439" t="s">
        <v>4218</v>
      </c>
      <c r="J10997" s="595">
        <f t="shared" si="326"/>
        <v>0</v>
      </c>
    </row>
    <row r="10998" spans="6:10" hidden="1" x14ac:dyDescent="0.25">
      <c r="F10998" s="441">
        <v>514</v>
      </c>
      <c r="G10998" s="437" t="s">
        <v>4219</v>
      </c>
      <c r="J10998" s="595">
        <f t="shared" si="326"/>
        <v>0</v>
      </c>
    </row>
    <row r="10999" spans="6:10" hidden="1" x14ac:dyDescent="0.25">
      <c r="F10999" s="441">
        <v>515</v>
      </c>
      <c r="G10999" s="437" t="s">
        <v>3852</v>
      </c>
      <c r="J10999" s="595">
        <f t="shared" si="326"/>
        <v>0</v>
      </c>
    </row>
    <row r="11000" spans="6:10" hidden="1" x14ac:dyDescent="0.25">
      <c r="F11000" s="441">
        <v>521</v>
      </c>
      <c r="G11000" s="437" t="s">
        <v>4220</v>
      </c>
      <c r="J11000" s="595">
        <f t="shared" si="326"/>
        <v>0</v>
      </c>
    </row>
    <row r="11001" spans="6:10" hidden="1" x14ac:dyDescent="0.25">
      <c r="F11001" s="441">
        <v>522</v>
      </c>
      <c r="G11001" s="437" t="s">
        <v>4221</v>
      </c>
      <c r="J11001" s="595">
        <f t="shared" si="326"/>
        <v>0</v>
      </c>
    </row>
    <row r="11002" spans="6:10" hidden="1" x14ac:dyDescent="0.25">
      <c r="F11002" s="441">
        <v>523</v>
      </c>
      <c r="G11002" s="437" t="s">
        <v>3857</v>
      </c>
      <c r="J11002" s="595">
        <f t="shared" si="326"/>
        <v>0</v>
      </c>
    </row>
    <row r="11003" spans="6:10" hidden="1" x14ac:dyDescent="0.25">
      <c r="F11003" s="441">
        <v>531</v>
      </c>
      <c r="G11003" s="434" t="s">
        <v>4197</v>
      </c>
      <c r="J11003" s="595">
        <f t="shared" si="326"/>
        <v>0</v>
      </c>
    </row>
    <row r="11004" spans="6:10" hidden="1" x14ac:dyDescent="0.25">
      <c r="F11004" s="441">
        <v>541</v>
      </c>
      <c r="G11004" s="437" t="s">
        <v>4222</v>
      </c>
      <c r="J11004" s="595">
        <f t="shared" si="326"/>
        <v>0</v>
      </c>
    </row>
    <row r="11005" spans="6:10" hidden="1" x14ac:dyDescent="0.25">
      <c r="F11005" s="441">
        <v>542</v>
      </c>
      <c r="G11005" s="437" t="s">
        <v>4223</v>
      </c>
      <c r="J11005" s="595">
        <f t="shared" si="326"/>
        <v>0</v>
      </c>
    </row>
    <row r="11006" spans="6:10" hidden="1" x14ac:dyDescent="0.25">
      <c r="F11006" s="441">
        <v>543</v>
      </c>
      <c r="G11006" s="437" t="s">
        <v>3862</v>
      </c>
      <c r="J11006" s="595">
        <f t="shared" si="326"/>
        <v>0</v>
      </c>
    </row>
    <row r="11007" spans="6:10" ht="30" hidden="1" x14ac:dyDescent="0.25">
      <c r="F11007" s="441">
        <v>551</v>
      </c>
      <c r="G11007" s="437" t="s">
        <v>4198</v>
      </c>
      <c r="J11007" s="595">
        <f t="shared" si="326"/>
        <v>0</v>
      </c>
    </row>
    <row r="11008" spans="6:10" hidden="1" x14ac:dyDescent="0.25">
      <c r="F11008" s="442">
        <v>611</v>
      </c>
      <c r="G11008" s="440" t="s">
        <v>3868</v>
      </c>
      <c r="H11008" s="598"/>
      <c r="J11008" s="595">
        <f t="shared" si="326"/>
        <v>0</v>
      </c>
    </row>
    <row r="11009" spans="5:10" ht="15.75" hidden="1" thickBot="1" x14ac:dyDescent="0.3">
      <c r="F11009" s="442">
        <v>620</v>
      </c>
      <c r="G11009" s="440" t="s">
        <v>88</v>
      </c>
      <c r="H11009" s="598"/>
      <c r="J11009" s="595">
        <f t="shared" si="326"/>
        <v>0</v>
      </c>
    </row>
    <row r="11010" spans="5:10" hidden="1" x14ac:dyDescent="0.25">
      <c r="E11010" s="435"/>
      <c r="F11010" s="442"/>
      <c r="G11010" s="326" t="s">
        <v>4459</v>
      </c>
      <c r="H11010" s="596"/>
      <c r="I11010" s="622"/>
      <c r="J11010" s="597"/>
    </row>
    <row r="11011" spans="5:10" hidden="1" x14ac:dyDescent="0.25">
      <c r="E11011" s="222"/>
      <c r="F11011" s="249" t="s">
        <v>234</v>
      </c>
      <c r="G11011" s="252" t="s">
        <v>235</v>
      </c>
      <c r="H11011" s="598">
        <f>SUM(H10950:H11009)</f>
        <v>0</v>
      </c>
      <c r="I11011" s="599"/>
      <c r="J11011" s="599">
        <f>SUM(H11011:I11011)</f>
        <v>0</v>
      </c>
    </row>
    <row r="11012" spans="5:10" hidden="1" x14ac:dyDescent="0.25">
      <c r="F11012" s="249" t="s">
        <v>236</v>
      </c>
      <c r="G11012" s="252" t="s">
        <v>237</v>
      </c>
      <c r="J11012" s="599">
        <f t="shared" ref="J11012:J11026" si="327">SUM(H11012:I11012)</f>
        <v>0</v>
      </c>
    </row>
    <row r="11013" spans="5:10" hidden="1" x14ac:dyDescent="0.25">
      <c r="F11013" s="249" t="s">
        <v>238</v>
      </c>
      <c r="G11013" s="252" t="s">
        <v>239</v>
      </c>
      <c r="J11013" s="599">
        <f t="shared" si="327"/>
        <v>0</v>
      </c>
    </row>
    <row r="11014" spans="5:10" hidden="1" x14ac:dyDescent="0.25">
      <c r="F11014" s="249" t="s">
        <v>240</v>
      </c>
      <c r="G11014" s="252" t="s">
        <v>241</v>
      </c>
      <c r="J11014" s="599">
        <f t="shared" si="327"/>
        <v>0</v>
      </c>
    </row>
    <row r="11015" spans="5:10" hidden="1" x14ac:dyDescent="0.25">
      <c r="F11015" s="249" t="s">
        <v>242</v>
      </c>
      <c r="G11015" s="252" t="s">
        <v>243</v>
      </c>
      <c r="J11015" s="599">
        <f t="shared" si="327"/>
        <v>0</v>
      </c>
    </row>
    <row r="11016" spans="5:10" hidden="1" x14ac:dyDescent="0.25">
      <c r="F11016" s="249" t="s">
        <v>244</v>
      </c>
      <c r="G11016" s="252" t="s">
        <v>245</v>
      </c>
      <c r="J11016" s="599">
        <f t="shared" si="327"/>
        <v>0</v>
      </c>
    </row>
    <row r="11017" spans="5:10" hidden="1" x14ac:dyDescent="0.25">
      <c r="F11017" s="249" t="s">
        <v>246</v>
      </c>
      <c r="G11017" s="252" t="s">
        <v>247</v>
      </c>
      <c r="J11017" s="599">
        <f t="shared" si="327"/>
        <v>0</v>
      </c>
    </row>
    <row r="11018" spans="5:10" hidden="1" x14ac:dyDescent="0.25">
      <c r="F11018" s="249" t="s">
        <v>248</v>
      </c>
      <c r="G11018" s="252" t="s">
        <v>249</v>
      </c>
      <c r="J11018" s="599">
        <f t="shared" si="327"/>
        <v>0</v>
      </c>
    </row>
    <row r="11019" spans="5:10" hidden="1" x14ac:dyDescent="0.25">
      <c r="F11019" s="249" t="s">
        <v>250</v>
      </c>
      <c r="G11019" s="252" t="s">
        <v>57</v>
      </c>
      <c r="J11019" s="599">
        <f t="shared" si="327"/>
        <v>0</v>
      </c>
    </row>
    <row r="11020" spans="5:10" hidden="1" x14ac:dyDescent="0.25">
      <c r="F11020" s="249" t="s">
        <v>251</v>
      </c>
      <c r="G11020" s="252" t="s">
        <v>252</v>
      </c>
      <c r="J11020" s="599">
        <f t="shared" si="327"/>
        <v>0</v>
      </c>
    </row>
    <row r="11021" spans="5:10" hidden="1" x14ac:dyDescent="0.25">
      <c r="F11021" s="249" t="s">
        <v>253</v>
      </c>
      <c r="G11021" s="252" t="s">
        <v>254</v>
      </c>
      <c r="J11021" s="599">
        <f t="shared" si="327"/>
        <v>0</v>
      </c>
    </row>
    <row r="11022" spans="5:10" ht="30" hidden="1" x14ac:dyDescent="0.25">
      <c r="F11022" s="249" t="s">
        <v>255</v>
      </c>
      <c r="G11022" s="252" t="s">
        <v>256</v>
      </c>
      <c r="J11022" s="599">
        <f t="shared" si="327"/>
        <v>0</v>
      </c>
    </row>
    <row r="11023" spans="5:10" hidden="1" x14ac:dyDescent="0.25">
      <c r="F11023" s="249" t="s">
        <v>257</v>
      </c>
      <c r="G11023" s="252" t="s">
        <v>258</v>
      </c>
      <c r="J11023" s="599">
        <f t="shared" si="327"/>
        <v>0</v>
      </c>
    </row>
    <row r="11024" spans="5:10" ht="30" hidden="1" x14ac:dyDescent="0.25">
      <c r="F11024" s="249" t="s">
        <v>259</v>
      </c>
      <c r="G11024" s="252" t="s">
        <v>260</v>
      </c>
      <c r="J11024" s="599">
        <f t="shared" si="327"/>
        <v>0</v>
      </c>
    </row>
    <row r="11025" spans="5:10" hidden="1" x14ac:dyDescent="0.25">
      <c r="F11025" s="249" t="s">
        <v>261</v>
      </c>
      <c r="G11025" s="252" t="s">
        <v>262</v>
      </c>
      <c r="J11025" s="599">
        <f t="shared" si="327"/>
        <v>0</v>
      </c>
    </row>
    <row r="11026" spans="5:10" ht="15.75" hidden="1" thickBot="1" x14ac:dyDescent="0.3">
      <c r="F11026" s="249" t="s">
        <v>263</v>
      </c>
      <c r="G11026" s="252" t="s">
        <v>264</v>
      </c>
      <c r="H11026" s="598"/>
      <c r="I11026" s="599"/>
      <c r="J11026" s="599">
        <f t="shared" si="327"/>
        <v>0</v>
      </c>
    </row>
    <row r="11027" spans="5:10" ht="15.75" hidden="1" thickBot="1" x14ac:dyDescent="0.3">
      <c r="G11027" s="229" t="s">
        <v>4460</v>
      </c>
      <c r="H11027" s="600">
        <f>SUM(H11011:H11026)</f>
        <v>0</v>
      </c>
      <c r="I11027" s="601">
        <f>SUM(I11012:I11026)</f>
        <v>0</v>
      </c>
      <c r="J11027" s="601">
        <f>SUM(J11011:J11026)</f>
        <v>0</v>
      </c>
    </row>
    <row r="11028" spans="5:10" hidden="1" collapsed="1" x14ac:dyDescent="0.25">
      <c r="E11028" s="435"/>
      <c r="F11028" s="442"/>
      <c r="G11028" s="231" t="s">
        <v>4466</v>
      </c>
      <c r="H11028" s="602"/>
      <c r="I11028" s="623"/>
      <c r="J11028" s="603"/>
    </row>
    <row r="11029" spans="5:10" hidden="1" x14ac:dyDescent="0.25">
      <c r="E11029" s="222"/>
      <c r="F11029" s="249" t="s">
        <v>234</v>
      </c>
      <c r="G11029" s="252" t="s">
        <v>235</v>
      </c>
      <c r="H11029" s="598">
        <f>SUM(H10950:H11009)</f>
        <v>0</v>
      </c>
      <c r="I11029" s="599"/>
      <c r="J11029" s="599">
        <f>SUM(H11029:I11029)</f>
        <v>0</v>
      </c>
    </row>
    <row r="11030" spans="5:10" hidden="1" x14ac:dyDescent="0.25">
      <c r="F11030" s="249" t="s">
        <v>236</v>
      </c>
      <c r="G11030" s="252" t="s">
        <v>237</v>
      </c>
      <c r="J11030" s="599">
        <f t="shared" ref="J11030:J11044" si="328">SUM(H11030:I11030)</f>
        <v>0</v>
      </c>
    </row>
    <row r="11031" spans="5:10" hidden="1" x14ac:dyDescent="0.25">
      <c r="F11031" s="249" t="s">
        <v>238</v>
      </c>
      <c r="G11031" s="252" t="s">
        <v>239</v>
      </c>
      <c r="J11031" s="599">
        <f t="shared" si="328"/>
        <v>0</v>
      </c>
    </row>
    <row r="11032" spans="5:10" hidden="1" x14ac:dyDescent="0.25">
      <c r="F11032" s="249" t="s">
        <v>240</v>
      </c>
      <c r="G11032" s="252" t="s">
        <v>241</v>
      </c>
      <c r="J11032" s="599">
        <f t="shared" si="328"/>
        <v>0</v>
      </c>
    </row>
    <row r="11033" spans="5:10" hidden="1" x14ac:dyDescent="0.25">
      <c r="F11033" s="249" t="s">
        <v>242</v>
      </c>
      <c r="G11033" s="252" t="s">
        <v>243</v>
      </c>
      <c r="J11033" s="599">
        <f t="shared" si="328"/>
        <v>0</v>
      </c>
    </row>
    <row r="11034" spans="5:10" hidden="1" x14ac:dyDescent="0.25">
      <c r="F11034" s="249" t="s">
        <v>244</v>
      </c>
      <c r="G11034" s="252" t="s">
        <v>245</v>
      </c>
      <c r="J11034" s="599">
        <f t="shared" si="328"/>
        <v>0</v>
      </c>
    </row>
    <row r="11035" spans="5:10" hidden="1" x14ac:dyDescent="0.25">
      <c r="F11035" s="249" t="s">
        <v>246</v>
      </c>
      <c r="G11035" s="252" t="s">
        <v>247</v>
      </c>
      <c r="J11035" s="599">
        <f t="shared" si="328"/>
        <v>0</v>
      </c>
    </row>
    <row r="11036" spans="5:10" hidden="1" x14ac:dyDescent="0.25">
      <c r="F11036" s="249" t="s">
        <v>248</v>
      </c>
      <c r="G11036" s="252" t="s">
        <v>249</v>
      </c>
      <c r="J11036" s="599">
        <f t="shared" si="328"/>
        <v>0</v>
      </c>
    </row>
    <row r="11037" spans="5:10" hidden="1" x14ac:dyDescent="0.25">
      <c r="F11037" s="249" t="s">
        <v>250</v>
      </c>
      <c r="G11037" s="252" t="s">
        <v>57</v>
      </c>
      <c r="J11037" s="599">
        <f t="shared" si="328"/>
        <v>0</v>
      </c>
    </row>
    <row r="11038" spans="5:10" hidden="1" x14ac:dyDescent="0.25">
      <c r="F11038" s="249" t="s">
        <v>251</v>
      </c>
      <c r="G11038" s="252" t="s">
        <v>252</v>
      </c>
      <c r="J11038" s="599">
        <f t="shared" si="328"/>
        <v>0</v>
      </c>
    </row>
    <row r="11039" spans="5:10" hidden="1" x14ac:dyDescent="0.25">
      <c r="F11039" s="249" t="s">
        <v>253</v>
      </c>
      <c r="G11039" s="252" t="s">
        <v>254</v>
      </c>
      <c r="J11039" s="599">
        <f t="shared" si="328"/>
        <v>0</v>
      </c>
    </row>
    <row r="11040" spans="5:10" ht="30" hidden="1" x14ac:dyDescent="0.25">
      <c r="F11040" s="249" t="s">
        <v>255</v>
      </c>
      <c r="G11040" s="252" t="s">
        <v>256</v>
      </c>
      <c r="J11040" s="599">
        <f t="shared" si="328"/>
        <v>0</v>
      </c>
    </row>
    <row r="11041" spans="3:10" hidden="1" x14ac:dyDescent="0.25">
      <c r="F11041" s="249" t="s">
        <v>257</v>
      </c>
      <c r="G11041" s="252" t="s">
        <v>258</v>
      </c>
      <c r="J11041" s="599">
        <f t="shared" si="328"/>
        <v>0</v>
      </c>
    </row>
    <row r="11042" spans="3:10" ht="30" hidden="1" x14ac:dyDescent="0.25">
      <c r="F11042" s="249" t="s">
        <v>259</v>
      </c>
      <c r="G11042" s="252" t="s">
        <v>260</v>
      </c>
      <c r="J11042" s="599">
        <f t="shared" si="328"/>
        <v>0</v>
      </c>
    </row>
    <row r="11043" spans="3:10" hidden="1" x14ac:dyDescent="0.25">
      <c r="F11043" s="249" t="s">
        <v>261</v>
      </c>
      <c r="G11043" s="252" t="s">
        <v>262</v>
      </c>
      <c r="J11043" s="599">
        <f t="shared" si="328"/>
        <v>0</v>
      </c>
    </row>
    <row r="11044" spans="3:10" ht="15.75" hidden="1" thickBot="1" x14ac:dyDescent="0.3">
      <c r="F11044" s="249" t="s">
        <v>263</v>
      </c>
      <c r="G11044" s="252" t="s">
        <v>264</v>
      </c>
      <c r="H11044" s="598"/>
      <c r="I11044" s="599"/>
      <c r="J11044" s="599">
        <f t="shared" si="328"/>
        <v>0</v>
      </c>
    </row>
    <row r="11045" spans="3:10" ht="15.75" hidden="1" thickBot="1" x14ac:dyDescent="0.3">
      <c r="G11045" s="229" t="s">
        <v>5045</v>
      </c>
      <c r="H11045" s="600">
        <f>SUM(H11029:H11044)</f>
        <v>0</v>
      </c>
      <c r="I11045" s="601">
        <f>SUM(I11030:I11044)</f>
        <v>0</v>
      </c>
      <c r="J11045" s="601">
        <f>SUM(J11029:J11044)</f>
        <v>0</v>
      </c>
    </row>
    <row r="11046" spans="3:10" hidden="1" x14ac:dyDescent="0.25"/>
    <row r="11047" spans="3:10" hidden="1" x14ac:dyDescent="0.25">
      <c r="C11047" s="228" t="s">
        <v>4464</v>
      </c>
      <c r="D11047" s="219"/>
      <c r="G11047" s="438" t="s">
        <v>4254</v>
      </c>
    </row>
    <row r="11048" spans="3:10" hidden="1" x14ac:dyDescent="0.25">
      <c r="C11048" s="228"/>
      <c r="D11048" s="312">
        <v>820</v>
      </c>
      <c r="E11048" s="312"/>
      <c r="F11048" s="312"/>
      <c r="G11048" s="313" t="s">
        <v>207</v>
      </c>
    </row>
    <row r="11049" spans="3:10" hidden="1" x14ac:dyDescent="0.25">
      <c r="F11049" s="441">
        <v>411</v>
      </c>
      <c r="G11049" s="437" t="s">
        <v>4189</v>
      </c>
      <c r="J11049" s="595">
        <f>SUM(H11049:I11049)</f>
        <v>0</v>
      </c>
    </row>
    <row r="11050" spans="3:10" hidden="1" x14ac:dyDescent="0.25">
      <c r="F11050" s="441">
        <v>412</v>
      </c>
      <c r="G11050" s="434" t="s">
        <v>3784</v>
      </c>
      <c r="J11050" s="595">
        <f t="shared" ref="J11050:J11108" si="329">SUM(H11050:I11050)</f>
        <v>0</v>
      </c>
    </row>
    <row r="11051" spans="3:10" hidden="1" x14ac:dyDescent="0.25">
      <c r="F11051" s="441">
        <v>413</v>
      </c>
      <c r="G11051" s="437" t="s">
        <v>4190</v>
      </c>
      <c r="J11051" s="595">
        <f t="shared" si="329"/>
        <v>0</v>
      </c>
    </row>
    <row r="11052" spans="3:10" hidden="1" x14ac:dyDescent="0.25">
      <c r="F11052" s="441">
        <v>414</v>
      </c>
      <c r="G11052" s="437" t="s">
        <v>3787</v>
      </c>
      <c r="J11052" s="595">
        <f t="shared" si="329"/>
        <v>0</v>
      </c>
    </row>
    <row r="11053" spans="3:10" hidden="1" x14ac:dyDescent="0.25">
      <c r="F11053" s="441">
        <v>415</v>
      </c>
      <c r="G11053" s="437" t="s">
        <v>4199</v>
      </c>
      <c r="J11053" s="595">
        <f t="shared" si="329"/>
        <v>0</v>
      </c>
    </row>
    <row r="11054" spans="3:10" hidden="1" x14ac:dyDescent="0.25">
      <c r="F11054" s="441">
        <v>416</v>
      </c>
      <c r="G11054" s="437" t="s">
        <v>4200</v>
      </c>
      <c r="J11054" s="595">
        <f t="shared" si="329"/>
        <v>0</v>
      </c>
    </row>
    <row r="11055" spans="3:10" hidden="1" x14ac:dyDescent="0.25">
      <c r="F11055" s="441">
        <v>417</v>
      </c>
      <c r="G11055" s="437" t="s">
        <v>4201</v>
      </c>
      <c r="J11055" s="595">
        <f t="shared" si="329"/>
        <v>0</v>
      </c>
    </row>
    <row r="11056" spans="3:10" hidden="1" x14ac:dyDescent="0.25">
      <c r="F11056" s="441">
        <v>418</v>
      </c>
      <c r="G11056" s="437" t="s">
        <v>3793</v>
      </c>
      <c r="J11056" s="595">
        <f t="shared" si="329"/>
        <v>0</v>
      </c>
    </row>
    <row r="11057" spans="6:10" hidden="1" x14ac:dyDescent="0.25">
      <c r="F11057" s="441">
        <v>421</v>
      </c>
      <c r="G11057" s="437" t="s">
        <v>3797</v>
      </c>
      <c r="J11057" s="595">
        <f t="shared" si="329"/>
        <v>0</v>
      </c>
    </row>
    <row r="11058" spans="6:10" hidden="1" x14ac:dyDescent="0.25">
      <c r="F11058" s="441">
        <v>422</v>
      </c>
      <c r="G11058" s="437" t="s">
        <v>3798</v>
      </c>
      <c r="J11058" s="595">
        <f t="shared" si="329"/>
        <v>0</v>
      </c>
    </row>
    <row r="11059" spans="6:10" hidden="1" x14ac:dyDescent="0.25">
      <c r="F11059" s="441">
        <v>423</v>
      </c>
      <c r="G11059" s="437" t="s">
        <v>3799</v>
      </c>
      <c r="J11059" s="595">
        <f t="shared" si="329"/>
        <v>0</v>
      </c>
    </row>
    <row r="11060" spans="6:10" hidden="1" x14ac:dyDescent="0.25">
      <c r="F11060" s="441">
        <v>424</v>
      </c>
      <c r="G11060" s="437" t="s">
        <v>3801</v>
      </c>
      <c r="J11060" s="595">
        <f t="shared" si="329"/>
        <v>0</v>
      </c>
    </row>
    <row r="11061" spans="6:10" hidden="1" x14ac:dyDescent="0.25">
      <c r="F11061" s="441">
        <v>425</v>
      </c>
      <c r="G11061" s="437" t="s">
        <v>4202</v>
      </c>
      <c r="J11061" s="595">
        <f t="shared" si="329"/>
        <v>0</v>
      </c>
    </row>
    <row r="11062" spans="6:10" hidden="1" x14ac:dyDescent="0.25">
      <c r="F11062" s="441">
        <v>426</v>
      </c>
      <c r="G11062" s="437" t="s">
        <v>3805</v>
      </c>
      <c r="J11062" s="595">
        <f t="shared" si="329"/>
        <v>0</v>
      </c>
    </row>
    <row r="11063" spans="6:10" hidden="1" x14ac:dyDescent="0.25">
      <c r="F11063" s="441">
        <v>431</v>
      </c>
      <c r="G11063" s="437" t="s">
        <v>4203</v>
      </c>
      <c r="J11063" s="595">
        <f t="shared" si="329"/>
        <v>0</v>
      </c>
    </row>
    <row r="11064" spans="6:10" hidden="1" x14ac:dyDescent="0.25">
      <c r="F11064" s="441">
        <v>432</v>
      </c>
      <c r="G11064" s="437" t="s">
        <v>4204</v>
      </c>
      <c r="J11064" s="595">
        <f t="shared" si="329"/>
        <v>0</v>
      </c>
    </row>
    <row r="11065" spans="6:10" hidden="1" x14ac:dyDescent="0.25">
      <c r="F11065" s="441">
        <v>433</v>
      </c>
      <c r="G11065" s="437" t="s">
        <v>4205</v>
      </c>
      <c r="J11065" s="595">
        <f t="shared" si="329"/>
        <v>0</v>
      </c>
    </row>
    <row r="11066" spans="6:10" hidden="1" x14ac:dyDescent="0.25">
      <c r="F11066" s="441">
        <v>434</v>
      </c>
      <c r="G11066" s="437" t="s">
        <v>4206</v>
      </c>
      <c r="J11066" s="595">
        <f t="shared" si="329"/>
        <v>0</v>
      </c>
    </row>
    <row r="11067" spans="6:10" hidden="1" x14ac:dyDescent="0.25">
      <c r="F11067" s="441">
        <v>435</v>
      </c>
      <c r="G11067" s="437" t="s">
        <v>3812</v>
      </c>
      <c r="J11067" s="595">
        <f t="shared" si="329"/>
        <v>0</v>
      </c>
    </row>
    <row r="11068" spans="6:10" hidden="1" x14ac:dyDescent="0.25">
      <c r="F11068" s="441">
        <v>441</v>
      </c>
      <c r="G11068" s="437" t="s">
        <v>4207</v>
      </c>
      <c r="J11068" s="595">
        <f t="shared" si="329"/>
        <v>0</v>
      </c>
    </row>
    <row r="11069" spans="6:10" hidden="1" x14ac:dyDescent="0.25">
      <c r="F11069" s="441">
        <v>442</v>
      </c>
      <c r="G11069" s="437" t="s">
        <v>4208</v>
      </c>
      <c r="J11069" s="595">
        <f t="shared" si="329"/>
        <v>0</v>
      </c>
    </row>
    <row r="11070" spans="6:10" hidden="1" x14ac:dyDescent="0.25">
      <c r="F11070" s="441">
        <v>443</v>
      </c>
      <c r="G11070" s="437" t="s">
        <v>3817</v>
      </c>
      <c r="J11070" s="595">
        <f t="shared" si="329"/>
        <v>0</v>
      </c>
    </row>
    <row r="11071" spans="6:10" hidden="1" x14ac:dyDescent="0.25">
      <c r="F11071" s="441">
        <v>444</v>
      </c>
      <c r="G11071" s="437" t="s">
        <v>3818</v>
      </c>
      <c r="J11071" s="595">
        <f t="shared" si="329"/>
        <v>0</v>
      </c>
    </row>
    <row r="11072" spans="6:10" ht="30" hidden="1" x14ac:dyDescent="0.25">
      <c r="F11072" s="441">
        <v>4511</v>
      </c>
      <c r="G11072" s="223" t="s">
        <v>1692</v>
      </c>
      <c r="J11072" s="595">
        <f t="shared" si="329"/>
        <v>0</v>
      </c>
    </row>
    <row r="11073" spans="6:10" ht="30" hidden="1" x14ac:dyDescent="0.25">
      <c r="F11073" s="441">
        <v>4512</v>
      </c>
      <c r="G11073" s="223" t="s">
        <v>1701</v>
      </c>
      <c r="J11073" s="595">
        <f t="shared" si="329"/>
        <v>0</v>
      </c>
    </row>
    <row r="11074" spans="6:10" hidden="1" x14ac:dyDescent="0.25">
      <c r="F11074" s="441">
        <v>452</v>
      </c>
      <c r="G11074" s="437" t="s">
        <v>4209</v>
      </c>
      <c r="J11074" s="595">
        <f t="shared" si="329"/>
        <v>0</v>
      </c>
    </row>
    <row r="11075" spans="6:10" hidden="1" x14ac:dyDescent="0.25">
      <c r="F11075" s="441">
        <v>453</v>
      </c>
      <c r="G11075" s="437" t="s">
        <v>4210</v>
      </c>
      <c r="J11075" s="595">
        <f t="shared" si="329"/>
        <v>0</v>
      </c>
    </row>
    <row r="11076" spans="6:10" hidden="1" x14ac:dyDescent="0.25">
      <c r="F11076" s="441">
        <v>454</v>
      </c>
      <c r="G11076" s="437" t="s">
        <v>3823</v>
      </c>
      <c r="J11076" s="595">
        <f t="shared" si="329"/>
        <v>0</v>
      </c>
    </row>
    <row r="11077" spans="6:10" hidden="1" x14ac:dyDescent="0.25">
      <c r="F11077" s="441">
        <v>461</v>
      </c>
      <c r="G11077" s="437" t="s">
        <v>4191</v>
      </c>
      <c r="J11077" s="595">
        <f t="shared" si="329"/>
        <v>0</v>
      </c>
    </row>
    <row r="11078" spans="6:10" hidden="1" x14ac:dyDescent="0.25">
      <c r="F11078" s="441">
        <v>462</v>
      </c>
      <c r="G11078" s="437" t="s">
        <v>3826</v>
      </c>
      <c r="J11078" s="595">
        <f t="shared" si="329"/>
        <v>0</v>
      </c>
    </row>
    <row r="11079" spans="6:10" hidden="1" x14ac:dyDescent="0.25">
      <c r="F11079" s="441">
        <v>4631</v>
      </c>
      <c r="G11079" s="437" t="s">
        <v>3827</v>
      </c>
      <c r="J11079" s="595">
        <f t="shared" si="329"/>
        <v>0</v>
      </c>
    </row>
    <row r="11080" spans="6:10" hidden="1" x14ac:dyDescent="0.25">
      <c r="F11080" s="441">
        <v>4632</v>
      </c>
      <c r="G11080" s="437" t="s">
        <v>3828</v>
      </c>
      <c r="J11080" s="595">
        <f t="shared" si="329"/>
        <v>0</v>
      </c>
    </row>
    <row r="11081" spans="6:10" hidden="1" x14ac:dyDescent="0.25">
      <c r="F11081" s="441">
        <v>464</v>
      </c>
      <c r="G11081" s="437" t="s">
        <v>3829</v>
      </c>
      <c r="J11081" s="595">
        <f t="shared" si="329"/>
        <v>0</v>
      </c>
    </row>
    <row r="11082" spans="6:10" hidden="1" x14ac:dyDescent="0.25">
      <c r="F11082" s="441">
        <v>465</v>
      </c>
      <c r="G11082" s="437" t="s">
        <v>4192</v>
      </c>
      <c r="J11082" s="595">
        <f t="shared" si="329"/>
        <v>0</v>
      </c>
    </row>
    <row r="11083" spans="6:10" hidden="1" x14ac:dyDescent="0.25">
      <c r="F11083" s="441">
        <v>472</v>
      </c>
      <c r="G11083" s="437" t="s">
        <v>3833</v>
      </c>
      <c r="J11083" s="595">
        <f t="shared" si="329"/>
        <v>0</v>
      </c>
    </row>
    <row r="11084" spans="6:10" hidden="1" x14ac:dyDescent="0.25">
      <c r="F11084" s="441">
        <v>481</v>
      </c>
      <c r="G11084" s="437" t="s">
        <v>4211</v>
      </c>
      <c r="J11084" s="595">
        <f t="shared" si="329"/>
        <v>0</v>
      </c>
    </row>
    <row r="11085" spans="6:10" hidden="1" x14ac:dyDescent="0.25">
      <c r="F11085" s="441">
        <v>482</v>
      </c>
      <c r="G11085" s="437" t="s">
        <v>4212</v>
      </c>
      <c r="J11085" s="595">
        <f t="shared" si="329"/>
        <v>0</v>
      </c>
    </row>
    <row r="11086" spans="6:10" hidden="1" x14ac:dyDescent="0.25">
      <c r="F11086" s="441">
        <v>483</v>
      </c>
      <c r="G11086" s="439" t="s">
        <v>4213</v>
      </c>
      <c r="J11086" s="595">
        <f t="shared" si="329"/>
        <v>0</v>
      </c>
    </row>
    <row r="11087" spans="6:10" ht="30" hidden="1" x14ac:dyDescent="0.25">
      <c r="F11087" s="441">
        <v>484</v>
      </c>
      <c r="G11087" s="437" t="s">
        <v>4214</v>
      </c>
      <c r="J11087" s="595">
        <f t="shared" si="329"/>
        <v>0</v>
      </c>
    </row>
    <row r="11088" spans="6:10" ht="30" hidden="1" x14ac:dyDescent="0.25">
      <c r="F11088" s="441">
        <v>485</v>
      </c>
      <c r="G11088" s="437" t="s">
        <v>4215</v>
      </c>
      <c r="J11088" s="595">
        <f t="shared" si="329"/>
        <v>0</v>
      </c>
    </row>
    <row r="11089" spans="6:10" ht="30" hidden="1" x14ac:dyDescent="0.25">
      <c r="F11089" s="441">
        <v>489</v>
      </c>
      <c r="G11089" s="437" t="s">
        <v>3841</v>
      </c>
      <c r="J11089" s="595">
        <f t="shared" si="329"/>
        <v>0</v>
      </c>
    </row>
    <row r="11090" spans="6:10" hidden="1" x14ac:dyDescent="0.25">
      <c r="F11090" s="441">
        <v>494</v>
      </c>
      <c r="G11090" s="437" t="s">
        <v>4193</v>
      </c>
      <c r="J11090" s="595">
        <f t="shared" si="329"/>
        <v>0</v>
      </c>
    </row>
    <row r="11091" spans="6:10" ht="30" hidden="1" x14ac:dyDescent="0.25">
      <c r="F11091" s="441">
        <v>495</v>
      </c>
      <c r="G11091" s="437" t="s">
        <v>4194</v>
      </c>
      <c r="J11091" s="595">
        <f t="shared" si="329"/>
        <v>0</v>
      </c>
    </row>
    <row r="11092" spans="6:10" ht="30" hidden="1" x14ac:dyDescent="0.25">
      <c r="F11092" s="441">
        <v>496</v>
      </c>
      <c r="G11092" s="437" t="s">
        <v>4195</v>
      </c>
      <c r="J11092" s="595">
        <f t="shared" si="329"/>
        <v>0</v>
      </c>
    </row>
    <row r="11093" spans="6:10" hidden="1" x14ac:dyDescent="0.25">
      <c r="F11093" s="441">
        <v>499</v>
      </c>
      <c r="G11093" s="437" t="s">
        <v>4196</v>
      </c>
      <c r="J11093" s="595">
        <f t="shared" si="329"/>
        <v>0</v>
      </c>
    </row>
    <row r="11094" spans="6:10" hidden="1" x14ac:dyDescent="0.25">
      <c r="F11094" s="441">
        <v>511</v>
      </c>
      <c r="G11094" s="439" t="s">
        <v>4216</v>
      </c>
      <c r="J11094" s="595">
        <f t="shared" si="329"/>
        <v>0</v>
      </c>
    </row>
    <row r="11095" spans="6:10" hidden="1" x14ac:dyDescent="0.25">
      <c r="F11095" s="441">
        <v>512</v>
      </c>
      <c r="G11095" s="439" t="s">
        <v>4217</v>
      </c>
      <c r="J11095" s="595">
        <f t="shared" si="329"/>
        <v>0</v>
      </c>
    </row>
    <row r="11096" spans="6:10" hidden="1" x14ac:dyDescent="0.25">
      <c r="F11096" s="441">
        <v>513</v>
      </c>
      <c r="G11096" s="439" t="s">
        <v>4218</v>
      </c>
      <c r="J11096" s="595">
        <f t="shared" si="329"/>
        <v>0</v>
      </c>
    </row>
    <row r="11097" spans="6:10" hidden="1" x14ac:dyDescent="0.25">
      <c r="F11097" s="441">
        <v>514</v>
      </c>
      <c r="G11097" s="437" t="s">
        <v>4219</v>
      </c>
      <c r="J11097" s="595">
        <f t="shared" si="329"/>
        <v>0</v>
      </c>
    </row>
    <row r="11098" spans="6:10" hidden="1" x14ac:dyDescent="0.25">
      <c r="F11098" s="441">
        <v>515</v>
      </c>
      <c r="G11098" s="437" t="s">
        <v>3852</v>
      </c>
      <c r="J11098" s="595">
        <f t="shared" si="329"/>
        <v>0</v>
      </c>
    </row>
    <row r="11099" spans="6:10" hidden="1" x14ac:dyDescent="0.25">
      <c r="F11099" s="441">
        <v>521</v>
      </c>
      <c r="G11099" s="437" t="s">
        <v>4220</v>
      </c>
      <c r="J11099" s="595">
        <f t="shared" si="329"/>
        <v>0</v>
      </c>
    </row>
    <row r="11100" spans="6:10" hidden="1" x14ac:dyDescent="0.25">
      <c r="F11100" s="441">
        <v>522</v>
      </c>
      <c r="G11100" s="437" t="s">
        <v>4221</v>
      </c>
      <c r="J11100" s="595">
        <f t="shared" si="329"/>
        <v>0</v>
      </c>
    </row>
    <row r="11101" spans="6:10" hidden="1" x14ac:dyDescent="0.25">
      <c r="F11101" s="441">
        <v>523</v>
      </c>
      <c r="G11101" s="437" t="s">
        <v>3857</v>
      </c>
      <c r="J11101" s="595">
        <f t="shared" si="329"/>
        <v>0</v>
      </c>
    </row>
    <row r="11102" spans="6:10" hidden="1" x14ac:dyDescent="0.25">
      <c r="F11102" s="441">
        <v>531</v>
      </c>
      <c r="G11102" s="434" t="s">
        <v>4197</v>
      </c>
      <c r="J11102" s="595">
        <f t="shared" si="329"/>
        <v>0</v>
      </c>
    </row>
    <row r="11103" spans="6:10" hidden="1" x14ac:dyDescent="0.25">
      <c r="F11103" s="441">
        <v>541</v>
      </c>
      <c r="G11103" s="437" t="s">
        <v>4222</v>
      </c>
      <c r="J11103" s="595">
        <f t="shared" si="329"/>
        <v>0</v>
      </c>
    </row>
    <row r="11104" spans="6:10" hidden="1" x14ac:dyDescent="0.25">
      <c r="F11104" s="441">
        <v>542</v>
      </c>
      <c r="G11104" s="437" t="s">
        <v>4223</v>
      </c>
      <c r="J11104" s="595">
        <f t="shared" si="329"/>
        <v>0</v>
      </c>
    </row>
    <row r="11105" spans="5:10" hidden="1" x14ac:dyDescent="0.25">
      <c r="F11105" s="441">
        <v>543</v>
      </c>
      <c r="G11105" s="437" t="s">
        <v>3862</v>
      </c>
      <c r="J11105" s="595">
        <f t="shared" si="329"/>
        <v>0</v>
      </c>
    </row>
    <row r="11106" spans="5:10" ht="30" hidden="1" x14ac:dyDescent="0.25">
      <c r="F11106" s="441">
        <v>551</v>
      </c>
      <c r="G11106" s="437" t="s">
        <v>4198</v>
      </c>
      <c r="J11106" s="595">
        <f t="shared" si="329"/>
        <v>0</v>
      </c>
    </row>
    <row r="11107" spans="5:10" hidden="1" x14ac:dyDescent="0.25">
      <c r="F11107" s="442">
        <v>611</v>
      </c>
      <c r="G11107" s="440" t="s">
        <v>3868</v>
      </c>
      <c r="H11107" s="598"/>
      <c r="J11107" s="595">
        <f t="shared" si="329"/>
        <v>0</v>
      </c>
    </row>
    <row r="11108" spans="5:10" ht="15.75" hidden="1" thickBot="1" x14ac:dyDescent="0.3">
      <c r="F11108" s="442">
        <v>620</v>
      </c>
      <c r="G11108" s="440" t="s">
        <v>88</v>
      </c>
      <c r="H11108" s="598"/>
      <c r="J11108" s="595">
        <f t="shared" si="329"/>
        <v>0</v>
      </c>
    </row>
    <row r="11109" spans="5:10" hidden="1" x14ac:dyDescent="0.25">
      <c r="E11109" s="435"/>
      <c r="F11109" s="442"/>
      <c r="G11109" s="326" t="s">
        <v>4459</v>
      </c>
      <c r="H11109" s="596"/>
      <c r="I11109" s="622"/>
      <c r="J11109" s="597"/>
    </row>
    <row r="11110" spans="5:10" hidden="1" x14ac:dyDescent="0.25">
      <c r="E11110" s="222"/>
      <c r="F11110" s="249" t="s">
        <v>234</v>
      </c>
      <c r="G11110" s="252" t="s">
        <v>235</v>
      </c>
      <c r="H11110" s="598">
        <f>SUM(H11049:H11108)</f>
        <v>0</v>
      </c>
      <c r="I11110" s="599"/>
      <c r="J11110" s="599">
        <f>SUM(H11110:I11110)</f>
        <v>0</v>
      </c>
    </row>
    <row r="11111" spans="5:10" hidden="1" x14ac:dyDescent="0.25">
      <c r="F11111" s="249" t="s">
        <v>236</v>
      </c>
      <c r="G11111" s="252" t="s">
        <v>237</v>
      </c>
      <c r="J11111" s="599">
        <f t="shared" ref="J11111:J11125" si="330">SUM(H11111:I11111)</f>
        <v>0</v>
      </c>
    </row>
    <row r="11112" spans="5:10" hidden="1" x14ac:dyDescent="0.25">
      <c r="F11112" s="249" t="s">
        <v>238</v>
      </c>
      <c r="G11112" s="252" t="s">
        <v>239</v>
      </c>
      <c r="J11112" s="599">
        <f t="shared" si="330"/>
        <v>0</v>
      </c>
    </row>
    <row r="11113" spans="5:10" hidden="1" x14ac:dyDescent="0.25">
      <c r="F11113" s="249" t="s">
        <v>240</v>
      </c>
      <c r="G11113" s="252" t="s">
        <v>241</v>
      </c>
      <c r="J11113" s="599">
        <f t="shared" si="330"/>
        <v>0</v>
      </c>
    </row>
    <row r="11114" spans="5:10" hidden="1" x14ac:dyDescent="0.25">
      <c r="F11114" s="249" t="s">
        <v>242</v>
      </c>
      <c r="G11114" s="252" t="s">
        <v>243</v>
      </c>
      <c r="J11114" s="599">
        <f t="shared" si="330"/>
        <v>0</v>
      </c>
    </row>
    <row r="11115" spans="5:10" hidden="1" x14ac:dyDescent="0.25">
      <c r="F11115" s="249" t="s">
        <v>244</v>
      </c>
      <c r="G11115" s="252" t="s">
        <v>245</v>
      </c>
      <c r="J11115" s="599">
        <f t="shared" si="330"/>
        <v>0</v>
      </c>
    </row>
    <row r="11116" spans="5:10" hidden="1" x14ac:dyDescent="0.25">
      <c r="F11116" s="249" t="s">
        <v>246</v>
      </c>
      <c r="G11116" s="252" t="s">
        <v>247</v>
      </c>
      <c r="J11116" s="599">
        <f t="shared" si="330"/>
        <v>0</v>
      </c>
    </row>
    <row r="11117" spans="5:10" hidden="1" x14ac:dyDescent="0.25">
      <c r="F11117" s="249" t="s">
        <v>248</v>
      </c>
      <c r="G11117" s="252" t="s">
        <v>249</v>
      </c>
      <c r="J11117" s="599">
        <f t="shared" si="330"/>
        <v>0</v>
      </c>
    </row>
    <row r="11118" spans="5:10" hidden="1" x14ac:dyDescent="0.25">
      <c r="F11118" s="249" t="s">
        <v>250</v>
      </c>
      <c r="G11118" s="252" t="s">
        <v>57</v>
      </c>
      <c r="J11118" s="599">
        <f t="shared" si="330"/>
        <v>0</v>
      </c>
    </row>
    <row r="11119" spans="5:10" hidden="1" x14ac:dyDescent="0.25">
      <c r="F11119" s="249" t="s">
        <v>251</v>
      </c>
      <c r="G11119" s="252" t="s">
        <v>252</v>
      </c>
      <c r="J11119" s="599">
        <f t="shared" si="330"/>
        <v>0</v>
      </c>
    </row>
    <row r="11120" spans="5:10" hidden="1" x14ac:dyDescent="0.25">
      <c r="F11120" s="249" t="s">
        <v>253</v>
      </c>
      <c r="G11120" s="252" t="s">
        <v>254</v>
      </c>
      <c r="J11120" s="599">
        <f t="shared" si="330"/>
        <v>0</v>
      </c>
    </row>
    <row r="11121" spans="5:10" ht="30" hidden="1" x14ac:dyDescent="0.25">
      <c r="F11121" s="249" t="s">
        <v>255</v>
      </c>
      <c r="G11121" s="252" t="s">
        <v>256</v>
      </c>
      <c r="J11121" s="599">
        <f t="shared" si="330"/>
        <v>0</v>
      </c>
    </row>
    <row r="11122" spans="5:10" hidden="1" x14ac:dyDescent="0.25">
      <c r="F11122" s="249" t="s">
        <v>257</v>
      </c>
      <c r="G11122" s="252" t="s">
        <v>258</v>
      </c>
      <c r="J11122" s="599">
        <f t="shared" si="330"/>
        <v>0</v>
      </c>
    </row>
    <row r="11123" spans="5:10" ht="30" hidden="1" x14ac:dyDescent="0.25">
      <c r="F11123" s="249" t="s">
        <v>259</v>
      </c>
      <c r="G11123" s="252" t="s">
        <v>260</v>
      </c>
      <c r="J11123" s="599">
        <f t="shared" si="330"/>
        <v>0</v>
      </c>
    </row>
    <row r="11124" spans="5:10" hidden="1" x14ac:dyDescent="0.25">
      <c r="F11124" s="249" t="s">
        <v>261</v>
      </c>
      <c r="G11124" s="252" t="s">
        <v>262</v>
      </c>
      <c r="J11124" s="599">
        <f t="shared" si="330"/>
        <v>0</v>
      </c>
    </row>
    <row r="11125" spans="5:10" ht="15.75" hidden="1" thickBot="1" x14ac:dyDescent="0.3">
      <c r="F11125" s="249" t="s">
        <v>263</v>
      </c>
      <c r="G11125" s="252" t="s">
        <v>264</v>
      </c>
      <c r="H11125" s="598"/>
      <c r="I11125" s="599"/>
      <c r="J11125" s="599">
        <f t="shared" si="330"/>
        <v>0</v>
      </c>
    </row>
    <row r="11126" spans="5:10" ht="15.75" hidden="1" thickBot="1" x14ac:dyDescent="0.3">
      <c r="G11126" s="229" t="s">
        <v>4460</v>
      </c>
      <c r="H11126" s="600">
        <f>SUM(H11110:H11125)</f>
        <v>0</v>
      </c>
      <c r="I11126" s="601">
        <f>SUM(I11111:I11125)</f>
        <v>0</v>
      </c>
      <c r="J11126" s="601">
        <f>SUM(J11110:J11125)</f>
        <v>0</v>
      </c>
    </row>
    <row r="11127" spans="5:10" hidden="1" collapsed="1" x14ac:dyDescent="0.25">
      <c r="E11127" s="435"/>
      <c r="F11127" s="442"/>
      <c r="G11127" s="231" t="s">
        <v>4467</v>
      </c>
      <c r="H11127" s="602"/>
      <c r="I11127" s="623"/>
      <c r="J11127" s="603"/>
    </row>
    <row r="11128" spans="5:10" hidden="1" x14ac:dyDescent="0.25">
      <c r="E11128" s="222"/>
      <c r="F11128" s="249" t="s">
        <v>234</v>
      </c>
      <c r="G11128" s="252" t="s">
        <v>235</v>
      </c>
      <c r="H11128" s="598">
        <f>SUM(H11049:H11108)</f>
        <v>0</v>
      </c>
      <c r="I11128" s="599"/>
      <c r="J11128" s="599">
        <f>SUM(H11128:I11128)</f>
        <v>0</v>
      </c>
    </row>
    <row r="11129" spans="5:10" hidden="1" x14ac:dyDescent="0.25">
      <c r="F11129" s="249" t="s">
        <v>236</v>
      </c>
      <c r="G11129" s="252" t="s">
        <v>237</v>
      </c>
      <c r="J11129" s="599">
        <f t="shared" ref="J11129:J11143" si="331">SUM(H11129:I11129)</f>
        <v>0</v>
      </c>
    </row>
    <row r="11130" spans="5:10" hidden="1" x14ac:dyDescent="0.25">
      <c r="F11130" s="249" t="s">
        <v>238</v>
      </c>
      <c r="G11130" s="252" t="s">
        <v>239</v>
      </c>
      <c r="J11130" s="599">
        <f t="shared" si="331"/>
        <v>0</v>
      </c>
    </row>
    <row r="11131" spans="5:10" hidden="1" x14ac:dyDescent="0.25">
      <c r="F11131" s="249" t="s">
        <v>240</v>
      </c>
      <c r="G11131" s="252" t="s">
        <v>241</v>
      </c>
      <c r="J11131" s="599">
        <f t="shared" si="331"/>
        <v>0</v>
      </c>
    </row>
    <row r="11132" spans="5:10" hidden="1" x14ac:dyDescent="0.25">
      <c r="F11132" s="249" t="s">
        <v>242</v>
      </c>
      <c r="G11132" s="252" t="s">
        <v>243</v>
      </c>
      <c r="J11132" s="599">
        <f t="shared" si="331"/>
        <v>0</v>
      </c>
    </row>
    <row r="11133" spans="5:10" hidden="1" x14ac:dyDescent="0.25">
      <c r="F11133" s="249" t="s">
        <v>244</v>
      </c>
      <c r="G11133" s="252" t="s">
        <v>245</v>
      </c>
      <c r="J11133" s="599">
        <f t="shared" si="331"/>
        <v>0</v>
      </c>
    </row>
    <row r="11134" spans="5:10" hidden="1" x14ac:dyDescent="0.25">
      <c r="F11134" s="249" t="s">
        <v>246</v>
      </c>
      <c r="G11134" s="252" t="s">
        <v>247</v>
      </c>
      <c r="J11134" s="599">
        <f t="shared" si="331"/>
        <v>0</v>
      </c>
    </row>
    <row r="11135" spans="5:10" hidden="1" x14ac:dyDescent="0.25">
      <c r="F11135" s="249" t="s">
        <v>248</v>
      </c>
      <c r="G11135" s="252" t="s">
        <v>249</v>
      </c>
      <c r="J11135" s="599">
        <f t="shared" si="331"/>
        <v>0</v>
      </c>
    </row>
    <row r="11136" spans="5:10" hidden="1" x14ac:dyDescent="0.25">
      <c r="F11136" s="249" t="s">
        <v>250</v>
      </c>
      <c r="G11136" s="252" t="s">
        <v>57</v>
      </c>
      <c r="J11136" s="599">
        <f t="shared" si="331"/>
        <v>0</v>
      </c>
    </row>
    <row r="11137" spans="1:10" hidden="1" x14ac:dyDescent="0.25">
      <c r="F11137" s="249" t="s">
        <v>251</v>
      </c>
      <c r="G11137" s="252" t="s">
        <v>252</v>
      </c>
      <c r="J11137" s="599">
        <f t="shared" si="331"/>
        <v>0</v>
      </c>
    </row>
    <row r="11138" spans="1:10" hidden="1" x14ac:dyDescent="0.25">
      <c r="F11138" s="249" t="s">
        <v>253</v>
      </c>
      <c r="G11138" s="252" t="s">
        <v>254</v>
      </c>
      <c r="J11138" s="599">
        <f t="shared" si="331"/>
        <v>0</v>
      </c>
    </row>
    <row r="11139" spans="1:10" ht="30" hidden="1" x14ac:dyDescent="0.25">
      <c r="F11139" s="249" t="s">
        <v>255</v>
      </c>
      <c r="G11139" s="252" t="s">
        <v>256</v>
      </c>
      <c r="J11139" s="599">
        <f t="shared" si="331"/>
        <v>0</v>
      </c>
    </row>
    <row r="11140" spans="1:10" hidden="1" x14ac:dyDescent="0.25">
      <c r="F11140" s="249" t="s">
        <v>257</v>
      </c>
      <c r="G11140" s="252" t="s">
        <v>258</v>
      </c>
      <c r="J11140" s="599">
        <f t="shared" si="331"/>
        <v>0</v>
      </c>
    </row>
    <row r="11141" spans="1:10" ht="30" hidden="1" x14ac:dyDescent="0.25">
      <c r="F11141" s="249" t="s">
        <v>259</v>
      </c>
      <c r="G11141" s="252" t="s">
        <v>260</v>
      </c>
      <c r="J11141" s="599">
        <f t="shared" si="331"/>
        <v>0</v>
      </c>
    </row>
    <row r="11142" spans="1:10" hidden="1" x14ac:dyDescent="0.25">
      <c r="F11142" s="249" t="s">
        <v>261</v>
      </c>
      <c r="G11142" s="252" t="s">
        <v>262</v>
      </c>
      <c r="J11142" s="599">
        <f t="shared" si="331"/>
        <v>0</v>
      </c>
    </row>
    <row r="11143" spans="1:10" ht="15.75" hidden="1" thickBot="1" x14ac:dyDescent="0.3">
      <c r="F11143" s="249" t="s">
        <v>263</v>
      </c>
      <c r="G11143" s="252" t="s">
        <v>264</v>
      </c>
      <c r="H11143" s="598"/>
      <c r="I11143" s="599"/>
      <c r="J11143" s="599">
        <f t="shared" si="331"/>
        <v>0</v>
      </c>
    </row>
    <row r="11144" spans="1:10" ht="15.75" hidden="1" thickBot="1" x14ac:dyDescent="0.3">
      <c r="G11144" s="229" t="s">
        <v>5045</v>
      </c>
      <c r="H11144" s="600">
        <f>SUM(H11128:H11143)</f>
        <v>0</v>
      </c>
      <c r="I11144" s="601">
        <f>SUM(I11129:I11143)</f>
        <v>0</v>
      </c>
      <c r="J11144" s="601">
        <f>SUM(J11128:J11143)</f>
        <v>0</v>
      </c>
    </row>
    <row r="11145" spans="1:10" hidden="1" x14ac:dyDescent="0.25"/>
    <row r="11146" spans="1:10" hidden="1" x14ac:dyDescent="0.25"/>
    <row r="11147" spans="1:10" x14ac:dyDescent="0.25">
      <c r="A11147" s="443"/>
      <c r="B11147" s="444" t="s">
        <v>251</v>
      </c>
      <c r="C11147" s="443"/>
      <c r="D11147" s="445"/>
      <c r="E11147" s="446"/>
      <c r="F11147" s="446"/>
      <c r="G11147" s="447" t="s">
        <v>5471</v>
      </c>
      <c r="H11147" s="632"/>
      <c r="I11147" s="633"/>
      <c r="J11147" s="618"/>
    </row>
    <row r="11148" spans="1:10" x14ac:dyDescent="0.25">
      <c r="C11148" s="228" t="s">
        <v>3602</v>
      </c>
      <c r="G11148" s="475" t="s">
        <v>4338</v>
      </c>
    </row>
    <row r="11149" spans="1:10" x14ac:dyDescent="0.25">
      <c r="C11149" s="228" t="s">
        <v>4145</v>
      </c>
      <c r="D11149" s="219"/>
      <c r="G11149" s="475" t="s">
        <v>4339</v>
      </c>
    </row>
    <row r="11150" spans="1:10" x14ac:dyDescent="0.25">
      <c r="C11150" s="228"/>
      <c r="D11150" s="312">
        <v>820</v>
      </c>
      <c r="E11150" s="312"/>
      <c r="F11150" s="312"/>
      <c r="G11150" s="313" t="s">
        <v>207</v>
      </c>
    </row>
    <row r="11151" spans="1:10" x14ac:dyDescent="0.25">
      <c r="E11151" s="218">
        <v>112</v>
      </c>
      <c r="F11151" s="485">
        <v>411</v>
      </c>
      <c r="G11151" s="476" t="s">
        <v>4189</v>
      </c>
      <c r="H11151" s="594">
        <v>4606000</v>
      </c>
      <c r="J11151" s="595">
        <f>SUM(H11151:I11151)</f>
        <v>4606000</v>
      </c>
    </row>
    <row r="11152" spans="1:10" x14ac:dyDescent="0.25">
      <c r="E11152" s="218">
        <v>113</v>
      </c>
      <c r="F11152" s="485">
        <v>412</v>
      </c>
      <c r="G11152" s="473" t="s">
        <v>3784</v>
      </c>
      <c r="H11152" s="594">
        <v>824245</v>
      </c>
      <c r="J11152" s="595">
        <f t="shared" ref="J11152:J11210" si="332">SUM(H11152:I11152)</f>
        <v>824245</v>
      </c>
    </row>
    <row r="11153" spans="5:10" ht="14.25" customHeight="1" x14ac:dyDescent="0.25">
      <c r="E11153" s="218">
        <v>114</v>
      </c>
      <c r="F11153" s="485">
        <v>413</v>
      </c>
      <c r="G11153" s="476" t="s">
        <v>4190</v>
      </c>
      <c r="I11153" s="595">
        <v>50000</v>
      </c>
      <c r="J11153" s="595">
        <f t="shared" si="332"/>
        <v>50000</v>
      </c>
    </row>
    <row r="11154" spans="5:10" ht="15.75" customHeight="1" x14ac:dyDescent="0.25">
      <c r="E11154" s="218">
        <v>115</v>
      </c>
      <c r="F11154" s="485">
        <v>414</v>
      </c>
      <c r="G11154" s="476" t="s">
        <v>3787</v>
      </c>
      <c r="H11154" s="594">
        <v>100000</v>
      </c>
      <c r="J11154" s="595">
        <f t="shared" si="332"/>
        <v>100000</v>
      </c>
    </row>
    <row r="11155" spans="5:10" hidden="1" x14ac:dyDescent="0.25">
      <c r="F11155" s="485">
        <v>415</v>
      </c>
      <c r="G11155" s="476" t="s">
        <v>4199</v>
      </c>
      <c r="J11155" s="595">
        <f t="shared" si="332"/>
        <v>0</v>
      </c>
    </row>
    <row r="11156" spans="5:10" hidden="1" x14ac:dyDescent="0.25">
      <c r="F11156" s="485">
        <v>416</v>
      </c>
      <c r="G11156" s="476" t="s">
        <v>4200</v>
      </c>
      <c r="J11156" s="595">
        <f t="shared" si="332"/>
        <v>0</v>
      </c>
    </row>
    <row r="11157" spans="5:10" hidden="1" x14ac:dyDescent="0.25">
      <c r="F11157" s="485">
        <v>417</v>
      </c>
      <c r="G11157" s="476" t="s">
        <v>4201</v>
      </c>
      <c r="J11157" s="595">
        <f t="shared" si="332"/>
        <v>0</v>
      </c>
    </row>
    <row r="11158" spans="5:10" hidden="1" x14ac:dyDescent="0.25">
      <c r="F11158" s="485">
        <v>418</v>
      </c>
      <c r="G11158" s="476" t="s">
        <v>3793</v>
      </c>
      <c r="J11158" s="595">
        <f t="shared" si="332"/>
        <v>0</v>
      </c>
    </row>
    <row r="11159" spans="5:10" x14ac:dyDescent="0.25">
      <c r="E11159" s="218">
        <v>116</v>
      </c>
      <c r="F11159" s="485">
        <v>421</v>
      </c>
      <c r="G11159" s="476" t="s">
        <v>3797</v>
      </c>
      <c r="H11159" s="594">
        <v>704550</v>
      </c>
      <c r="I11159" s="595">
        <v>65000</v>
      </c>
      <c r="J11159" s="595">
        <f t="shared" si="332"/>
        <v>769550</v>
      </c>
    </row>
    <row r="11160" spans="5:10" x14ac:dyDescent="0.25">
      <c r="E11160" s="218">
        <v>117</v>
      </c>
      <c r="F11160" s="485">
        <v>422</v>
      </c>
      <c r="G11160" s="476" t="s">
        <v>3798</v>
      </c>
      <c r="H11160" s="594">
        <v>200000</v>
      </c>
      <c r="I11160" s="595">
        <v>30000</v>
      </c>
      <c r="J11160" s="595">
        <f t="shared" si="332"/>
        <v>230000</v>
      </c>
    </row>
    <row r="11161" spans="5:10" x14ac:dyDescent="0.25">
      <c r="E11161" s="218">
        <v>118</v>
      </c>
      <c r="F11161" s="485">
        <v>423</v>
      </c>
      <c r="G11161" s="476" t="s">
        <v>3799</v>
      </c>
      <c r="H11161" s="594">
        <v>390000</v>
      </c>
      <c r="I11161" s="595">
        <v>178000</v>
      </c>
      <c r="J11161" s="595">
        <f t="shared" si="332"/>
        <v>568000</v>
      </c>
    </row>
    <row r="11162" spans="5:10" x14ac:dyDescent="0.25">
      <c r="E11162" s="218">
        <v>119</v>
      </c>
      <c r="F11162" s="485">
        <v>424</v>
      </c>
      <c r="G11162" s="476" t="s">
        <v>3801</v>
      </c>
      <c r="H11162" s="594">
        <v>900000</v>
      </c>
      <c r="I11162" s="595">
        <v>50000</v>
      </c>
      <c r="J11162" s="595">
        <f t="shared" si="332"/>
        <v>950000</v>
      </c>
    </row>
    <row r="11163" spans="5:10" x14ac:dyDescent="0.25">
      <c r="E11163" s="218">
        <v>120</v>
      </c>
      <c r="F11163" s="485">
        <v>425</v>
      </c>
      <c r="G11163" s="476" t="s">
        <v>4202</v>
      </c>
      <c r="H11163" s="594">
        <v>215205</v>
      </c>
      <c r="I11163" s="595">
        <v>100000</v>
      </c>
      <c r="J11163" s="595">
        <f t="shared" si="332"/>
        <v>315205</v>
      </c>
    </row>
    <row r="11164" spans="5:10" x14ac:dyDescent="0.25">
      <c r="E11164" s="218">
        <v>121</v>
      </c>
      <c r="F11164" s="485">
        <v>426</v>
      </c>
      <c r="G11164" s="476" t="s">
        <v>3805</v>
      </c>
      <c r="H11164" s="594">
        <v>341000</v>
      </c>
      <c r="I11164" s="595">
        <v>130000</v>
      </c>
      <c r="J11164" s="595">
        <f t="shared" si="332"/>
        <v>471000</v>
      </c>
    </row>
    <row r="11165" spans="5:10" hidden="1" x14ac:dyDescent="0.25">
      <c r="F11165" s="485">
        <v>431</v>
      </c>
      <c r="G11165" s="476" t="s">
        <v>4203</v>
      </c>
      <c r="J11165" s="595">
        <f t="shared" si="332"/>
        <v>0</v>
      </c>
    </row>
    <row r="11166" spans="5:10" hidden="1" x14ac:dyDescent="0.25">
      <c r="F11166" s="485">
        <v>432</v>
      </c>
      <c r="G11166" s="476" t="s">
        <v>4204</v>
      </c>
      <c r="J11166" s="595">
        <f t="shared" si="332"/>
        <v>0</v>
      </c>
    </row>
    <row r="11167" spans="5:10" hidden="1" x14ac:dyDescent="0.25">
      <c r="F11167" s="485">
        <v>433</v>
      </c>
      <c r="G11167" s="476" t="s">
        <v>4205</v>
      </c>
      <c r="J11167" s="595">
        <f t="shared" si="332"/>
        <v>0</v>
      </c>
    </row>
    <row r="11168" spans="5:10" hidden="1" x14ac:dyDescent="0.25">
      <c r="F11168" s="485">
        <v>434</v>
      </c>
      <c r="G11168" s="476" t="s">
        <v>4206</v>
      </c>
      <c r="J11168" s="595">
        <f t="shared" si="332"/>
        <v>0</v>
      </c>
    </row>
    <row r="11169" spans="5:10" hidden="1" x14ac:dyDescent="0.25">
      <c r="F11169" s="485">
        <v>435</v>
      </c>
      <c r="G11169" s="476" t="s">
        <v>3812</v>
      </c>
      <c r="J11169" s="595">
        <f t="shared" si="332"/>
        <v>0</v>
      </c>
    </row>
    <row r="11170" spans="5:10" hidden="1" x14ac:dyDescent="0.25">
      <c r="F11170" s="485">
        <v>441</v>
      </c>
      <c r="G11170" s="476" t="s">
        <v>4207</v>
      </c>
      <c r="J11170" s="595">
        <f t="shared" si="332"/>
        <v>0</v>
      </c>
    </row>
    <row r="11171" spans="5:10" hidden="1" x14ac:dyDescent="0.25">
      <c r="F11171" s="485">
        <v>442</v>
      </c>
      <c r="G11171" s="476" t="s">
        <v>4208</v>
      </c>
      <c r="J11171" s="595">
        <f t="shared" si="332"/>
        <v>0</v>
      </c>
    </row>
    <row r="11172" spans="5:10" hidden="1" x14ac:dyDescent="0.25">
      <c r="F11172" s="485">
        <v>443</v>
      </c>
      <c r="G11172" s="476" t="s">
        <v>3817</v>
      </c>
      <c r="J11172" s="595">
        <f t="shared" si="332"/>
        <v>0</v>
      </c>
    </row>
    <row r="11173" spans="5:10" hidden="1" x14ac:dyDescent="0.25">
      <c r="F11173" s="485">
        <v>444</v>
      </c>
      <c r="G11173" s="476" t="s">
        <v>3818</v>
      </c>
      <c r="J11173" s="595">
        <f t="shared" si="332"/>
        <v>0</v>
      </c>
    </row>
    <row r="11174" spans="5:10" ht="30" hidden="1" x14ac:dyDescent="0.25">
      <c r="F11174" s="485">
        <v>4511</v>
      </c>
      <c r="G11174" s="223" t="s">
        <v>1692</v>
      </c>
      <c r="J11174" s="595">
        <f t="shared" si="332"/>
        <v>0</v>
      </c>
    </row>
    <row r="11175" spans="5:10" ht="19.5" hidden="1" customHeight="1" x14ac:dyDescent="0.25">
      <c r="F11175" s="485">
        <v>4512</v>
      </c>
      <c r="G11175" s="223" t="s">
        <v>1701</v>
      </c>
      <c r="J11175" s="595">
        <f t="shared" si="332"/>
        <v>0</v>
      </c>
    </row>
    <row r="11176" spans="5:10" hidden="1" x14ac:dyDescent="0.25">
      <c r="F11176" s="485">
        <v>452</v>
      </c>
      <c r="G11176" s="476" t="s">
        <v>4209</v>
      </c>
      <c r="J11176" s="595">
        <f t="shared" si="332"/>
        <v>0</v>
      </c>
    </row>
    <row r="11177" spans="5:10" hidden="1" x14ac:dyDescent="0.25">
      <c r="F11177" s="485">
        <v>453</v>
      </c>
      <c r="G11177" s="476" t="s">
        <v>4210</v>
      </c>
      <c r="J11177" s="595">
        <f t="shared" si="332"/>
        <v>0</v>
      </c>
    </row>
    <row r="11178" spans="5:10" hidden="1" x14ac:dyDescent="0.25">
      <c r="F11178" s="485">
        <v>454</v>
      </c>
      <c r="G11178" s="476" t="s">
        <v>3823</v>
      </c>
      <c r="J11178" s="595">
        <f t="shared" si="332"/>
        <v>0</v>
      </c>
    </row>
    <row r="11179" spans="5:10" hidden="1" x14ac:dyDescent="0.25">
      <c r="F11179" s="485">
        <v>461</v>
      </c>
      <c r="G11179" s="476" t="s">
        <v>4191</v>
      </c>
      <c r="J11179" s="595">
        <f t="shared" si="332"/>
        <v>0</v>
      </c>
    </row>
    <row r="11180" spans="5:10" hidden="1" x14ac:dyDescent="0.25">
      <c r="F11180" s="485">
        <v>462</v>
      </c>
      <c r="G11180" s="476" t="s">
        <v>3826</v>
      </c>
      <c r="J11180" s="595">
        <f t="shared" si="332"/>
        <v>0</v>
      </c>
    </row>
    <row r="11181" spans="5:10" hidden="1" x14ac:dyDescent="0.25">
      <c r="F11181" s="485">
        <v>4631</v>
      </c>
      <c r="G11181" s="476" t="s">
        <v>3827</v>
      </c>
      <c r="J11181" s="595">
        <f t="shared" si="332"/>
        <v>0</v>
      </c>
    </row>
    <row r="11182" spans="5:10" hidden="1" x14ac:dyDescent="0.25">
      <c r="F11182" s="485">
        <v>4632</v>
      </c>
      <c r="G11182" s="476" t="s">
        <v>3828</v>
      </c>
      <c r="J11182" s="595">
        <f t="shared" si="332"/>
        <v>0</v>
      </c>
    </row>
    <row r="11183" spans="5:10" hidden="1" x14ac:dyDescent="0.25">
      <c r="F11183" s="485">
        <v>464</v>
      </c>
      <c r="G11183" s="476" t="s">
        <v>3829</v>
      </c>
      <c r="J11183" s="595">
        <f t="shared" si="332"/>
        <v>0</v>
      </c>
    </row>
    <row r="11184" spans="5:10" x14ac:dyDescent="0.25">
      <c r="E11184" s="218">
        <v>122</v>
      </c>
      <c r="F11184" s="485">
        <v>465</v>
      </c>
      <c r="G11184" s="476" t="s">
        <v>4192</v>
      </c>
      <c r="H11184" s="594">
        <v>540000</v>
      </c>
      <c r="J11184" s="595">
        <f t="shared" si="332"/>
        <v>540000</v>
      </c>
    </row>
    <row r="11185" spans="5:10" hidden="1" x14ac:dyDescent="0.25">
      <c r="F11185" s="485">
        <v>472</v>
      </c>
      <c r="G11185" s="476" t="s">
        <v>3833</v>
      </c>
      <c r="J11185" s="595">
        <f t="shared" si="332"/>
        <v>0</v>
      </c>
    </row>
    <row r="11186" spans="5:10" hidden="1" x14ac:dyDescent="0.25">
      <c r="F11186" s="485">
        <v>481</v>
      </c>
      <c r="G11186" s="476" t="s">
        <v>4211</v>
      </c>
      <c r="J11186" s="595">
        <f t="shared" si="332"/>
        <v>0</v>
      </c>
    </row>
    <row r="11187" spans="5:10" ht="15.75" customHeight="1" x14ac:dyDescent="0.25">
      <c r="E11187" s="218">
        <v>123</v>
      </c>
      <c r="F11187" s="485">
        <v>482</v>
      </c>
      <c r="G11187" s="476" t="s">
        <v>4212</v>
      </c>
      <c r="I11187" s="595">
        <v>1000</v>
      </c>
      <c r="J11187" s="595">
        <f t="shared" si="332"/>
        <v>1000</v>
      </c>
    </row>
    <row r="11188" spans="5:10" hidden="1" x14ac:dyDescent="0.25">
      <c r="F11188" s="485">
        <v>483</v>
      </c>
      <c r="G11188" s="478" t="s">
        <v>4213</v>
      </c>
      <c r="J11188" s="595">
        <f t="shared" si="332"/>
        <v>0</v>
      </c>
    </row>
    <row r="11189" spans="5:10" ht="30" hidden="1" x14ac:dyDescent="0.25">
      <c r="F11189" s="485">
        <v>484</v>
      </c>
      <c r="G11189" s="476" t="s">
        <v>4214</v>
      </c>
      <c r="J11189" s="595">
        <f t="shared" si="332"/>
        <v>0</v>
      </c>
    </row>
    <row r="11190" spans="5:10" ht="30" hidden="1" x14ac:dyDescent="0.25">
      <c r="F11190" s="485">
        <v>485</v>
      </c>
      <c r="G11190" s="476" t="s">
        <v>4215</v>
      </c>
      <c r="J11190" s="595">
        <f t="shared" si="332"/>
        <v>0</v>
      </c>
    </row>
    <row r="11191" spans="5:10" ht="30" hidden="1" x14ac:dyDescent="0.25">
      <c r="F11191" s="485">
        <v>489</v>
      </c>
      <c r="G11191" s="476" t="s">
        <v>3841</v>
      </c>
      <c r="J11191" s="595">
        <f t="shared" si="332"/>
        <v>0</v>
      </c>
    </row>
    <row r="11192" spans="5:10" hidden="1" x14ac:dyDescent="0.25">
      <c r="F11192" s="485">
        <v>494</v>
      </c>
      <c r="G11192" s="476" t="s">
        <v>4193</v>
      </c>
      <c r="J11192" s="595">
        <f t="shared" si="332"/>
        <v>0</v>
      </c>
    </row>
    <row r="11193" spans="5:10" ht="30" hidden="1" x14ac:dyDescent="0.25">
      <c r="F11193" s="485">
        <v>495</v>
      </c>
      <c r="G11193" s="476" t="s">
        <v>4194</v>
      </c>
      <c r="J11193" s="595">
        <f t="shared" si="332"/>
        <v>0</v>
      </c>
    </row>
    <row r="11194" spans="5:10" ht="30" hidden="1" x14ac:dyDescent="0.25">
      <c r="F11194" s="485">
        <v>496</v>
      </c>
      <c r="G11194" s="476" t="s">
        <v>4195</v>
      </c>
      <c r="J11194" s="595">
        <f t="shared" si="332"/>
        <v>0</v>
      </c>
    </row>
    <row r="11195" spans="5:10" hidden="1" x14ac:dyDescent="0.25">
      <c r="F11195" s="485">
        <v>499</v>
      </c>
      <c r="G11195" s="476" t="s">
        <v>4196</v>
      </c>
      <c r="J11195" s="595">
        <f t="shared" si="332"/>
        <v>0</v>
      </c>
    </row>
    <row r="11196" spans="5:10" hidden="1" x14ac:dyDescent="0.25">
      <c r="F11196" s="485">
        <v>511</v>
      </c>
      <c r="G11196" s="478" t="s">
        <v>4216</v>
      </c>
      <c r="J11196" s="595">
        <f t="shared" si="332"/>
        <v>0</v>
      </c>
    </row>
    <row r="11197" spans="5:10" x14ac:dyDescent="0.25">
      <c r="E11197" s="218">
        <v>124</v>
      </c>
      <c r="F11197" s="485">
        <v>512</v>
      </c>
      <c r="G11197" s="478" t="s">
        <v>4217</v>
      </c>
      <c r="H11197" s="594">
        <v>101000</v>
      </c>
      <c r="I11197" s="595">
        <v>30000</v>
      </c>
      <c r="J11197" s="595">
        <f t="shared" si="332"/>
        <v>131000</v>
      </c>
    </row>
    <row r="11198" spans="5:10" hidden="1" x14ac:dyDescent="0.25">
      <c r="F11198" s="485">
        <v>513</v>
      </c>
      <c r="G11198" s="478" t="s">
        <v>4218</v>
      </c>
      <c r="J11198" s="595">
        <f t="shared" si="332"/>
        <v>0</v>
      </c>
    </row>
    <row r="11199" spans="5:10" hidden="1" x14ac:dyDescent="0.25">
      <c r="F11199" s="485">
        <v>514</v>
      </c>
      <c r="G11199" s="476" t="s">
        <v>4219</v>
      </c>
      <c r="J11199" s="595">
        <f t="shared" si="332"/>
        <v>0</v>
      </c>
    </row>
    <row r="11200" spans="5:10" ht="15.75" thickBot="1" x14ac:dyDescent="0.3">
      <c r="E11200" s="218">
        <v>125</v>
      </c>
      <c r="F11200" s="485">
        <v>515</v>
      </c>
      <c r="G11200" s="476" t="s">
        <v>3852</v>
      </c>
      <c r="H11200" s="594">
        <v>250000</v>
      </c>
      <c r="I11200" s="595">
        <v>60000</v>
      </c>
      <c r="J11200" s="595">
        <f t="shared" si="332"/>
        <v>310000</v>
      </c>
    </row>
    <row r="11201" spans="5:10" hidden="1" x14ac:dyDescent="0.25">
      <c r="F11201" s="485">
        <v>521</v>
      </c>
      <c r="G11201" s="476" t="s">
        <v>4220</v>
      </c>
      <c r="J11201" s="595">
        <f t="shared" si="332"/>
        <v>0</v>
      </c>
    </row>
    <row r="11202" spans="5:10" hidden="1" x14ac:dyDescent="0.25">
      <c r="F11202" s="485">
        <v>522</v>
      </c>
      <c r="G11202" s="476" t="s">
        <v>4221</v>
      </c>
      <c r="J11202" s="595">
        <f t="shared" si="332"/>
        <v>0</v>
      </c>
    </row>
    <row r="11203" spans="5:10" hidden="1" x14ac:dyDescent="0.25">
      <c r="F11203" s="485">
        <v>523</v>
      </c>
      <c r="G11203" s="476" t="s">
        <v>3857</v>
      </c>
      <c r="J11203" s="595">
        <f t="shared" si="332"/>
        <v>0</v>
      </c>
    </row>
    <row r="11204" spans="5:10" hidden="1" x14ac:dyDescent="0.25">
      <c r="F11204" s="485">
        <v>531</v>
      </c>
      <c r="G11204" s="473" t="s">
        <v>4197</v>
      </c>
      <c r="J11204" s="595">
        <f t="shared" si="332"/>
        <v>0</v>
      </c>
    </row>
    <row r="11205" spans="5:10" hidden="1" x14ac:dyDescent="0.25">
      <c r="F11205" s="485">
        <v>541</v>
      </c>
      <c r="G11205" s="476" t="s">
        <v>4222</v>
      </c>
      <c r="J11205" s="595">
        <f t="shared" si="332"/>
        <v>0</v>
      </c>
    </row>
    <row r="11206" spans="5:10" hidden="1" x14ac:dyDescent="0.25">
      <c r="F11206" s="485">
        <v>542</v>
      </c>
      <c r="G11206" s="476" t="s">
        <v>4223</v>
      </c>
      <c r="J11206" s="595">
        <f t="shared" si="332"/>
        <v>0</v>
      </c>
    </row>
    <row r="11207" spans="5:10" hidden="1" x14ac:dyDescent="0.25">
      <c r="F11207" s="485">
        <v>543</v>
      </c>
      <c r="G11207" s="476" t="s">
        <v>3862</v>
      </c>
      <c r="J11207" s="595">
        <f t="shared" si="332"/>
        <v>0</v>
      </c>
    </row>
    <row r="11208" spans="5:10" ht="30" hidden="1" x14ac:dyDescent="0.25">
      <c r="F11208" s="485">
        <v>551</v>
      </c>
      <c r="G11208" s="476" t="s">
        <v>4198</v>
      </c>
      <c r="J11208" s="595">
        <f t="shared" si="332"/>
        <v>0</v>
      </c>
    </row>
    <row r="11209" spans="5:10" ht="12.75" hidden="1" customHeight="1" x14ac:dyDescent="0.25">
      <c r="F11209" s="486">
        <v>611</v>
      </c>
      <c r="G11209" s="484" t="s">
        <v>3868</v>
      </c>
      <c r="J11209" s="595">
        <f t="shared" si="332"/>
        <v>0</v>
      </c>
    </row>
    <row r="11210" spans="5:10" ht="12.75" hidden="1" customHeight="1" thickBot="1" x14ac:dyDescent="0.3">
      <c r="F11210" s="486">
        <v>620</v>
      </c>
      <c r="G11210" s="484" t="s">
        <v>88</v>
      </c>
      <c r="J11210" s="595">
        <f t="shared" si="332"/>
        <v>0</v>
      </c>
    </row>
    <row r="11211" spans="5:10" x14ac:dyDescent="0.25">
      <c r="E11211" s="474"/>
      <c r="F11211" s="486"/>
      <c r="G11211" s="327" t="s">
        <v>4459</v>
      </c>
      <c r="H11211" s="596"/>
      <c r="I11211" s="622"/>
      <c r="J11211" s="597"/>
    </row>
    <row r="11212" spans="5:10" x14ac:dyDescent="0.25">
      <c r="E11212" s="222"/>
      <c r="F11212" s="249" t="s">
        <v>234</v>
      </c>
      <c r="G11212" s="252" t="s">
        <v>235</v>
      </c>
      <c r="H11212" s="598">
        <f>SUM(H11151:H11210)</f>
        <v>9172000</v>
      </c>
      <c r="I11212" s="599"/>
      <c r="J11212" s="599">
        <f t="shared" ref="J11212:J11227" si="333">SUM(H11212:I11212)</f>
        <v>9172000</v>
      </c>
    </row>
    <row r="11213" spans="5:10" hidden="1" x14ac:dyDescent="0.25">
      <c r="F11213" s="249" t="s">
        <v>236</v>
      </c>
      <c r="G11213" s="252" t="s">
        <v>237</v>
      </c>
      <c r="J11213" s="599">
        <f t="shared" si="333"/>
        <v>0</v>
      </c>
    </row>
    <row r="11214" spans="5:10" hidden="1" x14ac:dyDescent="0.25">
      <c r="F11214" s="249" t="s">
        <v>238</v>
      </c>
      <c r="G11214" s="252" t="s">
        <v>239</v>
      </c>
      <c r="J11214" s="599">
        <f t="shared" si="333"/>
        <v>0</v>
      </c>
    </row>
    <row r="11215" spans="5:10" ht="15.75" thickBot="1" x14ac:dyDescent="0.3">
      <c r="F11215" s="249" t="s">
        <v>240</v>
      </c>
      <c r="G11215" s="252" t="s">
        <v>241</v>
      </c>
      <c r="I11215" s="595">
        <f>SUM(I11153:I11200)</f>
        <v>694000</v>
      </c>
      <c r="J11215" s="599">
        <f t="shared" si="333"/>
        <v>694000</v>
      </c>
    </row>
    <row r="11216" spans="5:10" hidden="1" x14ac:dyDescent="0.25">
      <c r="F11216" s="249" t="s">
        <v>242</v>
      </c>
      <c r="G11216" s="252" t="s">
        <v>243</v>
      </c>
      <c r="J11216" s="599">
        <f t="shared" si="333"/>
        <v>0</v>
      </c>
    </row>
    <row r="11217" spans="5:10" hidden="1" x14ac:dyDescent="0.25">
      <c r="F11217" s="249" t="s">
        <v>244</v>
      </c>
      <c r="G11217" s="252" t="s">
        <v>245</v>
      </c>
      <c r="J11217" s="599">
        <f t="shared" si="333"/>
        <v>0</v>
      </c>
    </row>
    <row r="11218" spans="5:10" hidden="1" x14ac:dyDescent="0.25">
      <c r="F11218" s="249" t="s">
        <v>246</v>
      </c>
      <c r="G11218" s="252" t="s">
        <v>247</v>
      </c>
      <c r="J11218" s="599">
        <f t="shared" si="333"/>
        <v>0</v>
      </c>
    </row>
    <row r="11219" spans="5:10" hidden="1" x14ac:dyDescent="0.25">
      <c r="F11219" s="249" t="s">
        <v>248</v>
      </c>
      <c r="G11219" s="252" t="s">
        <v>249</v>
      </c>
      <c r="J11219" s="599">
        <f t="shared" si="333"/>
        <v>0</v>
      </c>
    </row>
    <row r="11220" spans="5:10" hidden="1" x14ac:dyDescent="0.25">
      <c r="F11220" s="249" t="s">
        <v>250</v>
      </c>
      <c r="G11220" s="252" t="s">
        <v>57</v>
      </c>
      <c r="J11220" s="599">
        <f t="shared" si="333"/>
        <v>0</v>
      </c>
    </row>
    <row r="11221" spans="5:10" hidden="1" x14ac:dyDescent="0.25">
      <c r="F11221" s="249" t="s">
        <v>251</v>
      </c>
      <c r="G11221" s="252" t="s">
        <v>252</v>
      </c>
      <c r="J11221" s="599">
        <f t="shared" si="333"/>
        <v>0</v>
      </c>
    </row>
    <row r="11222" spans="5:10" hidden="1" x14ac:dyDescent="0.25">
      <c r="F11222" s="249" t="s">
        <v>253</v>
      </c>
      <c r="G11222" s="252" t="s">
        <v>254</v>
      </c>
      <c r="J11222" s="599">
        <f t="shared" si="333"/>
        <v>0</v>
      </c>
    </row>
    <row r="11223" spans="5:10" ht="30" hidden="1" x14ac:dyDescent="0.25">
      <c r="F11223" s="249" t="s">
        <v>255</v>
      </c>
      <c r="G11223" s="252" t="s">
        <v>256</v>
      </c>
      <c r="J11223" s="599">
        <f t="shared" si="333"/>
        <v>0</v>
      </c>
    </row>
    <row r="11224" spans="5:10" hidden="1" x14ac:dyDescent="0.25">
      <c r="F11224" s="249" t="s">
        <v>257</v>
      </c>
      <c r="G11224" s="252" t="s">
        <v>258</v>
      </c>
      <c r="J11224" s="599">
        <f t="shared" si="333"/>
        <v>0</v>
      </c>
    </row>
    <row r="11225" spans="5:10" ht="30" hidden="1" x14ac:dyDescent="0.25">
      <c r="F11225" s="249" t="s">
        <v>259</v>
      </c>
      <c r="G11225" s="252" t="s">
        <v>260</v>
      </c>
      <c r="J11225" s="599">
        <f t="shared" si="333"/>
        <v>0</v>
      </c>
    </row>
    <row r="11226" spans="5:10" hidden="1" x14ac:dyDescent="0.25">
      <c r="F11226" s="249" t="s">
        <v>261</v>
      </c>
      <c r="G11226" s="252" t="s">
        <v>262</v>
      </c>
      <c r="J11226" s="599">
        <f t="shared" si="333"/>
        <v>0</v>
      </c>
    </row>
    <row r="11227" spans="5:10" ht="12" hidden="1" customHeight="1" thickBot="1" x14ac:dyDescent="0.3">
      <c r="F11227" s="249" t="s">
        <v>263</v>
      </c>
      <c r="G11227" s="252" t="s">
        <v>264</v>
      </c>
      <c r="H11227" s="598"/>
      <c r="I11227" s="599"/>
      <c r="J11227" s="599">
        <f t="shared" si="333"/>
        <v>0</v>
      </c>
    </row>
    <row r="11228" spans="5:10" ht="15.75" thickBot="1" x14ac:dyDescent="0.3">
      <c r="G11228" s="229" t="s">
        <v>4460</v>
      </c>
      <c r="H11228" s="600">
        <f>SUM(H11212:H11227)</f>
        <v>9172000</v>
      </c>
      <c r="I11228" s="601">
        <f>SUM(I11215)</f>
        <v>694000</v>
      </c>
      <c r="J11228" s="601">
        <f>SUM(J11212:J11227)</f>
        <v>9866000</v>
      </c>
    </row>
    <row r="11229" spans="5:10" ht="19.5" customHeight="1" collapsed="1" x14ac:dyDescent="0.25">
      <c r="E11229" s="474"/>
      <c r="F11229" s="486"/>
      <c r="G11229" s="231" t="s">
        <v>4461</v>
      </c>
      <c r="H11229" s="602"/>
      <c r="I11229" s="623"/>
      <c r="J11229" s="603"/>
    </row>
    <row r="11230" spans="5:10" x14ac:dyDescent="0.25">
      <c r="E11230" s="222"/>
      <c r="F11230" s="249" t="s">
        <v>234</v>
      </c>
      <c r="G11230" s="252" t="s">
        <v>235</v>
      </c>
      <c r="H11230" s="598">
        <f>SUM(H11151:H11210)</f>
        <v>9172000</v>
      </c>
      <c r="I11230" s="599"/>
      <c r="J11230" s="599">
        <f>SUM(H11230:I11230)</f>
        <v>9172000</v>
      </c>
    </row>
    <row r="11231" spans="5:10" hidden="1" x14ac:dyDescent="0.25">
      <c r="F11231" s="249" t="s">
        <v>236</v>
      </c>
      <c r="G11231" s="252" t="s">
        <v>237</v>
      </c>
      <c r="J11231" s="599">
        <f t="shared" ref="J11231:J11245" si="334">SUM(H11231:I11231)</f>
        <v>0</v>
      </c>
    </row>
    <row r="11232" spans="5:10" hidden="1" x14ac:dyDescent="0.25">
      <c r="F11232" s="249" t="s">
        <v>238</v>
      </c>
      <c r="G11232" s="252" t="s">
        <v>239</v>
      </c>
      <c r="J11232" s="599">
        <f t="shared" si="334"/>
        <v>0</v>
      </c>
    </row>
    <row r="11233" spans="3:10" ht="15.75" thickBot="1" x14ac:dyDescent="0.3">
      <c r="F11233" s="249" t="s">
        <v>240</v>
      </c>
      <c r="G11233" s="252" t="s">
        <v>241</v>
      </c>
      <c r="I11233" s="595">
        <f>SUM(I11228)</f>
        <v>694000</v>
      </c>
      <c r="J11233" s="599">
        <f t="shared" si="334"/>
        <v>694000</v>
      </c>
    </row>
    <row r="11234" spans="3:10" hidden="1" x14ac:dyDescent="0.25">
      <c r="F11234" s="249" t="s">
        <v>242</v>
      </c>
      <c r="G11234" s="252" t="s">
        <v>243</v>
      </c>
      <c r="J11234" s="599">
        <f t="shared" si="334"/>
        <v>0</v>
      </c>
    </row>
    <row r="11235" spans="3:10" hidden="1" x14ac:dyDescent="0.25">
      <c r="F11235" s="249" t="s">
        <v>244</v>
      </c>
      <c r="G11235" s="252" t="s">
        <v>245</v>
      </c>
      <c r="J11235" s="599">
        <f t="shared" si="334"/>
        <v>0</v>
      </c>
    </row>
    <row r="11236" spans="3:10" hidden="1" x14ac:dyDescent="0.25">
      <c r="F11236" s="249" t="s">
        <v>246</v>
      </c>
      <c r="G11236" s="252" t="s">
        <v>247</v>
      </c>
      <c r="J11236" s="599">
        <f t="shared" si="334"/>
        <v>0</v>
      </c>
    </row>
    <row r="11237" spans="3:10" hidden="1" x14ac:dyDescent="0.25">
      <c r="F11237" s="249" t="s">
        <v>248</v>
      </c>
      <c r="G11237" s="252" t="s">
        <v>249</v>
      </c>
      <c r="J11237" s="599">
        <f t="shared" si="334"/>
        <v>0</v>
      </c>
    </row>
    <row r="11238" spans="3:10" hidden="1" x14ac:dyDescent="0.25">
      <c r="F11238" s="249" t="s">
        <v>250</v>
      </c>
      <c r="G11238" s="252" t="s">
        <v>57</v>
      </c>
      <c r="J11238" s="599">
        <f t="shared" si="334"/>
        <v>0</v>
      </c>
    </row>
    <row r="11239" spans="3:10" hidden="1" x14ac:dyDescent="0.25">
      <c r="F11239" s="249" t="s">
        <v>251</v>
      </c>
      <c r="G11239" s="252" t="s">
        <v>252</v>
      </c>
      <c r="J11239" s="599">
        <f t="shared" si="334"/>
        <v>0</v>
      </c>
    </row>
    <row r="11240" spans="3:10" hidden="1" x14ac:dyDescent="0.25">
      <c r="F11240" s="249" t="s">
        <v>253</v>
      </c>
      <c r="G11240" s="252" t="s">
        <v>254</v>
      </c>
      <c r="J11240" s="599">
        <f t="shared" si="334"/>
        <v>0</v>
      </c>
    </row>
    <row r="11241" spans="3:10" ht="30" hidden="1" x14ac:dyDescent="0.25">
      <c r="F11241" s="249" t="s">
        <v>255</v>
      </c>
      <c r="G11241" s="252" t="s">
        <v>256</v>
      </c>
      <c r="J11241" s="599">
        <f t="shared" si="334"/>
        <v>0</v>
      </c>
    </row>
    <row r="11242" spans="3:10" hidden="1" x14ac:dyDescent="0.25">
      <c r="F11242" s="249" t="s">
        <v>257</v>
      </c>
      <c r="G11242" s="252" t="s">
        <v>258</v>
      </c>
      <c r="J11242" s="599">
        <f t="shared" si="334"/>
        <v>0</v>
      </c>
    </row>
    <row r="11243" spans="3:10" ht="30" hidden="1" x14ac:dyDescent="0.25">
      <c r="F11243" s="249" t="s">
        <v>259</v>
      </c>
      <c r="G11243" s="252" t="s">
        <v>260</v>
      </c>
      <c r="J11243" s="599">
        <f t="shared" si="334"/>
        <v>0</v>
      </c>
    </row>
    <row r="11244" spans="3:10" hidden="1" x14ac:dyDescent="0.25">
      <c r="F11244" s="249" t="s">
        <v>261</v>
      </c>
      <c r="G11244" s="252" t="s">
        <v>262</v>
      </c>
      <c r="J11244" s="599">
        <f t="shared" si="334"/>
        <v>0</v>
      </c>
    </row>
    <row r="11245" spans="3:10" ht="15.75" hidden="1" thickBot="1" x14ac:dyDescent="0.3">
      <c r="F11245" s="249" t="s">
        <v>263</v>
      </c>
      <c r="G11245" s="252" t="s">
        <v>264</v>
      </c>
      <c r="H11245" s="598"/>
      <c r="I11245" s="599"/>
      <c r="J11245" s="599">
        <f t="shared" si="334"/>
        <v>0</v>
      </c>
    </row>
    <row r="11246" spans="3:10" ht="15.75" collapsed="1" thickBot="1" x14ac:dyDescent="0.3">
      <c r="G11246" s="229" t="s">
        <v>4462</v>
      </c>
      <c r="H11246" s="600">
        <f>SUM(H11230:H11245)</f>
        <v>9172000</v>
      </c>
      <c r="I11246" s="601">
        <f>SUM(I11233)</f>
        <v>694000</v>
      </c>
      <c r="J11246" s="601">
        <f>SUM(J11230:J11245)</f>
        <v>9866000</v>
      </c>
    </row>
    <row r="11248" spans="3:10" hidden="1" x14ac:dyDescent="0.25">
      <c r="C11248" s="228" t="s">
        <v>4861</v>
      </c>
      <c r="D11248" s="219"/>
      <c r="G11248" s="477" t="s">
        <v>5116</v>
      </c>
    </row>
    <row r="11249" spans="3:10" hidden="1" x14ac:dyDescent="0.25">
      <c r="C11249" s="228"/>
      <c r="D11249" s="312">
        <v>820</v>
      </c>
      <c r="E11249" s="312"/>
      <c r="F11249" s="312"/>
      <c r="G11249" s="313" t="s">
        <v>207</v>
      </c>
    </row>
    <row r="11250" spans="3:10" hidden="1" x14ac:dyDescent="0.25">
      <c r="F11250" s="485">
        <v>411</v>
      </c>
      <c r="G11250" s="476" t="s">
        <v>4189</v>
      </c>
      <c r="J11250" s="595">
        <f>SUM(H11250:I11250)</f>
        <v>0</v>
      </c>
    </row>
    <row r="11251" spans="3:10" hidden="1" x14ac:dyDescent="0.25">
      <c r="F11251" s="485">
        <v>412</v>
      </c>
      <c r="G11251" s="473" t="s">
        <v>3784</v>
      </c>
      <c r="J11251" s="595">
        <f t="shared" ref="J11251:J11309" si="335">SUM(H11251:I11251)</f>
        <v>0</v>
      </c>
    </row>
    <row r="11252" spans="3:10" hidden="1" x14ac:dyDescent="0.25">
      <c r="F11252" s="485">
        <v>413</v>
      </c>
      <c r="G11252" s="476" t="s">
        <v>4190</v>
      </c>
      <c r="J11252" s="595">
        <f t="shared" si="335"/>
        <v>0</v>
      </c>
    </row>
    <row r="11253" spans="3:10" hidden="1" x14ac:dyDescent="0.25">
      <c r="F11253" s="485">
        <v>414</v>
      </c>
      <c r="G11253" s="476" t="s">
        <v>3787</v>
      </c>
      <c r="J11253" s="595">
        <f t="shared" si="335"/>
        <v>0</v>
      </c>
    </row>
    <row r="11254" spans="3:10" hidden="1" x14ac:dyDescent="0.25">
      <c r="F11254" s="485">
        <v>415</v>
      </c>
      <c r="G11254" s="476" t="s">
        <v>4199</v>
      </c>
      <c r="J11254" s="595">
        <f t="shared" si="335"/>
        <v>0</v>
      </c>
    </row>
    <row r="11255" spans="3:10" hidden="1" x14ac:dyDescent="0.25">
      <c r="F11255" s="485">
        <v>416</v>
      </c>
      <c r="G11255" s="476" t="s">
        <v>4200</v>
      </c>
      <c r="J11255" s="595">
        <f t="shared" si="335"/>
        <v>0</v>
      </c>
    </row>
    <row r="11256" spans="3:10" hidden="1" x14ac:dyDescent="0.25">
      <c r="F11256" s="485">
        <v>417</v>
      </c>
      <c r="G11256" s="476" t="s">
        <v>4201</v>
      </c>
      <c r="J11256" s="595">
        <f t="shared" si="335"/>
        <v>0</v>
      </c>
    </row>
    <row r="11257" spans="3:10" hidden="1" x14ac:dyDescent="0.25">
      <c r="F11257" s="485">
        <v>418</v>
      </c>
      <c r="G11257" s="476" t="s">
        <v>3793</v>
      </c>
      <c r="J11257" s="595">
        <f t="shared" si="335"/>
        <v>0</v>
      </c>
    </row>
    <row r="11258" spans="3:10" hidden="1" x14ac:dyDescent="0.25">
      <c r="F11258" s="485">
        <v>421</v>
      </c>
      <c r="G11258" s="476" t="s">
        <v>3797</v>
      </c>
      <c r="J11258" s="595">
        <f t="shared" si="335"/>
        <v>0</v>
      </c>
    </row>
    <row r="11259" spans="3:10" hidden="1" x14ac:dyDescent="0.25">
      <c r="F11259" s="485">
        <v>422</v>
      </c>
      <c r="G11259" s="476" t="s">
        <v>3798</v>
      </c>
      <c r="J11259" s="595">
        <f t="shared" si="335"/>
        <v>0</v>
      </c>
    </row>
    <row r="11260" spans="3:10" ht="15.75" hidden="1" thickBot="1" x14ac:dyDescent="0.3">
      <c r="F11260" s="485">
        <v>423</v>
      </c>
      <c r="G11260" s="476" t="s">
        <v>3799</v>
      </c>
      <c r="J11260" s="595">
        <f t="shared" si="335"/>
        <v>0</v>
      </c>
    </row>
    <row r="11261" spans="3:10" hidden="1" x14ac:dyDescent="0.25">
      <c r="F11261" s="485">
        <v>424</v>
      </c>
      <c r="G11261" s="476" t="s">
        <v>3801</v>
      </c>
      <c r="J11261" s="595">
        <f t="shared" si="335"/>
        <v>0</v>
      </c>
    </row>
    <row r="11262" spans="3:10" hidden="1" x14ac:dyDescent="0.25">
      <c r="F11262" s="485">
        <v>425</v>
      </c>
      <c r="G11262" s="476" t="s">
        <v>4202</v>
      </c>
      <c r="J11262" s="595">
        <f t="shared" si="335"/>
        <v>0</v>
      </c>
    </row>
    <row r="11263" spans="3:10" hidden="1" x14ac:dyDescent="0.25">
      <c r="F11263" s="485">
        <v>426</v>
      </c>
      <c r="G11263" s="476" t="s">
        <v>3805</v>
      </c>
      <c r="J11263" s="595">
        <f t="shared" si="335"/>
        <v>0</v>
      </c>
    </row>
    <row r="11264" spans="3:10" hidden="1" x14ac:dyDescent="0.25">
      <c r="F11264" s="485">
        <v>431</v>
      </c>
      <c r="G11264" s="476" t="s">
        <v>4203</v>
      </c>
      <c r="J11264" s="595">
        <f t="shared" si="335"/>
        <v>0</v>
      </c>
    </row>
    <row r="11265" spans="6:10" hidden="1" x14ac:dyDescent="0.25">
      <c r="F11265" s="485">
        <v>432</v>
      </c>
      <c r="G11265" s="476" t="s">
        <v>4204</v>
      </c>
      <c r="J11265" s="595">
        <f t="shared" si="335"/>
        <v>0</v>
      </c>
    </row>
    <row r="11266" spans="6:10" hidden="1" x14ac:dyDescent="0.25">
      <c r="F11266" s="485">
        <v>433</v>
      </c>
      <c r="G11266" s="476" t="s">
        <v>4205</v>
      </c>
      <c r="J11266" s="595">
        <f t="shared" si="335"/>
        <v>0</v>
      </c>
    </row>
    <row r="11267" spans="6:10" hidden="1" x14ac:dyDescent="0.25">
      <c r="F11267" s="485">
        <v>434</v>
      </c>
      <c r="G11267" s="476" t="s">
        <v>4206</v>
      </c>
      <c r="J11267" s="595">
        <f t="shared" si="335"/>
        <v>0</v>
      </c>
    </row>
    <row r="11268" spans="6:10" hidden="1" x14ac:dyDescent="0.25">
      <c r="F11268" s="485">
        <v>435</v>
      </c>
      <c r="G11268" s="476" t="s">
        <v>3812</v>
      </c>
      <c r="J11268" s="595">
        <f t="shared" si="335"/>
        <v>0</v>
      </c>
    </row>
    <row r="11269" spans="6:10" hidden="1" x14ac:dyDescent="0.25">
      <c r="F11269" s="485">
        <v>441</v>
      </c>
      <c r="G11269" s="476" t="s">
        <v>4207</v>
      </c>
      <c r="J11269" s="595">
        <f t="shared" si="335"/>
        <v>0</v>
      </c>
    </row>
    <row r="11270" spans="6:10" hidden="1" x14ac:dyDescent="0.25">
      <c r="F11270" s="485">
        <v>442</v>
      </c>
      <c r="G11270" s="476" t="s">
        <v>4208</v>
      </c>
      <c r="J11270" s="595">
        <f t="shared" si="335"/>
        <v>0</v>
      </c>
    </row>
    <row r="11271" spans="6:10" hidden="1" x14ac:dyDescent="0.25">
      <c r="F11271" s="485">
        <v>443</v>
      </c>
      <c r="G11271" s="476" t="s">
        <v>3817</v>
      </c>
      <c r="J11271" s="595">
        <f t="shared" si="335"/>
        <v>0</v>
      </c>
    </row>
    <row r="11272" spans="6:10" hidden="1" x14ac:dyDescent="0.25">
      <c r="F11272" s="485">
        <v>444</v>
      </c>
      <c r="G11272" s="476" t="s">
        <v>3818</v>
      </c>
      <c r="J11272" s="595">
        <f t="shared" si="335"/>
        <v>0</v>
      </c>
    </row>
    <row r="11273" spans="6:10" ht="30" hidden="1" x14ac:dyDescent="0.25">
      <c r="F11273" s="485">
        <v>4511</v>
      </c>
      <c r="G11273" s="223" t="s">
        <v>1692</v>
      </c>
      <c r="J11273" s="595">
        <f t="shared" si="335"/>
        <v>0</v>
      </c>
    </row>
    <row r="11274" spans="6:10" ht="30" hidden="1" x14ac:dyDescent="0.25">
      <c r="F11274" s="485">
        <v>4512</v>
      </c>
      <c r="G11274" s="223" t="s">
        <v>1701</v>
      </c>
      <c r="J11274" s="595">
        <f t="shared" si="335"/>
        <v>0</v>
      </c>
    </row>
    <row r="11275" spans="6:10" hidden="1" x14ac:dyDescent="0.25">
      <c r="F11275" s="485">
        <v>452</v>
      </c>
      <c r="G11275" s="476" t="s">
        <v>4209</v>
      </c>
      <c r="J11275" s="595">
        <f t="shared" si="335"/>
        <v>0</v>
      </c>
    </row>
    <row r="11276" spans="6:10" hidden="1" x14ac:dyDescent="0.25">
      <c r="F11276" s="485">
        <v>453</v>
      </c>
      <c r="G11276" s="476" t="s">
        <v>4210</v>
      </c>
      <c r="J11276" s="595">
        <f t="shared" si="335"/>
        <v>0</v>
      </c>
    </row>
    <row r="11277" spans="6:10" hidden="1" x14ac:dyDescent="0.25">
      <c r="F11277" s="485">
        <v>454</v>
      </c>
      <c r="G11277" s="476" t="s">
        <v>3823</v>
      </c>
      <c r="J11277" s="595">
        <f t="shared" si="335"/>
        <v>0</v>
      </c>
    </row>
    <row r="11278" spans="6:10" hidden="1" x14ac:dyDescent="0.25">
      <c r="F11278" s="485">
        <v>461</v>
      </c>
      <c r="G11278" s="476" t="s">
        <v>4191</v>
      </c>
      <c r="J11278" s="595">
        <f t="shared" si="335"/>
        <v>0</v>
      </c>
    </row>
    <row r="11279" spans="6:10" hidden="1" x14ac:dyDescent="0.25">
      <c r="F11279" s="485">
        <v>462</v>
      </c>
      <c r="G11279" s="476" t="s">
        <v>3826</v>
      </c>
      <c r="J11279" s="595">
        <f t="shared" si="335"/>
        <v>0</v>
      </c>
    </row>
    <row r="11280" spans="6:10" hidden="1" x14ac:dyDescent="0.25">
      <c r="F11280" s="485">
        <v>4631</v>
      </c>
      <c r="G11280" s="476" t="s">
        <v>3827</v>
      </c>
      <c r="J11280" s="595">
        <f t="shared" si="335"/>
        <v>0</v>
      </c>
    </row>
    <row r="11281" spans="6:10" hidden="1" x14ac:dyDescent="0.25">
      <c r="F11281" s="485">
        <v>4632</v>
      </c>
      <c r="G11281" s="476" t="s">
        <v>3828</v>
      </c>
      <c r="J11281" s="595">
        <f t="shared" si="335"/>
        <v>0</v>
      </c>
    </row>
    <row r="11282" spans="6:10" hidden="1" x14ac:dyDescent="0.25">
      <c r="F11282" s="485">
        <v>464</v>
      </c>
      <c r="G11282" s="476" t="s">
        <v>3829</v>
      </c>
      <c r="J11282" s="595">
        <f t="shared" si="335"/>
        <v>0</v>
      </c>
    </row>
    <row r="11283" spans="6:10" hidden="1" x14ac:dyDescent="0.25">
      <c r="F11283" s="485">
        <v>465</v>
      </c>
      <c r="G11283" s="476" t="s">
        <v>4192</v>
      </c>
      <c r="J11283" s="595">
        <f t="shared" si="335"/>
        <v>0</v>
      </c>
    </row>
    <row r="11284" spans="6:10" hidden="1" x14ac:dyDescent="0.25">
      <c r="F11284" s="485">
        <v>472</v>
      </c>
      <c r="G11284" s="476" t="s">
        <v>3833</v>
      </c>
      <c r="J11284" s="595">
        <f t="shared" si="335"/>
        <v>0</v>
      </c>
    </row>
    <row r="11285" spans="6:10" hidden="1" x14ac:dyDescent="0.25">
      <c r="F11285" s="485">
        <v>481</v>
      </c>
      <c r="G11285" s="476" t="s">
        <v>4211</v>
      </c>
      <c r="J11285" s="595">
        <f t="shared" si="335"/>
        <v>0</v>
      </c>
    </row>
    <row r="11286" spans="6:10" hidden="1" x14ac:dyDescent="0.25">
      <c r="F11286" s="485">
        <v>482</v>
      </c>
      <c r="G11286" s="476" t="s">
        <v>4212</v>
      </c>
      <c r="J11286" s="595">
        <f t="shared" si="335"/>
        <v>0</v>
      </c>
    </row>
    <row r="11287" spans="6:10" hidden="1" x14ac:dyDescent="0.25">
      <c r="F11287" s="485">
        <v>483</v>
      </c>
      <c r="G11287" s="478" t="s">
        <v>4213</v>
      </c>
      <c r="J11287" s="595">
        <f t="shared" si="335"/>
        <v>0</v>
      </c>
    </row>
    <row r="11288" spans="6:10" ht="30" hidden="1" x14ac:dyDescent="0.25">
      <c r="F11288" s="485">
        <v>484</v>
      </c>
      <c r="G11288" s="476" t="s">
        <v>4214</v>
      </c>
      <c r="J11288" s="595">
        <f t="shared" si="335"/>
        <v>0</v>
      </c>
    </row>
    <row r="11289" spans="6:10" ht="30" hidden="1" x14ac:dyDescent="0.25">
      <c r="F11289" s="485">
        <v>485</v>
      </c>
      <c r="G11289" s="476" t="s">
        <v>4215</v>
      </c>
      <c r="J11289" s="595">
        <f t="shared" si="335"/>
        <v>0</v>
      </c>
    </row>
    <row r="11290" spans="6:10" ht="30" hidden="1" x14ac:dyDescent="0.25">
      <c r="F11290" s="485">
        <v>489</v>
      </c>
      <c r="G11290" s="476" t="s">
        <v>3841</v>
      </c>
      <c r="J11290" s="595">
        <f t="shared" si="335"/>
        <v>0</v>
      </c>
    </row>
    <row r="11291" spans="6:10" hidden="1" x14ac:dyDescent="0.25">
      <c r="F11291" s="485">
        <v>494</v>
      </c>
      <c r="G11291" s="476" t="s">
        <v>4193</v>
      </c>
      <c r="J11291" s="595">
        <f t="shared" si="335"/>
        <v>0</v>
      </c>
    </row>
    <row r="11292" spans="6:10" ht="30" hidden="1" x14ac:dyDescent="0.25">
      <c r="F11292" s="485">
        <v>495</v>
      </c>
      <c r="G11292" s="476" t="s">
        <v>4194</v>
      </c>
      <c r="J11292" s="595">
        <f t="shared" si="335"/>
        <v>0</v>
      </c>
    </row>
    <row r="11293" spans="6:10" ht="30" hidden="1" x14ac:dyDescent="0.25">
      <c r="F11293" s="485">
        <v>496</v>
      </c>
      <c r="G11293" s="476" t="s">
        <v>4195</v>
      </c>
      <c r="J11293" s="595">
        <f t="shared" si="335"/>
        <v>0</v>
      </c>
    </row>
    <row r="11294" spans="6:10" hidden="1" x14ac:dyDescent="0.25">
      <c r="F11294" s="485">
        <v>499</v>
      </c>
      <c r="G11294" s="476" t="s">
        <v>4196</v>
      </c>
      <c r="J11294" s="595">
        <f t="shared" si="335"/>
        <v>0</v>
      </c>
    </row>
    <row r="11295" spans="6:10" hidden="1" x14ac:dyDescent="0.25">
      <c r="F11295" s="485">
        <v>511</v>
      </c>
      <c r="G11295" s="478" t="s">
        <v>4216</v>
      </c>
      <c r="J11295" s="595">
        <f t="shared" si="335"/>
        <v>0</v>
      </c>
    </row>
    <row r="11296" spans="6:10" hidden="1" x14ac:dyDescent="0.25">
      <c r="F11296" s="485">
        <v>512</v>
      </c>
      <c r="G11296" s="478" t="s">
        <v>4217</v>
      </c>
      <c r="J11296" s="595">
        <f t="shared" si="335"/>
        <v>0</v>
      </c>
    </row>
    <row r="11297" spans="5:10" hidden="1" x14ac:dyDescent="0.25">
      <c r="F11297" s="485">
        <v>513</v>
      </c>
      <c r="G11297" s="478" t="s">
        <v>4218</v>
      </c>
      <c r="J11297" s="595">
        <f t="shared" si="335"/>
        <v>0</v>
      </c>
    </row>
    <row r="11298" spans="5:10" hidden="1" x14ac:dyDescent="0.25">
      <c r="F11298" s="485">
        <v>514</v>
      </c>
      <c r="G11298" s="476" t="s">
        <v>4219</v>
      </c>
      <c r="J11298" s="595">
        <f t="shared" si="335"/>
        <v>0</v>
      </c>
    </row>
    <row r="11299" spans="5:10" hidden="1" x14ac:dyDescent="0.25">
      <c r="F11299" s="485">
        <v>515</v>
      </c>
      <c r="G11299" s="476" t="s">
        <v>3852</v>
      </c>
      <c r="J11299" s="595">
        <f t="shared" si="335"/>
        <v>0</v>
      </c>
    </row>
    <row r="11300" spans="5:10" hidden="1" x14ac:dyDescent="0.25">
      <c r="F11300" s="485">
        <v>521</v>
      </c>
      <c r="G11300" s="476" t="s">
        <v>4220</v>
      </c>
      <c r="J11300" s="595">
        <f t="shared" si="335"/>
        <v>0</v>
      </c>
    </row>
    <row r="11301" spans="5:10" hidden="1" x14ac:dyDescent="0.25">
      <c r="F11301" s="485">
        <v>522</v>
      </c>
      <c r="G11301" s="476" t="s">
        <v>4221</v>
      </c>
      <c r="J11301" s="595">
        <f t="shared" si="335"/>
        <v>0</v>
      </c>
    </row>
    <row r="11302" spans="5:10" hidden="1" x14ac:dyDescent="0.25">
      <c r="F11302" s="485">
        <v>523</v>
      </c>
      <c r="G11302" s="476" t="s">
        <v>3857</v>
      </c>
      <c r="J11302" s="595">
        <f t="shared" si="335"/>
        <v>0</v>
      </c>
    </row>
    <row r="11303" spans="5:10" hidden="1" x14ac:dyDescent="0.25">
      <c r="F11303" s="485">
        <v>531</v>
      </c>
      <c r="G11303" s="473" t="s">
        <v>4197</v>
      </c>
      <c r="J11303" s="595">
        <f t="shared" si="335"/>
        <v>0</v>
      </c>
    </row>
    <row r="11304" spans="5:10" hidden="1" x14ac:dyDescent="0.25">
      <c r="F11304" s="485">
        <v>541</v>
      </c>
      <c r="G11304" s="476" t="s">
        <v>4222</v>
      </c>
      <c r="J11304" s="595">
        <f t="shared" si="335"/>
        <v>0</v>
      </c>
    </row>
    <row r="11305" spans="5:10" hidden="1" x14ac:dyDescent="0.25">
      <c r="F11305" s="485">
        <v>542</v>
      </c>
      <c r="G11305" s="476" t="s">
        <v>4223</v>
      </c>
      <c r="J11305" s="595">
        <f t="shared" si="335"/>
        <v>0</v>
      </c>
    </row>
    <row r="11306" spans="5:10" hidden="1" x14ac:dyDescent="0.25">
      <c r="F11306" s="485">
        <v>543</v>
      </c>
      <c r="G11306" s="476" t="s">
        <v>3862</v>
      </c>
      <c r="J11306" s="595">
        <f t="shared" si="335"/>
        <v>0</v>
      </c>
    </row>
    <row r="11307" spans="5:10" ht="30" hidden="1" x14ac:dyDescent="0.25">
      <c r="F11307" s="485">
        <v>551</v>
      </c>
      <c r="G11307" s="476" t="s">
        <v>4198</v>
      </c>
      <c r="J11307" s="595">
        <f t="shared" si="335"/>
        <v>0</v>
      </c>
    </row>
    <row r="11308" spans="5:10" hidden="1" x14ac:dyDescent="0.25">
      <c r="F11308" s="486">
        <v>611</v>
      </c>
      <c r="G11308" s="484" t="s">
        <v>3868</v>
      </c>
      <c r="J11308" s="595">
        <f t="shared" si="335"/>
        <v>0</v>
      </c>
    </row>
    <row r="11309" spans="5:10" ht="15.75" hidden="1" thickBot="1" x14ac:dyDescent="0.3">
      <c r="F11309" s="486">
        <v>620</v>
      </c>
      <c r="G11309" s="484" t="s">
        <v>88</v>
      </c>
      <c r="J11309" s="595">
        <f t="shared" si="335"/>
        <v>0</v>
      </c>
    </row>
    <row r="11310" spans="5:10" hidden="1" x14ac:dyDescent="0.25">
      <c r="E11310" s="474"/>
      <c r="F11310" s="486"/>
      <c r="G11310" s="326" t="s">
        <v>4459</v>
      </c>
      <c r="H11310" s="596"/>
      <c r="I11310" s="622"/>
      <c r="J11310" s="597"/>
    </row>
    <row r="11311" spans="5:10" hidden="1" x14ac:dyDescent="0.25">
      <c r="E11311" s="222"/>
      <c r="F11311" s="249" t="s">
        <v>234</v>
      </c>
      <c r="G11311" s="252" t="s">
        <v>235</v>
      </c>
      <c r="H11311" s="598">
        <f>SUM(H11250:H11309)</f>
        <v>0</v>
      </c>
      <c r="I11311" s="599"/>
      <c r="J11311" s="599">
        <f>SUM(H11311:I11311)</f>
        <v>0</v>
      </c>
    </row>
    <row r="11312" spans="5:10" hidden="1" x14ac:dyDescent="0.25">
      <c r="F11312" s="249" t="s">
        <v>236</v>
      </c>
      <c r="G11312" s="252" t="s">
        <v>237</v>
      </c>
      <c r="J11312" s="599">
        <f t="shared" ref="J11312:J11326" si="336">SUM(H11312:I11312)</f>
        <v>0</v>
      </c>
    </row>
    <row r="11313" spans="5:10" hidden="1" x14ac:dyDescent="0.25">
      <c r="F11313" s="249" t="s">
        <v>238</v>
      </c>
      <c r="G11313" s="252" t="s">
        <v>239</v>
      </c>
      <c r="J11313" s="599">
        <f t="shared" si="336"/>
        <v>0</v>
      </c>
    </row>
    <row r="11314" spans="5:10" hidden="1" x14ac:dyDescent="0.25">
      <c r="F11314" s="249" t="s">
        <v>240</v>
      </c>
      <c r="G11314" s="252" t="s">
        <v>241</v>
      </c>
      <c r="J11314" s="599">
        <f t="shared" si="336"/>
        <v>0</v>
      </c>
    </row>
    <row r="11315" spans="5:10" hidden="1" x14ac:dyDescent="0.25">
      <c r="F11315" s="249" t="s">
        <v>242</v>
      </c>
      <c r="G11315" s="252" t="s">
        <v>243</v>
      </c>
      <c r="J11315" s="599">
        <f t="shared" si="336"/>
        <v>0</v>
      </c>
    </row>
    <row r="11316" spans="5:10" hidden="1" x14ac:dyDescent="0.25">
      <c r="F11316" s="249" t="s">
        <v>244</v>
      </c>
      <c r="G11316" s="252" t="s">
        <v>245</v>
      </c>
      <c r="J11316" s="599">
        <f t="shared" si="336"/>
        <v>0</v>
      </c>
    </row>
    <row r="11317" spans="5:10" hidden="1" x14ac:dyDescent="0.25">
      <c r="F11317" s="249" t="s">
        <v>246</v>
      </c>
      <c r="G11317" s="252" t="s">
        <v>247</v>
      </c>
      <c r="J11317" s="599">
        <f t="shared" si="336"/>
        <v>0</v>
      </c>
    </row>
    <row r="11318" spans="5:10" ht="15.75" hidden="1" thickBot="1" x14ac:dyDescent="0.3">
      <c r="F11318" s="249" t="s">
        <v>248</v>
      </c>
      <c r="G11318" s="252" t="s">
        <v>249</v>
      </c>
      <c r="J11318" s="599">
        <f t="shared" si="336"/>
        <v>0</v>
      </c>
    </row>
    <row r="11319" spans="5:10" hidden="1" x14ac:dyDescent="0.25">
      <c r="F11319" s="249" t="s">
        <v>250</v>
      </c>
      <c r="G11319" s="252" t="s">
        <v>57</v>
      </c>
      <c r="J11319" s="599">
        <f t="shared" si="336"/>
        <v>0</v>
      </c>
    </row>
    <row r="11320" spans="5:10" hidden="1" x14ac:dyDescent="0.25">
      <c r="F11320" s="249" t="s">
        <v>251</v>
      </c>
      <c r="G11320" s="252" t="s">
        <v>252</v>
      </c>
      <c r="J11320" s="599">
        <f t="shared" si="336"/>
        <v>0</v>
      </c>
    </row>
    <row r="11321" spans="5:10" hidden="1" x14ac:dyDescent="0.25">
      <c r="F11321" s="249" t="s">
        <v>253</v>
      </c>
      <c r="G11321" s="252" t="s">
        <v>254</v>
      </c>
      <c r="J11321" s="599">
        <f t="shared" si="336"/>
        <v>0</v>
      </c>
    </row>
    <row r="11322" spans="5:10" ht="30" hidden="1" x14ac:dyDescent="0.25">
      <c r="F11322" s="249" t="s">
        <v>255</v>
      </c>
      <c r="G11322" s="252" t="s">
        <v>256</v>
      </c>
      <c r="J11322" s="599">
        <f t="shared" si="336"/>
        <v>0</v>
      </c>
    </row>
    <row r="11323" spans="5:10" hidden="1" x14ac:dyDescent="0.25">
      <c r="F11323" s="249" t="s">
        <v>257</v>
      </c>
      <c r="G11323" s="252" t="s">
        <v>258</v>
      </c>
      <c r="J11323" s="599">
        <f t="shared" si="336"/>
        <v>0</v>
      </c>
    </row>
    <row r="11324" spans="5:10" ht="30" hidden="1" x14ac:dyDescent="0.25">
      <c r="F11324" s="249" t="s">
        <v>259</v>
      </c>
      <c r="G11324" s="252" t="s">
        <v>260</v>
      </c>
      <c r="J11324" s="599">
        <f t="shared" si="336"/>
        <v>0</v>
      </c>
    </row>
    <row r="11325" spans="5:10" hidden="1" x14ac:dyDescent="0.25">
      <c r="F11325" s="249" t="s">
        <v>261</v>
      </c>
      <c r="G11325" s="252" t="s">
        <v>262</v>
      </c>
      <c r="J11325" s="599">
        <f t="shared" si="336"/>
        <v>0</v>
      </c>
    </row>
    <row r="11326" spans="5:10" ht="15.75" hidden="1" thickBot="1" x14ac:dyDescent="0.3">
      <c r="F11326" s="249" t="s">
        <v>263</v>
      </c>
      <c r="G11326" s="252" t="s">
        <v>264</v>
      </c>
      <c r="H11326" s="598"/>
      <c r="I11326" s="599"/>
      <c r="J11326" s="599">
        <f t="shared" si="336"/>
        <v>0</v>
      </c>
    </row>
    <row r="11327" spans="5:10" ht="15.75" hidden="1" thickBot="1" x14ac:dyDescent="0.3">
      <c r="G11327" s="229" t="s">
        <v>4460</v>
      </c>
      <c r="H11327" s="600">
        <f>SUM(H11311:H11326)</f>
        <v>0</v>
      </c>
      <c r="I11327" s="601">
        <f>SUM(I11312:I11326)</f>
        <v>0</v>
      </c>
      <c r="J11327" s="601">
        <f>SUM(J11311:J11326)</f>
        <v>0</v>
      </c>
    </row>
    <row r="11328" spans="5:10" hidden="1" collapsed="1" x14ac:dyDescent="0.25">
      <c r="E11328" s="474"/>
      <c r="F11328" s="486"/>
      <c r="G11328" s="231" t="s">
        <v>5057</v>
      </c>
      <c r="H11328" s="602"/>
      <c r="I11328" s="623"/>
      <c r="J11328" s="603"/>
    </row>
    <row r="11329" spans="5:10" ht="15.75" hidden="1" thickBot="1" x14ac:dyDescent="0.3">
      <c r="E11329" s="222"/>
      <c r="F11329" s="249" t="s">
        <v>234</v>
      </c>
      <c r="G11329" s="252" t="s">
        <v>235</v>
      </c>
      <c r="H11329" s="598">
        <f>SUM(H11250:H11309)</f>
        <v>0</v>
      </c>
      <c r="I11329" s="599"/>
      <c r="J11329" s="599">
        <f>SUM(H11329:I11329)</f>
        <v>0</v>
      </c>
    </row>
    <row r="11330" spans="5:10" hidden="1" x14ac:dyDescent="0.25">
      <c r="F11330" s="249" t="s">
        <v>236</v>
      </c>
      <c r="G11330" s="252" t="s">
        <v>237</v>
      </c>
      <c r="J11330" s="599">
        <f t="shared" ref="J11330:J11344" si="337">SUM(H11330:I11330)</f>
        <v>0</v>
      </c>
    </row>
    <row r="11331" spans="5:10" hidden="1" x14ac:dyDescent="0.25">
      <c r="F11331" s="249" t="s">
        <v>238</v>
      </c>
      <c r="G11331" s="252" t="s">
        <v>239</v>
      </c>
      <c r="J11331" s="599">
        <f t="shared" si="337"/>
        <v>0</v>
      </c>
    </row>
    <row r="11332" spans="5:10" hidden="1" x14ac:dyDescent="0.25">
      <c r="F11332" s="249" t="s">
        <v>240</v>
      </c>
      <c r="G11332" s="252" t="s">
        <v>241</v>
      </c>
      <c r="J11332" s="599">
        <f t="shared" si="337"/>
        <v>0</v>
      </c>
    </row>
    <row r="11333" spans="5:10" hidden="1" x14ac:dyDescent="0.25">
      <c r="F11333" s="249" t="s">
        <v>242</v>
      </c>
      <c r="G11333" s="252" t="s">
        <v>243</v>
      </c>
      <c r="J11333" s="599">
        <f t="shared" si="337"/>
        <v>0</v>
      </c>
    </row>
    <row r="11334" spans="5:10" hidden="1" x14ac:dyDescent="0.25">
      <c r="F11334" s="249" t="s">
        <v>244</v>
      </c>
      <c r="G11334" s="252" t="s">
        <v>245</v>
      </c>
      <c r="J11334" s="599">
        <f t="shared" si="337"/>
        <v>0</v>
      </c>
    </row>
    <row r="11335" spans="5:10" hidden="1" x14ac:dyDescent="0.25">
      <c r="F11335" s="249" t="s">
        <v>246</v>
      </c>
      <c r="G11335" s="252" t="s">
        <v>247</v>
      </c>
      <c r="J11335" s="599">
        <f t="shared" si="337"/>
        <v>0</v>
      </c>
    </row>
    <row r="11336" spans="5:10" hidden="1" x14ac:dyDescent="0.25">
      <c r="F11336" s="249" t="s">
        <v>248</v>
      </c>
      <c r="G11336" s="252" t="s">
        <v>249</v>
      </c>
      <c r="J11336" s="599">
        <f t="shared" si="337"/>
        <v>0</v>
      </c>
    </row>
    <row r="11337" spans="5:10" hidden="1" x14ac:dyDescent="0.25">
      <c r="F11337" s="249" t="s">
        <v>250</v>
      </c>
      <c r="G11337" s="252" t="s">
        <v>57</v>
      </c>
      <c r="J11337" s="599">
        <f t="shared" si="337"/>
        <v>0</v>
      </c>
    </row>
    <row r="11338" spans="5:10" hidden="1" x14ac:dyDescent="0.25">
      <c r="F11338" s="249" t="s">
        <v>251</v>
      </c>
      <c r="G11338" s="252" t="s">
        <v>252</v>
      </c>
      <c r="J11338" s="599">
        <f t="shared" si="337"/>
        <v>0</v>
      </c>
    </row>
    <row r="11339" spans="5:10" hidden="1" x14ac:dyDescent="0.25">
      <c r="F11339" s="249" t="s">
        <v>253</v>
      </c>
      <c r="G11339" s="252" t="s">
        <v>254</v>
      </c>
      <c r="J11339" s="599">
        <f t="shared" si="337"/>
        <v>0</v>
      </c>
    </row>
    <row r="11340" spans="5:10" ht="30" hidden="1" x14ac:dyDescent="0.25">
      <c r="F11340" s="249" t="s">
        <v>255</v>
      </c>
      <c r="G11340" s="252" t="s">
        <v>256</v>
      </c>
      <c r="J11340" s="599">
        <f t="shared" si="337"/>
        <v>0</v>
      </c>
    </row>
    <row r="11341" spans="5:10" hidden="1" x14ac:dyDescent="0.25">
      <c r="F11341" s="249" t="s">
        <v>257</v>
      </c>
      <c r="G11341" s="252" t="s">
        <v>258</v>
      </c>
      <c r="J11341" s="599">
        <f t="shared" si="337"/>
        <v>0</v>
      </c>
    </row>
    <row r="11342" spans="5:10" ht="30" hidden="1" x14ac:dyDescent="0.25">
      <c r="F11342" s="249" t="s">
        <v>259</v>
      </c>
      <c r="G11342" s="252" t="s">
        <v>260</v>
      </c>
      <c r="J11342" s="599">
        <f t="shared" si="337"/>
        <v>0</v>
      </c>
    </row>
    <row r="11343" spans="5:10" hidden="1" x14ac:dyDescent="0.25">
      <c r="F11343" s="249" t="s">
        <v>261</v>
      </c>
      <c r="G11343" s="252" t="s">
        <v>262</v>
      </c>
      <c r="J11343" s="599">
        <f t="shared" si="337"/>
        <v>0</v>
      </c>
    </row>
    <row r="11344" spans="5:10" ht="15.75" hidden="1" thickBot="1" x14ac:dyDescent="0.3">
      <c r="F11344" s="249" t="s">
        <v>263</v>
      </c>
      <c r="G11344" s="252" t="s">
        <v>264</v>
      </c>
      <c r="H11344" s="598"/>
      <c r="I11344" s="599"/>
      <c r="J11344" s="599">
        <f t="shared" si="337"/>
        <v>0</v>
      </c>
    </row>
    <row r="11345" spans="5:10" ht="15.75" hidden="1" thickBot="1" x14ac:dyDescent="0.3">
      <c r="G11345" s="229" t="s">
        <v>5042</v>
      </c>
      <c r="H11345" s="600">
        <f>SUM(H11329:H11344)</f>
        <v>0</v>
      </c>
      <c r="I11345" s="601">
        <f>SUM(I11330:I11344)</f>
        <v>0</v>
      </c>
      <c r="J11345" s="601">
        <f>SUM(J11329:J11344)</f>
        <v>0</v>
      </c>
    </row>
    <row r="11346" spans="5:10" hidden="1" x14ac:dyDescent="0.25"/>
    <row r="11347" spans="5:10" x14ac:dyDescent="0.25">
      <c r="E11347" s="474"/>
      <c r="F11347" s="486"/>
      <c r="G11347" s="250" t="s">
        <v>4346</v>
      </c>
      <c r="H11347" s="606"/>
      <c r="I11347" s="624"/>
      <c r="J11347" s="607"/>
    </row>
    <row r="11348" spans="5:10" x14ac:dyDescent="0.25">
      <c r="E11348" s="222"/>
      <c r="F11348" s="249" t="s">
        <v>234</v>
      </c>
      <c r="G11348" s="252" t="s">
        <v>235</v>
      </c>
      <c r="H11348" s="598">
        <f>SUM(H11329,H11230)</f>
        <v>9172000</v>
      </c>
      <c r="I11348" s="599"/>
      <c r="J11348" s="599">
        <f>SUM(H11348:I11348)</f>
        <v>9172000</v>
      </c>
    </row>
    <row r="11349" spans="5:10" hidden="1" x14ac:dyDescent="0.25">
      <c r="F11349" s="249" t="s">
        <v>236</v>
      </c>
      <c r="G11349" s="252" t="s">
        <v>237</v>
      </c>
      <c r="J11349" s="599">
        <f t="shared" ref="J11349:J11363" si="338">SUM(H11349:I11349)</f>
        <v>0</v>
      </c>
    </row>
    <row r="11350" spans="5:10" hidden="1" x14ac:dyDescent="0.25">
      <c r="F11350" s="249" t="s">
        <v>238</v>
      </c>
      <c r="G11350" s="252" t="s">
        <v>239</v>
      </c>
      <c r="J11350" s="599">
        <f t="shared" si="338"/>
        <v>0</v>
      </c>
    </row>
    <row r="11351" spans="5:10" ht="15.75" thickBot="1" x14ac:dyDescent="0.3">
      <c r="F11351" s="249" t="s">
        <v>240</v>
      </c>
      <c r="G11351" s="252" t="s">
        <v>241</v>
      </c>
      <c r="I11351" s="595">
        <f>SUM(I11233)</f>
        <v>694000</v>
      </c>
      <c r="J11351" s="599">
        <f t="shared" si="338"/>
        <v>694000</v>
      </c>
    </row>
    <row r="11352" spans="5:10" hidden="1" x14ac:dyDescent="0.25">
      <c r="F11352" s="249" t="s">
        <v>242</v>
      </c>
      <c r="G11352" s="252" t="s">
        <v>243</v>
      </c>
      <c r="J11352" s="599">
        <f t="shared" si="338"/>
        <v>0</v>
      </c>
    </row>
    <row r="11353" spans="5:10" hidden="1" x14ac:dyDescent="0.25">
      <c r="F11353" s="249" t="s">
        <v>244</v>
      </c>
      <c r="G11353" s="252" t="s">
        <v>245</v>
      </c>
      <c r="J11353" s="599">
        <f t="shared" si="338"/>
        <v>0</v>
      </c>
    </row>
    <row r="11354" spans="5:10" hidden="1" x14ac:dyDescent="0.25">
      <c r="F11354" s="249" t="s">
        <v>246</v>
      </c>
      <c r="G11354" s="252" t="s">
        <v>247</v>
      </c>
      <c r="J11354" s="599">
        <f t="shared" si="338"/>
        <v>0</v>
      </c>
    </row>
    <row r="11355" spans="5:10" ht="15.75" hidden="1" thickBot="1" x14ac:dyDescent="0.3">
      <c r="F11355" s="249" t="s">
        <v>248</v>
      </c>
      <c r="G11355" s="252" t="s">
        <v>249</v>
      </c>
      <c r="J11355" s="599">
        <f t="shared" si="338"/>
        <v>0</v>
      </c>
    </row>
    <row r="11356" spans="5:10" hidden="1" x14ac:dyDescent="0.25">
      <c r="F11356" s="249" t="s">
        <v>250</v>
      </c>
      <c r="G11356" s="252" t="s">
        <v>57</v>
      </c>
      <c r="J11356" s="599">
        <f t="shared" si="338"/>
        <v>0</v>
      </c>
    </row>
    <row r="11357" spans="5:10" hidden="1" x14ac:dyDescent="0.25">
      <c r="F11357" s="249" t="s">
        <v>251</v>
      </c>
      <c r="G11357" s="252" t="s">
        <v>252</v>
      </c>
      <c r="J11357" s="599">
        <f t="shared" si="338"/>
        <v>0</v>
      </c>
    </row>
    <row r="11358" spans="5:10" hidden="1" x14ac:dyDescent="0.25">
      <c r="F11358" s="249" t="s">
        <v>253</v>
      </c>
      <c r="G11358" s="252" t="s">
        <v>254</v>
      </c>
      <c r="J11358" s="599">
        <f t="shared" si="338"/>
        <v>0</v>
      </c>
    </row>
    <row r="11359" spans="5:10" ht="30" hidden="1" x14ac:dyDescent="0.25">
      <c r="F11359" s="249" t="s">
        <v>255</v>
      </c>
      <c r="G11359" s="252" t="s">
        <v>256</v>
      </c>
      <c r="J11359" s="599">
        <f t="shared" si="338"/>
        <v>0</v>
      </c>
    </row>
    <row r="11360" spans="5:10" hidden="1" x14ac:dyDescent="0.25">
      <c r="F11360" s="249" t="s">
        <v>257</v>
      </c>
      <c r="G11360" s="252" t="s">
        <v>258</v>
      </c>
      <c r="J11360" s="599">
        <f t="shared" si="338"/>
        <v>0</v>
      </c>
    </row>
    <row r="11361" spans="5:10" ht="30" hidden="1" x14ac:dyDescent="0.25">
      <c r="F11361" s="249" t="s">
        <v>259</v>
      </c>
      <c r="G11361" s="252" t="s">
        <v>260</v>
      </c>
      <c r="J11361" s="599">
        <f t="shared" si="338"/>
        <v>0</v>
      </c>
    </row>
    <row r="11362" spans="5:10" hidden="1" x14ac:dyDescent="0.25">
      <c r="F11362" s="249" t="s">
        <v>261</v>
      </c>
      <c r="G11362" s="252" t="s">
        <v>262</v>
      </c>
      <c r="J11362" s="599">
        <f t="shared" si="338"/>
        <v>0</v>
      </c>
    </row>
    <row r="11363" spans="5:10" ht="15.75" hidden="1" thickBot="1" x14ac:dyDescent="0.3">
      <c r="F11363" s="249" t="s">
        <v>263</v>
      </c>
      <c r="G11363" s="252" t="s">
        <v>264</v>
      </c>
      <c r="H11363" s="598"/>
      <c r="I11363" s="599"/>
      <c r="J11363" s="599">
        <f t="shared" si="338"/>
        <v>0</v>
      </c>
    </row>
    <row r="11364" spans="5:10" ht="15.75" thickBot="1" x14ac:dyDescent="0.3">
      <c r="G11364" s="229" t="s">
        <v>4347</v>
      </c>
      <c r="H11364" s="600">
        <f>SUM(H11348:H11363)</f>
        <v>9172000</v>
      </c>
      <c r="I11364" s="601">
        <f>SUM(I11349:I11363)</f>
        <v>694000</v>
      </c>
      <c r="J11364" s="601">
        <f>SUM(J11348:J11363)</f>
        <v>9866000</v>
      </c>
    </row>
    <row r="11366" spans="5:10" x14ac:dyDescent="0.25">
      <c r="E11366" s="474"/>
      <c r="F11366" s="486"/>
      <c r="G11366" s="250" t="s">
        <v>4476</v>
      </c>
      <c r="H11366" s="606"/>
      <c r="I11366" s="624"/>
      <c r="J11366" s="607"/>
    </row>
    <row r="11367" spans="5:10" x14ac:dyDescent="0.25">
      <c r="E11367" s="222"/>
      <c r="F11367" s="249" t="s">
        <v>234</v>
      </c>
      <c r="G11367" s="252" t="s">
        <v>235</v>
      </c>
      <c r="H11367" s="598">
        <f>SUM(H11348)</f>
        <v>9172000</v>
      </c>
      <c r="I11367" s="599"/>
      <c r="J11367" s="599">
        <f>SUM(H11367:I11367)</f>
        <v>9172000</v>
      </c>
    </row>
    <row r="11368" spans="5:10" hidden="1" x14ac:dyDescent="0.25">
      <c r="F11368" s="249" t="s">
        <v>236</v>
      </c>
      <c r="G11368" s="252" t="s">
        <v>237</v>
      </c>
      <c r="J11368" s="599">
        <f t="shared" ref="J11368:J11382" si="339">SUM(H11368:I11368)</f>
        <v>0</v>
      </c>
    </row>
    <row r="11369" spans="5:10" hidden="1" x14ac:dyDescent="0.25">
      <c r="F11369" s="249" t="s">
        <v>238</v>
      </c>
      <c r="G11369" s="252" t="s">
        <v>239</v>
      </c>
      <c r="J11369" s="599">
        <f t="shared" si="339"/>
        <v>0</v>
      </c>
    </row>
    <row r="11370" spans="5:10" ht="15.75" thickBot="1" x14ac:dyDescent="0.3">
      <c r="F11370" s="249" t="s">
        <v>240</v>
      </c>
      <c r="G11370" s="252" t="s">
        <v>241</v>
      </c>
      <c r="I11370" s="595">
        <f>SUM(I11364)</f>
        <v>694000</v>
      </c>
      <c r="J11370" s="599">
        <f t="shared" si="339"/>
        <v>694000</v>
      </c>
    </row>
    <row r="11371" spans="5:10" hidden="1" x14ac:dyDescent="0.25">
      <c r="F11371" s="249" t="s">
        <v>242</v>
      </c>
      <c r="G11371" s="252" t="s">
        <v>243</v>
      </c>
      <c r="J11371" s="599">
        <f t="shared" si="339"/>
        <v>0</v>
      </c>
    </row>
    <row r="11372" spans="5:10" hidden="1" x14ac:dyDescent="0.25">
      <c r="F11372" s="249" t="s">
        <v>244</v>
      </c>
      <c r="G11372" s="252" t="s">
        <v>245</v>
      </c>
      <c r="J11372" s="599">
        <f t="shared" si="339"/>
        <v>0</v>
      </c>
    </row>
    <row r="11373" spans="5:10" hidden="1" x14ac:dyDescent="0.25">
      <c r="F11373" s="249" t="s">
        <v>246</v>
      </c>
      <c r="G11373" s="252" t="s">
        <v>247</v>
      </c>
      <c r="J11373" s="599">
        <f t="shared" si="339"/>
        <v>0</v>
      </c>
    </row>
    <row r="11374" spans="5:10" ht="15.75" hidden="1" thickBot="1" x14ac:dyDescent="0.3">
      <c r="F11374" s="249" t="s">
        <v>248</v>
      </c>
      <c r="G11374" s="252" t="s">
        <v>249</v>
      </c>
      <c r="J11374" s="599">
        <f t="shared" si="339"/>
        <v>0</v>
      </c>
    </row>
    <row r="11375" spans="5:10" hidden="1" x14ac:dyDescent="0.25">
      <c r="F11375" s="249" t="s">
        <v>250</v>
      </c>
      <c r="G11375" s="252" t="s">
        <v>57</v>
      </c>
      <c r="J11375" s="599">
        <f t="shared" si="339"/>
        <v>0</v>
      </c>
    </row>
    <row r="11376" spans="5:10" hidden="1" x14ac:dyDescent="0.25">
      <c r="F11376" s="249" t="s">
        <v>251</v>
      </c>
      <c r="G11376" s="252" t="s">
        <v>252</v>
      </c>
      <c r="J11376" s="599">
        <f t="shared" si="339"/>
        <v>0</v>
      </c>
    </row>
    <row r="11377" spans="1:10" hidden="1" x14ac:dyDescent="0.25">
      <c r="F11377" s="249" t="s">
        <v>253</v>
      </c>
      <c r="G11377" s="252" t="s">
        <v>254</v>
      </c>
      <c r="J11377" s="599">
        <f t="shared" si="339"/>
        <v>0</v>
      </c>
    </row>
    <row r="11378" spans="1:10" ht="30" hidden="1" x14ac:dyDescent="0.25">
      <c r="F11378" s="249" t="s">
        <v>255</v>
      </c>
      <c r="G11378" s="252" t="s">
        <v>256</v>
      </c>
      <c r="J11378" s="599">
        <f t="shared" si="339"/>
        <v>0</v>
      </c>
    </row>
    <row r="11379" spans="1:10" hidden="1" x14ac:dyDescent="0.25">
      <c r="F11379" s="249" t="s">
        <v>257</v>
      </c>
      <c r="G11379" s="252" t="s">
        <v>258</v>
      </c>
      <c r="J11379" s="599">
        <f t="shared" si="339"/>
        <v>0</v>
      </c>
    </row>
    <row r="11380" spans="1:10" ht="30" hidden="1" x14ac:dyDescent="0.25">
      <c r="F11380" s="249" t="s">
        <v>259</v>
      </c>
      <c r="G11380" s="252" t="s">
        <v>260</v>
      </c>
      <c r="J11380" s="599">
        <f t="shared" si="339"/>
        <v>0</v>
      </c>
    </row>
    <row r="11381" spans="1:10" hidden="1" x14ac:dyDescent="0.25">
      <c r="F11381" s="249" t="s">
        <v>261</v>
      </c>
      <c r="G11381" s="252" t="s">
        <v>262</v>
      </c>
      <c r="J11381" s="599">
        <f t="shared" si="339"/>
        <v>0</v>
      </c>
    </row>
    <row r="11382" spans="1:10" ht="15.75" hidden="1" thickBot="1" x14ac:dyDescent="0.3">
      <c r="F11382" s="249" t="s">
        <v>263</v>
      </c>
      <c r="G11382" s="252" t="s">
        <v>264</v>
      </c>
      <c r="H11382" s="598"/>
      <c r="I11382" s="599"/>
      <c r="J11382" s="599">
        <f t="shared" si="339"/>
        <v>0</v>
      </c>
    </row>
    <row r="11383" spans="1:10" ht="15.75" thickBot="1" x14ac:dyDescent="0.3">
      <c r="G11383" s="229" t="s">
        <v>4477</v>
      </c>
      <c r="H11383" s="600">
        <f>SUM(H11367:H11382)</f>
        <v>9172000</v>
      </c>
      <c r="I11383" s="601">
        <f>SUM(I11368:I11382)</f>
        <v>694000</v>
      </c>
      <c r="J11383" s="601">
        <f>SUM(J11367:J11382)</f>
        <v>9866000</v>
      </c>
    </row>
    <row r="11385" spans="1:10" hidden="1" x14ac:dyDescent="0.25">
      <c r="A11385" s="448">
        <v>4</v>
      </c>
      <c r="B11385" s="449" t="s">
        <v>4360</v>
      </c>
      <c r="C11385" s="448" t="s">
        <v>4031</v>
      </c>
      <c r="D11385" s="450"/>
      <c r="E11385" s="451"/>
      <c r="F11385" s="451"/>
      <c r="G11385" s="452" t="s">
        <v>4340</v>
      </c>
      <c r="H11385" s="632"/>
      <c r="I11385" s="633"/>
      <c r="J11385" s="618"/>
    </row>
    <row r="11386" spans="1:10" ht="16.5" hidden="1" customHeight="1" x14ac:dyDescent="0.25">
      <c r="C11386" s="228" t="s">
        <v>3602</v>
      </c>
      <c r="G11386" s="475" t="s">
        <v>4338</v>
      </c>
    </row>
    <row r="11387" spans="1:10" hidden="1" x14ac:dyDescent="0.25">
      <c r="C11387" s="228" t="s">
        <v>4145</v>
      </c>
      <c r="D11387" s="219"/>
      <c r="G11387" s="475" t="s">
        <v>4339</v>
      </c>
    </row>
    <row r="11388" spans="1:10" hidden="1" x14ac:dyDescent="0.25">
      <c r="C11388" s="228"/>
      <c r="D11388" s="312">
        <v>820</v>
      </c>
      <c r="E11388" s="312"/>
      <c r="F11388" s="312"/>
      <c r="G11388" s="313" t="s">
        <v>207</v>
      </c>
    </row>
    <row r="11389" spans="1:10" hidden="1" x14ac:dyDescent="0.25">
      <c r="F11389" s="485">
        <v>411</v>
      </c>
      <c r="G11389" s="476" t="s">
        <v>4189</v>
      </c>
      <c r="J11389" s="595">
        <f>SUM(H11389:I11389)</f>
        <v>0</v>
      </c>
    </row>
    <row r="11390" spans="1:10" hidden="1" x14ac:dyDescent="0.25">
      <c r="F11390" s="485">
        <v>412</v>
      </c>
      <c r="G11390" s="473" t="s">
        <v>3784</v>
      </c>
      <c r="J11390" s="595">
        <f t="shared" ref="J11390:J11448" si="340">SUM(H11390:I11390)</f>
        <v>0</v>
      </c>
    </row>
    <row r="11391" spans="1:10" hidden="1" x14ac:dyDescent="0.25">
      <c r="F11391" s="485">
        <v>413</v>
      </c>
      <c r="G11391" s="476" t="s">
        <v>4190</v>
      </c>
      <c r="J11391" s="595">
        <f t="shared" si="340"/>
        <v>0</v>
      </c>
    </row>
    <row r="11392" spans="1:10" hidden="1" x14ac:dyDescent="0.25">
      <c r="F11392" s="485">
        <v>414</v>
      </c>
      <c r="G11392" s="476" t="s">
        <v>3787</v>
      </c>
      <c r="J11392" s="595">
        <f t="shared" si="340"/>
        <v>0</v>
      </c>
    </row>
    <row r="11393" spans="6:10" hidden="1" x14ac:dyDescent="0.25">
      <c r="F11393" s="485">
        <v>415</v>
      </c>
      <c r="G11393" s="476" t="s">
        <v>4199</v>
      </c>
      <c r="J11393" s="595">
        <f t="shared" si="340"/>
        <v>0</v>
      </c>
    </row>
    <row r="11394" spans="6:10" hidden="1" x14ac:dyDescent="0.25">
      <c r="F11394" s="485">
        <v>416</v>
      </c>
      <c r="G11394" s="476" t="s">
        <v>4200</v>
      </c>
      <c r="J11394" s="595">
        <f t="shared" si="340"/>
        <v>0</v>
      </c>
    </row>
    <row r="11395" spans="6:10" hidden="1" x14ac:dyDescent="0.25">
      <c r="F11395" s="485">
        <v>417</v>
      </c>
      <c r="G11395" s="476" t="s">
        <v>4201</v>
      </c>
      <c r="J11395" s="595">
        <f t="shared" si="340"/>
        <v>0</v>
      </c>
    </row>
    <row r="11396" spans="6:10" hidden="1" x14ac:dyDescent="0.25">
      <c r="F11396" s="485">
        <v>418</v>
      </c>
      <c r="G11396" s="476" t="s">
        <v>3793</v>
      </c>
      <c r="J11396" s="595">
        <f t="shared" si="340"/>
        <v>0</v>
      </c>
    </row>
    <row r="11397" spans="6:10" hidden="1" x14ac:dyDescent="0.25">
      <c r="F11397" s="485">
        <v>421</v>
      </c>
      <c r="G11397" s="476" t="s">
        <v>3797</v>
      </c>
      <c r="J11397" s="595">
        <f t="shared" si="340"/>
        <v>0</v>
      </c>
    </row>
    <row r="11398" spans="6:10" hidden="1" x14ac:dyDescent="0.25">
      <c r="F11398" s="485">
        <v>422</v>
      </c>
      <c r="G11398" s="476" t="s">
        <v>3798</v>
      </c>
      <c r="J11398" s="595">
        <f t="shared" si="340"/>
        <v>0</v>
      </c>
    </row>
    <row r="11399" spans="6:10" hidden="1" x14ac:dyDescent="0.25">
      <c r="F11399" s="485">
        <v>423</v>
      </c>
      <c r="G11399" s="476" t="s">
        <v>3799</v>
      </c>
      <c r="J11399" s="595">
        <f t="shared" si="340"/>
        <v>0</v>
      </c>
    </row>
    <row r="11400" spans="6:10" hidden="1" x14ac:dyDescent="0.25">
      <c r="F11400" s="485">
        <v>424</v>
      </c>
      <c r="G11400" s="476" t="s">
        <v>3801</v>
      </c>
      <c r="J11400" s="595">
        <f t="shared" si="340"/>
        <v>0</v>
      </c>
    </row>
    <row r="11401" spans="6:10" hidden="1" x14ac:dyDescent="0.25">
      <c r="F11401" s="485">
        <v>425</v>
      </c>
      <c r="G11401" s="476" t="s">
        <v>4202</v>
      </c>
      <c r="J11401" s="595">
        <f t="shared" si="340"/>
        <v>0</v>
      </c>
    </row>
    <row r="11402" spans="6:10" hidden="1" x14ac:dyDescent="0.25">
      <c r="F11402" s="485">
        <v>426</v>
      </c>
      <c r="G11402" s="476" t="s">
        <v>3805</v>
      </c>
      <c r="J11402" s="595">
        <f t="shared" si="340"/>
        <v>0</v>
      </c>
    </row>
    <row r="11403" spans="6:10" hidden="1" x14ac:dyDescent="0.25">
      <c r="F11403" s="485">
        <v>431</v>
      </c>
      <c r="G11403" s="476" t="s">
        <v>4203</v>
      </c>
      <c r="J11403" s="595">
        <f t="shared" si="340"/>
        <v>0</v>
      </c>
    </row>
    <row r="11404" spans="6:10" hidden="1" x14ac:dyDescent="0.25">
      <c r="F11404" s="485">
        <v>432</v>
      </c>
      <c r="G11404" s="476" t="s">
        <v>4204</v>
      </c>
      <c r="J11404" s="595">
        <f t="shared" si="340"/>
        <v>0</v>
      </c>
    </row>
    <row r="11405" spans="6:10" hidden="1" x14ac:dyDescent="0.25">
      <c r="F11405" s="485">
        <v>433</v>
      </c>
      <c r="G11405" s="476" t="s">
        <v>4205</v>
      </c>
      <c r="J11405" s="595">
        <f t="shared" si="340"/>
        <v>0</v>
      </c>
    </row>
    <row r="11406" spans="6:10" hidden="1" x14ac:dyDescent="0.25">
      <c r="F11406" s="485">
        <v>434</v>
      </c>
      <c r="G11406" s="476" t="s">
        <v>4206</v>
      </c>
      <c r="J11406" s="595">
        <f t="shared" si="340"/>
        <v>0</v>
      </c>
    </row>
    <row r="11407" spans="6:10" hidden="1" x14ac:dyDescent="0.25">
      <c r="F11407" s="485">
        <v>435</v>
      </c>
      <c r="G11407" s="476" t="s">
        <v>3812</v>
      </c>
      <c r="J11407" s="595">
        <f t="shared" si="340"/>
        <v>0</v>
      </c>
    </row>
    <row r="11408" spans="6:10" hidden="1" x14ac:dyDescent="0.25">
      <c r="F11408" s="485">
        <v>441</v>
      </c>
      <c r="G11408" s="476" t="s">
        <v>4207</v>
      </c>
      <c r="J11408" s="595">
        <f t="shared" si="340"/>
        <v>0</v>
      </c>
    </row>
    <row r="11409" spans="6:10" hidden="1" x14ac:dyDescent="0.25">
      <c r="F11409" s="485">
        <v>442</v>
      </c>
      <c r="G11409" s="476" t="s">
        <v>4208</v>
      </c>
      <c r="J11409" s="595">
        <f t="shared" si="340"/>
        <v>0</v>
      </c>
    </row>
    <row r="11410" spans="6:10" hidden="1" x14ac:dyDescent="0.25">
      <c r="F11410" s="485">
        <v>443</v>
      </c>
      <c r="G11410" s="476" t="s">
        <v>3817</v>
      </c>
      <c r="J11410" s="595">
        <f t="shared" si="340"/>
        <v>0</v>
      </c>
    </row>
    <row r="11411" spans="6:10" hidden="1" x14ac:dyDescent="0.25">
      <c r="F11411" s="485">
        <v>444</v>
      </c>
      <c r="G11411" s="476" t="s">
        <v>3818</v>
      </c>
      <c r="J11411" s="595">
        <f t="shared" si="340"/>
        <v>0</v>
      </c>
    </row>
    <row r="11412" spans="6:10" ht="30" hidden="1" x14ac:dyDescent="0.25">
      <c r="F11412" s="485">
        <v>4511</v>
      </c>
      <c r="G11412" s="223" t="s">
        <v>1692</v>
      </c>
      <c r="J11412" s="595">
        <f t="shared" si="340"/>
        <v>0</v>
      </c>
    </row>
    <row r="11413" spans="6:10" ht="19.5" hidden="1" customHeight="1" x14ac:dyDescent="0.25">
      <c r="F11413" s="485">
        <v>4512</v>
      </c>
      <c r="G11413" s="223" t="s">
        <v>1701</v>
      </c>
      <c r="J11413" s="595">
        <f t="shared" si="340"/>
        <v>0</v>
      </c>
    </row>
    <row r="11414" spans="6:10" hidden="1" x14ac:dyDescent="0.25">
      <c r="F11414" s="485">
        <v>452</v>
      </c>
      <c r="G11414" s="476" t="s">
        <v>4209</v>
      </c>
      <c r="J11414" s="595">
        <f t="shared" si="340"/>
        <v>0</v>
      </c>
    </row>
    <row r="11415" spans="6:10" hidden="1" x14ac:dyDescent="0.25">
      <c r="F11415" s="485">
        <v>453</v>
      </c>
      <c r="G11415" s="476" t="s">
        <v>4210</v>
      </c>
      <c r="J11415" s="595">
        <f t="shared" si="340"/>
        <v>0</v>
      </c>
    </row>
    <row r="11416" spans="6:10" hidden="1" x14ac:dyDescent="0.25">
      <c r="F11416" s="485">
        <v>454</v>
      </c>
      <c r="G11416" s="476" t="s">
        <v>3823</v>
      </c>
      <c r="J11416" s="595">
        <f t="shared" si="340"/>
        <v>0</v>
      </c>
    </row>
    <row r="11417" spans="6:10" hidden="1" x14ac:dyDescent="0.25">
      <c r="F11417" s="485">
        <v>461</v>
      </c>
      <c r="G11417" s="476" t="s">
        <v>4191</v>
      </c>
      <c r="J11417" s="595">
        <f t="shared" si="340"/>
        <v>0</v>
      </c>
    </row>
    <row r="11418" spans="6:10" hidden="1" x14ac:dyDescent="0.25">
      <c r="F11418" s="485">
        <v>462</v>
      </c>
      <c r="G11418" s="476" t="s">
        <v>3826</v>
      </c>
      <c r="J11418" s="595">
        <f t="shared" si="340"/>
        <v>0</v>
      </c>
    </row>
    <row r="11419" spans="6:10" hidden="1" x14ac:dyDescent="0.25">
      <c r="F11419" s="485">
        <v>4631</v>
      </c>
      <c r="G11419" s="476" t="s">
        <v>3827</v>
      </c>
      <c r="J11419" s="595">
        <f t="shared" si="340"/>
        <v>0</v>
      </c>
    </row>
    <row r="11420" spans="6:10" hidden="1" x14ac:dyDescent="0.25">
      <c r="F11420" s="485">
        <v>4632</v>
      </c>
      <c r="G11420" s="476" t="s">
        <v>3828</v>
      </c>
      <c r="J11420" s="595">
        <f t="shared" si="340"/>
        <v>0</v>
      </c>
    </row>
    <row r="11421" spans="6:10" hidden="1" x14ac:dyDescent="0.25">
      <c r="F11421" s="485">
        <v>464</v>
      </c>
      <c r="G11421" s="476" t="s">
        <v>3829</v>
      </c>
      <c r="J11421" s="595">
        <f t="shared" si="340"/>
        <v>0</v>
      </c>
    </row>
    <row r="11422" spans="6:10" hidden="1" x14ac:dyDescent="0.25">
      <c r="F11422" s="485">
        <v>465</v>
      </c>
      <c r="G11422" s="476" t="s">
        <v>4192</v>
      </c>
      <c r="J11422" s="595">
        <f t="shared" si="340"/>
        <v>0</v>
      </c>
    </row>
    <row r="11423" spans="6:10" hidden="1" x14ac:dyDescent="0.25">
      <c r="F11423" s="485">
        <v>472</v>
      </c>
      <c r="G11423" s="476" t="s">
        <v>3833</v>
      </c>
      <c r="J11423" s="595">
        <f t="shared" si="340"/>
        <v>0</v>
      </c>
    </row>
    <row r="11424" spans="6:10" hidden="1" x14ac:dyDescent="0.25">
      <c r="F11424" s="485">
        <v>481</v>
      </c>
      <c r="G11424" s="476" t="s">
        <v>4211</v>
      </c>
      <c r="J11424" s="595">
        <f t="shared" si="340"/>
        <v>0</v>
      </c>
    </row>
    <row r="11425" spans="6:10" ht="15.75" hidden="1" thickBot="1" x14ac:dyDescent="0.3">
      <c r="F11425" s="485">
        <v>482</v>
      </c>
      <c r="G11425" s="476" t="s">
        <v>4212</v>
      </c>
      <c r="J11425" s="595">
        <f t="shared" si="340"/>
        <v>0</v>
      </c>
    </row>
    <row r="11426" spans="6:10" hidden="1" x14ac:dyDescent="0.25">
      <c r="F11426" s="485">
        <v>483</v>
      </c>
      <c r="G11426" s="478" t="s">
        <v>4213</v>
      </c>
      <c r="J11426" s="595">
        <f t="shared" si="340"/>
        <v>0</v>
      </c>
    </row>
    <row r="11427" spans="6:10" ht="30" hidden="1" x14ac:dyDescent="0.25">
      <c r="F11427" s="485">
        <v>484</v>
      </c>
      <c r="G11427" s="476" t="s">
        <v>4214</v>
      </c>
      <c r="J11427" s="595">
        <f t="shared" si="340"/>
        <v>0</v>
      </c>
    </row>
    <row r="11428" spans="6:10" ht="30" hidden="1" x14ac:dyDescent="0.25">
      <c r="F11428" s="485">
        <v>485</v>
      </c>
      <c r="G11428" s="476" t="s">
        <v>4215</v>
      </c>
      <c r="J11428" s="595">
        <f t="shared" si="340"/>
        <v>0</v>
      </c>
    </row>
    <row r="11429" spans="6:10" ht="30" hidden="1" x14ac:dyDescent="0.25">
      <c r="F11429" s="485">
        <v>489</v>
      </c>
      <c r="G11429" s="476" t="s">
        <v>3841</v>
      </c>
      <c r="J11429" s="595">
        <f t="shared" si="340"/>
        <v>0</v>
      </c>
    </row>
    <row r="11430" spans="6:10" hidden="1" x14ac:dyDescent="0.25">
      <c r="F11430" s="485">
        <v>494</v>
      </c>
      <c r="G11430" s="476" t="s">
        <v>4193</v>
      </c>
      <c r="J11430" s="595">
        <f t="shared" si="340"/>
        <v>0</v>
      </c>
    </row>
    <row r="11431" spans="6:10" ht="30" hidden="1" x14ac:dyDescent="0.25">
      <c r="F11431" s="485">
        <v>495</v>
      </c>
      <c r="G11431" s="476" t="s">
        <v>4194</v>
      </c>
      <c r="J11431" s="595">
        <f t="shared" si="340"/>
        <v>0</v>
      </c>
    </row>
    <row r="11432" spans="6:10" ht="30" hidden="1" x14ac:dyDescent="0.25">
      <c r="F11432" s="485">
        <v>496</v>
      </c>
      <c r="G11432" s="476" t="s">
        <v>4195</v>
      </c>
      <c r="J11432" s="595">
        <f t="shared" si="340"/>
        <v>0</v>
      </c>
    </row>
    <row r="11433" spans="6:10" hidden="1" x14ac:dyDescent="0.25">
      <c r="F11433" s="485">
        <v>499</v>
      </c>
      <c r="G11433" s="476" t="s">
        <v>4196</v>
      </c>
      <c r="J11433" s="595">
        <f t="shared" si="340"/>
        <v>0</v>
      </c>
    </row>
    <row r="11434" spans="6:10" hidden="1" x14ac:dyDescent="0.25">
      <c r="F11434" s="485">
        <v>511</v>
      </c>
      <c r="G11434" s="478" t="s">
        <v>4216</v>
      </c>
      <c r="J11434" s="595">
        <f t="shared" si="340"/>
        <v>0</v>
      </c>
    </row>
    <row r="11435" spans="6:10" hidden="1" x14ac:dyDescent="0.25">
      <c r="F11435" s="485">
        <v>512</v>
      </c>
      <c r="G11435" s="478" t="s">
        <v>4217</v>
      </c>
      <c r="J11435" s="595">
        <f t="shared" si="340"/>
        <v>0</v>
      </c>
    </row>
    <row r="11436" spans="6:10" hidden="1" x14ac:dyDescent="0.25">
      <c r="F11436" s="485">
        <v>513</v>
      </c>
      <c r="G11436" s="478" t="s">
        <v>4218</v>
      </c>
      <c r="J11436" s="595">
        <f t="shared" si="340"/>
        <v>0</v>
      </c>
    </row>
    <row r="11437" spans="6:10" hidden="1" x14ac:dyDescent="0.25">
      <c r="F11437" s="485">
        <v>514</v>
      </c>
      <c r="G11437" s="476" t="s">
        <v>4219</v>
      </c>
      <c r="J11437" s="595">
        <f t="shared" si="340"/>
        <v>0</v>
      </c>
    </row>
    <row r="11438" spans="6:10" hidden="1" x14ac:dyDescent="0.25">
      <c r="F11438" s="485">
        <v>515</v>
      </c>
      <c r="G11438" s="476" t="s">
        <v>3852</v>
      </c>
      <c r="J11438" s="595">
        <f t="shared" si="340"/>
        <v>0</v>
      </c>
    </row>
    <row r="11439" spans="6:10" hidden="1" x14ac:dyDescent="0.25">
      <c r="F11439" s="485">
        <v>521</v>
      </c>
      <c r="G11439" s="476" t="s">
        <v>4220</v>
      </c>
      <c r="J11439" s="595">
        <f t="shared" si="340"/>
        <v>0</v>
      </c>
    </row>
    <row r="11440" spans="6:10" hidden="1" x14ac:dyDescent="0.25">
      <c r="F11440" s="485">
        <v>522</v>
      </c>
      <c r="G11440" s="476" t="s">
        <v>4221</v>
      </c>
      <c r="J11440" s="595">
        <f t="shared" si="340"/>
        <v>0</v>
      </c>
    </row>
    <row r="11441" spans="5:10" hidden="1" x14ac:dyDescent="0.25">
      <c r="F11441" s="485">
        <v>523</v>
      </c>
      <c r="G11441" s="476" t="s">
        <v>3857</v>
      </c>
      <c r="J11441" s="595">
        <f t="shared" si="340"/>
        <v>0</v>
      </c>
    </row>
    <row r="11442" spans="5:10" hidden="1" x14ac:dyDescent="0.25">
      <c r="F11442" s="485">
        <v>531</v>
      </c>
      <c r="G11442" s="473" t="s">
        <v>4197</v>
      </c>
      <c r="J11442" s="595">
        <f t="shared" si="340"/>
        <v>0</v>
      </c>
    </row>
    <row r="11443" spans="5:10" hidden="1" x14ac:dyDescent="0.25">
      <c r="F11443" s="485">
        <v>541</v>
      </c>
      <c r="G11443" s="476" t="s">
        <v>4222</v>
      </c>
      <c r="J11443" s="595">
        <f t="shared" si="340"/>
        <v>0</v>
      </c>
    </row>
    <row r="11444" spans="5:10" hidden="1" x14ac:dyDescent="0.25">
      <c r="F11444" s="485">
        <v>542</v>
      </c>
      <c r="G11444" s="476" t="s">
        <v>4223</v>
      </c>
      <c r="J11444" s="595">
        <f t="shared" si="340"/>
        <v>0</v>
      </c>
    </row>
    <row r="11445" spans="5:10" hidden="1" x14ac:dyDescent="0.25">
      <c r="F11445" s="485">
        <v>543</v>
      </c>
      <c r="G11445" s="476" t="s">
        <v>3862</v>
      </c>
      <c r="J11445" s="595">
        <f t="shared" si="340"/>
        <v>0</v>
      </c>
    </row>
    <row r="11446" spans="5:10" ht="30" hidden="1" x14ac:dyDescent="0.25">
      <c r="F11446" s="485">
        <v>551</v>
      </c>
      <c r="G11446" s="476" t="s">
        <v>4198</v>
      </c>
      <c r="J11446" s="595">
        <f t="shared" si="340"/>
        <v>0</v>
      </c>
    </row>
    <row r="11447" spans="5:10" hidden="1" x14ac:dyDescent="0.25">
      <c r="F11447" s="486">
        <v>611</v>
      </c>
      <c r="G11447" s="484" t="s">
        <v>3868</v>
      </c>
      <c r="J11447" s="595">
        <f t="shared" si="340"/>
        <v>0</v>
      </c>
    </row>
    <row r="11448" spans="5:10" ht="15.75" hidden="1" thickBot="1" x14ac:dyDescent="0.3">
      <c r="F11448" s="486">
        <v>620</v>
      </c>
      <c r="G11448" s="484" t="s">
        <v>88</v>
      </c>
      <c r="J11448" s="595">
        <f t="shared" si="340"/>
        <v>0</v>
      </c>
    </row>
    <row r="11449" spans="5:10" hidden="1" x14ac:dyDescent="0.25">
      <c r="E11449" s="474"/>
      <c r="F11449" s="486"/>
      <c r="G11449" s="327" t="s">
        <v>4459</v>
      </c>
      <c r="H11449" s="596"/>
      <c r="I11449" s="622"/>
      <c r="J11449" s="597"/>
    </row>
    <row r="11450" spans="5:10" ht="15.75" hidden="1" thickBot="1" x14ac:dyDescent="0.3">
      <c r="E11450" s="222"/>
      <c r="F11450" s="249" t="s">
        <v>234</v>
      </c>
      <c r="G11450" s="252" t="s">
        <v>235</v>
      </c>
      <c r="H11450" s="598">
        <f>SUM(H11389:H11448)</f>
        <v>0</v>
      </c>
      <c r="I11450" s="599"/>
      <c r="J11450" s="599">
        <f t="shared" ref="J11450:J11465" si="341">SUM(H11450:I11450)</f>
        <v>0</v>
      </c>
    </row>
    <row r="11451" spans="5:10" hidden="1" x14ac:dyDescent="0.25">
      <c r="F11451" s="249" t="s">
        <v>236</v>
      </c>
      <c r="G11451" s="252" t="s">
        <v>237</v>
      </c>
      <c r="J11451" s="599">
        <f t="shared" si="341"/>
        <v>0</v>
      </c>
    </row>
    <row r="11452" spans="5:10" hidden="1" x14ac:dyDescent="0.25">
      <c r="F11452" s="249" t="s">
        <v>238</v>
      </c>
      <c r="G11452" s="252" t="s">
        <v>239</v>
      </c>
      <c r="J11452" s="599">
        <f t="shared" si="341"/>
        <v>0</v>
      </c>
    </row>
    <row r="11453" spans="5:10" hidden="1" x14ac:dyDescent="0.25">
      <c r="F11453" s="249" t="s">
        <v>240</v>
      </c>
      <c r="G11453" s="252" t="s">
        <v>241</v>
      </c>
      <c r="J11453" s="599">
        <f t="shared" si="341"/>
        <v>0</v>
      </c>
    </row>
    <row r="11454" spans="5:10" hidden="1" x14ac:dyDescent="0.25">
      <c r="F11454" s="249" t="s">
        <v>242</v>
      </c>
      <c r="G11454" s="252" t="s">
        <v>243</v>
      </c>
      <c r="J11454" s="599">
        <f t="shared" si="341"/>
        <v>0</v>
      </c>
    </row>
    <row r="11455" spans="5:10" hidden="1" x14ac:dyDescent="0.25">
      <c r="F11455" s="249" t="s">
        <v>244</v>
      </c>
      <c r="G11455" s="252" t="s">
        <v>245</v>
      </c>
      <c r="J11455" s="599">
        <f t="shared" si="341"/>
        <v>0</v>
      </c>
    </row>
    <row r="11456" spans="5:10" hidden="1" x14ac:dyDescent="0.25">
      <c r="F11456" s="249" t="s">
        <v>246</v>
      </c>
      <c r="G11456" s="252" t="s">
        <v>247</v>
      </c>
      <c r="J11456" s="599">
        <f t="shared" si="341"/>
        <v>0</v>
      </c>
    </row>
    <row r="11457" spans="5:10" hidden="1" x14ac:dyDescent="0.25">
      <c r="F11457" s="249" t="s">
        <v>248</v>
      </c>
      <c r="G11457" s="252" t="s">
        <v>249</v>
      </c>
      <c r="J11457" s="599">
        <f t="shared" si="341"/>
        <v>0</v>
      </c>
    </row>
    <row r="11458" spans="5:10" hidden="1" x14ac:dyDescent="0.25">
      <c r="F11458" s="249" t="s">
        <v>250</v>
      </c>
      <c r="G11458" s="252" t="s">
        <v>57</v>
      </c>
      <c r="J11458" s="599">
        <f t="shared" si="341"/>
        <v>0</v>
      </c>
    </row>
    <row r="11459" spans="5:10" hidden="1" x14ac:dyDescent="0.25">
      <c r="F11459" s="249" t="s">
        <v>251</v>
      </c>
      <c r="G11459" s="252" t="s">
        <v>252</v>
      </c>
      <c r="J11459" s="599">
        <f t="shared" si="341"/>
        <v>0</v>
      </c>
    </row>
    <row r="11460" spans="5:10" hidden="1" x14ac:dyDescent="0.25">
      <c r="F11460" s="249" t="s">
        <v>253</v>
      </c>
      <c r="G11460" s="252" t="s">
        <v>254</v>
      </c>
      <c r="J11460" s="599">
        <f t="shared" si="341"/>
        <v>0</v>
      </c>
    </row>
    <row r="11461" spans="5:10" ht="30" hidden="1" x14ac:dyDescent="0.25">
      <c r="F11461" s="249" t="s">
        <v>255</v>
      </c>
      <c r="G11461" s="252" t="s">
        <v>256</v>
      </c>
      <c r="J11461" s="599">
        <f t="shared" si="341"/>
        <v>0</v>
      </c>
    </row>
    <row r="11462" spans="5:10" hidden="1" x14ac:dyDescent="0.25">
      <c r="F11462" s="249" t="s">
        <v>257</v>
      </c>
      <c r="G11462" s="252" t="s">
        <v>258</v>
      </c>
      <c r="J11462" s="599">
        <f t="shared" si="341"/>
        <v>0</v>
      </c>
    </row>
    <row r="11463" spans="5:10" ht="30" hidden="1" x14ac:dyDescent="0.25">
      <c r="F11463" s="249" t="s">
        <v>259</v>
      </c>
      <c r="G11463" s="252" t="s">
        <v>260</v>
      </c>
      <c r="J11463" s="599">
        <f t="shared" si="341"/>
        <v>0</v>
      </c>
    </row>
    <row r="11464" spans="5:10" hidden="1" x14ac:dyDescent="0.25">
      <c r="F11464" s="249" t="s">
        <v>261</v>
      </c>
      <c r="G11464" s="252" t="s">
        <v>262</v>
      </c>
      <c r="J11464" s="599">
        <f t="shared" si="341"/>
        <v>0</v>
      </c>
    </row>
    <row r="11465" spans="5:10" ht="15.75" hidden="1" thickBot="1" x14ac:dyDescent="0.3">
      <c r="F11465" s="249" t="s">
        <v>263</v>
      </c>
      <c r="G11465" s="252" t="s">
        <v>264</v>
      </c>
      <c r="H11465" s="598"/>
      <c r="I11465" s="599"/>
      <c r="J11465" s="599">
        <f t="shared" si="341"/>
        <v>0</v>
      </c>
    </row>
    <row r="11466" spans="5:10" ht="15.75" hidden="1" thickBot="1" x14ac:dyDescent="0.3">
      <c r="G11466" s="229" t="s">
        <v>4460</v>
      </c>
      <c r="H11466" s="600">
        <f>SUM(H11450:H11465)</f>
        <v>0</v>
      </c>
      <c r="I11466" s="601">
        <f>SUM(I11451:I11465)</f>
        <v>0</v>
      </c>
      <c r="J11466" s="601">
        <f>SUM(J11450:J11465)</f>
        <v>0</v>
      </c>
    </row>
    <row r="11467" spans="5:10" ht="28.5" hidden="1" collapsed="1" x14ac:dyDescent="0.25">
      <c r="E11467" s="474"/>
      <c r="F11467" s="486"/>
      <c r="G11467" s="231" t="s">
        <v>4461</v>
      </c>
      <c r="H11467" s="602"/>
      <c r="I11467" s="623"/>
      <c r="J11467" s="603"/>
    </row>
    <row r="11468" spans="5:10" ht="15.75" hidden="1" thickBot="1" x14ac:dyDescent="0.3">
      <c r="E11468" s="222"/>
      <c r="F11468" s="249" t="s">
        <v>234</v>
      </c>
      <c r="G11468" s="252" t="s">
        <v>235</v>
      </c>
      <c r="H11468" s="598">
        <f>SUM(H11389:H11448)</f>
        <v>0</v>
      </c>
      <c r="I11468" s="599"/>
      <c r="J11468" s="599">
        <f>SUM(H11468:I11468)</f>
        <v>0</v>
      </c>
    </row>
    <row r="11469" spans="5:10" hidden="1" x14ac:dyDescent="0.25">
      <c r="F11469" s="249" t="s">
        <v>236</v>
      </c>
      <c r="G11469" s="252" t="s">
        <v>237</v>
      </c>
      <c r="J11469" s="599">
        <f t="shared" ref="J11469:J11483" si="342">SUM(H11469:I11469)</f>
        <v>0</v>
      </c>
    </row>
    <row r="11470" spans="5:10" hidden="1" x14ac:dyDescent="0.25">
      <c r="F11470" s="249" t="s">
        <v>238</v>
      </c>
      <c r="G11470" s="252" t="s">
        <v>239</v>
      </c>
      <c r="J11470" s="599">
        <f t="shared" si="342"/>
        <v>0</v>
      </c>
    </row>
    <row r="11471" spans="5:10" hidden="1" x14ac:dyDescent="0.25">
      <c r="F11471" s="249" t="s">
        <v>240</v>
      </c>
      <c r="G11471" s="252" t="s">
        <v>241</v>
      </c>
      <c r="J11471" s="599">
        <f t="shared" si="342"/>
        <v>0</v>
      </c>
    </row>
    <row r="11472" spans="5:10" hidden="1" x14ac:dyDescent="0.25">
      <c r="F11472" s="249" t="s">
        <v>242</v>
      </c>
      <c r="G11472" s="252" t="s">
        <v>243</v>
      </c>
      <c r="J11472" s="599">
        <f t="shared" si="342"/>
        <v>0</v>
      </c>
    </row>
    <row r="11473" spans="3:10" hidden="1" x14ac:dyDescent="0.25">
      <c r="F11473" s="249" t="s">
        <v>244</v>
      </c>
      <c r="G11473" s="252" t="s">
        <v>245</v>
      </c>
      <c r="J11473" s="599">
        <f t="shared" si="342"/>
        <v>0</v>
      </c>
    </row>
    <row r="11474" spans="3:10" hidden="1" x14ac:dyDescent="0.25">
      <c r="F11474" s="249" t="s">
        <v>246</v>
      </c>
      <c r="G11474" s="252" t="s">
        <v>247</v>
      </c>
      <c r="J11474" s="599">
        <f t="shared" si="342"/>
        <v>0</v>
      </c>
    </row>
    <row r="11475" spans="3:10" hidden="1" x14ac:dyDescent="0.25">
      <c r="F11475" s="249" t="s">
        <v>248</v>
      </c>
      <c r="G11475" s="252" t="s">
        <v>249</v>
      </c>
      <c r="J11475" s="599">
        <f t="shared" si="342"/>
        <v>0</v>
      </c>
    </row>
    <row r="11476" spans="3:10" hidden="1" x14ac:dyDescent="0.25">
      <c r="F11476" s="249" t="s">
        <v>250</v>
      </c>
      <c r="G11476" s="252" t="s">
        <v>57</v>
      </c>
      <c r="J11476" s="599">
        <f t="shared" si="342"/>
        <v>0</v>
      </c>
    </row>
    <row r="11477" spans="3:10" hidden="1" x14ac:dyDescent="0.25">
      <c r="F11477" s="249" t="s">
        <v>251</v>
      </c>
      <c r="G11477" s="252" t="s">
        <v>252</v>
      </c>
      <c r="J11477" s="599">
        <f t="shared" si="342"/>
        <v>0</v>
      </c>
    </row>
    <row r="11478" spans="3:10" hidden="1" x14ac:dyDescent="0.25">
      <c r="F11478" s="249" t="s">
        <v>253</v>
      </c>
      <c r="G11478" s="252" t="s">
        <v>254</v>
      </c>
      <c r="J11478" s="599">
        <f t="shared" si="342"/>
        <v>0</v>
      </c>
    </row>
    <row r="11479" spans="3:10" ht="30" hidden="1" x14ac:dyDescent="0.25">
      <c r="F11479" s="249" t="s">
        <v>255</v>
      </c>
      <c r="G11479" s="252" t="s">
        <v>256</v>
      </c>
      <c r="J11479" s="599">
        <f t="shared" si="342"/>
        <v>0</v>
      </c>
    </row>
    <row r="11480" spans="3:10" hidden="1" x14ac:dyDescent="0.25">
      <c r="F11480" s="249" t="s">
        <v>257</v>
      </c>
      <c r="G11480" s="252" t="s">
        <v>258</v>
      </c>
      <c r="J11480" s="599">
        <f t="shared" si="342"/>
        <v>0</v>
      </c>
    </row>
    <row r="11481" spans="3:10" ht="30" hidden="1" x14ac:dyDescent="0.25">
      <c r="F11481" s="249" t="s">
        <v>259</v>
      </c>
      <c r="G11481" s="252" t="s">
        <v>260</v>
      </c>
      <c r="J11481" s="599">
        <f t="shared" si="342"/>
        <v>0</v>
      </c>
    </row>
    <row r="11482" spans="3:10" hidden="1" x14ac:dyDescent="0.25">
      <c r="F11482" s="249" t="s">
        <v>261</v>
      </c>
      <c r="G11482" s="252" t="s">
        <v>262</v>
      </c>
      <c r="J11482" s="599">
        <f t="shared" si="342"/>
        <v>0</v>
      </c>
    </row>
    <row r="11483" spans="3:10" ht="15.75" hidden="1" thickBot="1" x14ac:dyDescent="0.3">
      <c r="F11483" s="249" t="s">
        <v>263</v>
      </c>
      <c r="G11483" s="252" t="s">
        <v>264</v>
      </c>
      <c r="H11483" s="598"/>
      <c r="I11483" s="599"/>
      <c r="J11483" s="599">
        <f t="shared" si="342"/>
        <v>0</v>
      </c>
    </row>
    <row r="11484" spans="3:10" ht="15.75" hidden="1" collapsed="1" thickBot="1" x14ac:dyDescent="0.3">
      <c r="G11484" s="229" t="s">
        <v>4462</v>
      </c>
      <c r="H11484" s="600">
        <f>SUM(H11468:H11483)</f>
        <v>0</v>
      </c>
      <c r="I11484" s="601">
        <f>SUM(I11469:I11483)</f>
        <v>0</v>
      </c>
      <c r="J11484" s="601">
        <f>SUM(J11468:J11483)</f>
        <v>0</v>
      </c>
    </row>
    <row r="11485" spans="3:10" hidden="1" x14ac:dyDescent="0.25"/>
    <row r="11486" spans="3:10" hidden="1" x14ac:dyDescent="0.25">
      <c r="C11486" s="228" t="s">
        <v>4862</v>
      </c>
      <c r="D11486" s="219"/>
      <c r="G11486" s="477" t="s">
        <v>5117</v>
      </c>
    </row>
    <row r="11487" spans="3:10" hidden="1" x14ac:dyDescent="0.25">
      <c r="C11487" s="228"/>
      <c r="D11487" s="312">
        <v>820</v>
      </c>
      <c r="E11487" s="312"/>
      <c r="F11487" s="312"/>
      <c r="G11487" s="313" t="s">
        <v>207</v>
      </c>
    </row>
    <row r="11488" spans="3:10" hidden="1" x14ac:dyDescent="0.25">
      <c r="F11488" s="485">
        <v>411</v>
      </c>
      <c r="G11488" s="476" t="s">
        <v>4189</v>
      </c>
      <c r="J11488" s="595">
        <f>SUM(H11488:I11488)</f>
        <v>0</v>
      </c>
    </row>
    <row r="11489" spans="6:10" hidden="1" x14ac:dyDescent="0.25">
      <c r="F11489" s="485">
        <v>412</v>
      </c>
      <c r="G11489" s="473" t="s">
        <v>3784</v>
      </c>
      <c r="J11489" s="595">
        <f t="shared" ref="J11489:J11547" si="343">SUM(H11489:I11489)</f>
        <v>0</v>
      </c>
    </row>
    <row r="11490" spans="6:10" hidden="1" x14ac:dyDescent="0.25">
      <c r="F11490" s="485">
        <v>413</v>
      </c>
      <c r="G11490" s="476" t="s">
        <v>4190</v>
      </c>
      <c r="J11490" s="595">
        <f t="shared" si="343"/>
        <v>0</v>
      </c>
    </row>
    <row r="11491" spans="6:10" hidden="1" x14ac:dyDescent="0.25">
      <c r="F11491" s="485">
        <v>414</v>
      </c>
      <c r="G11491" s="476" t="s">
        <v>3787</v>
      </c>
      <c r="J11491" s="595">
        <f t="shared" si="343"/>
        <v>0</v>
      </c>
    </row>
    <row r="11492" spans="6:10" hidden="1" x14ac:dyDescent="0.25">
      <c r="F11492" s="485">
        <v>415</v>
      </c>
      <c r="G11492" s="476" t="s">
        <v>4199</v>
      </c>
      <c r="J11492" s="595">
        <f t="shared" si="343"/>
        <v>0</v>
      </c>
    </row>
    <row r="11493" spans="6:10" hidden="1" x14ac:dyDescent="0.25">
      <c r="F11493" s="485">
        <v>416</v>
      </c>
      <c r="G11493" s="476" t="s">
        <v>4200</v>
      </c>
      <c r="J11493" s="595">
        <f t="shared" si="343"/>
        <v>0</v>
      </c>
    </row>
    <row r="11494" spans="6:10" hidden="1" x14ac:dyDescent="0.25">
      <c r="F11494" s="485">
        <v>417</v>
      </c>
      <c r="G11494" s="476" t="s">
        <v>4201</v>
      </c>
      <c r="J11494" s="595">
        <f t="shared" si="343"/>
        <v>0</v>
      </c>
    </row>
    <row r="11495" spans="6:10" hidden="1" x14ac:dyDescent="0.25">
      <c r="F11495" s="485">
        <v>418</v>
      </c>
      <c r="G11495" s="476" t="s">
        <v>3793</v>
      </c>
      <c r="J11495" s="595">
        <f t="shared" si="343"/>
        <v>0</v>
      </c>
    </row>
    <row r="11496" spans="6:10" hidden="1" x14ac:dyDescent="0.25">
      <c r="F11496" s="485">
        <v>421</v>
      </c>
      <c r="G11496" s="476" t="s">
        <v>3797</v>
      </c>
      <c r="J11496" s="595">
        <f t="shared" si="343"/>
        <v>0</v>
      </c>
    </row>
    <row r="11497" spans="6:10" hidden="1" x14ac:dyDescent="0.25">
      <c r="F11497" s="485">
        <v>422</v>
      </c>
      <c r="G11497" s="476" t="s">
        <v>3798</v>
      </c>
      <c r="J11497" s="595">
        <f t="shared" si="343"/>
        <v>0</v>
      </c>
    </row>
    <row r="11498" spans="6:10" hidden="1" x14ac:dyDescent="0.25">
      <c r="F11498" s="485">
        <v>423</v>
      </c>
      <c r="G11498" s="476" t="s">
        <v>3799</v>
      </c>
      <c r="J11498" s="595">
        <f t="shared" si="343"/>
        <v>0</v>
      </c>
    </row>
    <row r="11499" spans="6:10" hidden="1" x14ac:dyDescent="0.25">
      <c r="F11499" s="485">
        <v>424</v>
      </c>
      <c r="G11499" s="476" t="s">
        <v>3801</v>
      </c>
      <c r="J11499" s="595">
        <f t="shared" si="343"/>
        <v>0</v>
      </c>
    </row>
    <row r="11500" spans="6:10" hidden="1" x14ac:dyDescent="0.25">
      <c r="F11500" s="485">
        <v>425</v>
      </c>
      <c r="G11500" s="476" t="s">
        <v>4202</v>
      </c>
      <c r="J11500" s="595">
        <f t="shared" si="343"/>
        <v>0</v>
      </c>
    </row>
    <row r="11501" spans="6:10" hidden="1" x14ac:dyDescent="0.25">
      <c r="F11501" s="485">
        <v>426</v>
      </c>
      <c r="G11501" s="476" t="s">
        <v>3805</v>
      </c>
      <c r="J11501" s="595">
        <f t="shared" si="343"/>
        <v>0</v>
      </c>
    </row>
    <row r="11502" spans="6:10" hidden="1" x14ac:dyDescent="0.25">
      <c r="F11502" s="485">
        <v>431</v>
      </c>
      <c r="G11502" s="476" t="s">
        <v>4203</v>
      </c>
      <c r="J11502" s="595">
        <f t="shared" si="343"/>
        <v>0</v>
      </c>
    </row>
    <row r="11503" spans="6:10" hidden="1" x14ac:dyDescent="0.25">
      <c r="F11503" s="485">
        <v>432</v>
      </c>
      <c r="G11503" s="476" t="s">
        <v>4204</v>
      </c>
      <c r="J11503" s="595">
        <f t="shared" si="343"/>
        <v>0</v>
      </c>
    </row>
    <row r="11504" spans="6:10" hidden="1" x14ac:dyDescent="0.25">
      <c r="F11504" s="485">
        <v>433</v>
      </c>
      <c r="G11504" s="476" t="s">
        <v>4205</v>
      </c>
      <c r="J11504" s="595">
        <f t="shared" si="343"/>
        <v>0</v>
      </c>
    </row>
    <row r="11505" spans="6:10" hidden="1" x14ac:dyDescent="0.25">
      <c r="F11505" s="485">
        <v>434</v>
      </c>
      <c r="G11505" s="476" t="s">
        <v>4206</v>
      </c>
      <c r="J11505" s="595">
        <f t="shared" si="343"/>
        <v>0</v>
      </c>
    </row>
    <row r="11506" spans="6:10" hidden="1" x14ac:dyDescent="0.25">
      <c r="F11506" s="485">
        <v>435</v>
      </c>
      <c r="G11506" s="476" t="s">
        <v>3812</v>
      </c>
      <c r="J11506" s="595">
        <f t="shared" si="343"/>
        <v>0</v>
      </c>
    </row>
    <row r="11507" spans="6:10" hidden="1" x14ac:dyDescent="0.25">
      <c r="F11507" s="485">
        <v>441</v>
      </c>
      <c r="G11507" s="476" t="s">
        <v>4207</v>
      </c>
      <c r="J11507" s="595">
        <f t="shared" si="343"/>
        <v>0</v>
      </c>
    </row>
    <row r="11508" spans="6:10" hidden="1" x14ac:dyDescent="0.25">
      <c r="F11508" s="485">
        <v>442</v>
      </c>
      <c r="G11508" s="476" t="s">
        <v>4208</v>
      </c>
      <c r="J11508" s="595">
        <f t="shared" si="343"/>
        <v>0</v>
      </c>
    </row>
    <row r="11509" spans="6:10" hidden="1" x14ac:dyDescent="0.25">
      <c r="F11509" s="485">
        <v>443</v>
      </c>
      <c r="G11509" s="476" t="s">
        <v>3817</v>
      </c>
      <c r="J11509" s="595">
        <f t="shared" si="343"/>
        <v>0</v>
      </c>
    </row>
    <row r="11510" spans="6:10" hidden="1" x14ac:dyDescent="0.25">
      <c r="F11510" s="485">
        <v>444</v>
      </c>
      <c r="G11510" s="476" t="s">
        <v>3818</v>
      </c>
      <c r="J11510" s="595">
        <f t="shared" si="343"/>
        <v>0</v>
      </c>
    </row>
    <row r="11511" spans="6:10" ht="30" hidden="1" x14ac:dyDescent="0.25">
      <c r="F11511" s="485">
        <v>4511</v>
      </c>
      <c r="G11511" s="223" t="s">
        <v>1692</v>
      </c>
      <c r="J11511" s="595">
        <f t="shared" si="343"/>
        <v>0</v>
      </c>
    </row>
    <row r="11512" spans="6:10" ht="30" hidden="1" x14ac:dyDescent="0.25">
      <c r="F11512" s="485">
        <v>4512</v>
      </c>
      <c r="G11512" s="223" t="s">
        <v>1701</v>
      </c>
      <c r="J11512" s="595">
        <f t="shared" si="343"/>
        <v>0</v>
      </c>
    </row>
    <row r="11513" spans="6:10" hidden="1" x14ac:dyDescent="0.25">
      <c r="F11513" s="485">
        <v>452</v>
      </c>
      <c r="G11513" s="476" t="s">
        <v>4209</v>
      </c>
      <c r="J11513" s="595">
        <f t="shared" si="343"/>
        <v>0</v>
      </c>
    </row>
    <row r="11514" spans="6:10" hidden="1" x14ac:dyDescent="0.25">
      <c r="F11514" s="485">
        <v>453</v>
      </c>
      <c r="G11514" s="476" t="s">
        <v>4210</v>
      </c>
      <c r="J11514" s="595">
        <f t="shared" si="343"/>
        <v>0</v>
      </c>
    </row>
    <row r="11515" spans="6:10" hidden="1" x14ac:dyDescent="0.25">
      <c r="F11515" s="485">
        <v>454</v>
      </c>
      <c r="G11515" s="476" t="s">
        <v>3823</v>
      </c>
      <c r="J11515" s="595">
        <f t="shared" si="343"/>
        <v>0</v>
      </c>
    </row>
    <row r="11516" spans="6:10" hidden="1" x14ac:dyDescent="0.25">
      <c r="F11516" s="485">
        <v>461</v>
      </c>
      <c r="G11516" s="476" t="s">
        <v>4191</v>
      </c>
      <c r="J11516" s="595">
        <f t="shared" si="343"/>
        <v>0</v>
      </c>
    </row>
    <row r="11517" spans="6:10" hidden="1" x14ac:dyDescent="0.25">
      <c r="F11517" s="485">
        <v>462</v>
      </c>
      <c r="G11517" s="476" t="s">
        <v>3826</v>
      </c>
      <c r="J11517" s="595">
        <f t="shared" si="343"/>
        <v>0</v>
      </c>
    </row>
    <row r="11518" spans="6:10" hidden="1" x14ac:dyDescent="0.25">
      <c r="F11518" s="485">
        <v>4631</v>
      </c>
      <c r="G11518" s="476" t="s">
        <v>3827</v>
      </c>
      <c r="J11518" s="595">
        <f t="shared" si="343"/>
        <v>0</v>
      </c>
    </row>
    <row r="11519" spans="6:10" hidden="1" x14ac:dyDescent="0.25">
      <c r="F11519" s="485">
        <v>4632</v>
      </c>
      <c r="G11519" s="476" t="s">
        <v>3828</v>
      </c>
      <c r="J11519" s="595">
        <f t="shared" si="343"/>
        <v>0</v>
      </c>
    </row>
    <row r="11520" spans="6:10" hidden="1" x14ac:dyDescent="0.25">
      <c r="F11520" s="485">
        <v>464</v>
      </c>
      <c r="G11520" s="476" t="s">
        <v>3829</v>
      </c>
      <c r="J11520" s="595">
        <f t="shared" si="343"/>
        <v>0</v>
      </c>
    </row>
    <row r="11521" spans="6:10" hidden="1" x14ac:dyDescent="0.25">
      <c r="F11521" s="485">
        <v>465</v>
      </c>
      <c r="G11521" s="476" t="s">
        <v>4192</v>
      </c>
      <c r="J11521" s="595">
        <f t="shared" si="343"/>
        <v>0</v>
      </c>
    </row>
    <row r="11522" spans="6:10" hidden="1" x14ac:dyDescent="0.25">
      <c r="F11522" s="485">
        <v>472</v>
      </c>
      <c r="G11522" s="476" t="s">
        <v>3833</v>
      </c>
      <c r="J11522" s="595">
        <f t="shared" si="343"/>
        <v>0</v>
      </c>
    </row>
    <row r="11523" spans="6:10" hidden="1" x14ac:dyDescent="0.25">
      <c r="F11523" s="485">
        <v>481</v>
      </c>
      <c r="G11523" s="476" t="s">
        <v>4211</v>
      </c>
      <c r="J11523" s="595">
        <f t="shared" si="343"/>
        <v>0</v>
      </c>
    </row>
    <row r="11524" spans="6:10" hidden="1" x14ac:dyDescent="0.25">
      <c r="F11524" s="485">
        <v>482</v>
      </c>
      <c r="G11524" s="476" t="s">
        <v>4212</v>
      </c>
      <c r="J11524" s="595">
        <f t="shared" si="343"/>
        <v>0</v>
      </c>
    </row>
    <row r="11525" spans="6:10" hidden="1" x14ac:dyDescent="0.25">
      <c r="F11525" s="485">
        <v>483</v>
      </c>
      <c r="G11525" s="478" t="s">
        <v>4213</v>
      </c>
      <c r="J11525" s="595">
        <f t="shared" si="343"/>
        <v>0</v>
      </c>
    </row>
    <row r="11526" spans="6:10" ht="30" hidden="1" x14ac:dyDescent="0.25">
      <c r="F11526" s="485">
        <v>484</v>
      </c>
      <c r="G11526" s="476" t="s">
        <v>4214</v>
      </c>
      <c r="J11526" s="595">
        <f t="shared" si="343"/>
        <v>0</v>
      </c>
    </row>
    <row r="11527" spans="6:10" ht="30" hidden="1" x14ac:dyDescent="0.25">
      <c r="F11527" s="485">
        <v>485</v>
      </c>
      <c r="G11527" s="476" t="s">
        <v>4215</v>
      </c>
      <c r="J11527" s="595">
        <f t="shared" si="343"/>
        <v>0</v>
      </c>
    </row>
    <row r="11528" spans="6:10" ht="30" hidden="1" x14ac:dyDescent="0.25">
      <c r="F11528" s="485">
        <v>489</v>
      </c>
      <c r="G11528" s="476" t="s">
        <v>3841</v>
      </c>
      <c r="J11528" s="595">
        <f t="shared" si="343"/>
        <v>0</v>
      </c>
    </row>
    <row r="11529" spans="6:10" hidden="1" x14ac:dyDescent="0.25">
      <c r="F11529" s="485">
        <v>494</v>
      </c>
      <c r="G11529" s="476" t="s">
        <v>4193</v>
      </c>
      <c r="J11529" s="595">
        <f t="shared" si="343"/>
        <v>0</v>
      </c>
    </row>
    <row r="11530" spans="6:10" ht="30" hidden="1" x14ac:dyDescent="0.25">
      <c r="F11530" s="485">
        <v>495</v>
      </c>
      <c r="G11530" s="476" t="s">
        <v>4194</v>
      </c>
      <c r="J11530" s="595">
        <f t="shared" si="343"/>
        <v>0</v>
      </c>
    </row>
    <row r="11531" spans="6:10" ht="30" hidden="1" x14ac:dyDescent="0.25">
      <c r="F11531" s="485">
        <v>496</v>
      </c>
      <c r="G11531" s="476" t="s">
        <v>4195</v>
      </c>
      <c r="J11531" s="595">
        <f t="shared" si="343"/>
        <v>0</v>
      </c>
    </row>
    <row r="11532" spans="6:10" hidden="1" x14ac:dyDescent="0.25">
      <c r="F11532" s="485">
        <v>499</v>
      </c>
      <c r="G11532" s="476" t="s">
        <v>4196</v>
      </c>
      <c r="J11532" s="595">
        <f t="shared" si="343"/>
        <v>0</v>
      </c>
    </row>
    <row r="11533" spans="6:10" hidden="1" x14ac:dyDescent="0.25">
      <c r="F11533" s="485">
        <v>511</v>
      </c>
      <c r="G11533" s="478" t="s">
        <v>4216</v>
      </c>
      <c r="J11533" s="595">
        <f t="shared" si="343"/>
        <v>0</v>
      </c>
    </row>
    <row r="11534" spans="6:10" ht="15.75" hidden="1" thickBot="1" x14ac:dyDescent="0.3">
      <c r="F11534" s="485">
        <v>512</v>
      </c>
      <c r="G11534" s="478" t="s">
        <v>4217</v>
      </c>
      <c r="J11534" s="595">
        <f t="shared" si="343"/>
        <v>0</v>
      </c>
    </row>
    <row r="11535" spans="6:10" hidden="1" x14ac:dyDescent="0.25">
      <c r="F11535" s="485">
        <v>513</v>
      </c>
      <c r="G11535" s="478" t="s">
        <v>4218</v>
      </c>
      <c r="J11535" s="595">
        <f t="shared" si="343"/>
        <v>0</v>
      </c>
    </row>
    <row r="11536" spans="6:10" hidden="1" x14ac:dyDescent="0.25">
      <c r="F11536" s="485">
        <v>514</v>
      </c>
      <c r="G11536" s="476" t="s">
        <v>4219</v>
      </c>
      <c r="J11536" s="595">
        <f t="shared" si="343"/>
        <v>0</v>
      </c>
    </row>
    <row r="11537" spans="5:10" hidden="1" x14ac:dyDescent="0.25">
      <c r="F11537" s="485">
        <v>515</v>
      </c>
      <c r="G11537" s="476" t="s">
        <v>3852</v>
      </c>
      <c r="J11537" s="595">
        <f t="shared" si="343"/>
        <v>0</v>
      </c>
    </row>
    <row r="11538" spans="5:10" hidden="1" x14ac:dyDescent="0.25">
      <c r="F11538" s="485">
        <v>521</v>
      </c>
      <c r="G11538" s="476" t="s">
        <v>4220</v>
      </c>
      <c r="J11538" s="595">
        <f t="shared" si="343"/>
        <v>0</v>
      </c>
    </row>
    <row r="11539" spans="5:10" hidden="1" x14ac:dyDescent="0.25">
      <c r="F11539" s="485">
        <v>522</v>
      </c>
      <c r="G11539" s="476" t="s">
        <v>4221</v>
      </c>
      <c r="J11539" s="595">
        <f t="shared" si="343"/>
        <v>0</v>
      </c>
    </row>
    <row r="11540" spans="5:10" hidden="1" x14ac:dyDescent="0.25">
      <c r="F11540" s="485">
        <v>523</v>
      </c>
      <c r="G11540" s="476" t="s">
        <v>3857</v>
      </c>
      <c r="J11540" s="595">
        <f t="shared" si="343"/>
        <v>0</v>
      </c>
    </row>
    <row r="11541" spans="5:10" hidden="1" x14ac:dyDescent="0.25">
      <c r="F11541" s="485">
        <v>531</v>
      </c>
      <c r="G11541" s="473" t="s">
        <v>4197</v>
      </c>
      <c r="J11541" s="595">
        <f t="shared" si="343"/>
        <v>0</v>
      </c>
    </row>
    <row r="11542" spans="5:10" hidden="1" x14ac:dyDescent="0.25">
      <c r="F11542" s="485">
        <v>541</v>
      </c>
      <c r="G11542" s="476" t="s">
        <v>4222</v>
      </c>
      <c r="J11542" s="595">
        <f t="shared" si="343"/>
        <v>0</v>
      </c>
    </row>
    <row r="11543" spans="5:10" hidden="1" x14ac:dyDescent="0.25">
      <c r="F11543" s="485">
        <v>542</v>
      </c>
      <c r="G11543" s="476" t="s">
        <v>4223</v>
      </c>
      <c r="J11543" s="595">
        <f t="shared" si="343"/>
        <v>0</v>
      </c>
    </row>
    <row r="11544" spans="5:10" hidden="1" x14ac:dyDescent="0.25">
      <c r="F11544" s="485">
        <v>543</v>
      </c>
      <c r="G11544" s="476" t="s">
        <v>3862</v>
      </c>
      <c r="J11544" s="595">
        <f t="shared" si="343"/>
        <v>0</v>
      </c>
    </row>
    <row r="11545" spans="5:10" ht="30" hidden="1" x14ac:dyDescent="0.25">
      <c r="F11545" s="485">
        <v>551</v>
      </c>
      <c r="G11545" s="476" t="s">
        <v>4198</v>
      </c>
      <c r="J11545" s="595">
        <f t="shared" si="343"/>
        <v>0</v>
      </c>
    </row>
    <row r="11546" spans="5:10" hidden="1" x14ac:dyDescent="0.25">
      <c r="F11546" s="486">
        <v>611</v>
      </c>
      <c r="G11546" s="484" t="s">
        <v>3868</v>
      </c>
      <c r="J11546" s="595">
        <f t="shared" si="343"/>
        <v>0</v>
      </c>
    </row>
    <row r="11547" spans="5:10" ht="15.75" hidden="1" thickBot="1" x14ac:dyDescent="0.3">
      <c r="F11547" s="486">
        <v>620</v>
      </c>
      <c r="G11547" s="484" t="s">
        <v>88</v>
      </c>
      <c r="J11547" s="595">
        <f t="shared" si="343"/>
        <v>0</v>
      </c>
    </row>
    <row r="11548" spans="5:10" hidden="1" x14ac:dyDescent="0.25">
      <c r="E11548" s="474"/>
      <c r="F11548" s="486"/>
      <c r="G11548" s="326" t="s">
        <v>4459</v>
      </c>
      <c r="H11548" s="596"/>
      <c r="I11548" s="622"/>
      <c r="J11548" s="597"/>
    </row>
    <row r="11549" spans="5:10" hidden="1" x14ac:dyDescent="0.25">
      <c r="E11549" s="222"/>
      <c r="F11549" s="249" t="s">
        <v>234</v>
      </c>
      <c r="G11549" s="252" t="s">
        <v>235</v>
      </c>
      <c r="H11549" s="598">
        <f>SUM(H11488:H11547)</f>
        <v>0</v>
      </c>
      <c r="I11549" s="599"/>
      <c r="J11549" s="599">
        <f>SUM(H11549:I11549)</f>
        <v>0</v>
      </c>
    </row>
    <row r="11550" spans="5:10" hidden="1" x14ac:dyDescent="0.25">
      <c r="F11550" s="249" t="s">
        <v>236</v>
      </c>
      <c r="G11550" s="252" t="s">
        <v>237</v>
      </c>
      <c r="J11550" s="599">
        <f t="shared" ref="J11550:J11564" si="344">SUM(H11550:I11550)</f>
        <v>0</v>
      </c>
    </row>
    <row r="11551" spans="5:10" hidden="1" x14ac:dyDescent="0.25">
      <c r="F11551" s="249" t="s">
        <v>238</v>
      </c>
      <c r="G11551" s="252" t="s">
        <v>239</v>
      </c>
      <c r="J11551" s="599">
        <f t="shared" si="344"/>
        <v>0</v>
      </c>
    </row>
    <row r="11552" spans="5:10" hidden="1" x14ac:dyDescent="0.25">
      <c r="F11552" s="249" t="s">
        <v>240</v>
      </c>
      <c r="G11552" s="252" t="s">
        <v>241</v>
      </c>
      <c r="J11552" s="599">
        <f t="shared" si="344"/>
        <v>0</v>
      </c>
    </row>
    <row r="11553" spans="5:10" hidden="1" x14ac:dyDescent="0.25">
      <c r="F11553" s="249" t="s">
        <v>242</v>
      </c>
      <c r="G11553" s="252" t="s">
        <v>243</v>
      </c>
      <c r="J11553" s="599">
        <f t="shared" si="344"/>
        <v>0</v>
      </c>
    </row>
    <row r="11554" spans="5:10" hidden="1" x14ac:dyDescent="0.25">
      <c r="F11554" s="249" t="s">
        <v>244</v>
      </c>
      <c r="G11554" s="252" t="s">
        <v>245</v>
      </c>
      <c r="J11554" s="599">
        <f t="shared" si="344"/>
        <v>0</v>
      </c>
    </row>
    <row r="11555" spans="5:10" hidden="1" x14ac:dyDescent="0.25">
      <c r="F11555" s="249" t="s">
        <v>246</v>
      </c>
      <c r="G11555" s="252" t="s">
        <v>247</v>
      </c>
      <c r="J11555" s="599">
        <f t="shared" si="344"/>
        <v>0</v>
      </c>
    </row>
    <row r="11556" spans="5:10" hidden="1" x14ac:dyDescent="0.25">
      <c r="F11556" s="249" t="s">
        <v>248</v>
      </c>
      <c r="G11556" s="252" t="s">
        <v>249</v>
      </c>
      <c r="J11556" s="599">
        <f t="shared" si="344"/>
        <v>0</v>
      </c>
    </row>
    <row r="11557" spans="5:10" hidden="1" x14ac:dyDescent="0.25">
      <c r="F11557" s="249" t="s">
        <v>250</v>
      </c>
      <c r="G11557" s="252" t="s">
        <v>57</v>
      </c>
      <c r="J11557" s="599">
        <f t="shared" si="344"/>
        <v>0</v>
      </c>
    </row>
    <row r="11558" spans="5:10" hidden="1" x14ac:dyDescent="0.25">
      <c r="F11558" s="249" t="s">
        <v>251</v>
      </c>
      <c r="G11558" s="252" t="s">
        <v>252</v>
      </c>
      <c r="J11558" s="599">
        <f t="shared" si="344"/>
        <v>0</v>
      </c>
    </row>
    <row r="11559" spans="5:10" hidden="1" x14ac:dyDescent="0.25">
      <c r="F11559" s="249" t="s">
        <v>253</v>
      </c>
      <c r="G11559" s="252" t="s">
        <v>254</v>
      </c>
      <c r="J11559" s="599">
        <f t="shared" si="344"/>
        <v>0</v>
      </c>
    </row>
    <row r="11560" spans="5:10" ht="30" hidden="1" x14ac:dyDescent="0.25">
      <c r="F11560" s="249" t="s">
        <v>255</v>
      </c>
      <c r="G11560" s="252" t="s">
        <v>256</v>
      </c>
      <c r="J11560" s="599">
        <f t="shared" si="344"/>
        <v>0</v>
      </c>
    </row>
    <row r="11561" spans="5:10" ht="15.75" hidden="1" thickBot="1" x14ac:dyDescent="0.3">
      <c r="F11561" s="249" t="s">
        <v>257</v>
      </c>
      <c r="G11561" s="252" t="s">
        <v>258</v>
      </c>
      <c r="J11561" s="599">
        <f t="shared" si="344"/>
        <v>0</v>
      </c>
    </row>
    <row r="11562" spans="5:10" ht="30" hidden="1" x14ac:dyDescent="0.25">
      <c r="F11562" s="249" t="s">
        <v>259</v>
      </c>
      <c r="G11562" s="252" t="s">
        <v>260</v>
      </c>
      <c r="J11562" s="599">
        <f t="shared" si="344"/>
        <v>0</v>
      </c>
    </row>
    <row r="11563" spans="5:10" hidden="1" x14ac:dyDescent="0.25">
      <c r="F11563" s="249" t="s">
        <v>261</v>
      </c>
      <c r="G11563" s="252" t="s">
        <v>262</v>
      </c>
      <c r="J11563" s="599">
        <f t="shared" si="344"/>
        <v>0</v>
      </c>
    </row>
    <row r="11564" spans="5:10" ht="15.75" hidden="1" thickBot="1" x14ac:dyDescent="0.3">
      <c r="F11564" s="249" t="s">
        <v>263</v>
      </c>
      <c r="G11564" s="252" t="s">
        <v>264</v>
      </c>
      <c r="H11564" s="598"/>
      <c r="I11564" s="599"/>
      <c r="J11564" s="599">
        <f t="shared" si="344"/>
        <v>0</v>
      </c>
    </row>
    <row r="11565" spans="5:10" ht="15.75" hidden="1" thickBot="1" x14ac:dyDescent="0.3">
      <c r="G11565" s="229" t="s">
        <v>4460</v>
      </c>
      <c r="H11565" s="600">
        <f>SUM(H11549:H11564)</f>
        <v>0</v>
      </c>
      <c r="I11565" s="601">
        <f>SUM(I11550:I11564)</f>
        <v>0</v>
      </c>
      <c r="J11565" s="601">
        <f>SUM(J11549:J11564)</f>
        <v>0</v>
      </c>
    </row>
    <row r="11566" spans="5:10" hidden="1" collapsed="1" x14ac:dyDescent="0.25">
      <c r="E11566" s="474"/>
      <c r="F11566" s="486"/>
      <c r="G11566" s="231" t="s">
        <v>5058</v>
      </c>
      <c r="H11566" s="602"/>
      <c r="I11566" s="623"/>
      <c r="J11566" s="603"/>
    </row>
    <row r="11567" spans="5:10" hidden="1" x14ac:dyDescent="0.25">
      <c r="E11567" s="222"/>
      <c r="F11567" s="249" t="s">
        <v>234</v>
      </c>
      <c r="G11567" s="252" t="s">
        <v>235</v>
      </c>
      <c r="H11567" s="598">
        <f>SUM(H11488:H11547)</f>
        <v>0</v>
      </c>
      <c r="I11567" s="599"/>
      <c r="J11567" s="599">
        <f>SUM(H11567:I11567)</f>
        <v>0</v>
      </c>
    </row>
    <row r="11568" spans="5:10" hidden="1" x14ac:dyDescent="0.25">
      <c r="F11568" s="249" t="s">
        <v>236</v>
      </c>
      <c r="G11568" s="252" t="s">
        <v>237</v>
      </c>
      <c r="J11568" s="599">
        <f t="shared" ref="J11568:J11582" si="345">SUM(H11568:I11568)</f>
        <v>0</v>
      </c>
    </row>
    <row r="11569" spans="6:10" hidden="1" x14ac:dyDescent="0.25">
      <c r="F11569" s="249" t="s">
        <v>238</v>
      </c>
      <c r="G11569" s="252" t="s">
        <v>239</v>
      </c>
      <c r="J11569" s="599">
        <f t="shared" si="345"/>
        <v>0</v>
      </c>
    </row>
    <row r="11570" spans="6:10" hidden="1" x14ac:dyDescent="0.25">
      <c r="F11570" s="249" t="s">
        <v>240</v>
      </c>
      <c r="G11570" s="252" t="s">
        <v>241</v>
      </c>
      <c r="J11570" s="599">
        <f t="shared" si="345"/>
        <v>0</v>
      </c>
    </row>
    <row r="11571" spans="6:10" hidden="1" x14ac:dyDescent="0.25">
      <c r="F11571" s="249" t="s">
        <v>242</v>
      </c>
      <c r="G11571" s="252" t="s">
        <v>243</v>
      </c>
      <c r="J11571" s="599">
        <f t="shared" si="345"/>
        <v>0</v>
      </c>
    </row>
    <row r="11572" spans="6:10" hidden="1" x14ac:dyDescent="0.25">
      <c r="F11572" s="249" t="s">
        <v>244</v>
      </c>
      <c r="G11572" s="252" t="s">
        <v>245</v>
      </c>
      <c r="J11572" s="599">
        <f t="shared" si="345"/>
        <v>0</v>
      </c>
    </row>
    <row r="11573" spans="6:10" hidden="1" x14ac:dyDescent="0.25">
      <c r="F11573" s="249" t="s">
        <v>246</v>
      </c>
      <c r="G11573" s="252" t="s">
        <v>247</v>
      </c>
      <c r="J11573" s="599">
        <f t="shared" si="345"/>
        <v>0</v>
      </c>
    </row>
    <row r="11574" spans="6:10" hidden="1" x14ac:dyDescent="0.25">
      <c r="F11574" s="249" t="s">
        <v>248</v>
      </c>
      <c r="G11574" s="252" t="s">
        <v>249</v>
      </c>
      <c r="J11574" s="599">
        <f t="shared" si="345"/>
        <v>0</v>
      </c>
    </row>
    <row r="11575" spans="6:10" hidden="1" x14ac:dyDescent="0.25">
      <c r="F11575" s="249" t="s">
        <v>250</v>
      </c>
      <c r="G11575" s="252" t="s">
        <v>57</v>
      </c>
      <c r="J11575" s="599">
        <f t="shared" si="345"/>
        <v>0</v>
      </c>
    </row>
    <row r="11576" spans="6:10" hidden="1" x14ac:dyDescent="0.25">
      <c r="F11576" s="249" t="s">
        <v>251</v>
      </c>
      <c r="G11576" s="252" t="s">
        <v>252</v>
      </c>
      <c r="J11576" s="599">
        <f t="shared" si="345"/>
        <v>0</v>
      </c>
    </row>
    <row r="11577" spans="6:10" hidden="1" x14ac:dyDescent="0.25">
      <c r="F11577" s="249" t="s">
        <v>253</v>
      </c>
      <c r="G11577" s="252" t="s">
        <v>254</v>
      </c>
      <c r="J11577" s="599">
        <f t="shared" si="345"/>
        <v>0</v>
      </c>
    </row>
    <row r="11578" spans="6:10" ht="30" hidden="1" x14ac:dyDescent="0.25">
      <c r="F11578" s="249" t="s">
        <v>255</v>
      </c>
      <c r="G11578" s="252" t="s">
        <v>256</v>
      </c>
      <c r="J11578" s="599">
        <f t="shared" si="345"/>
        <v>0</v>
      </c>
    </row>
    <row r="11579" spans="6:10" ht="15.75" hidden="1" thickBot="1" x14ac:dyDescent="0.3">
      <c r="F11579" s="249" t="s">
        <v>257</v>
      </c>
      <c r="G11579" s="252" t="s">
        <v>258</v>
      </c>
      <c r="J11579" s="599">
        <f t="shared" si="345"/>
        <v>0</v>
      </c>
    </row>
    <row r="11580" spans="6:10" ht="30" hidden="1" x14ac:dyDescent="0.25">
      <c r="F11580" s="249" t="s">
        <v>259</v>
      </c>
      <c r="G11580" s="252" t="s">
        <v>260</v>
      </c>
      <c r="J11580" s="599">
        <f t="shared" si="345"/>
        <v>0</v>
      </c>
    </row>
    <row r="11581" spans="6:10" hidden="1" x14ac:dyDescent="0.25">
      <c r="F11581" s="249" t="s">
        <v>261</v>
      </c>
      <c r="G11581" s="252" t="s">
        <v>262</v>
      </c>
      <c r="J11581" s="599">
        <f t="shared" si="345"/>
        <v>0</v>
      </c>
    </row>
    <row r="11582" spans="6:10" ht="15.75" hidden="1" thickBot="1" x14ac:dyDescent="0.3">
      <c r="F11582" s="249" t="s">
        <v>263</v>
      </c>
      <c r="G11582" s="252" t="s">
        <v>264</v>
      </c>
      <c r="H11582" s="598"/>
      <c r="I11582" s="599"/>
      <c r="J11582" s="599">
        <f t="shared" si="345"/>
        <v>0</v>
      </c>
    </row>
    <row r="11583" spans="6:10" ht="15.75" hidden="1" thickBot="1" x14ac:dyDescent="0.3">
      <c r="G11583" s="229" t="s">
        <v>5043</v>
      </c>
      <c r="H11583" s="600">
        <f>SUM(H11567:H11582)</f>
        <v>0</v>
      </c>
      <c r="I11583" s="601">
        <f>SUM(I11568:I11582)</f>
        <v>0</v>
      </c>
      <c r="J11583" s="601">
        <f>SUM(J11567:J11582)</f>
        <v>0</v>
      </c>
    </row>
    <row r="11584" spans="6:10" hidden="1" x14ac:dyDescent="0.25"/>
    <row r="11585" spans="5:10" hidden="1" x14ac:dyDescent="0.25">
      <c r="E11585" s="474"/>
      <c r="F11585" s="486"/>
      <c r="G11585" s="250" t="s">
        <v>4346</v>
      </c>
      <c r="H11585" s="606"/>
      <c r="I11585" s="624"/>
      <c r="J11585" s="607"/>
    </row>
    <row r="11586" spans="5:10" hidden="1" x14ac:dyDescent="0.25">
      <c r="E11586" s="222"/>
      <c r="F11586" s="249" t="s">
        <v>234</v>
      </c>
      <c r="G11586" s="252" t="s">
        <v>235</v>
      </c>
      <c r="H11586" s="598">
        <f>SUM(H11567,H11468)</f>
        <v>0</v>
      </c>
      <c r="I11586" s="599"/>
      <c r="J11586" s="599">
        <f>SUM(H11586:I11586)</f>
        <v>0</v>
      </c>
    </row>
    <row r="11587" spans="5:10" hidden="1" x14ac:dyDescent="0.25">
      <c r="F11587" s="249" t="s">
        <v>236</v>
      </c>
      <c r="G11587" s="252" t="s">
        <v>237</v>
      </c>
      <c r="J11587" s="599">
        <f t="shared" ref="J11587:J11601" si="346">SUM(H11587:I11587)</f>
        <v>0</v>
      </c>
    </row>
    <row r="11588" spans="5:10" hidden="1" x14ac:dyDescent="0.25">
      <c r="F11588" s="249" t="s">
        <v>238</v>
      </c>
      <c r="G11588" s="252" t="s">
        <v>239</v>
      </c>
      <c r="J11588" s="599">
        <f t="shared" si="346"/>
        <v>0</v>
      </c>
    </row>
    <row r="11589" spans="5:10" hidden="1" x14ac:dyDescent="0.25">
      <c r="F11589" s="249" t="s">
        <v>240</v>
      </c>
      <c r="G11589" s="252" t="s">
        <v>241</v>
      </c>
      <c r="J11589" s="599">
        <f t="shared" si="346"/>
        <v>0</v>
      </c>
    </row>
    <row r="11590" spans="5:10" hidden="1" x14ac:dyDescent="0.25">
      <c r="F11590" s="249" t="s">
        <v>242</v>
      </c>
      <c r="G11590" s="252" t="s">
        <v>243</v>
      </c>
      <c r="J11590" s="599">
        <f t="shared" si="346"/>
        <v>0</v>
      </c>
    </row>
    <row r="11591" spans="5:10" hidden="1" x14ac:dyDescent="0.25">
      <c r="F11591" s="249" t="s">
        <v>244</v>
      </c>
      <c r="G11591" s="252" t="s">
        <v>245</v>
      </c>
      <c r="J11591" s="599">
        <f t="shared" si="346"/>
        <v>0</v>
      </c>
    </row>
    <row r="11592" spans="5:10" hidden="1" x14ac:dyDescent="0.25">
      <c r="F11592" s="249" t="s">
        <v>246</v>
      </c>
      <c r="G11592" s="252" t="s">
        <v>247</v>
      </c>
      <c r="J11592" s="599">
        <f t="shared" si="346"/>
        <v>0</v>
      </c>
    </row>
    <row r="11593" spans="5:10" hidden="1" x14ac:dyDescent="0.25">
      <c r="F11593" s="249" t="s">
        <v>248</v>
      </c>
      <c r="G11593" s="252" t="s">
        <v>249</v>
      </c>
      <c r="J11593" s="599">
        <f t="shared" si="346"/>
        <v>0</v>
      </c>
    </row>
    <row r="11594" spans="5:10" hidden="1" x14ac:dyDescent="0.25">
      <c r="F11594" s="249" t="s">
        <v>250</v>
      </c>
      <c r="G11594" s="252" t="s">
        <v>57</v>
      </c>
      <c r="J11594" s="599">
        <f t="shared" si="346"/>
        <v>0</v>
      </c>
    </row>
    <row r="11595" spans="5:10" hidden="1" x14ac:dyDescent="0.25">
      <c r="F11595" s="249" t="s">
        <v>251</v>
      </c>
      <c r="G11595" s="252" t="s">
        <v>252</v>
      </c>
      <c r="J11595" s="599">
        <f t="shared" si="346"/>
        <v>0</v>
      </c>
    </row>
    <row r="11596" spans="5:10" hidden="1" x14ac:dyDescent="0.25">
      <c r="F11596" s="249" t="s">
        <v>253</v>
      </c>
      <c r="G11596" s="252" t="s">
        <v>254</v>
      </c>
      <c r="J11596" s="599">
        <f t="shared" si="346"/>
        <v>0</v>
      </c>
    </row>
    <row r="11597" spans="5:10" ht="30" hidden="1" x14ac:dyDescent="0.25">
      <c r="F11597" s="249" t="s">
        <v>255</v>
      </c>
      <c r="G11597" s="252" t="s">
        <v>256</v>
      </c>
      <c r="J11597" s="599">
        <f t="shared" si="346"/>
        <v>0</v>
      </c>
    </row>
    <row r="11598" spans="5:10" ht="15.75" hidden="1" thickBot="1" x14ac:dyDescent="0.3">
      <c r="F11598" s="249" t="s">
        <v>257</v>
      </c>
      <c r="G11598" s="252" t="s">
        <v>258</v>
      </c>
      <c r="J11598" s="599">
        <f t="shared" si="346"/>
        <v>0</v>
      </c>
    </row>
    <row r="11599" spans="5:10" ht="30" hidden="1" x14ac:dyDescent="0.25">
      <c r="F11599" s="249" t="s">
        <v>259</v>
      </c>
      <c r="G11599" s="252" t="s">
        <v>260</v>
      </c>
      <c r="J11599" s="599">
        <f t="shared" si="346"/>
        <v>0</v>
      </c>
    </row>
    <row r="11600" spans="5:10" hidden="1" x14ac:dyDescent="0.25">
      <c r="F11600" s="249" t="s">
        <v>261</v>
      </c>
      <c r="G11600" s="252" t="s">
        <v>262</v>
      </c>
      <c r="J11600" s="599">
        <f t="shared" si="346"/>
        <v>0</v>
      </c>
    </row>
    <row r="11601" spans="5:10" ht="15.75" hidden="1" thickBot="1" x14ac:dyDescent="0.3">
      <c r="F11601" s="249" t="s">
        <v>263</v>
      </c>
      <c r="G11601" s="252" t="s">
        <v>264</v>
      </c>
      <c r="H11601" s="598"/>
      <c r="I11601" s="599"/>
      <c r="J11601" s="599">
        <f t="shared" si="346"/>
        <v>0</v>
      </c>
    </row>
    <row r="11602" spans="5:10" ht="15.75" hidden="1" thickBot="1" x14ac:dyDescent="0.3">
      <c r="G11602" s="229" t="s">
        <v>4347</v>
      </c>
      <c r="H11602" s="600">
        <f>SUM(H11586:H11601)</f>
        <v>0</v>
      </c>
      <c r="I11602" s="601">
        <f>SUM(I11587:I11601)</f>
        <v>0</v>
      </c>
      <c r="J11602" s="601">
        <f>SUM(J11586:J11601)</f>
        <v>0</v>
      </c>
    </row>
    <row r="11603" spans="5:10" hidden="1" x14ac:dyDescent="0.25"/>
    <row r="11604" spans="5:10" hidden="1" x14ac:dyDescent="0.25">
      <c r="E11604" s="474"/>
      <c r="F11604" s="486"/>
      <c r="G11604" s="250" t="s">
        <v>5083</v>
      </c>
      <c r="H11604" s="606"/>
      <c r="I11604" s="624"/>
      <c r="J11604" s="607"/>
    </row>
    <row r="11605" spans="5:10" hidden="1" x14ac:dyDescent="0.25">
      <c r="E11605" s="222"/>
      <c r="F11605" s="249" t="s">
        <v>234</v>
      </c>
      <c r="G11605" s="252" t="s">
        <v>235</v>
      </c>
      <c r="H11605" s="598">
        <f>SUM(H11586)</f>
        <v>0</v>
      </c>
      <c r="I11605" s="599"/>
      <c r="J11605" s="599">
        <f>SUM(H11605:I11605)</f>
        <v>0</v>
      </c>
    </row>
    <row r="11606" spans="5:10" hidden="1" x14ac:dyDescent="0.25">
      <c r="F11606" s="249" t="s">
        <v>236</v>
      </c>
      <c r="G11606" s="252" t="s">
        <v>237</v>
      </c>
      <c r="J11606" s="599">
        <f t="shared" ref="J11606:J11620" si="347">SUM(H11606:I11606)</f>
        <v>0</v>
      </c>
    </row>
    <row r="11607" spans="5:10" hidden="1" x14ac:dyDescent="0.25">
      <c r="F11607" s="249" t="s">
        <v>238</v>
      </c>
      <c r="G11607" s="252" t="s">
        <v>239</v>
      </c>
      <c r="J11607" s="599">
        <f t="shared" si="347"/>
        <v>0</v>
      </c>
    </row>
    <row r="11608" spans="5:10" hidden="1" x14ac:dyDescent="0.25">
      <c r="F11608" s="249" t="s">
        <v>240</v>
      </c>
      <c r="G11608" s="252" t="s">
        <v>241</v>
      </c>
      <c r="J11608" s="599">
        <f t="shared" si="347"/>
        <v>0</v>
      </c>
    </row>
    <row r="11609" spans="5:10" hidden="1" x14ac:dyDescent="0.25">
      <c r="F11609" s="249" t="s">
        <v>242</v>
      </c>
      <c r="G11609" s="252" t="s">
        <v>243</v>
      </c>
      <c r="J11609" s="599">
        <f t="shared" si="347"/>
        <v>0</v>
      </c>
    </row>
    <row r="11610" spans="5:10" hidden="1" x14ac:dyDescent="0.25">
      <c r="F11610" s="249" t="s">
        <v>244</v>
      </c>
      <c r="G11610" s="252" t="s">
        <v>245</v>
      </c>
      <c r="J11610" s="599">
        <f t="shared" si="347"/>
        <v>0</v>
      </c>
    </row>
    <row r="11611" spans="5:10" hidden="1" x14ac:dyDescent="0.25">
      <c r="F11611" s="249" t="s">
        <v>246</v>
      </c>
      <c r="G11611" s="252" t="s">
        <v>247</v>
      </c>
      <c r="J11611" s="599">
        <f t="shared" si="347"/>
        <v>0</v>
      </c>
    </row>
    <row r="11612" spans="5:10" hidden="1" x14ac:dyDescent="0.25">
      <c r="F11612" s="249" t="s">
        <v>248</v>
      </c>
      <c r="G11612" s="252" t="s">
        <v>249</v>
      </c>
      <c r="J11612" s="599">
        <f t="shared" si="347"/>
        <v>0</v>
      </c>
    </row>
    <row r="11613" spans="5:10" hidden="1" x14ac:dyDescent="0.25">
      <c r="F11613" s="249" t="s">
        <v>250</v>
      </c>
      <c r="G11613" s="252" t="s">
        <v>57</v>
      </c>
      <c r="J11613" s="599">
        <f t="shared" si="347"/>
        <v>0</v>
      </c>
    </row>
    <row r="11614" spans="5:10" hidden="1" x14ac:dyDescent="0.25">
      <c r="F11614" s="249" t="s">
        <v>251</v>
      </c>
      <c r="G11614" s="252" t="s">
        <v>252</v>
      </c>
      <c r="J11614" s="599">
        <f t="shared" si="347"/>
        <v>0</v>
      </c>
    </row>
    <row r="11615" spans="5:10" hidden="1" x14ac:dyDescent="0.25">
      <c r="F11615" s="249" t="s">
        <v>253</v>
      </c>
      <c r="G11615" s="252" t="s">
        <v>254</v>
      </c>
      <c r="J11615" s="599">
        <f t="shared" si="347"/>
        <v>0</v>
      </c>
    </row>
    <row r="11616" spans="5:10" ht="30" hidden="1" x14ac:dyDescent="0.25">
      <c r="F11616" s="249" t="s">
        <v>255</v>
      </c>
      <c r="G11616" s="252" t="s">
        <v>256</v>
      </c>
      <c r="J11616" s="599">
        <f t="shared" si="347"/>
        <v>0</v>
      </c>
    </row>
    <row r="11617" spans="1:10" ht="15.75" hidden="1" thickBot="1" x14ac:dyDescent="0.3">
      <c r="F11617" s="249" t="s">
        <v>257</v>
      </c>
      <c r="G11617" s="252" t="s">
        <v>258</v>
      </c>
      <c r="J11617" s="599">
        <f t="shared" si="347"/>
        <v>0</v>
      </c>
    </row>
    <row r="11618" spans="1:10" ht="30" hidden="1" x14ac:dyDescent="0.25">
      <c r="F11618" s="249" t="s">
        <v>259</v>
      </c>
      <c r="G11618" s="252" t="s">
        <v>260</v>
      </c>
      <c r="J11618" s="599">
        <f t="shared" si="347"/>
        <v>0</v>
      </c>
    </row>
    <row r="11619" spans="1:10" hidden="1" x14ac:dyDescent="0.25">
      <c r="F11619" s="249" t="s">
        <v>261</v>
      </c>
      <c r="G11619" s="252" t="s">
        <v>262</v>
      </c>
      <c r="J11619" s="599">
        <f t="shared" si="347"/>
        <v>0</v>
      </c>
    </row>
    <row r="11620" spans="1:10" ht="15.75" hidden="1" thickBot="1" x14ac:dyDescent="0.3">
      <c r="F11620" s="249" t="s">
        <v>263</v>
      </c>
      <c r="G11620" s="252" t="s">
        <v>264</v>
      </c>
      <c r="H11620" s="598"/>
      <c r="I11620" s="599"/>
      <c r="J11620" s="599">
        <f t="shared" si="347"/>
        <v>0</v>
      </c>
    </row>
    <row r="11621" spans="1:10" ht="15.75" hidden="1" thickBot="1" x14ac:dyDescent="0.3">
      <c r="G11621" s="229" t="s">
        <v>5084</v>
      </c>
      <c r="H11621" s="600">
        <f>SUM(H11605:H11620)</f>
        <v>0</v>
      </c>
      <c r="I11621" s="601">
        <f>SUM(I11606:I11620)</f>
        <v>0</v>
      </c>
      <c r="J11621" s="601">
        <f>SUM(J11605:J11620)</f>
        <v>0</v>
      </c>
    </row>
    <row r="11622" spans="1:10" hidden="1" x14ac:dyDescent="0.25"/>
    <row r="11623" spans="1:10" hidden="1" x14ac:dyDescent="0.25"/>
    <row r="11624" spans="1:10" hidden="1" x14ac:dyDescent="0.25">
      <c r="A11624" s="453">
        <v>4</v>
      </c>
      <c r="B11624" s="454" t="s">
        <v>4361</v>
      </c>
      <c r="C11624" s="453" t="s">
        <v>4031</v>
      </c>
      <c r="D11624" s="455"/>
      <c r="E11624" s="456"/>
      <c r="F11624" s="456"/>
      <c r="G11624" s="457" t="s">
        <v>4341</v>
      </c>
      <c r="H11624" s="632"/>
      <c r="I11624" s="633"/>
      <c r="J11624" s="618"/>
    </row>
    <row r="11625" spans="1:10" ht="16.5" hidden="1" customHeight="1" x14ac:dyDescent="0.25">
      <c r="C11625" s="228" t="s">
        <v>3602</v>
      </c>
      <c r="G11625" s="475" t="s">
        <v>4338</v>
      </c>
    </row>
    <row r="11626" spans="1:10" hidden="1" x14ac:dyDescent="0.25">
      <c r="C11626" s="228" t="s">
        <v>4145</v>
      </c>
      <c r="D11626" s="219"/>
      <c r="G11626" s="475" t="s">
        <v>4339</v>
      </c>
    </row>
    <row r="11627" spans="1:10" hidden="1" x14ac:dyDescent="0.25">
      <c r="C11627" s="228"/>
      <c r="D11627" s="312">
        <v>820</v>
      </c>
      <c r="E11627" s="312"/>
      <c r="F11627" s="312"/>
      <c r="G11627" s="313" t="s">
        <v>207</v>
      </c>
    </row>
    <row r="11628" spans="1:10" hidden="1" x14ac:dyDescent="0.25">
      <c r="F11628" s="485">
        <v>411</v>
      </c>
      <c r="G11628" s="476" t="s">
        <v>4189</v>
      </c>
      <c r="J11628" s="595">
        <f>SUM(H11628:I11628)</f>
        <v>0</v>
      </c>
    </row>
    <row r="11629" spans="1:10" hidden="1" x14ac:dyDescent="0.25">
      <c r="F11629" s="485">
        <v>412</v>
      </c>
      <c r="G11629" s="473" t="s">
        <v>3784</v>
      </c>
      <c r="J11629" s="595">
        <f t="shared" ref="J11629:J11687" si="348">SUM(H11629:I11629)</f>
        <v>0</v>
      </c>
    </row>
    <row r="11630" spans="1:10" hidden="1" x14ac:dyDescent="0.25">
      <c r="F11630" s="485">
        <v>413</v>
      </c>
      <c r="G11630" s="476" t="s">
        <v>4190</v>
      </c>
      <c r="J11630" s="595">
        <f t="shared" si="348"/>
        <v>0</v>
      </c>
    </row>
    <row r="11631" spans="1:10" hidden="1" x14ac:dyDescent="0.25">
      <c r="F11631" s="485">
        <v>414</v>
      </c>
      <c r="G11631" s="476" t="s">
        <v>3787</v>
      </c>
      <c r="J11631" s="595">
        <f t="shared" si="348"/>
        <v>0</v>
      </c>
    </row>
    <row r="11632" spans="1:10" hidden="1" x14ac:dyDescent="0.25">
      <c r="F11632" s="485">
        <v>415</v>
      </c>
      <c r="G11632" s="476" t="s">
        <v>4199</v>
      </c>
      <c r="J11632" s="595">
        <f t="shared" si="348"/>
        <v>0</v>
      </c>
    </row>
    <row r="11633" spans="6:10" hidden="1" x14ac:dyDescent="0.25">
      <c r="F11633" s="485">
        <v>416</v>
      </c>
      <c r="G11633" s="476" t="s">
        <v>4200</v>
      </c>
      <c r="J11633" s="595">
        <f t="shared" si="348"/>
        <v>0</v>
      </c>
    </row>
    <row r="11634" spans="6:10" hidden="1" x14ac:dyDescent="0.25">
      <c r="F11634" s="485">
        <v>417</v>
      </c>
      <c r="G11634" s="476" t="s">
        <v>4201</v>
      </c>
      <c r="J11634" s="595">
        <f t="shared" si="348"/>
        <v>0</v>
      </c>
    </row>
    <row r="11635" spans="6:10" hidden="1" x14ac:dyDescent="0.25">
      <c r="F11635" s="485">
        <v>418</v>
      </c>
      <c r="G11635" s="476" t="s">
        <v>3793</v>
      </c>
      <c r="J11635" s="595">
        <f t="shared" si="348"/>
        <v>0</v>
      </c>
    </row>
    <row r="11636" spans="6:10" hidden="1" x14ac:dyDescent="0.25">
      <c r="F11636" s="485">
        <v>421</v>
      </c>
      <c r="G11636" s="476" t="s">
        <v>3797</v>
      </c>
      <c r="J11636" s="595">
        <f t="shared" si="348"/>
        <v>0</v>
      </c>
    </row>
    <row r="11637" spans="6:10" hidden="1" x14ac:dyDescent="0.25">
      <c r="F11637" s="485">
        <v>422</v>
      </c>
      <c r="G11637" s="476" t="s">
        <v>3798</v>
      </c>
      <c r="J11637" s="595">
        <f t="shared" si="348"/>
        <v>0</v>
      </c>
    </row>
    <row r="11638" spans="6:10" hidden="1" x14ac:dyDescent="0.25">
      <c r="F11638" s="485">
        <v>423</v>
      </c>
      <c r="G11638" s="476" t="s">
        <v>3799</v>
      </c>
      <c r="J11638" s="595">
        <f t="shared" si="348"/>
        <v>0</v>
      </c>
    </row>
    <row r="11639" spans="6:10" hidden="1" x14ac:dyDescent="0.25">
      <c r="F11639" s="485">
        <v>424</v>
      </c>
      <c r="G11639" s="476" t="s">
        <v>3801</v>
      </c>
      <c r="J11639" s="595">
        <f t="shared" si="348"/>
        <v>0</v>
      </c>
    </row>
    <row r="11640" spans="6:10" hidden="1" x14ac:dyDescent="0.25">
      <c r="F11640" s="485">
        <v>425</v>
      </c>
      <c r="G11640" s="476" t="s">
        <v>4202</v>
      </c>
      <c r="J11640" s="595">
        <f t="shared" si="348"/>
        <v>0</v>
      </c>
    </row>
    <row r="11641" spans="6:10" hidden="1" x14ac:dyDescent="0.25">
      <c r="F11641" s="485">
        <v>426</v>
      </c>
      <c r="G11641" s="476" t="s">
        <v>3805</v>
      </c>
      <c r="J11641" s="595">
        <f t="shared" si="348"/>
        <v>0</v>
      </c>
    </row>
    <row r="11642" spans="6:10" hidden="1" x14ac:dyDescent="0.25">
      <c r="F11642" s="485">
        <v>431</v>
      </c>
      <c r="G11642" s="476" t="s">
        <v>4203</v>
      </c>
      <c r="J11642" s="595">
        <f t="shared" si="348"/>
        <v>0</v>
      </c>
    </row>
    <row r="11643" spans="6:10" hidden="1" x14ac:dyDescent="0.25">
      <c r="F11643" s="485">
        <v>432</v>
      </c>
      <c r="G11643" s="476" t="s">
        <v>4204</v>
      </c>
      <c r="J11643" s="595">
        <f t="shared" si="348"/>
        <v>0</v>
      </c>
    </row>
    <row r="11644" spans="6:10" hidden="1" x14ac:dyDescent="0.25">
      <c r="F11644" s="485">
        <v>433</v>
      </c>
      <c r="G11644" s="476" t="s">
        <v>4205</v>
      </c>
      <c r="J11644" s="595">
        <f t="shared" si="348"/>
        <v>0</v>
      </c>
    </row>
    <row r="11645" spans="6:10" hidden="1" x14ac:dyDescent="0.25">
      <c r="F11645" s="485">
        <v>434</v>
      </c>
      <c r="G11645" s="476" t="s">
        <v>4206</v>
      </c>
      <c r="J11645" s="595">
        <f t="shared" si="348"/>
        <v>0</v>
      </c>
    </row>
    <row r="11646" spans="6:10" hidden="1" x14ac:dyDescent="0.25">
      <c r="F11646" s="485">
        <v>435</v>
      </c>
      <c r="G11646" s="476" t="s">
        <v>3812</v>
      </c>
      <c r="J11646" s="595">
        <f t="shared" si="348"/>
        <v>0</v>
      </c>
    </row>
    <row r="11647" spans="6:10" hidden="1" x14ac:dyDescent="0.25">
      <c r="F11647" s="485">
        <v>441</v>
      </c>
      <c r="G11647" s="476" t="s">
        <v>4207</v>
      </c>
      <c r="J11647" s="595">
        <f t="shared" si="348"/>
        <v>0</v>
      </c>
    </row>
    <row r="11648" spans="6:10" hidden="1" x14ac:dyDescent="0.25">
      <c r="F11648" s="485">
        <v>442</v>
      </c>
      <c r="G11648" s="476" t="s">
        <v>4208</v>
      </c>
      <c r="J11648" s="595">
        <f t="shared" si="348"/>
        <v>0</v>
      </c>
    </row>
    <row r="11649" spans="6:10" hidden="1" x14ac:dyDescent="0.25">
      <c r="F11649" s="485">
        <v>443</v>
      </c>
      <c r="G11649" s="476" t="s">
        <v>3817</v>
      </c>
      <c r="J11649" s="595">
        <f t="shared" si="348"/>
        <v>0</v>
      </c>
    </row>
    <row r="11650" spans="6:10" hidden="1" x14ac:dyDescent="0.25">
      <c r="F11650" s="485">
        <v>444</v>
      </c>
      <c r="G11650" s="476" t="s">
        <v>3818</v>
      </c>
      <c r="J11650" s="595">
        <f t="shared" si="348"/>
        <v>0</v>
      </c>
    </row>
    <row r="11651" spans="6:10" ht="30" hidden="1" x14ac:dyDescent="0.25">
      <c r="F11651" s="485">
        <v>4511</v>
      </c>
      <c r="G11651" s="223" t="s">
        <v>1692</v>
      </c>
      <c r="J11651" s="595">
        <f t="shared" si="348"/>
        <v>0</v>
      </c>
    </row>
    <row r="11652" spans="6:10" ht="19.5" hidden="1" customHeight="1" x14ac:dyDescent="0.25">
      <c r="F11652" s="485">
        <v>4512</v>
      </c>
      <c r="G11652" s="223" t="s">
        <v>1701</v>
      </c>
      <c r="J11652" s="595">
        <f t="shared" si="348"/>
        <v>0</v>
      </c>
    </row>
    <row r="11653" spans="6:10" hidden="1" x14ac:dyDescent="0.25">
      <c r="F11653" s="485">
        <v>452</v>
      </c>
      <c r="G11653" s="476" t="s">
        <v>4209</v>
      </c>
      <c r="J11653" s="595">
        <f t="shared" si="348"/>
        <v>0</v>
      </c>
    </row>
    <row r="11654" spans="6:10" hidden="1" x14ac:dyDescent="0.25">
      <c r="F11654" s="485">
        <v>453</v>
      </c>
      <c r="G11654" s="476" t="s">
        <v>4210</v>
      </c>
      <c r="J11654" s="595">
        <f t="shared" si="348"/>
        <v>0</v>
      </c>
    </row>
    <row r="11655" spans="6:10" hidden="1" x14ac:dyDescent="0.25">
      <c r="F11655" s="485">
        <v>454</v>
      </c>
      <c r="G11655" s="476" t="s">
        <v>3823</v>
      </c>
      <c r="J11655" s="595">
        <f t="shared" si="348"/>
        <v>0</v>
      </c>
    </row>
    <row r="11656" spans="6:10" hidden="1" x14ac:dyDescent="0.25">
      <c r="F11656" s="485">
        <v>461</v>
      </c>
      <c r="G11656" s="476" t="s">
        <v>4191</v>
      </c>
      <c r="J11656" s="595">
        <f t="shared" si="348"/>
        <v>0</v>
      </c>
    </row>
    <row r="11657" spans="6:10" hidden="1" x14ac:dyDescent="0.25">
      <c r="F11657" s="485">
        <v>462</v>
      </c>
      <c r="G11657" s="476" t="s">
        <v>3826</v>
      </c>
      <c r="J11657" s="595">
        <f t="shared" si="348"/>
        <v>0</v>
      </c>
    </row>
    <row r="11658" spans="6:10" hidden="1" x14ac:dyDescent="0.25">
      <c r="F11658" s="485">
        <v>4631</v>
      </c>
      <c r="G11658" s="476" t="s">
        <v>3827</v>
      </c>
      <c r="J11658" s="595">
        <f t="shared" si="348"/>
        <v>0</v>
      </c>
    </row>
    <row r="11659" spans="6:10" hidden="1" x14ac:dyDescent="0.25">
      <c r="F11659" s="485">
        <v>4632</v>
      </c>
      <c r="G11659" s="476" t="s">
        <v>3828</v>
      </c>
      <c r="J11659" s="595">
        <f t="shared" si="348"/>
        <v>0</v>
      </c>
    </row>
    <row r="11660" spans="6:10" hidden="1" x14ac:dyDescent="0.25">
      <c r="F11660" s="485">
        <v>464</v>
      </c>
      <c r="G11660" s="476" t="s">
        <v>3829</v>
      </c>
      <c r="J11660" s="595">
        <f t="shared" si="348"/>
        <v>0</v>
      </c>
    </row>
    <row r="11661" spans="6:10" hidden="1" x14ac:dyDescent="0.25">
      <c r="F11661" s="485">
        <v>465</v>
      </c>
      <c r="G11661" s="476" t="s">
        <v>4192</v>
      </c>
      <c r="J11661" s="595">
        <f t="shared" si="348"/>
        <v>0</v>
      </c>
    </row>
    <row r="11662" spans="6:10" hidden="1" x14ac:dyDescent="0.25">
      <c r="F11662" s="485">
        <v>472</v>
      </c>
      <c r="G11662" s="476" t="s">
        <v>3833</v>
      </c>
      <c r="J11662" s="595">
        <f t="shared" si="348"/>
        <v>0</v>
      </c>
    </row>
    <row r="11663" spans="6:10" hidden="1" x14ac:dyDescent="0.25">
      <c r="F11663" s="485">
        <v>481</v>
      </c>
      <c r="G11663" s="476" t="s">
        <v>4211</v>
      </c>
      <c r="J11663" s="595">
        <f t="shared" si="348"/>
        <v>0</v>
      </c>
    </row>
    <row r="11664" spans="6:10" hidden="1" x14ac:dyDescent="0.25">
      <c r="F11664" s="485">
        <v>482</v>
      </c>
      <c r="G11664" s="476" t="s">
        <v>4212</v>
      </c>
      <c r="J11664" s="595">
        <f t="shared" si="348"/>
        <v>0</v>
      </c>
    </row>
    <row r="11665" spans="6:10" hidden="1" x14ac:dyDescent="0.25">
      <c r="F11665" s="485">
        <v>483</v>
      </c>
      <c r="G11665" s="478" t="s">
        <v>4213</v>
      </c>
      <c r="J11665" s="595">
        <f t="shared" si="348"/>
        <v>0</v>
      </c>
    </row>
    <row r="11666" spans="6:10" ht="30" hidden="1" x14ac:dyDescent="0.25">
      <c r="F11666" s="485">
        <v>484</v>
      </c>
      <c r="G11666" s="476" t="s">
        <v>4214</v>
      </c>
      <c r="J11666" s="595">
        <f t="shared" si="348"/>
        <v>0</v>
      </c>
    </row>
    <row r="11667" spans="6:10" ht="30" hidden="1" x14ac:dyDescent="0.25">
      <c r="F11667" s="485">
        <v>485</v>
      </c>
      <c r="G11667" s="476" t="s">
        <v>4215</v>
      </c>
      <c r="J11667" s="595">
        <f t="shared" si="348"/>
        <v>0</v>
      </c>
    </row>
    <row r="11668" spans="6:10" ht="30" hidden="1" x14ac:dyDescent="0.25">
      <c r="F11668" s="485">
        <v>489</v>
      </c>
      <c r="G11668" s="476" t="s">
        <v>3841</v>
      </c>
      <c r="J11668" s="595">
        <f t="shared" si="348"/>
        <v>0</v>
      </c>
    </row>
    <row r="11669" spans="6:10" hidden="1" x14ac:dyDescent="0.25">
      <c r="F11669" s="485">
        <v>494</v>
      </c>
      <c r="G11669" s="476" t="s">
        <v>4193</v>
      </c>
      <c r="J11669" s="595">
        <f t="shared" si="348"/>
        <v>0</v>
      </c>
    </row>
    <row r="11670" spans="6:10" ht="30" hidden="1" x14ac:dyDescent="0.25">
      <c r="F11670" s="485">
        <v>495</v>
      </c>
      <c r="G11670" s="476" t="s">
        <v>4194</v>
      </c>
      <c r="J11670" s="595">
        <f t="shared" si="348"/>
        <v>0</v>
      </c>
    </row>
    <row r="11671" spans="6:10" ht="30" hidden="1" x14ac:dyDescent="0.25">
      <c r="F11671" s="485">
        <v>496</v>
      </c>
      <c r="G11671" s="476" t="s">
        <v>4195</v>
      </c>
      <c r="J11671" s="595">
        <f t="shared" si="348"/>
        <v>0</v>
      </c>
    </row>
    <row r="11672" spans="6:10" hidden="1" x14ac:dyDescent="0.25">
      <c r="F11672" s="485">
        <v>499</v>
      </c>
      <c r="G11672" s="476" t="s">
        <v>4196</v>
      </c>
      <c r="J11672" s="595">
        <f t="shared" si="348"/>
        <v>0</v>
      </c>
    </row>
    <row r="11673" spans="6:10" hidden="1" x14ac:dyDescent="0.25">
      <c r="F11673" s="485">
        <v>511</v>
      </c>
      <c r="G11673" s="478" t="s">
        <v>4216</v>
      </c>
      <c r="J11673" s="595">
        <f t="shared" si="348"/>
        <v>0</v>
      </c>
    </row>
    <row r="11674" spans="6:10" ht="15.75" hidden="1" thickBot="1" x14ac:dyDescent="0.3">
      <c r="F11674" s="485">
        <v>512</v>
      </c>
      <c r="G11674" s="478" t="s">
        <v>4217</v>
      </c>
      <c r="J11674" s="595">
        <f t="shared" si="348"/>
        <v>0</v>
      </c>
    </row>
    <row r="11675" spans="6:10" hidden="1" x14ac:dyDescent="0.25">
      <c r="F11675" s="485">
        <v>513</v>
      </c>
      <c r="G11675" s="478" t="s">
        <v>4218</v>
      </c>
      <c r="J11675" s="595">
        <f t="shared" si="348"/>
        <v>0</v>
      </c>
    </row>
    <row r="11676" spans="6:10" hidden="1" x14ac:dyDescent="0.25">
      <c r="F11676" s="485">
        <v>514</v>
      </c>
      <c r="G11676" s="476" t="s">
        <v>4219</v>
      </c>
      <c r="J11676" s="595">
        <f t="shared" si="348"/>
        <v>0</v>
      </c>
    </row>
    <row r="11677" spans="6:10" hidden="1" x14ac:dyDescent="0.25">
      <c r="F11677" s="485">
        <v>515</v>
      </c>
      <c r="G11677" s="476" t="s">
        <v>3852</v>
      </c>
      <c r="J11677" s="595">
        <f t="shared" si="348"/>
        <v>0</v>
      </c>
    </row>
    <row r="11678" spans="6:10" hidden="1" x14ac:dyDescent="0.25">
      <c r="F11678" s="485">
        <v>521</v>
      </c>
      <c r="G11678" s="476" t="s">
        <v>4220</v>
      </c>
      <c r="J11678" s="595">
        <f t="shared" si="348"/>
        <v>0</v>
      </c>
    </row>
    <row r="11679" spans="6:10" hidden="1" x14ac:dyDescent="0.25">
      <c r="F11679" s="485">
        <v>522</v>
      </c>
      <c r="G11679" s="476" t="s">
        <v>4221</v>
      </c>
      <c r="J11679" s="595">
        <f t="shared" si="348"/>
        <v>0</v>
      </c>
    </row>
    <row r="11680" spans="6:10" hidden="1" x14ac:dyDescent="0.25">
      <c r="F11680" s="485">
        <v>523</v>
      </c>
      <c r="G11680" s="476" t="s">
        <v>3857</v>
      </c>
      <c r="J11680" s="595">
        <f t="shared" si="348"/>
        <v>0</v>
      </c>
    </row>
    <row r="11681" spans="5:10" hidden="1" x14ac:dyDescent="0.25">
      <c r="F11681" s="485">
        <v>531</v>
      </c>
      <c r="G11681" s="473" t="s">
        <v>4197</v>
      </c>
      <c r="J11681" s="595">
        <f t="shared" si="348"/>
        <v>0</v>
      </c>
    </row>
    <row r="11682" spans="5:10" hidden="1" x14ac:dyDescent="0.25">
      <c r="F11682" s="485">
        <v>541</v>
      </c>
      <c r="G11682" s="476" t="s">
        <v>4222</v>
      </c>
      <c r="J11682" s="595">
        <f t="shared" si="348"/>
        <v>0</v>
      </c>
    </row>
    <row r="11683" spans="5:10" hidden="1" x14ac:dyDescent="0.25">
      <c r="F11683" s="485">
        <v>542</v>
      </c>
      <c r="G11683" s="476" t="s">
        <v>4223</v>
      </c>
      <c r="J11683" s="595">
        <f t="shared" si="348"/>
        <v>0</v>
      </c>
    </row>
    <row r="11684" spans="5:10" hidden="1" x14ac:dyDescent="0.25">
      <c r="F11684" s="485">
        <v>543</v>
      </c>
      <c r="G11684" s="476" t="s">
        <v>3862</v>
      </c>
      <c r="J11684" s="595">
        <f t="shared" si="348"/>
        <v>0</v>
      </c>
    </row>
    <row r="11685" spans="5:10" ht="30" hidden="1" x14ac:dyDescent="0.25">
      <c r="F11685" s="485">
        <v>551</v>
      </c>
      <c r="G11685" s="476" t="s">
        <v>4198</v>
      </c>
      <c r="J11685" s="595">
        <f t="shared" si="348"/>
        <v>0</v>
      </c>
    </row>
    <row r="11686" spans="5:10" hidden="1" x14ac:dyDescent="0.25">
      <c r="F11686" s="486">
        <v>611</v>
      </c>
      <c r="G11686" s="484" t="s">
        <v>3868</v>
      </c>
      <c r="J11686" s="595">
        <f t="shared" si="348"/>
        <v>0</v>
      </c>
    </row>
    <row r="11687" spans="5:10" ht="15.75" hidden="1" thickBot="1" x14ac:dyDescent="0.3">
      <c r="F11687" s="486">
        <v>620</v>
      </c>
      <c r="G11687" s="484" t="s">
        <v>88</v>
      </c>
      <c r="J11687" s="595">
        <f t="shared" si="348"/>
        <v>0</v>
      </c>
    </row>
    <row r="11688" spans="5:10" hidden="1" x14ac:dyDescent="0.25">
      <c r="E11688" s="474"/>
      <c r="F11688" s="486"/>
      <c r="G11688" s="327" t="s">
        <v>4459</v>
      </c>
      <c r="H11688" s="596"/>
      <c r="I11688" s="622"/>
      <c r="J11688" s="597"/>
    </row>
    <row r="11689" spans="5:10" hidden="1" x14ac:dyDescent="0.25">
      <c r="E11689" s="222"/>
      <c r="F11689" s="249" t="s">
        <v>234</v>
      </c>
      <c r="G11689" s="252" t="s">
        <v>235</v>
      </c>
      <c r="H11689" s="598">
        <f>SUM(H11628:H11687)</f>
        <v>0</v>
      </c>
      <c r="I11689" s="599"/>
      <c r="J11689" s="599">
        <f t="shared" ref="J11689:J11704" si="349">SUM(H11689:I11689)</f>
        <v>0</v>
      </c>
    </row>
    <row r="11690" spans="5:10" hidden="1" x14ac:dyDescent="0.25">
      <c r="F11690" s="249" t="s">
        <v>236</v>
      </c>
      <c r="G11690" s="252" t="s">
        <v>237</v>
      </c>
      <c r="J11690" s="599">
        <f t="shared" si="349"/>
        <v>0</v>
      </c>
    </row>
    <row r="11691" spans="5:10" hidden="1" x14ac:dyDescent="0.25">
      <c r="F11691" s="249" t="s">
        <v>238</v>
      </c>
      <c r="G11691" s="252" t="s">
        <v>239</v>
      </c>
      <c r="J11691" s="599">
        <f t="shared" si="349"/>
        <v>0</v>
      </c>
    </row>
    <row r="11692" spans="5:10" ht="15.75" hidden="1" thickBot="1" x14ac:dyDescent="0.3">
      <c r="F11692" s="249" t="s">
        <v>240</v>
      </c>
      <c r="G11692" s="252" t="s">
        <v>241</v>
      </c>
      <c r="J11692" s="599">
        <f t="shared" si="349"/>
        <v>0</v>
      </c>
    </row>
    <row r="11693" spans="5:10" hidden="1" x14ac:dyDescent="0.25">
      <c r="F11693" s="249" t="s">
        <v>242</v>
      </c>
      <c r="G11693" s="252" t="s">
        <v>243</v>
      </c>
      <c r="J11693" s="599">
        <f t="shared" si="349"/>
        <v>0</v>
      </c>
    </row>
    <row r="11694" spans="5:10" hidden="1" x14ac:dyDescent="0.25">
      <c r="F11694" s="249" t="s">
        <v>244</v>
      </c>
      <c r="G11694" s="252" t="s">
        <v>245</v>
      </c>
      <c r="J11694" s="599">
        <f t="shared" si="349"/>
        <v>0</v>
      </c>
    </row>
    <row r="11695" spans="5:10" hidden="1" x14ac:dyDescent="0.25">
      <c r="F11695" s="249" t="s">
        <v>246</v>
      </c>
      <c r="G11695" s="252" t="s">
        <v>247</v>
      </c>
      <c r="J11695" s="599">
        <f t="shared" si="349"/>
        <v>0</v>
      </c>
    </row>
    <row r="11696" spans="5:10" hidden="1" x14ac:dyDescent="0.25">
      <c r="F11696" s="249" t="s">
        <v>248</v>
      </c>
      <c r="G11696" s="252" t="s">
        <v>249</v>
      </c>
      <c r="J11696" s="599">
        <f t="shared" si="349"/>
        <v>0</v>
      </c>
    </row>
    <row r="11697" spans="5:10" hidden="1" x14ac:dyDescent="0.25">
      <c r="F11697" s="249" t="s">
        <v>250</v>
      </c>
      <c r="G11697" s="252" t="s">
        <v>57</v>
      </c>
      <c r="J11697" s="599">
        <f t="shared" si="349"/>
        <v>0</v>
      </c>
    </row>
    <row r="11698" spans="5:10" hidden="1" x14ac:dyDescent="0.25">
      <c r="F11698" s="249" t="s">
        <v>251</v>
      </c>
      <c r="G11698" s="252" t="s">
        <v>252</v>
      </c>
      <c r="J11698" s="599">
        <f t="shared" si="349"/>
        <v>0</v>
      </c>
    </row>
    <row r="11699" spans="5:10" hidden="1" x14ac:dyDescent="0.25">
      <c r="F11699" s="249" t="s">
        <v>253</v>
      </c>
      <c r="G11699" s="252" t="s">
        <v>254</v>
      </c>
      <c r="J11699" s="599">
        <f t="shared" si="349"/>
        <v>0</v>
      </c>
    </row>
    <row r="11700" spans="5:10" ht="30" hidden="1" x14ac:dyDescent="0.25">
      <c r="F11700" s="249" t="s">
        <v>255</v>
      </c>
      <c r="G11700" s="252" t="s">
        <v>256</v>
      </c>
      <c r="J11700" s="599">
        <f t="shared" si="349"/>
        <v>0</v>
      </c>
    </row>
    <row r="11701" spans="5:10" hidden="1" x14ac:dyDescent="0.25">
      <c r="F11701" s="249" t="s">
        <v>257</v>
      </c>
      <c r="G11701" s="252" t="s">
        <v>258</v>
      </c>
      <c r="J11701" s="599">
        <f t="shared" si="349"/>
        <v>0</v>
      </c>
    </row>
    <row r="11702" spans="5:10" ht="30" hidden="1" x14ac:dyDescent="0.25">
      <c r="F11702" s="249" t="s">
        <v>259</v>
      </c>
      <c r="G11702" s="252" t="s">
        <v>260</v>
      </c>
      <c r="J11702" s="599">
        <f t="shared" si="349"/>
        <v>0</v>
      </c>
    </row>
    <row r="11703" spans="5:10" hidden="1" x14ac:dyDescent="0.25">
      <c r="F11703" s="249" t="s">
        <v>261</v>
      </c>
      <c r="G11703" s="252" t="s">
        <v>262</v>
      </c>
      <c r="J11703" s="599">
        <f t="shared" si="349"/>
        <v>0</v>
      </c>
    </row>
    <row r="11704" spans="5:10" ht="15.75" hidden="1" thickBot="1" x14ac:dyDescent="0.3">
      <c r="F11704" s="249" t="s">
        <v>263</v>
      </c>
      <c r="G11704" s="252" t="s">
        <v>264</v>
      </c>
      <c r="H11704" s="598"/>
      <c r="I11704" s="599"/>
      <c r="J11704" s="599">
        <f t="shared" si="349"/>
        <v>0</v>
      </c>
    </row>
    <row r="11705" spans="5:10" ht="15.75" hidden="1" thickBot="1" x14ac:dyDescent="0.3">
      <c r="G11705" s="229" t="s">
        <v>4460</v>
      </c>
      <c r="H11705" s="600">
        <f>SUM(H11689:H11704)</f>
        <v>0</v>
      </c>
      <c r="I11705" s="601">
        <f>SUM(I11690:I11704)</f>
        <v>0</v>
      </c>
      <c r="J11705" s="601">
        <f>SUM(J11689:J11704)</f>
        <v>0</v>
      </c>
    </row>
    <row r="11706" spans="5:10" ht="28.5" hidden="1" collapsed="1" x14ac:dyDescent="0.25">
      <c r="E11706" s="474"/>
      <c r="F11706" s="486"/>
      <c r="G11706" s="231" t="s">
        <v>4461</v>
      </c>
      <c r="H11706" s="602"/>
      <c r="I11706" s="623"/>
      <c r="J11706" s="603"/>
    </row>
    <row r="11707" spans="5:10" hidden="1" x14ac:dyDescent="0.25">
      <c r="E11707" s="222"/>
      <c r="F11707" s="249" t="s">
        <v>234</v>
      </c>
      <c r="G11707" s="252" t="s">
        <v>235</v>
      </c>
      <c r="H11707" s="598">
        <f>SUM(H11628:H11687)</f>
        <v>0</v>
      </c>
      <c r="I11707" s="599"/>
      <c r="J11707" s="599">
        <f>SUM(H11707:I11707)</f>
        <v>0</v>
      </c>
    </row>
    <row r="11708" spans="5:10" hidden="1" x14ac:dyDescent="0.25">
      <c r="F11708" s="249" t="s">
        <v>236</v>
      </c>
      <c r="G11708" s="252" t="s">
        <v>237</v>
      </c>
      <c r="J11708" s="599">
        <f t="shared" ref="J11708:J11722" si="350">SUM(H11708:I11708)</f>
        <v>0</v>
      </c>
    </row>
    <row r="11709" spans="5:10" hidden="1" x14ac:dyDescent="0.25">
      <c r="F11709" s="249" t="s">
        <v>238</v>
      </c>
      <c r="G11709" s="252" t="s">
        <v>239</v>
      </c>
      <c r="J11709" s="599">
        <f t="shared" si="350"/>
        <v>0</v>
      </c>
    </row>
    <row r="11710" spans="5:10" ht="15.75" hidden="1" thickBot="1" x14ac:dyDescent="0.3">
      <c r="F11710" s="249" t="s">
        <v>240</v>
      </c>
      <c r="G11710" s="252" t="s">
        <v>241</v>
      </c>
      <c r="J11710" s="599">
        <f t="shared" si="350"/>
        <v>0</v>
      </c>
    </row>
    <row r="11711" spans="5:10" hidden="1" x14ac:dyDescent="0.25">
      <c r="F11711" s="249" t="s">
        <v>242</v>
      </c>
      <c r="G11711" s="252" t="s">
        <v>243</v>
      </c>
      <c r="J11711" s="599">
        <f t="shared" si="350"/>
        <v>0</v>
      </c>
    </row>
    <row r="11712" spans="5:10" hidden="1" x14ac:dyDescent="0.25">
      <c r="F11712" s="249" t="s">
        <v>244</v>
      </c>
      <c r="G11712" s="252" t="s">
        <v>245</v>
      </c>
      <c r="J11712" s="599">
        <f t="shared" si="350"/>
        <v>0</v>
      </c>
    </row>
    <row r="11713" spans="3:10" hidden="1" x14ac:dyDescent="0.25">
      <c r="F11713" s="249" t="s">
        <v>246</v>
      </c>
      <c r="G11713" s="252" t="s">
        <v>247</v>
      </c>
      <c r="J11713" s="599">
        <f t="shared" si="350"/>
        <v>0</v>
      </c>
    </row>
    <row r="11714" spans="3:10" hidden="1" x14ac:dyDescent="0.25">
      <c r="F11714" s="249" t="s">
        <v>248</v>
      </c>
      <c r="G11714" s="252" t="s">
        <v>249</v>
      </c>
      <c r="J11714" s="599">
        <f t="shared" si="350"/>
        <v>0</v>
      </c>
    </row>
    <row r="11715" spans="3:10" hidden="1" x14ac:dyDescent="0.25">
      <c r="F11715" s="249" t="s">
        <v>250</v>
      </c>
      <c r="G11715" s="252" t="s">
        <v>57</v>
      </c>
      <c r="J11715" s="599">
        <f t="shared" si="350"/>
        <v>0</v>
      </c>
    </row>
    <row r="11716" spans="3:10" hidden="1" x14ac:dyDescent="0.25">
      <c r="F11716" s="249" t="s">
        <v>251</v>
      </c>
      <c r="G11716" s="252" t="s">
        <v>252</v>
      </c>
      <c r="J11716" s="599">
        <f t="shared" si="350"/>
        <v>0</v>
      </c>
    </row>
    <row r="11717" spans="3:10" hidden="1" x14ac:dyDescent="0.25">
      <c r="F11717" s="249" t="s">
        <v>253</v>
      </c>
      <c r="G11717" s="252" t="s">
        <v>254</v>
      </c>
      <c r="J11717" s="599">
        <f t="shared" si="350"/>
        <v>0</v>
      </c>
    </row>
    <row r="11718" spans="3:10" ht="30" hidden="1" x14ac:dyDescent="0.25">
      <c r="F11718" s="249" t="s">
        <v>255</v>
      </c>
      <c r="G11718" s="252" t="s">
        <v>256</v>
      </c>
      <c r="J11718" s="599">
        <f t="shared" si="350"/>
        <v>0</v>
      </c>
    </row>
    <row r="11719" spans="3:10" hidden="1" x14ac:dyDescent="0.25">
      <c r="F11719" s="249" t="s">
        <v>257</v>
      </c>
      <c r="G11719" s="252" t="s">
        <v>258</v>
      </c>
      <c r="J11719" s="599">
        <f t="shared" si="350"/>
        <v>0</v>
      </c>
    </row>
    <row r="11720" spans="3:10" ht="30" hidden="1" x14ac:dyDescent="0.25">
      <c r="F11720" s="249" t="s">
        <v>259</v>
      </c>
      <c r="G11720" s="252" t="s">
        <v>260</v>
      </c>
      <c r="J11720" s="599">
        <f t="shared" si="350"/>
        <v>0</v>
      </c>
    </row>
    <row r="11721" spans="3:10" hidden="1" x14ac:dyDescent="0.25">
      <c r="F11721" s="249" t="s">
        <v>261</v>
      </c>
      <c r="G11721" s="252" t="s">
        <v>262</v>
      </c>
      <c r="J11721" s="599">
        <f t="shared" si="350"/>
        <v>0</v>
      </c>
    </row>
    <row r="11722" spans="3:10" ht="15.75" hidden="1" thickBot="1" x14ac:dyDescent="0.3">
      <c r="F11722" s="249" t="s">
        <v>263</v>
      </c>
      <c r="G11722" s="252" t="s">
        <v>264</v>
      </c>
      <c r="H11722" s="598"/>
      <c r="I11722" s="599"/>
      <c r="J11722" s="599">
        <f t="shared" si="350"/>
        <v>0</v>
      </c>
    </row>
    <row r="11723" spans="3:10" ht="15.75" hidden="1" collapsed="1" thickBot="1" x14ac:dyDescent="0.3">
      <c r="G11723" s="229" t="s">
        <v>4462</v>
      </c>
      <c r="H11723" s="600">
        <f>SUM(H11707:H11722)</f>
        <v>0</v>
      </c>
      <c r="I11723" s="601">
        <f>SUM(I11708:I11722)</f>
        <v>0</v>
      </c>
      <c r="J11723" s="601">
        <f>SUM(J11707:J11722)</f>
        <v>0</v>
      </c>
    </row>
    <row r="11724" spans="3:10" hidden="1" x14ac:dyDescent="0.25"/>
    <row r="11725" spans="3:10" hidden="1" x14ac:dyDescent="0.25">
      <c r="C11725" s="228" t="s">
        <v>4863</v>
      </c>
      <c r="D11725" s="219"/>
      <c r="G11725" s="477" t="s">
        <v>4254</v>
      </c>
    </row>
    <row r="11726" spans="3:10" hidden="1" x14ac:dyDescent="0.25">
      <c r="C11726" s="228"/>
      <c r="D11726" s="312">
        <v>820</v>
      </c>
      <c r="E11726" s="312"/>
      <c r="F11726" s="312"/>
      <c r="G11726" s="313" t="s">
        <v>207</v>
      </c>
    </row>
    <row r="11727" spans="3:10" hidden="1" x14ac:dyDescent="0.25">
      <c r="F11727" s="485">
        <v>411</v>
      </c>
      <c r="G11727" s="476" t="s">
        <v>4189</v>
      </c>
      <c r="J11727" s="595">
        <f>SUM(H11727:I11727)</f>
        <v>0</v>
      </c>
    </row>
    <row r="11728" spans="3:10" hidden="1" x14ac:dyDescent="0.25">
      <c r="F11728" s="485">
        <v>412</v>
      </c>
      <c r="G11728" s="473" t="s">
        <v>3784</v>
      </c>
      <c r="J11728" s="595">
        <f t="shared" ref="J11728:J11786" si="351">SUM(H11728:I11728)</f>
        <v>0</v>
      </c>
    </row>
    <row r="11729" spans="6:10" hidden="1" x14ac:dyDescent="0.25">
      <c r="F11729" s="485">
        <v>413</v>
      </c>
      <c r="G11729" s="476" t="s">
        <v>4190</v>
      </c>
      <c r="J11729" s="595">
        <f t="shared" si="351"/>
        <v>0</v>
      </c>
    </row>
    <row r="11730" spans="6:10" hidden="1" x14ac:dyDescent="0.25">
      <c r="F11730" s="485">
        <v>414</v>
      </c>
      <c r="G11730" s="476" t="s">
        <v>3787</v>
      </c>
      <c r="J11730" s="595">
        <f t="shared" si="351"/>
        <v>0</v>
      </c>
    </row>
    <row r="11731" spans="6:10" hidden="1" x14ac:dyDescent="0.25">
      <c r="F11731" s="485">
        <v>415</v>
      </c>
      <c r="G11731" s="476" t="s">
        <v>4199</v>
      </c>
      <c r="J11731" s="595">
        <f t="shared" si="351"/>
        <v>0</v>
      </c>
    </row>
    <row r="11732" spans="6:10" hidden="1" x14ac:dyDescent="0.25">
      <c r="F11732" s="485">
        <v>416</v>
      </c>
      <c r="G11732" s="476" t="s">
        <v>4200</v>
      </c>
      <c r="J11732" s="595">
        <f t="shared" si="351"/>
        <v>0</v>
      </c>
    </row>
    <row r="11733" spans="6:10" hidden="1" x14ac:dyDescent="0.25">
      <c r="F11733" s="485">
        <v>417</v>
      </c>
      <c r="G11733" s="476" t="s">
        <v>4201</v>
      </c>
      <c r="J11733" s="595">
        <f t="shared" si="351"/>
        <v>0</v>
      </c>
    </row>
    <row r="11734" spans="6:10" hidden="1" x14ac:dyDescent="0.25">
      <c r="F11734" s="485">
        <v>418</v>
      </c>
      <c r="G11734" s="476" t="s">
        <v>3793</v>
      </c>
      <c r="J11734" s="595">
        <f t="shared" si="351"/>
        <v>0</v>
      </c>
    </row>
    <row r="11735" spans="6:10" hidden="1" x14ac:dyDescent="0.25">
      <c r="F11735" s="485">
        <v>421</v>
      </c>
      <c r="G11735" s="476" t="s">
        <v>3797</v>
      </c>
      <c r="J11735" s="595">
        <f t="shared" si="351"/>
        <v>0</v>
      </c>
    </row>
    <row r="11736" spans="6:10" hidden="1" x14ac:dyDescent="0.25">
      <c r="F11736" s="485">
        <v>422</v>
      </c>
      <c r="G11736" s="476" t="s">
        <v>3798</v>
      </c>
      <c r="J11736" s="595">
        <f t="shared" si="351"/>
        <v>0</v>
      </c>
    </row>
    <row r="11737" spans="6:10" hidden="1" x14ac:dyDescent="0.25">
      <c r="F11737" s="485">
        <v>423</v>
      </c>
      <c r="G11737" s="476" t="s">
        <v>3799</v>
      </c>
      <c r="J11737" s="595">
        <f t="shared" si="351"/>
        <v>0</v>
      </c>
    </row>
    <row r="11738" spans="6:10" hidden="1" x14ac:dyDescent="0.25">
      <c r="F11738" s="485">
        <v>424</v>
      </c>
      <c r="G11738" s="476" t="s">
        <v>3801</v>
      </c>
      <c r="J11738" s="595">
        <f t="shared" si="351"/>
        <v>0</v>
      </c>
    </row>
    <row r="11739" spans="6:10" hidden="1" x14ac:dyDescent="0.25">
      <c r="F11739" s="485">
        <v>425</v>
      </c>
      <c r="G11739" s="476" t="s">
        <v>4202</v>
      </c>
      <c r="J11739" s="595">
        <f t="shared" si="351"/>
        <v>0</v>
      </c>
    </row>
    <row r="11740" spans="6:10" hidden="1" x14ac:dyDescent="0.25">
      <c r="F11740" s="485">
        <v>426</v>
      </c>
      <c r="G11740" s="476" t="s">
        <v>3805</v>
      </c>
      <c r="J11740" s="595">
        <f t="shared" si="351"/>
        <v>0</v>
      </c>
    </row>
    <row r="11741" spans="6:10" hidden="1" x14ac:dyDescent="0.25">
      <c r="F11741" s="485">
        <v>431</v>
      </c>
      <c r="G11741" s="476" t="s">
        <v>4203</v>
      </c>
      <c r="J11741" s="595">
        <f t="shared" si="351"/>
        <v>0</v>
      </c>
    </row>
    <row r="11742" spans="6:10" hidden="1" x14ac:dyDescent="0.25">
      <c r="F11742" s="485">
        <v>432</v>
      </c>
      <c r="G11742" s="476" t="s">
        <v>4204</v>
      </c>
      <c r="J11742" s="595">
        <f t="shared" si="351"/>
        <v>0</v>
      </c>
    </row>
    <row r="11743" spans="6:10" hidden="1" x14ac:dyDescent="0.25">
      <c r="F11743" s="485">
        <v>433</v>
      </c>
      <c r="G11743" s="476" t="s">
        <v>4205</v>
      </c>
      <c r="J11743" s="595">
        <f t="shared" si="351"/>
        <v>0</v>
      </c>
    </row>
    <row r="11744" spans="6:10" hidden="1" x14ac:dyDescent="0.25">
      <c r="F11744" s="485">
        <v>434</v>
      </c>
      <c r="G11744" s="476" t="s">
        <v>4206</v>
      </c>
      <c r="J11744" s="595">
        <f t="shared" si="351"/>
        <v>0</v>
      </c>
    </row>
    <row r="11745" spans="6:10" hidden="1" x14ac:dyDescent="0.25">
      <c r="F11745" s="485">
        <v>435</v>
      </c>
      <c r="G11745" s="476" t="s">
        <v>3812</v>
      </c>
      <c r="J11745" s="595">
        <f t="shared" si="351"/>
        <v>0</v>
      </c>
    </row>
    <row r="11746" spans="6:10" hidden="1" x14ac:dyDescent="0.25">
      <c r="F11746" s="485">
        <v>441</v>
      </c>
      <c r="G11746" s="476" t="s">
        <v>4207</v>
      </c>
      <c r="J11746" s="595">
        <f t="shared" si="351"/>
        <v>0</v>
      </c>
    </row>
    <row r="11747" spans="6:10" hidden="1" x14ac:dyDescent="0.25">
      <c r="F11747" s="485">
        <v>442</v>
      </c>
      <c r="G11747" s="476" t="s">
        <v>4208</v>
      </c>
      <c r="J11747" s="595">
        <f t="shared" si="351"/>
        <v>0</v>
      </c>
    </row>
    <row r="11748" spans="6:10" hidden="1" x14ac:dyDescent="0.25">
      <c r="F11748" s="485">
        <v>443</v>
      </c>
      <c r="G11748" s="476" t="s">
        <v>3817</v>
      </c>
      <c r="J11748" s="595">
        <f t="shared" si="351"/>
        <v>0</v>
      </c>
    </row>
    <row r="11749" spans="6:10" hidden="1" x14ac:dyDescent="0.25">
      <c r="F11749" s="485">
        <v>444</v>
      </c>
      <c r="G11749" s="476" t="s">
        <v>3818</v>
      </c>
      <c r="J11749" s="595">
        <f t="shared" si="351"/>
        <v>0</v>
      </c>
    </row>
    <row r="11750" spans="6:10" ht="30" hidden="1" x14ac:dyDescent="0.25">
      <c r="F11750" s="485">
        <v>4511</v>
      </c>
      <c r="G11750" s="223" t="s">
        <v>1692</v>
      </c>
      <c r="J11750" s="595">
        <f t="shared" si="351"/>
        <v>0</v>
      </c>
    </row>
    <row r="11751" spans="6:10" ht="30" hidden="1" x14ac:dyDescent="0.25">
      <c r="F11751" s="485">
        <v>4512</v>
      </c>
      <c r="G11751" s="223" t="s">
        <v>1701</v>
      </c>
      <c r="J11751" s="595">
        <f t="shared" si="351"/>
        <v>0</v>
      </c>
    </row>
    <row r="11752" spans="6:10" hidden="1" x14ac:dyDescent="0.25">
      <c r="F11752" s="485">
        <v>452</v>
      </c>
      <c r="G11752" s="476" t="s">
        <v>4209</v>
      </c>
      <c r="J11752" s="595">
        <f t="shared" si="351"/>
        <v>0</v>
      </c>
    </row>
    <row r="11753" spans="6:10" hidden="1" x14ac:dyDescent="0.25">
      <c r="F11753" s="485">
        <v>453</v>
      </c>
      <c r="G11753" s="476" t="s">
        <v>4210</v>
      </c>
      <c r="J11753" s="595">
        <f t="shared" si="351"/>
        <v>0</v>
      </c>
    </row>
    <row r="11754" spans="6:10" hidden="1" x14ac:dyDescent="0.25">
      <c r="F11754" s="485">
        <v>454</v>
      </c>
      <c r="G11754" s="476" t="s">
        <v>3823</v>
      </c>
      <c r="J11754" s="595">
        <f t="shared" si="351"/>
        <v>0</v>
      </c>
    </row>
    <row r="11755" spans="6:10" hidden="1" x14ac:dyDescent="0.25">
      <c r="F11755" s="485">
        <v>461</v>
      </c>
      <c r="G11755" s="476" t="s">
        <v>4191</v>
      </c>
      <c r="J11755" s="595">
        <f t="shared" si="351"/>
        <v>0</v>
      </c>
    </row>
    <row r="11756" spans="6:10" hidden="1" x14ac:dyDescent="0.25">
      <c r="F11756" s="485">
        <v>462</v>
      </c>
      <c r="G11756" s="476" t="s">
        <v>3826</v>
      </c>
      <c r="J11756" s="595">
        <f t="shared" si="351"/>
        <v>0</v>
      </c>
    </row>
    <row r="11757" spans="6:10" hidden="1" x14ac:dyDescent="0.25">
      <c r="F11757" s="485">
        <v>4631</v>
      </c>
      <c r="G11757" s="476" t="s">
        <v>3827</v>
      </c>
      <c r="J11757" s="595">
        <f t="shared" si="351"/>
        <v>0</v>
      </c>
    </row>
    <row r="11758" spans="6:10" hidden="1" x14ac:dyDescent="0.25">
      <c r="F11758" s="485">
        <v>4632</v>
      </c>
      <c r="G11758" s="476" t="s">
        <v>3828</v>
      </c>
      <c r="J11758" s="595">
        <f t="shared" si="351"/>
        <v>0</v>
      </c>
    </row>
    <row r="11759" spans="6:10" hidden="1" x14ac:dyDescent="0.25">
      <c r="F11759" s="485">
        <v>464</v>
      </c>
      <c r="G11759" s="476" t="s">
        <v>3829</v>
      </c>
      <c r="J11759" s="595">
        <f t="shared" si="351"/>
        <v>0</v>
      </c>
    </row>
    <row r="11760" spans="6:10" hidden="1" x14ac:dyDescent="0.25">
      <c r="F11760" s="485">
        <v>465</v>
      </c>
      <c r="G11760" s="476" t="s">
        <v>4192</v>
      </c>
      <c r="J11760" s="595">
        <f t="shared" si="351"/>
        <v>0</v>
      </c>
    </row>
    <row r="11761" spans="6:10" hidden="1" x14ac:dyDescent="0.25">
      <c r="F11761" s="485">
        <v>472</v>
      </c>
      <c r="G11761" s="476" t="s">
        <v>3833</v>
      </c>
      <c r="J11761" s="595">
        <f t="shared" si="351"/>
        <v>0</v>
      </c>
    </row>
    <row r="11762" spans="6:10" hidden="1" x14ac:dyDescent="0.25">
      <c r="F11762" s="485">
        <v>481</v>
      </c>
      <c r="G11762" s="476" t="s">
        <v>4211</v>
      </c>
      <c r="J11762" s="595">
        <f t="shared" si="351"/>
        <v>0</v>
      </c>
    </row>
    <row r="11763" spans="6:10" hidden="1" x14ac:dyDescent="0.25">
      <c r="F11763" s="485">
        <v>482</v>
      </c>
      <c r="G11763" s="476" t="s">
        <v>4212</v>
      </c>
      <c r="J11763" s="595">
        <f t="shared" si="351"/>
        <v>0</v>
      </c>
    </row>
    <row r="11764" spans="6:10" hidden="1" x14ac:dyDescent="0.25">
      <c r="F11764" s="485">
        <v>483</v>
      </c>
      <c r="G11764" s="478" t="s">
        <v>4213</v>
      </c>
      <c r="J11764" s="595">
        <f t="shared" si="351"/>
        <v>0</v>
      </c>
    </row>
    <row r="11765" spans="6:10" ht="30" hidden="1" x14ac:dyDescent="0.25">
      <c r="F11765" s="485">
        <v>484</v>
      </c>
      <c r="G11765" s="476" t="s">
        <v>4214</v>
      </c>
      <c r="J11765" s="595">
        <f t="shared" si="351"/>
        <v>0</v>
      </c>
    </row>
    <row r="11766" spans="6:10" ht="30" hidden="1" x14ac:dyDescent="0.25">
      <c r="F11766" s="485">
        <v>485</v>
      </c>
      <c r="G11766" s="476" t="s">
        <v>4215</v>
      </c>
      <c r="J11766" s="595">
        <f t="shared" si="351"/>
        <v>0</v>
      </c>
    </row>
    <row r="11767" spans="6:10" ht="30" hidden="1" x14ac:dyDescent="0.25">
      <c r="F11767" s="485">
        <v>489</v>
      </c>
      <c r="G11767" s="476" t="s">
        <v>3841</v>
      </c>
      <c r="J11767" s="595">
        <f t="shared" si="351"/>
        <v>0</v>
      </c>
    </row>
    <row r="11768" spans="6:10" hidden="1" x14ac:dyDescent="0.25">
      <c r="F11768" s="485">
        <v>494</v>
      </c>
      <c r="G11768" s="476" t="s">
        <v>4193</v>
      </c>
      <c r="J11768" s="595">
        <f t="shared" si="351"/>
        <v>0</v>
      </c>
    </row>
    <row r="11769" spans="6:10" ht="30" hidden="1" x14ac:dyDescent="0.25">
      <c r="F11769" s="485">
        <v>495</v>
      </c>
      <c r="G11769" s="476" t="s">
        <v>4194</v>
      </c>
      <c r="J11769" s="595">
        <f t="shared" si="351"/>
        <v>0</v>
      </c>
    </row>
    <row r="11770" spans="6:10" ht="30" hidden="1" x14ac:dyDescent="0.25">
      <c r="F11770" s="485">
        <v>496</v>
      </c>
      <c r="G11770" s="476" t="s">
        <v>4195</v>
      </c>
      <c r="J11770" s="595">
        <f t="shared" si="351"/>
        <v>0</v>
      </c>
    </row>
    <row r="11771" spans="6:10" hidden="1" x14ac:dyDescent="0.25">
      <c r="F11771" s="485">
        <v>499</v>
      </c>
      <c r="G11771" s="476" t="s">
        <v>4196</v>
      </c>
      <c r="J11771" s="595">
        <f t="shared" si="351"/>
        <v>0</v>
      </c>
    </row>
    <row r="11772" spans="6:10" ht="15.75" hidden="1" thickBot="1" x14ac:dyDescent="0.3">
      <c r="F11772" s="485">
        <v>511</v>
      </c>
      <c r="G11772" s="478" t="s">
        <v>4216</v>
      </c>
      <c r="J11772" s="595">
        <f t="shared" si="351"/>
        <v>0</v>
      </c>
    </row>
    <row r="11773" spans="6:10" hidden="1" x14ac:dyDescent="0.25">
      <c r="F11773" s="485">
        <v>512</v>
      </c>
      <c r="G11773" s="478" t="s">
        <v>4217</v>
      </c>
      <c r="J11773" s="595">
        <f t="shared" si="351"/>
        <v>0</v>
      </c>
    </row>
    <row r="11774" spans="6:10" hidden="1" x14ac:dyDescent="0.25">
      <c r="F11774" s="485">
        <v>513</v>
      </c>
      <c r="G11774" s="478" t="s">
        <v>4218</v>
      </c>
      <c r="J11774" s="595">
        <f t="shared" si="351"/>
        <v>0</v>
      </c>
    </row>
    <row r="11775" spans="6:10" hidden="1" x14ac:dyDescent="0.25">
      <c r="F11775" s="485">
        <v>514</v>
      </c>
      <c r="G11775" s="476" t="s">
        <v>4219</v>
      </c>
      <c r="J11775" s="595">
        <f t="shared" si="351"/>
        <v>0</v>
      </c>
    </row>
    <row r="11776" spans="6:10" hidden="1" x14ac:dyDescent="0.25">
      <c r="F11776" s="485">
        <v>515</v>
      </c>
      <c r="G11776" s="476" t="s">
        <v>3852</v>
      </c>
      <c r="J11776" s="595">
        <f t="shared" si="351"/>
        <v>0</v>
      </c>
    </row>
    <row r="11777" spans="5:10" hidden="1" x14ac:dyDescent="0.25">
      <c r="F11777" s="485">
        <v>521</v>
      </c>
      <c r="G11777" s="476" t="s">
        <v>4220</v>
      </c>
      <c r="J11777" s="595">
        <f t="shared" si="351"/>
        <v>0</v>
      </c>
    </row>
    <row r="11778" spans="5:10" hidden="1" x14ac:dyDescent="0.25">
      <c r="F11778" s="485">
        <v>522</v>
      </c>
      <c r="G11778" s="476" t="s">
        <v>4221</v>
      </c>
      <c r="J11778" s="595">
        <f t="shared" si="351"/>
        <v>0</v>
      </c>
    </row>
    <row r="11779" spans="5:10" hidden="1" x14ac:dyDescent="0.25">
      <c r="F11779" s="485">
        <v>523</v>
      </c>
      <c r="G11779" s="476" t="s">
        <v>3857</v>
      </c>
      <c r="J11779" s="595">
        <f t="shared" si="351"/>
        <v>0</v>
      </c>
    </row>
    <row r="11780" spans="5:10" hidden="1" x14ac:dyDescent="0.25">
      <c r="F11780" s="485">
        <v>531</v>
      </c>
      <c r="G11780" s="473" t="s">
        <v>4197</v>
      </c>
      <c r="J11780" s="595">
        <f t="shared" si="351"/>
        <v>0</v>
      </c>
    </row>
    <row r="11781" spans="5:10" hidden="1" x14ac:dyDescent="0.25">
      <c r="F11781" s="485">
        <v>541</v>
      </c>
      <c r="G11781" s="476" t="s">
        <v>4222</v>
      </c>
      <c r="J11781" s="595">
        <f t="shared" si="351"/>
        <v>0</v>
      </c>
    </row>
    <row r="11782" spans="5:10" hidden="1" x14ac:dyDescent="0.25">
      <c r="F11782" s="485">
        <v>542</v>
      </c>
      <c r="G11782" s="476" t="s">
        <v>4223</v>
      </c>
      <c r="J11782" s="595">
        <f t="shared" si="351"/>
        <v>0</v>
      </c>
    </row>
    <row r="11783" spans="5:10" hidden="1" x14ac:dyDescent="0.25">
      <c r="F11783" s="485">
        <v>543</v>
      </c>
      <c r="G11783" s="476" t="s">
        <v>3862</v>
      </c>
      <c r="J11783" s="595">
        <f t="shared" si="351"/>
        <v>0</v>
      </c>
    </row>
    <row r="11784" spans="5:10" ht="30" hidden="1" x14ac:dyDescent="0.25">
      <c r="F11784" s="485">
        <v>551</v>
      </c>
      <c r="G11784" s="476" t="s">
        <v>4198</v>
      </c>
      <c r="J11784" s="595">
        <f t="shared" si="351"/>
        <v>0</v>
      </c>
    </row>
    <row r="11785" spans="5:10" hidden="1" x14ac:dyDescent="0.25">
      <c r="F11785" s="486">
        <v>611</v>
      </c>
      <c r="G11785" s="484" t="s">
        <v>3868</v>
      </c>
      <c r="J11785" s="595">
        <f t="shared" si="351"/>
        <v>0</v>
      </c>
    </row>
    <row r="11786" spans="5:10" ht="15.75" hidden="1" thickBot="1" x14ac:dyDescent="0.3">
      <c r="F11786" s="486">
        <v>620</v>
      </c>
      <c r="G11786" s="484" t="s">
        <v>88</v>
      </c>
      <c r="J11786" s="595">
        <f t="shared" si="351"/>
        <v>0</v>
      </c>
    </row>
    <row r="11787" spans="5:10" hidden="1" x14ac:dyDescent="0.25">
      <c r="E11787" s="474"/>
      <c r="F11787" s="486"/>
      <c r="G11787" s="326" t="s">
        <v>4459</v>
      </c>
      <c r="H11787" s="596"/>
      <c r="I11787" s="622"/>
      <c r="J11787" s="597"/>
    </row>
    <row r="11788" spans="5:10" ht="15.75" hidden="1" thickBot="1" x14ac:dyDescent="0.3">
      <c r="E11788" s="222"/>
      <c r="F11788" s="249" t="s">
        <v>234</v>
      </c>
      <c r="G11788" s="252" t="s">
        <v>235</v>
      </c>
      <c r="H11788" s="598">
        <f>SUM(H11727:H11786)</f>
        <v>0</v>
      </c>
      <c r="I11788" s="599"/>
      <c r="J11788" s="599">
        <f>SUM(H11788:I11788)</f>
        <v>0</v>
      </c>
    </row>
    <row r="11789" spans="5:10" hidden="1" x14ac:dyDescent="0.25">
      <c r="F11789" s="249" t="s">
        <v>236</v>
      </c>
      <c r="G11789" s="252" t="s">
        <v>237</v>
      </c>
      <c r="J11789" s="599">
        <f t="shared" ref="J11789:J11803" si="352">SUM(H11789:I11789)</f>
        <v>0</v>
      </c>
    </row>
    <row r="11790" spans="5:10" hidden="1" x14ac:dyDescent="0.25">
      <c r="F11790" s="249" t="s">
        <v>238</v>
      </c>
      <c r="G11790" s="252" t="s">
        <v>239</v>
      </c>
      <c r="J11790" s="599">
        <f t="shared" si="352"/>
        <v>0</v>
      </c>
    </row>
    <row r="11791" spans="5:10" hidden="1" x14ac:dyDescent="0.25">
      <c r="F11791" s="249" t="s">
        <v>240</v>
      </c>
      <c r="G11791" s="252" t="s">
        <v>241</v>
      </c>
      <c r="J11791" s="599">
        <f t="shared" si="352"/>
        <v>0</v>
      </c>
    </row>
    <row r="11792" spans="5:10" hidden="1" x14ac:dyDescent="0.25">
      <c r="F11792" s="249" t="s">
        <v>242</v>
      </c>
      <c r="G11792" s="252" t="s">
        <v>243</v>
      </c>
      <c r="J11792" s="599">
        <f t="shared" si="352"/>
        <v>0</v>
      </c>
    </row>
    <row r="11793" spans="5:10" hidden="1" x14ac:dyDescent="0.25">
      <c r="F11793" s="249" t="s">
        <v>244</v>
      </c>
      <c r="G11793" s="252" t="s">
        <v>245</v>
      </c>
      <c r="J11793" s="599">
        <f t="shared" si="352"/>
        <v>0</v>
      </c>
    </row>
    <row r="11794" spans="5:10" hidden="1" x14ac:dyDescent="0.25">
      <c r="F11794" s="249" t="s">
        <v>246</v>
      </c>
      <c r="G11794" s="252" t="s">
        <v>247</v>
      </c>
      <c r="J11794" s="599">
        <f t="shared" si="352"/>
        <v>0</v>
      </c>
    </row>
    <row r="11795" spans="5:10" hidden="1" x14ac:dyDescent="0.25">
      <c r="F11795" s="249" t="s">
        <v>248</v>
      </c>
      <c r="G11795" s="252" t="s">
        <v>249</v>
      </c>
      <c r="J11795" s="599">
        <f t="shared" si="352"/>
        <v>0</v>
      </c>
    </row>
    <row r="11796" spans="5:10" hidden="1" x14ac:dyDescent="0.25">
      <c r="F11796" s="249" t="s">
        <v>250</v>
      </c>
      <c r="G11796" s="252" t="s">
        <v>57</v>
      </c>
      <c r="J11796" s="599">
        <f t="shared" si="352"/>
        <v>0</v>
      </c>
    </row>
    <row r="11797" spans="5:10" hidden="1" x14ac:dyDescent="0.25">
      <c r="F11797" s="249" t="s">
        <v>251</v>
      </c>
      <c r="G11797" s="252" t="s">
        <v>252</v>
      </c>
      <c r="J11797" s="599">
        <f t="shared" si="352"/>
        <v>0</v>
      </c>
    </row>
    <row r="11798" spans="5:10" hidden="1" x14ac:dyDescent="0.25">
      <c r="F11798" s="249" t="s">
        <v>253</v>
      </c>
      <c r="G11798" s="252" t="s">
        <v>254</v>
      </c>
      <c r="J11798" s="599">
        <f t="shared" si="352"/>
        <v>0</v>
      </c>
    </row>
    <row r="11799" spans="5:10" ht="30" hidden="1" x14ac:dyDescent="0.25">
      <c r="F11799" s="249" t="s">
        <v>255</v>
      </c>
      <c r="G11799" s="252" t="s">
        <v>256</v>
      </c>
      <c r="J11799" s="599">
        <f t="shared" si="352"/>
        <v>0</v>
      </c>
    </row>
    <row r="11800" spans="5:10" hidden="1" x14ac:dyDescent="0.25">
      <c r="F11800" s="249" t="s">
        <v>257</v>
      </c>
      <c r="G11800" s="252" t="s">
        <v>258</v>
      </c>
      <c r="J11800" s="599">
        <f t="shared" si="352"/>
        <v>0</v>
      </c>
    </row>
    <row r="11801" spans="5:10" ht="30" hidden="1" x14ac:dyDescent="0.25">
      <c r="F11801" s="249" t="s">
        <v>259</v>
      </c>
      <c r="G11801" s="252" t="s">
        <v>260</v>
      </c>
      <c r="J11801" s="599">
        <f t="shared" si="352"/>
        <v>0</v>
      </c>
    </row>
    <row r="11802" spans="5:10" hidden="1" x14ac:dyDescent="0.25">
      <c r="F11802" s="249" t="s">
        <v>261</v>
      </c>
      <c r="G11802" s="252" t="s">
        <v>262</v>
      </c>
      <c r="J11802" s="599">
        <f t="shared" si="352"/>
        <v>0</v>
      </c>
    </row>
    <row r="11803" spans="5:10" ht="15.75" hidden="1" thickBot="1" x14ac:dyDescent="0.3">
      <c r="F11803" s="249" t="s">
        <v>263</v>
      </c>
      <c r="G11803" s="252" t="s">
        <v>264</v>
      </c>
      <c r="H11803" s="598"/>
      <c r="I11803" s="599"/>
      <c r="J11803" s="599">
        <f t="shared" si="352"/>
        <v>0</v>
      </c>
    </row>
    <row r="11804" spans="5:10" ht="15.75" hidden="1" thickBot="1" x14ac:dyDescent="0.3">
      <c r="G11804" s="229" t="s">
        <v>4460</v>
      </c>
      <c r="H11804" s="600">
        <f>SUM(H11788:H11803)</f>
        <v>0</v>
      </c>
      <c r="I11804" s="601">
        <f>SUM(I11789:I11803)</f>
        <v>0</v>
      </c>
      <c r="J11804" s="601">
        <f>SUM(J11788:J11803)</f>
        <v>0</v>
      </c>
    </row>
    <row r="11805" spans="5:10" hidden="1" collapsed="1" x14ac:dyDescent="0.25">
      <c r="E11805" s="474"/>
      <c r="F11805" s="486"/>
      <c r="G11805" s="231" t="s">
        <v>5059</v>
      </c>
      <c r="H11805" s="602"/>
      <c r="I11805" s="623"/>
      <c r="J11805" s="603"/>
    </row>
    <row r="11806" spans="5:10" ht="15.75" hidden="1" thickBot="1" x14ac:dyDescent="0.3">
      <c r="E11806" s="222"/>
      <c r="F11806" s="249" t="s">
        <v>234</v>
      </c>
      <c r="G11806" s="252" t="s">
        <v>235</v>
      </c>
      <c r="H11806" s="598">
        <f>SUM(H11727:H11786)</f>
        <v>0</v>
      </c>
      <c r="I11806" s="599"/>
      <c r="J11806" s="599">
        <f>SUM(H11806:I11806)</f>
        <v>0</v>
      </c>
    </row>
    <row r="11807" spans="5:10" hidden="1" x14ac:dyDescent="0.25">
      <c r="F11807" s="249" t="s">
        <v>236</v>
      </c>
      <c r="G11807" s="252" t="s">
        <v>237</v>
      </c>
      <c r="J11807" s="599">
        <f t="shared" ref="J11807:J11821" si="353">SUM(H11807:I11807)</f>
        <v>0</v>
      </c>
    </row>
    <row r="11808" spans="5:10" hidden="1" x14ac:dyDescent="0.25">
      <c r="F11808" s="249" t="s">
        <v>238</v>
      </c>
      <c r="G11808" s="252" t="s">
        <v>239</v>
      </c>
      <c r="J11808" s="599">
        <f t="shared" si="353"/>
        <v>0</v>
      </c>
    </row>
    <row r="11809" spans="5:10" hidden="1" x14ac:dyDescent="0.25">
      <c r="F11809" s="249" t="s">
        <v>240</v>
      </c>
      <c r="G11809" s="252" t="s">
        <v>241</v>
      </c>
      <c r="J11809" s="599">
        <f t="shared" si="353"/>
        <v>0</v>
      </c>
    </row>
    <row r="11810" spans="5:10" hidden="1" x14ac:dyDescent="0.25">
      <c r="F11810" s="249" t="s">
        <v>242</v>
      </c>
      <c r="G11810" s="252" t="s">
        <v>243</v>
      </c>
      <c r="J11810" s="599">
        <f t="shared" si="353"/>
        <v>0</v>
      </c>
    </row>
    <row r="11811" spans="5:10" hidden="1" x14ac:dyDescent="0.25">
      <c r="F11811" s="249" t="s">
        <v>244</v>
      </c>
      <c r="G11811" s="252" t="s">
        <v>245</v>
      </c>
      <c r="J11811" s="599">
        <f t="shared" si="353"/>
        <v>0</v>
      </c>
    </row>
    <row r="11812" spans="5:10" hidden="1" x14ac:dyDescent="0.25">
      <c r="F11812" s="249" t="s">
        <v>246</v>
      </c>
      <c r="G11812" s="252" t="s">
        <v>247</v>
      </c>
      <c r="J11812" s="599">
        <f t="shared" si="353"/>
        <v>0</v>
      </c>
    </row>
    <row r="11813" spans="5:10" hidden="1" x14ac:dyDescent="0.25">
      <c r="F11813" s="249" t="s">
        <v>248</v>
      </c>
      <c r="G11813" s="252" t="s">
        <v>249</v>
      </c>
      <c r="J11813" s="599">
        <f t="shared" si="353"/>
        <v>0</v>
      </c>
    </row>
    <row r="11814" spans="5:10" hidden="1" x14ac:dyDescent="0.25">
      <c r="F11814" s="249" t="s">
        <v>250</v>
      </c>
      <c r="G11814" s="252" t="s">
        <v>57</v>
      </c>
      <c r="J11814" s="599">
        <f t="shared" si="353"/>
        <v>0</v>
      </c>
    </row>
    <row r="11815" spans="5:10" hidden="1" x14ac:dyDescent="0.25">
      <c r="F11815" s="249" t="s">
        <v>251</v>
      </c>
      <c r="G11815" s="252" t="s">
        <v>252</v>
      </c>
      <c r="J11815" s="599">
        <f t="shared" si="353"/>
        <v>0</v>
      </c>
    </row>
    <row r="11816" spans="5:10" hidden="1" x14ac:dyDescent="0.25">
      <c r="F11816" s="249" t="s">
        <v>253</v>
      </c>
      <c r="G11816" s="252" t="s">
        <v>254</v>
      </c>
      <c r="J11816" s="599">
        <f t="shared" si="353"/>
        <v>0</v>
      </c>
    </row>
    <row r="11817" spans="5:10" ht="30" hidden="1" x14ac:dyDescent="0.25">
      <c r="F11817" s="249" t="s">
        <v>255</v>
      </c>
      <c r="G11817" s="252" t="s">
        <v>256</v>
      </c>
      <c r="J11817" s="599">
        <f t="shared" si="353"/>
        <v>0</v>
      </c>
    </row>
    <row r="11818" spans="5:10" hidden="1" x14ac:dyDescent="0.25">
      <c r="F11818" s="249" t="s">
        <v>257</v>
      </c>
      <c r="G11818" s="252" t="s">
        <v>258</v>
      </c>
      <c r="J11818" s="599">
        <f t="shared" si="353"/>
        <v>0</v>
      </c>
    </row>
    <row r="11819" spans="5:10" ht="30" hidden="1" x14ac:dyDescent="0.25">
      <c r="F11819" s="249" t="s">
        <v>259</v>
      </c>
      <c r="G11819" s="252" t="s">
        <v>260</v>
      </c>
      <c r="J11819" s="599">
        <f t="shared" si="353"/>
        <v>0</v>
      </c>
    </row>
    <row r="11820" spans="5:10" hidden="1" x14ac:dyDescent="0.25">
      <c r="F11820" s="249" t="s">
        <v>261</v>
      </c>
      <c r="G11820" s="252" t="s">
        <v>262</v>
      </c>
      <c r="J11820" s="599">
        <f t="shared" si="353"/>
        <v>0</v>
      </c>
    </row>
    <row r="11821" spans="5:10" ht="15.75" hidden="1" thickBot="1" x14ac:dyDescent="0.3">
      <c r="F11821" s="249" t="s">
        <v>263</v>
      </c>
      <c r="G11821" s="252" t="s">
        <v>264</v>
      </c>
      <c r="H11821" s="598"/>
      <c r="I11821" s="599"/>
      <c r="J11821" s="599">
        <f t="shared" si="353"/>
        <v>0</v>
      </c>
    </row>
    <row r="11822" spans="5:10" ht="15.75" hidden="1" thickBot="1" x14ac:dyDescent="0.3">
      <c r="G11822" s="229" t="s">
        <v>5044</v>
      </c>
      <c r="H11822" s="600">
        <f>SUM(H11806:H11821)</f>
        <v>0</v>
      </c>
      <c r="I11822" s="601">
        <f>SUM(I11807:I11821)</f>
        <v>0</v>
      </c>
      <c r="J11822" s="601">
        <f>SUM(J11806:J11821)</f>
        <v>0</v>
      </c>
    </row>
    <row r="11823" spans="5:10" hidden="1" x14ac:dyDescent="0.25"/>
    <row r="11824" spans="5:10" hidden="1" x14ac:dyDescent="0.25">
      <c r="E11824" s="474"/>
      <c r="F11824" s="486"/>
      <c r="G11824" s="250" t="s">
        <v>4346</v>
      </c>
      <c r="H11824" s="606"/>
      <c r="I11824" s="624"/>
      <c r="J11824" s="607"/>
    </row>
    <row r="11825" spans="5:10" hidden="1" x14ac:dyDescent="0.25">
      <c r="E11825" s="222"/>
      <c r="F11825" s="249" t="s">
        <v>234</v>
      </c>
      <c r="G11825" s="252" t="s">
        <v>235</v>
      </c>
      <c r="H11825" s="598">
        <f>SUM(H11806,H11707)</f>
        <v>0</v>
      </c>
      <c r="I11825" s="599"/>
      <c r="J11825" s="599">
        <f>SUM(H11825:I11825)</f>
        <v>0</v>
      </c>
    </row>
    <row r="11826" spans="5:10" hidden="1" x14ac:dyDescent="0.25">
      <c r="F11826" s="249" t="s">
        <v>236</v>
      </c>
      <c r="G11826" s="252" t="s">
        <v>237</v>
      </c>
      <c r="J11826" s="599">
        <f t="shared" ref="J11826:J11840" si="354">SUM(H11826:I11826)</f>
        <v>0</v>
      </c>
    </row>
    <row r="11827" spans="5:10" hidden="1" x14ac:dyDescent="0.25">
      <c r="F11827" s="249" t="s">
        <v>238</v>
      </c>
      <c r="G11827" s="252" t="s">
        <v>239</v>
      </c>
      <c r="J11827" s="599">
        <f t="shared" si="354"/>
        <v>0</v>
      </c>
    </row>
    <row r="11828" spans="5:10" ht="15.75" hidden="1" thickBot="1" x14ac:dyDescent="0.3">
      <c r="F11828" s="249" t="s">
        <v>240</v>
      </c>
      <c r="G11828" s="252" t="s">
        <v>241</v>
      </c>
      <c r="J11828" s="599">
        <f t="shared" si="354"/>
        <v>0</v>
      </c>
    </row>
    <row r="11829" spans="5:10" hidden="1" x14ac:dyDescent="0.25">
      <c r="F11829" s="249" t="s">
        <v>242</v>
      </c>
      <c r="G11829" s="252" t="s">
        <v>243</v>
      </c>
      <c r="J11829" s="599">
        <f t="shared" si="354"/>
        <v>0</v>
      </c>
    </row>
    <row r="11830" spans="5:10" hidden="1" x14ac:dyDescent="0.25">
      <c r="F11830" s="249" t="s">
        <v>244</v>
      </c>
      <c r="G11830" s="252" t="s">
        <v>245</v>
      </c>
      <c r="J11830" s="599">
        <f t="shared" si="354"/>
        <v>0</v>
      </c>
    </row>
    <row r="11831" spans="5:10" hidden="1" x14ac:dyDescent="0.25">
      <c r="F11831" s="249" t="s">
        <v>246</v>
      </c>
      <c r="G11831" s="252" t="s">
        <v>247</v>
      </c>
      <c r="J11831" s="599">
        <f t="shared" si="354"/>
        <v>0</v>
      </c>
    </row>
    <row r="11832" spans="5:10" hidden="1" x14ac:dyDescent="0.25">
      <c r="F11832" s="249" t="s">
        <v>248</v>
      </c>
      <c r="G11832" s="252" t="s">
        <v>249</v>
      </c>
      <c r="J11832" s="599">
        <f t="shared" si="354"/>
        <v>0</v>
      </c>
    </row>
    <row r="11833" spans="5:10" hidden="1" x14ac:dyDescent="0.25">
      <c r="F11833" s="249" t="s">
        <v>250</v>
      </c>
      <c r="G11833" s="252" t="s">
        <v>57</v>
      </c>
      <c r="J11833" s="599">
        <f t="shared" si="354"/>
        <v>0</v>
      </c>
    </row>
    <row r="11834" spans="5:10" hidden="1" x14ac:dyDescent="0.25">
      <c r="F11834" s="249" t="s">
        <v>251</v>
      </c>
      <c r="G11834" s="252" t="s">
        <v>252</v>
      </c>
      <c r="J11834" s="599">
        <f t="shared" si="354"/>
        <v>0</v>
      </c>
    </row>
    <row r="11835" spans="5:10" hidden="1" x14ac:dyDescent="0.25">
      <c r="F11835" s="249" t="s">
        <v>253</v>
      </c>
      <c r="G11835" s="252" t="s">
        <v>254</v>
      </c>
      <c r="J11835" s="599">
        <f t="shared" si="354"/>
        <v>0</v>
      </c>
    </row>
    <row r="11836" spans="5:10" ht="30" hidden="1" x14ac:dyDescent="0.25">
      <c r="F11836" s="249" t="s">
        <v>255</v>
      </c>
      <c r="G11836" s="252" t="s">
        <v>256</v>
      </c>
      <c r="J11836" s="599">
        <f t="shared" si="354"/>
        <v>0</v>
      </c>
    </row>
    <row r="11837" spans="5:10" hidden="1" x14ac:dyDescent="0.25">
      <c r="F11837" s="249" t="s">
        <v>257</v>
      </c>
      <c r="G11837" s="252" t="s">
        <v>258</v>
      </c>
      <c r="J11837" s="599">
        <f t="shared" si="354"/>
        <v>0</v>
      </c>
    </row>
    <row r="11838" spans="5:10" ht="30" hidden="1" x14ac:dyDescent="0.25">
      <c r="F11838" s="249" t="s">
        <v>259</v>
      </c>
      <c r="G11838" s="252" t="s">
        <v>260</v>
      </c>
      <c r="J11838" s="599">
        <f t="shared" si="354"/>
        <v>0</v>
      </c>
    </row>
    <row r="11839" spans="5:10" hidden="1" x14ac:dyDescent="0.25">
      <c r="F11839" s="249" t="s">
        <v>261</v>
      </c>
      <c r="G11839" s="252" t="s">
        <v>262</v>
      </c>
      <c r="J11839" s="599">
        <f t="shared" si="354"/>
        <v>0</v>
      </c>
    </row>
    <row r="11840" spans="5:10" ht="15.75" hidden="1" thickBot="1" x14ac:dyDescent="0.3">
      <c r="F11840" s="249" t="s">
        <v>263</v>
      </c>
      <c r="G11840" s="252" t="s">
        <v>264</v>
      </c>
      <c r="H11840" s="598"/>
      <c r="I11840" s="599"/>
      <c r="J11840" s="599">
        <f t="shared" si="354"/>
        <v>0</v>
      </c>
    </row>
    <row r="11841" spans="5:10" ht="15.75" hidden="1" thickBot="1" x14ac:dyDescent="0.3">
      <c r="G11841" s="229" t="s">
        <v>4347</v>
      </c>
      <c r="H11841" s="600">
        <f>SUM(H11825:H11840)</f>
        <v>0</v>
      </c>
      <c r="I11841" s="601">
        <f>SUM(I11826:I11840)</f>
        <v>0</v>
      </c>
      <c r="J11841" s="601">
        <f>SUM(J11825:J11840)</f>
        <v>0</v>
      </c>
    </row>
    <row r="11842" spans="5:10" hidden="1" x14ac:dyDescent="0.25"/>
    <row r="11843" spans="5:10" hidden="1" x14ac:dyDescent="0.25">
      <c r="E11843" s="474"/>
      <c r="F11843" s="486"/>
      <c r="G11843" s="250" t="s">
        <v>5085</v>
      </c>
      <c r="H11843" s="606"/>
      <c r="I11843" s="624"/>
      <c r="J11843" s="607"/>
    </row>
    <row r="11844" spans="5:10" hidden="1" x14ac:dyDescent="0.25">
      <c r="E11844" s="222"/>
      <c r="F11844" s="249" t="s">
        <v>234</v>
      </c>
      <c r="G11844" s="252" t="s">
        <v>235</v>
      </c>
      <c r="H11844" s="598">
        <f>SUM(H11825)</f>
        <v>0</v>
      </c>
      <c r="I11844" s="599"/>
      <c r="J11844" s="599">
        <f>SUM(H11844:I11844)</f>
        <v>0</v>
      </c>
    </row>
    <row r="11845" spans="5:10" hidden="1" x14ac:dyDescent="0.25">
      <c r="F11845" s="249" t="s">
        <v>236</v>
      </c>
      <c r="G11845" s="252" t="s">
        <v>237</v>
      </c>
      <c r="J11845" s="599">
        <f t="shared" ref="J11845:J11859" si="355">SUM(H11845:I11845)</f>
        <v>0</v>
      </c>
    </row>
    <row r="11846" spans="5:10" hidden="1" x14ac:dyDescent="0.25">
      <c r="F11846" s="249" t="s">
        <v>238</v>
      </c>
      <c r="G11846" s="252" t="s">
        <v>239</v>
      </c>
      <c r="J11846" s="599">
        <f t="shared" si="355"/>
        <v>0</v>
      </c>
    </row>
    <row r="11847" spans="5:10" ht="15.75" hidden="1" thickBot="1" x14ac:dyDescent="0.3">
      <c r="F11847" s="249" t="s">
        <v>240</v>
      </c>
      <c r="G11847" s="252" t="s">
        <v>241</v>
      </c>
      <c r="J11847" s="599">
        <f t="shared" si="355"/>
        <v>0</v>
      </c>
    </row>
    <row r="11848" spans="5:10" hidden="1" x14ac:dyDescent="0.25">
      <c r="F11848" s="249" t="s">
        <v>242</v>
      </c>
      <c r="G11848" s="252" t="s">
        <v>243</v>
      </c>
      <c r="J11848" s="599">
        <f t="shared" si="355"/>
        <v>0</v>
      </c>
    </row>
    <row r="11849" spans="5:10" hidden="1" x14ac:dyDescent="0.25">
      <c r="F11849" s="249" t="s">
        <v>244</v>
      </c>
      <c r="G11849" s="252" t="s">
        <v>245</v>
      </c>
      <c r="J11849" s="599">
        <f t="shared" si="355"/>
        <v>0</v>
      </c>
    </row>
    <row r="11850" spans="5:10" hidden="1" x14ac:dyDescent="0.25">
      <c r="F11850" s="249" t="s">
        <v>246</v>
      </c>
      <c r="G11850" s="252" t="s">
        <v>247</v>
      </c>
      <c r="J11850" s="599">
        <f t="shared" si="355"/>
        <v>0</v>
      </c>
    </row>
    <row r="11851" spans="5:10" hidden="1" x14ac:dyDescent="0.25">
      <c r="F11851" s="249" t="s">
        <v>248</v>
      </c>
      <c r="G11851" s="252" t="s">
        <v>249</v>
      </c>
      <c r="J11851" s="599">
        <f t="shared" si="355"/>
        <v>0</v>
      </c>
    </row>
    <row r="11852" spans="5:10" hidden="1" x14ac:dyDescent="0.25">
      <c r="F11852" s="249" t="s">
        <v>250</v>
      </c>
      <c r="G11852" s="252" t="s">
        <v>57</v>
      </c>
      <c r="J11852" s="599">
        <f t="shared" si="355"/>
        <v>0</v>
      </c>
    </row>
    <row r="11853" spans="5:10" hidden="1" x14ac:dyDescent="0.25">
      <c r="F11853" s="249" t="s">
        <v>251</v>
      </c>
      <c r="G11853" s="252" t="s">
        <v>252</v>
      </c>
      <c r="J11853" s="599">
        <f t="shared" si="355"/>
        <v>0</v>
      </c>
    </row>
    <row r="11854" spans="5:10" hidden="1" x14ac:dyDescent="0.25">
      <c r="F11854" s="249" t="s">
        <v>253</v>
      </c>
      <c r="G11854" s="252" t="s">
        <v>254</v>
      </c>
      <c r="J11854" s="599">
        <f t="shared" si="355"/>
        <v>0</v>
      </c>
    </row>
    <row r="11855" spans="5:10" ht="30" hidden="1" x14ac:dyDescent="0.25">
      <c r="F11855" s="249" t="s">
        <v>255</v>
      </c>
      <c r="G11855" s="252" t="s">
        <v>256</v>
      </c>
      <c r="J11855" s="599">
        <f t="shared" si="355"/>
        <v>0</v>
      </c>
    </row>
    <row r="11856" spans="5:10" hidden="1" x14ac:dyDescent="0.25">
      <c r="F11856" s="249" t="s">
        <v>257</v>
      </c>
      <c r="G11856" s="252" t="s">
        <v>258</v>
      </c>
      <c r="J11856" s="599">
        <f t="shared" si="355"/>
        <v>0</v>
      </c>
    </row>
    <row r="11857" spans="1:10" ht="30" hidden="1" x14ac:dyDescent="0.25">
      <c r="F11857" s="249" t="s">
        <v>259</v>
      </c>
      <c r="G11857" s="252" t="s">
        <v>260</v>
      </c>
      <c r="J11857" s="599">
        <f t="shared" si="355"/>
        <v>0</v>
      </c>
    </row>
    <row r="11858" spans="1:10" hidden="1" x14ac:dyDescent="0.25">
      <c r="F11858" s="249" t="s">
        <v>261</v>
      </c>
      <c r="G11858" s="252" t="s">
        <v>262</v>
      </c>
      <c r="J11858" s="599">
        <f t="shared" si="355"/>
        <v>0</v>
      </c>
    </row>
    <row r="11859" spans="1:10" ht="15.75" hidden="1" thickBot="1" x14ac:dyDescent="0.3">
      <c r="F11859" s="249" t="s">
        <v>263</v>
      </c>
      <c r="G11859" s="252" t="s">
        <v>264</v>
      </c>
      <c r="H11859" s="598"/>
      <c r="I11859" s="599"/>
      <c r="J11859" s="599">
        <f t="shared" si="355"/>
        <v>0</v>
      </c>
    </row>
    <row r="11860" spans="1:10" ht="15.75" hidden="1" thickBot="1" x14ac:dyDescent="0.3">
      <c r="G11860" s="229" t="s">
        <v>5086</v>
      </c>
      <c r="H11860" s="600">
        <f>SUM(H11844:H11859)</f>
        <v>0</v>
      </c>
      <c r="I11860" s="601">
        <f>SUM(I11845:I11859)</f>
        <v>0</v>
      </c>
      <c r="J11860" s="601">
        <f>SUM(J11844:J11859)</f>
        <v>0</v>
      </c>
    </row>
    <row r="11861" spans="1:10" hidden="1" x14ac:dyDescent="0.25"/>
    <row r="11862" spans="1:10" hidden="1" x14ac:dyDescent="0.25">
      <c r="A11862" s="458">
        <v>4</v>
      </c>
      <c r="B11862" s="459" t="s">
        <v>4362</v>
      </c>
      <c r="C11862" s="458"/>
      <c r="D11862" s="460"/>
      <c r="E11862" s="461"/>
      <c r="F11862" s="461"/>
      <c r="G11862" s="462" t="s">
        <v>4342</v>
      </c>
      <c r="H11862" s="632"/>
      <c r="I11862" s="633"/>
      <c r="J11862" s="618"/>
    </row>
    <row r="11863" spans="1:10" ht="16.5" hidden="1" customHeight="1" x14ac:dyDescent="0.25">
      <c r="C11863" s="228" t="s">
        <v>3602</v>
      </c>
      <c r="G11863" s="475" t="s">
        <v>4338</v>
      </c>
    </row>
    <row r="11864" spans="1:10" hidden="1" x14ac:dyDescent="0.25">
      <c r="C11864" s="228" t="s">
        <v>4145</v>
      </c>
      <c r="D11864" s="219"/>
      <c r="G11864" s="475" t="s">
        <v>4339</v>
      </c>
    </row>
    <row r="11865" spans="1:10" hidden="1" x14ac:dyDescent="0.25">
      <c r="C11865" s="228"/>
      <c r="D11865" s="312">
        <v>820</v>
      </c>
      <c r="E11865" s="312"/>
      <c r="F11865" s="312"/>
      <c r="G11865" s="313" t="s">
        <v>207</v>
      </c>
    </row>
    <row r="11866" spans="1:10" hidden="1" x14ac:dyDescent="0.25">
      <c r="F11866" s="485">
        <v>411</v>
      </c>
      <c r="G11866" s="476" t="s">
        <v>4189</v>
      </c>
      <c r="J11866" s="595">
        <f>SUM(H11866:I11866)</f>
        <v>0</v>
      </c>
    </row>
    <row r="11867" spans="1:10" hidden="1" x14ac:dyDescent="0.25">
      <c r="F11867" s="485">
        <v>412</v>
      </c>
      <c r="G11867" s="473" t="s">
        <v>3784</v>
      </c>
      <c r="J11867" s="595">
        <f t="shared" ref="J11867:J11925" si="356">SUM(H11867:I11867)</f>
        <v>0</v>
      </c>
    </row>
    <row r="11868" spans="1:10" hidden="1" x14ac:dyDescent="0.25">
      <c r="F11868" s="485">
        <v>413</v>
      </c>
      <c r="G11868" s="476" t="s">
        <v>4190</v>
      </c>
      <c r="J11868" s="595">
        <f t="shared" si="356"/>
        <v>0</v>
      </c>
    </row>
    <row r="11869" spans="1:10" hidden="1" x14ac:dyDescent="0.25">
      <c r="F11869" s="485">
        <v>414</v>
      </c>
      <c r="G11869" s="476" t="s">
        <v>3787</v>
      </c>
      <c r="J11869" s="595">
        <f t="shared" si="356"/>
        <v>0</v>
      </c>
    </row>
    <row r="11870" spans="1:10" hidden="1" x14ac:dyDescent="0.25">
      <c r="F11870" s="485">
        <v>415</v>
      </c>
      <c r="G11870" s="476" t="s">
        <v>4199</v>
      </c>
      <c r="J11870" s="595">
        <f t="shared" si="356"/>
        <v>0</v>
      </c>
    </row>
    <row r="11871" spans="1:10" hidden="1" x14ac:dyDescent="0.25">
      <c r="F11871" s="485">
        <v>416</v>
      </c>
      <c r="G11871" s="476" t="s">
        <v>4200</v>
      </c>
      <c r="J11871" s="595">
        <f t="shared" si="356"/>
        <v>0</v>
      </c>
    </row>
    <row r="11872" spans="1:10" hidden="1" x14ac:dyDescent="0.25">
      <c r="F11872" s="485">
        <v>417</v>
      </c>
      <c r="G11872" s="476" t="s">
        <v>4201</v>
      </c>
      <c r="J11872" s="595">
        <f t="shared" si="356"/>
        <v>0</v>
      </c>
    </row>
    <row r="11873" spans="6:10" hidden="1" x14ac:dyDescent="0.25">
      <c r="F11873" s="485">
        <v>418</v>
      </c>
      <c r="G11873" s="476" t="s">
        <v>3793</v>
      </c>
      <c r="J11873" s="595">
        <f t="shared" si="356"/>
        <v>0</v>
      </c>
    </row>
    <row r="11874" spans="6:10" hidden="1" x14ac:dyDescent="0.25">
      <c r="F11874" s="485">
        <v>421</v>
      </c>
      <c r="G11874" s="476" t="s">
        <v>3797</v>
      </c>
      <c r="J11874" s="595">
        <f t="shared" si="356"/>
        <v>0</v>
      </c>
    </row>
    <row r="11875" spans="6:10" hidden="1" x14ac:dyDescent="0.25">
      <c r="F11875" s="485">
        <v>422</v>
      </c>
      <c r="G11875" s="476" t="s">
        <v>3798</v>
      </c>
      <c r="J11875" s="595">
        <f t="shared" si="356"/>
        <v>0</v>
      </c>
    </row>
    <row r="11876" spans="6:10" hidden="1" x14ac:dyDescent="0.25">
      <c r="F11876" s="485">
        <v>423</v>
      </c>
      <c r="G11876" s="476" t="s">
        <v>3799</v>
      </c>
      <c r="J11876" s="595">
        <f t="shared" si="356"/>
        <v>0</v>
      </c>
    </row>
    <row r="11877" spans="6:10" hidden="1" x14ac:dyDescent="0.25">
      <c r="F11877" s="485">
        <v>424</v>
      </c>
      <c r="G11877" s="476" t="s">
        <v>3801</v>
      </c>
      <c r="J11877" s="595">
        <f t="shared" si="356"/>
        <v>0</v>
      </c>
    </row>
    <row r="11878" spans="6:10" hidden="1" x14ac:dyDescent="0.25">
      <c r="F11878" s="485">
        <v>425</v>
      </c>
      <c r="G11878" s="476" t="s">
        <v>4202</v>
      </c>
      <c r="J11878" s="595">
        <f t="shared" si="356"/>
        <v>0</v>
      </c>
    </row>
    <row r="11879" spans="6:10" hidden="1" x14ac:dyDescent="0.25">
      <c r="F11879" s="485">
        <v>426</v>
      </c>
      <c r="G11879" s="476" t="s">
        <v>3805</v>
      </c>
      <c r="J11879" s="595">
        <f t="shared" si="356"/>
        <v>0</v>
      </c>
    </row>
    <row r="11880" spans="6:10" hidden="1" x14ac:dyDescent="0.25">
      <c r="F11880" s="485">
        <v>431</v>
      </c>
      <c r="G11880" s="476" t="s">
        <v>4203</v>
      </c>
      <c r="J11880" s="595">
        <f t="shared" si="356"/>
        <v>0</v>
      </c>
    </row>
    <row r="11881" spans="6:10" hidden="1" x14ac:dyDescent="0.25">
      <c r="F11881" s="485">
        <v>432</v>
      </c>
      <c r="G11881" s="476" t="s">
        <v>4204</v>
      </c>
      <c r="J11881" s="595">
        <f t="shared" si="356"/>
        <v>0</v>
      </c>
    </row>
    <row r="11882" spans="6:10" hidden="1" x14ac:dyDescent="0.25">
      <c r="F11882" s="485">
        <v>433</v>
      </c>
      <c r="G11882" s="476" t="s">
        <v>4205</v>
      </c>
      <c r="J11882" s="595">
        <f t="shared" si="356"/>
        <v>0</v>
      </c>
    </row>
    <row r="11883" spans="6:10" hidden="1" x14ac:dyDescent="0.25">
      <c r="F11883" s="485">
        <v>434</v>
      </c>
      <c r="G11883" s="476" t="s">
        <v>4206</v>
      </c>
      <c r="J11883" s="595">
        <f t="shared" si="356"/>
        <v>0</v>
      </c>
    </row>
    <row r="11884" spans="6:10" hidden="1" x14ac:dyDescent="0.25">
      <c r="F11884" s="485">
        <v>435</v>
      </c>
      <c r="G11884" s="476" t="s">
        <v>3812</v>
      </c>
      <c r="J11884" s="595">
        <f t="shared" si="356"/>
        <v>0</v>
      </c>
    </row>
    <row r="11885" spans="6:10" hidden="1" x14ac:dyDescent="0.25">
      <c r="F11885" s="485">
        <v>441</v>
      </c>
      <c r="G11885" s="476" t="s">
        <v>4207</v>
      </c>
      <c r="J11885" s="595">
        <f t="shared" si="356"/>
        <v>0</v>
      </c>
    </row>
    <row r="11886" spans="6:10" hidden="1" x14ac:dyDescent="0.25">
      <c r="F11886" s="485">
        <v>442</v>
      </c>
      <c r="G11886" s="476" t="s">
        <v>4208</v>
      </c>
      <c r="J11886" s="595">
        <f t="shared" si="356"/>
        <v>0</v>
      </c>
    </row>
    <row r="11887" spans="6:10" hidden="1" x14ac:dyDescent="0.25">
      <c r="F11887" s="485">
        <v>443</v>
      </c>
      <c r="G11887" s="476" t="s">
        <v>3817</v>
      </c>
      <c r="J11887" s="595">
        <f t="shared" si="356"/>
        <v>0</v>
      </c>
    </row>
    <row r="11888" spans="6:10" hidden="1" x14ac:dyDescent="0.25">
      <c r="F11888" s="485">
        <v>444</v>
      </c>
      <c r="G11888" s="476" t="s">
        <v>3818</v>
      </c>
      <c r="J11888" s="595">
        <f t="shared" si="356"/>
        <v>0</v>
      </c>
    </row>
    <row r="11889" spans="6:10" ht="30" hidden="1" x14ac:dyDescent="0.25">
      <c r="F11889" s="485">
        <v>4511</v>
      </c>
      <c r="G11889" s="223" t="s">
        <v>1692</v>
      </c>
      <c r="J11889" s="595">
        <f t="shared" si="356"/>
        <v>0</v>
      </c>
    </row>
    <row r="11890" spans="6:10" ht="19.5" hidden="1" customHeight="1" x14ac:dyDescent="0.25">
      <c r="F11890" s="485">
        <v>4512</v>
      </c>
      <c r="G11890" s="223" t="s">
        <v>1701</v>
      </c>
      <c r="J11890" s="595">
        <f t="shared" si="356"/>
        <v>0</v>
      </c>
    </row>
    <row r="11891" spans="6:10" hidden="1" x14ac:dyDescent="0.25">
      <c r="F11891" s="485">
        <v>452</v>
      </c>
      <c r="G11891" s="476" t="s">
        <v>4209</v>
      </c>
      <c r="J11891" s="595">
        <f t="shared" si="356"/>
        <v>0</v>
      </c>
    </row>
    <row r="11892" spans="6:10" hidden="1" x14ac:dyDescent="0.25">
      <c r="F11892" s="485">
        <v>453</v>
      </c>
      <c r="G11892" s="476" t="s">
        <v>4210</v>
      </c>
      <c r="J11892" s="595">
        <f t="shared" si="356"/>
        <v>0</v>
      </c>
    </row>
    <row r="11893" spans="6:10" hidden="1" x14ac:dyDescent="0.25">
      <c r="F11893" s="485">
        <v>454</v>
      </c>
      <c r="G11893" s="476" t="s">
        <v>3823</v>
      </c>
      <c r="J11893" s="595">
        <f t="shared" si="356"/>
        <v>0</v>
      </c>
    </row>
    <row r="11894" spans="6:10" hidden="1" x14ac:dyDescent="0.25">
      <c r="F11894" s="485">
        <v>461</v>
      </c>
      <c r="G11894" s="476" t="s">
        <v>4191</v>
      </c>
      <c r="J11894" s="595">
        <f t="shared" si="356"/>
        <v>0</v>
      </c>
    </row>
    <row r="11895" spans="6:10" hidden="1" x14ac:dyDescent="0.25">
      <c r="F11895" s="485">
        <v>462</v>
      </c>
      <c r="G11895" s="476" t="s">
        <v>3826</v>
      </c>
      <c r="J11895" s="595">
        <f t="shared" si="356"/>
        <v>0</v>
      </c>
    </row>
    <row r="11896" spans="6:10" hidden="1" x14ac:dyDescent="0.25">
      <c r="F11896" s="485">
        <v>4631</v>
      </c>
      <c r="G11896" s="476" t="s">
        <v>3827</v>
      </c>
      <c r="J11896" s="595">
        <f t="shared" si="356"/>
        <v>0</v>
      </c>
    </row>
    <row r="11897" spans="6:10" hidden="1" x14ac:dyDescent="0.25">
      <c r="F11897" s="485">
        <v>4632</v>
      </c>
      <c r="G11897" s="476" t="s">
        <v>3828</v>
      </c>
      <c r="J11897" s="595">
        <f t="shared" si="356"/>
        <v>0</v>
      </c>
    </row>
    <row r="11898" spans="6:10" hidden="1" x14ac:dyDescent="0.25">
      <c r="F11898" s="485">
        <v>464</v>
      </c>
      <c r="G11898" s="476" t="s">
        <v>3829</v>
      </c>
      <c r="J11898" s="595">
        <f t="shared" si="356"/>
        <v>0</v>
      </c>
    </row>
    <row r="11899" spans="6:10" hidden="1" x14ac:dyDescent="0.25">
      <c r="F11899" s="485">
        <v>465</v>
      </c>
      <c r="G11899" s="476" t="s">
        <v>4192</v>
      </c>
      <c r="J11899" s="595">
        <f t="shared" si="356"/>
        <v>0</v>
      </c>
    </row>
    <row r="11900" spans="6:10" hidden="1" x14ac:dyDescent="0.25">
      <c r="F11900" s="485">
        <v>472</v>
      </c>
      <c r="G11900" s="476" t="s">
        <v>3833</v>
      </c>
      <c r="J11900" s="595">
        <f t="shared" si="356"/>
        <v>0</v>
      </c>
    </row>
    <row r="11901" spans="6:10" hidden="1" x14ac:dyDescent="0.25">
      <c r="F11901" s="485">
        <v>481</v>
      </c>
      <c r="G11901" s="476" t="s">
        <v>4211</v>
      </c>
      <c r="J11901" s="595">
        <f t="shared" si="356"/>
        <v>0</v>
      </c>
    </row>
    <row r="11902" spans="6:10" hidden="1" x14ac:dyDescent="0.25">
      <c r="F11902" s="485">
        <v>482</v>
      </c>
      <c r="G11902" s="476" t="s">
        <v>4212</v>
      </c>
      <c r="J11902" s="595">
        <f t="shared" si="356"/>
        <v>0</v>
      </c>
    </row>
    <row r="11903" spans="6:10" hidden="1" x14ac:dyDescent="0.25">
      <c r="F11903" s="485">
        <v>483</v>
      </c>
      <c r="G11903" s="478" t="s">
        <v>4213</v>
      </c>
      <c r="J11903" s="595">
        <f t="shared" si="356"/>
        <v>0</v>
      </c>
    </row>
    <row r="11904" spans="6:10" ht="30" hidden="1" x14ac:dyDescent="0.25">
      <c r="F11904" s="485">
        <v>484</v>
      </c>
      <c r="G11904" s="476" t="s">
        <v>4214</v>
      </c>
      <c r="J11904" s="595">
        <f t="shared" si="356"/>
        <v>0</v>
      </c>
    </row>
    <row r="11905" spans="6:10" ht="30" hidden="1" x14ac:dyDescent="0.25">
      <c r="F11905" s="485">
        <v>485</v>
      </c>
      <c r="G11905" s="476" t="s">
        <v>4215</v>
      </c>
      <c r="J11905" s="595">
        <f t="shared" si="356"/>
        <v>0</v>
      </c>
    </row>
    <row r="11906" spans="6:10" ht="30" hidden="1" x14ac:dyDescent="0.25">
      <c r="F11906" s="485">
        <v>489</v>
      </c>
      <c r="G11906" s="476" t="s">
        <v>3841</v>
      </c>
      <c r="J11906" s="595">
        <f t="shared" si="356"/>
        <v>0</v>
      </c>
    </row>
    <row r="11907" spans="6:10" hidden="1" x14ac:dyDescent="0.25">
      <c r="F11907" s="485">
        <v>494</v>
      </c>
      <c r="G11907" s="476" t="s">
        <v>4193</v>
      </c>
      <c r="J11907" s="595">
        <f t="shared" si="356"/>
        <v>0</v>
      </c>
    </row>
    <row r="11908" spans="6:10" ht="30" hidden="1" x14ac:dyDescent="0.25">
      <c r="F11908" s="485">
        <v>495</v>
      </c>
      <c r="G11908" s="476" t="s">
        <v>4194</v>
      </c>
      <c r="J11908" s="595">
        <f t="shared" si="356"/>
        <v>0</v>
      </c>
    </row>
    <row r="11909" spans="6:10" ht="30" hidden="1" x14ac:dyDescent="0.25">
      <c r="F11909" s="485">
        <v>496</v>
      </c>
      <c r="G11909" s="476" t="s">
        <v>4195</v>
      </c>
      <c r="J11909" s="595">
        <f t="shared" si="356"/>
        <v>0</v>
      </c>
    </row>
    <row r="11910" spans="6:10" hidden="1" x14ac:dyDescent="0.25">
      <c r="F11910" s="485">
        <v>499</v>
      </c>
      <c r="G11910" s="476" t="s">
        <v>4196</v>
      </c>
      <c r="J11910" s="595">
        <f t="shared" si="356"/>
        <v>0</v>
      </c>
    </row>
    <row r="11911" spans="6:10" hidden="1" x14ac:dyDescent="0.25">
      <c r="F11911" s="485">
        <v>511</v>
      </c>
      <c r="G11911" s="478" t="s">
        <v>4216</v>
      </c>
      <c r="J11911" s="595">
        <f t="shared" si="356"/>
        <v>0</v>
      </c>
    </row>
    <row r="11912" spans="6:10" ht="15.75" hidden="1" thickBot="1" x14ac:dyDescent="0.3">
      <c r="F11912" s="485">
        <v>512</v>
      </c>
      <c r="G11912" s="478" t="s">
        <v>4217</v>
      </c>
      <c r="J11912" s="595">
        <f t="shared" si="356"/>
        <v>0</v>
      </c>
    </row>
    <row r="11913" spans="6:10" hidden="1" x14ac:dyDescent="0.25">
      <c r="F11913" s="485">
        <v>513</v>
      </c>
      <c r="G11913" s="478" t="s">
        <v>4218</v>
      </c>
      <c r="J11913" s="595">
        <f t="shared" si="356"/>
        <v>0</v>
      </c>
    </row>
    <row r="11914" spans="6:10" hidden="1" x14ac:dyDescent="0.25">
      <c r="F11914" s="485">
        <v>514</v>
      </c>
      <c r="G11914" s="476" t="s">
        <v>4219</v>
      </c>
      <c r="J11914" s="595">
        <f t="shared" si="356"/>
        <v>0</v>
      </c>
    </row>
    <row r="11915" spans="6:10" hidden="1" x14ac:dyDescent="0.25">
      <c r="F11915" s="485">
        <v>515</v>
      </c>
      <c r="G11915" s="476" t="s">
        <v>3852</v>
      </c>
      <c r="J11915" s="595">
        <f t="shared" si="356"/>
        <v>0</v>
      </c>
    </row>
    <row r="11916" spans="6:10" hidden="1" x14ac:dyDescent="0.25">
      <c r="F11916" s="485">
        <v>521</v>
      </c>
      <c r="G11916" s="476" t="s">
        <v>4220</v>
      </c>
      <c r="J11916" s="595">
        <f t="shared" si="356"/>
        <v>0</v>
      </c>
    </row>
    <row r="11917" spans="6:10" hidden="1" x14ac:dyDescent="0.25">
      <c r="F11917" s="485">
        <v>522</v>
      </c>
      <c r="G11917" s="476" t="s">
        <v>4221</v>
      </c>
      <c r="J11917" s="595">
        <f t="shared" si="356"/>
        <v>0</v>
      </c>
    </row>
    <row r="11918" spans="6:10" hidden="1" x14ac:dyDescent="0.25">
      <c r="F11918" s="485">
        <v>523</v>
      </c>
      <c r="G11918" s="476" t="s">
        <v>3857</v>
      </c>
      <c r="J11918" s="595">
        <f t="shared" si="356"/>
        <v>0</v>
      </c>
    </row>
    <row r="11919" spans="6:10" hidden="1" x14ac:dyDescent="0.25">
      <c r="F11919" s="485">
        <v>531</v>
      </c>
      <c r="G11919" s="473" t="s">
        <v>4197</v>
      </c>
      <c r="J11919" s="595">
        <f t="shared" si="356"/>
        <v>0</v>
      </c>
    </row>
    <row r="11920" spans="6:10" hidden="1" x14ac:dyDescent="0.25">
      <c r="F11920" s="485">
        <v>541</v>
      </c>
      <c r="G11920" s="476" t="s">
        <v>4222</v>
      </c>
      <c r="J11920" s="595">
        <f t="shared" si="356"/>
        <v>0</v>
      </c>
    </row>
    <row r="11921" spans="5:10" hidden="1" x14ac:dyDescent="0.25">
      <c r="F11921" s="485">
        <v>542</v>
      </c>
      <c r="G11921" s="476" t="s">
        <v>4223</v>
      </c>
      <c r="J11921" s="595">
        <f t="shared" si="356"/>
        <v>0</v>
      </c>
    </row>
    <row r="11922" spans="5:10" hidden="1" x14ac:dyDescent="0.25">
      <c r="F11922" s="485">
        <v>543</v>
      </c>
      <c r="G11922" s="476" t="s">
        <v>3862</v>
      </c>
      <c r="J11922" s="595">
        <f t="shared" si="356"/>
        <v>0</v>
      </c>
    </row>
    <row r="11923" spans="5:10" ht="30" hidden="1" x14ac:dyDescent="0.25">
      <c r="F11923" s="485">
        <v>551</v>
      </c>
      <c r="G11923" s="476" t="s">
        <v>4198</v>
      </c>
      <c r="J11923" s="595">
        <f t="shared" si="356"/>
        <v>0</v>
      </c>
    </row>
    <row r="11924" spans="5:10" hidden="1" x14ac:dyDescent="0.25">
      <c r="F11924" s="486">
        <v>611</v>
      </c>
      <c r="G11924" s="484" t="s">
        <v>3868</v>
      </c>
      <c r="J11924" s="595">
        <f t="shared" si="356"/>
        <v>0</v>
      </c>
    </row>
    <row r="11925" spans="5:10" ht="15.75" hidden="1" thickBot="1" x14ac:dyDescent="0.3">
      <c r="F11925" s="486">
        <v>620</v>
      </c>
      <c r="G11925" s="484" t="s">
        <v>88</v>
      </c>
      <c r="J11925" s="595">
        <f t="shared" si="356"/>
        <v>0</v>
      </c>
    </row>
    <row r="11926" spans="5:10" hidden="1" x14ac:dyDescent="0.25">
      <c r="E11926" s="474"/>
      <c r="F11926" s="486"/>
      <c r="G11926" s="327" t="s">
        <v>4459</v>
      </c>
      <c r="H11926" s="596"/>
      <c r="I11926" s="622"/>
      <c r="J11926" s="597"/>
    </row>
    <row r="11927" spans="5:10" hidden="1" x14ac:dyDescent="0.25">
      <c r="E11927" s="222"/>
      <c r="F11927" s="249" t="s">
        <v>234</v>
      </c>
      <c r="G11927" s="252" t="s">
        <v>235</v>
      </c>
      <c r="H11927" s="598">
        <f>SUM(H11866:H11925)</f>
        <v>0</v>
      </c>
      <c r="I11927" s="599"/>
      <c r="J11927" s="599">
        <f t="shared" ref="J11927:J11942" si="357">SUM(H11927:I11927)</f>
        <v>0</v>
      </c>
    </row>
    <row r="11928" spans="5:10" hidden="1" x14ac:dyDescent="0.25">
      <c r="F11928" s="249" t="s">
        <v>236</v>
      </c>
      <c r="G11928" s="252" t="s">
        <v>237</v>
      </c>
      <c r="J11928" s="599">
        <f t="shared" si="357"/>
        <v>0</v>
      </c>
    </row>
    <row r="11929" spans="5:10" hidden="1" x14ac:dyDescent="0.25">
      <c r="F11929" s="249" t="s">
        <v>238</v>
      </c>
      <c r="G11929" s="252" t="s">
        <v>239</v>
      </c>
      <c r="J11929" s="599">
        <f t="shared" si="357"/>
        <v>0</v>
      </c>
    </row>
    <row r="11930" spans="5:10" ht="15.75" hidden="1" thickBot="1" x14ac:dyDescent="0.3">
      <c r="F11930" s="249" t="s">
        <v>240</v>
      </c>
      <c r="G11930" s="252" t="s">
        <v>241</v>
      </c>
      <c r="J11930" s="599">
        <f t="shared" si="357"/>
        <v>0</v>
      </c>
    </row>
    <row r="11931" spans="5:10" hidden="1" x14ac:dyDescent="0.25">
      <c r="F11931" s="249" t="s">
        <v>242</v>
      </c>
      <c r="G11931" s="252" t="s">
        <v>243</v>
      </c>
      <c r="J11931" s="599">
        <f t="shared" si="357"/>
        <v>0</v>
      </c>
    </row>
    <row r="11932" spans="5:10" hidden="1" x14ac:dyDescent="0.25">
      <c r="F11932" s="249" t="s">
        <v>244</v>
      </c>
      <c r="G11932" s="252" t="s">
        <v>245</v>
      </c>
      <c r="J11932" s="599">
        <f t="shared" si="357"/>
        <v>0</v>
      </c>
    </row>
    <row r="11933" spans="5:10" hidden="1" x14ac:dyDescent="0.25">
      <c r="F11933" s="249" t="s">
        <v>246</v>
      </c>
      <c r="G11933" s="252" t="s">
        <v>247</v>
      </c>
      <c r="J11933" s="599">
        <f t="shared" si="357"/>
        <v>0</v>
      </c>
    </row>
    <row r="11934" spans="5:10" hidden="1" x14ac:dyDescent="0.25">
      <c r="F11934" s="249" t="s">
        <v>248</v>
      </c>
      <c r="G11934" s="252" t="s">
        <v>249</v>
      </c>
      <c r="J11934" s="599">
        <f t="shared" si="357"/>
        <v>0</v>
      </c>
    </row>
    <row r="11935" spans="5:10" hidden="1" x14ac:dyDescent="0.25">
      <c r="F11935" s="249" t="s">
        <v>250</v>
      </c>
      <c r="G11935" s="252" t="s">
        <v>57</v>
      </c>
      <c r="J11935" s="599">
        <f t="shared" si="357"/>
        <v>0</v>
      </c>
    </row>
    <row r="11936" spans="5:10" hidden="1" x14ac:dyDescent="0.25">
      <c r="F11936" s="249" t="s">
        <v>251</v>
      </c>
      <c r="G11936" s="252" t="s">
        <v>252</v>
      </c>
      <c r="J11936" s="599">
        <f t="shared" si="357"/>
        <v>0</v>
      </c>
    </row>
    <row r="11937" spans="5:10" hidden="1" x14ac:dyDescent="0.25">
      <c r="F11937" s="249" t="s">
        <v>253</v>
      </c>
      <c r="G11937" s="252" t="s">
        <v>254</v>
      </c>
      <c r="J11937" s="599">
        <f t="shared" si="357"/>
        <v>0</v>
      </c>
    </row>
    <row r="11938" spans="5:10" ht="30" hidden="1" x14ac:dyDescent="0.25">
      <c r="F11938" s="249" t="s">
        <v>255</v>
      </c>
      <c r="G11938" s="252" t="s">
        <v>256</v>
      </c>
      <c r="J11938" s="599">
        <f t="shared" si="357"/>
        <v>0</v>
      </c>
    </row>
    <row r="11939" spans="5:10" hidden="1" x14ac:dyDescent="0.25">
      <c r="F11939" s="249" t="s">
        <v>257</v>
      </c>
      <c r="G11939" s="252" t="s">
        <v>258</v>
      </c>
      <c r="J11939" s="599">
        <f t="shared" si="357"/>
        <v>0</v>
      </c>
    </row>
    <row r="11940" spans="5:10" ht="30" hidden="1" x14ac:dyDescent="0.25">
      <c r="F11940" s="249" t="s">
        <v>259</v>
      </c>
      <c r="G11940" s="252" t="s">
        <v>260</v>
      </c>
      <c r="J11940" s="599">
        <f t="shared" si="357"/>
        <v>0</v>
      </c>
    </row>
    <row r="11941" spans="5:10" hidden="1" x14ac:dyDescent="0.25">
      <c r="F11941" s="249" t="s">
        <v>261</v>
      </c>
      <c r="G11941" s="252" t="s">
        <v>262</v>
      </c>
      <c r="J11941" s="599">
        <f t="shared" si="357"/>
        <v>0</v>
      </c>
    </row>
    <row r="11942" spans="5:10" ht="15.75" hidden="1" thickBot="1" x14ac:dyDescent="0.3">
      <c r="F11942" s="249" t="s">
        <v>263</v>
      </c>
      <c r="G11942" s="252" t="s">
        <v>264</v>
      </c>
      <c r="H11942" s="598"/>
      <c r="I11942" s="599"/>
      <c r="J11942" s="599">
        <f t="shared" si="357"/>
        <v>0</v>
      </c>
    </row>
    <row r="11943" spans="5:10" ht="15.75" hidden="1" thickBot="1" x14ac:dyDescent="0.3">
      <c r="G11943" s="229" t="s">
        <v>4460</v>
      </c>
      <c r="H11943" s="600">
        <f>SUM(H11927:H11942)</f>
        <v>0</v>
      </c>
      <c r="I11943" s="601">
        <f>SUM(I11928:I11942)</f>
        <v>0</v>
      </c>
      <c r="J11943" s="601">
        <f>SUM(J11927:J11942)</f>
        <v>0</v>
      </c>
    </row>
    <row r="11944" spans="5:10" ht="28.5" hidden="1" collapsed="1" x14ac:dyDescent="0.25">
      <c r="E11944" s="474"/>
      <c r="F11944" s="486"/>
      <c r="G11944" s="231" t="s">
        <v>4461</v>
      </c>
      <c r="H11944" s="602"/>
      <c r="I11944" s="623"/>
      <c r="J11944" s="603"/>
    </row>
    <row r="11945" spans="5:10" hidden="1" x14ac:dyDescent="0.25">
      <c r="E11945" s="222"/>
      <c r="F11945" s="249" t="s">
        <v>234</v>
      </c>
      <c r="G11945" s="252" t="s">
        <v>235</v>
      </c>
      <c r="H11945" s="598">
        <f>SUM(H11866:H11925)</f>
        <v>0</v>
      </c>
      <c r="I11945" s="599"/>
      <c r="J11945" s="599">
        <f>SUM(H11945:I11945)</f>
        <v>0</v>
      </c>
    </row>
    <row r="11946" spans="5:10" hidden="1" x14ac:dyDescent="0.25">
      <c r="F11946" s="249" t="s">
        <v>236</v>
      </c>
      <c r="G11946" s="252" t="s">
        <v>237</v>
      </c>
      <c r="J11946" s="599">
        <f t="shared" ref="J11946:J11960" si="358">SUM(H11946:I11946)</f>
        <v>0</v>
      </c>
    </row>
    <row r="11947" spans="5:10" hidden="1" x14ac:dyDescent="0.25">
      <c r="F11947" s="249" t="s">
        <v>238</v>
      </c>
      <c r="G11947" s="252" t="s">
        <v>239</v>
      </c>
      <c r="J11947" s="599">
        <f t="shared" si="358"/>
        <v>0</v>
      </c>
    </row>
    <row r="11948" spans="5:10" ht="15.75" hidden="1" thickBot="1" x14ac:dyDescent="0.3">
      <c r="F11948" s="249" t="s">
        <v>240</v>
      </c>
      <c r="G11948" s="252" t="s">
        <v>241</v>
      </c>
      <c r="J11948" s="599">
        <f t="shared" si="358"/>
        <v>0</v>
      </c>
    </row>
    <row r="11949" spans="5:10" hidden="1" x14ac:dyDescent="0.25">
      <c r="F11949" s="249" t="s">
        <v>242</v>
      </c>
      <c r="G11949" s="252" t="s">
        <v>243</v>
      </c>
      <c r="J11949" s="599">
        <f t="shared" si="358"/>
        <v>0</v>
      </c>
    </row>
    <row r="11950" spans="5:10" hidden="1" x14ac:dyDescent="0.25">
      <c r="F11950" s="249" t="s">
        <v>244</v>
      </c>
      <c r="G11950" s="252" t="s">
        <v>245</v>
      </c>
      <c r="J11950" s="599">
        <f t="shared" si="358"/>
        <v>0</v>
      </c>
    </row>
    <row r="11951" spans="5:10" hidden="1" x14ac:dyDescent="0.25">
      <c r="F11951" s="249" t="s">
        <v>246</v>
      </c>
      <c r="G11951" s="252" t="s">
        <v>247</v>
      </c>
      <c r="J11951" s="599">
        <f t="shared" si="358"/>
        <v>0</v>
      </c>
    </row>
    <row r="11952" spans="5:10" hidden="1" x14ac:dyDescent="0.25">
      <c r="F11952" s="249" t="s">
        <v>248</v>
      </c>
      <c r="G11952" s="252" t="s">
        <v>249</v>
      </c>
      <c r="J11952" s="599">
        <f t="shared" si="358"/>
        <v>0</v>
      </c>
    </row>
    <row r="11953" spans="3:10" hidden="1" x14ac:dyDescent="0.25">
      <c r="F11953" s="249" t="s">
        <v>250</v>
      </c>
      <c r="G11953" s="252" t="s">
        <v>57</v>
      </c>
      <c r="J11953" s="599">
        <f t="shared" si="358"/>
        <v>0</v>
      </c>
    </row>
    <row r="11954" spans="3:10" hidden="1" x14ac:dyDescent="0.25">
      <c r="F11954" s="249" t="s">
        <v>251</v>
      </c>
      <c r="G11954" s="252" t="s">
        <v>252</v>
      </c>
      <c r="J11954" s="599">
        <f t="shared" si="358"/>
        <v>0</v>
      </c>
    </row>
    <row r="11955" spans="3:10" hidden="1" x14ac:dyDescent="0.25">
      <c r="F11955" s="249" t="s">
        <v>253</v>
      </c>
      <c r="G11955" s="252" t="s">
        <v>254</v>
      </c>
      <c r="J11955" s="599">
        <f t="shared" si="358"/>
        <v>0</v>
      </c>
    </row>
    <row r="11956" spans="3:10" ht="30" hidden="1" x14ac:dyDescent="0.25">
      <c r="F11956" s="249" t="s">
        <v>255</v>
      </c>
      <c r="G11956" s="252" t="s">
        <v>256</v>
      </c>
      <c r="J11956" s="599">
        <f t="shared" si="358"/>
        <v>0</v>
      </c>
    </row>
    <row r="11957" spans="3:10" hidden="1" x14ac:dyDescent="0.25">
      <c r="F11957" s="249" t="s">
        <v>257</v>
      </c>
      <c r="G11957" s="252" t="s">
        <v>258</v>
      </c>
      <c r="J11957" s="599">
        <f t="shared" si="358"/>
        <v>0</v>
      </c>
    </row>
    <row r="11958" spans="3:10" ht="30" hidden="1" x14ac:dyDescent="0.25">
      <c r="F11958" s="249" t="s">
        <v>259</v>
      </c>
      <c r="G11958" s="252" t="s">
        <v>260</v>
      </c>
      <c r="J11958" s="599">
        <f t="shared" si="358"/>
        <v>0</v>
      </c>
    </row>
    <row r="11959" spans="3:10" hidden="1" x14ac:dyDescent="0.25">
      <c r="F11959" s="249" t="s">
        <v>261</v>
      </c>
      <c r="G11959" s="252" t="s">
        <v>262</v>
      </c>
      <c r="J11959" s="599">
        <f t="shared" si="358"/>
        <v>0</v>
      </c>
    </row>
    <row r="11960" spans="3:10" ht="15.75" hidden="1" thickBot="1" x14ac:dyDescent="0.3">
      <c r="F11960" s="249" t="s">
        <v>263</v>
      </c>
      <c r="G11960" s="252" t="s">
        <v>264</v>
      </c>
      <c r="H11960" s="598"/>
      <c r="I11960" s="599"/>
      <c r="J11960" s="599">
        <f t="shared" si="358"/>
        <v>0</v>
      </c>
    </row>
    <row r="11961" spans="3:10" ht="15.75" hidden="1" collapsed="1" thickBot="1" x14ac:dyDescent="0.3">
      <c r="G11961" s="229" t="s">
        <v>4462</v>
      </c>
      <c r="H11961" s="600">
        <f>SUM(H11945:H11960)</f>
        <v>0</v>
      </c>
      <c r="I11961" s="601">
        <f>SUM(I11946:I11960)</f>
        <v>0</v>
      </c>
      <c r="J11961" s="601">
        <f>SUM(J11945:J11960)</f>
        <v>0</v>
      </c>
    </row>
    <row r="11962" spans="3:10" hidden="1" x14ac:dyDescent="0.25"/>
    <row r="11963" spans="3:10" hidden="1" x14ac:dyDescent="0.25">
      <c r="C11963" s="228" t="s">
        <v>4864</v>
      </c>
      <c r="D11963" s="219"/>
      <c r="G11963" s="477" t="s">
        <v>4254</v>
      </c>
    </row>
    <row r="11964" spans="3:10" hidden="1" x14ac:dyDescent="0.25">
      <c r="C11964" s="228"/>
      <c r="D11964" s="312">
        <v>820</v>
      </c>
      <c r="E11964" s="312"/>
      <c r="F11964" s="312"/>
      <c r="G11964" s="313" t="s">
        <v>207</v>
      </c>
    </row>
    <row r="11965" spans="3:10" hidden="1" x14ac:dyDescent="0.25">
      <c r="F11965" s="485">
        <v>411</v>
      </c>
      <c r="G11965" s="476" t="s">
        <v>4189</v>
      </c>
      <c r="J11965" s="595">
        <f>SUM(H11965:I11965)</f>
        <v>0</v>
      </c>
    </row>
    <row r="11966" spans="3:10" hidden="1" x14ac:dyDescent="0.25">
      <c r="F11966" s="485">
        <v>412</v>
      </c>
      <c r="G11966" s="473" t="s">
        <v>3784</v>
      </c>
      <c r="J11966" s="595">
        <f t="shared" ref="J11966:J12024" si="359">SUM(H11966:I11966)</f>
        <v>0</v>
      </c>
    </row>
    <row r="11967" spans="3:10" hidden="1" x14ac:dyDescent="0.25">
      <c r="F11967" s="485">
        <v>413</v>
      </c>
      <c r="G11967" s="476" t="s">
        <v>4190</v>
      </c>
      <c r="J11967" s="595">
        <f t="shared" si="359"/>
        <v>0</v>
      </c>
    </row>
    <row r="11968" spans="3:10" hidden="1" x14ac:dyDescent="0.25">
      <c r="F11968" s="485">
        <v>414</v>
      </c>
      <c r="G11968" s="476" t="s">
        <v>3787</v>
      </c>
      <c r="J11968" s="595">
        <f t="shared" si="359"/>
        <v>0</v>
      </c>
    </row>
    <row r="11969" spans="6:10" hidden="1" x14ac:dyDescent="0.25">
      <c r="F11969" s="485">
        <v>415</v>
      </c>
      <c r="G11969" s="476" t="s">
        <v>4199</v>
      </c>
      <c r="J11969" s="595">
        <f t="shared" si="359"/>
        <v>0</v>
      </c>
    </row>
    <row r="11970" spans="6:10" hidden="1" x14ac:dyDescent="0.25">
      <c r="F11970" s="485">
        <v>416</v>
      </c>
      <c r="G11970" s="476" t="s">
        <v>4200</v>
      </c>
      <c r="J11970" s="595">
        <f t="shared" si="359"/>
        <v>0</v>
      </c>
    </row>
    <row r="11971" spans="6:10" hidden="1" x14ac:dyDescent="0.25">
      <c r="F11971" s="485">
        <v>417</v>
      </c>
      <c r="G11971" s="476" t="s">
        <v>4201</v>
      </c>
      <c r="J11971" s="595">
        <f t="shared" si="359"/>
        <v>0</v>
      </c>
    </row>
    <row r="11972" spans="6:10" hidden="1" x14ac:dyDescent="0.25">
      <c r="F11972" s="485">
        <v>418</v>
      </c>
      <c r="G11972" s="476" t="s">
        <v>3793</v>
      </c>
      <c r="J11972" s="595">
        <f t="shared" si="359"/>
        <v>0</v>
      </c>
    </row>
    <row r="11973" spans="6:10" hidden="1" x14ac:dyDescent="0.25">
      <c r="F11973" s="485">
        <v>421</v>
      </c>
      <c r="G11973" s="476" t="s">
        <v>3797</v>
      </c>
      <c r="J11973" s="595">
        <f t="shared" si="359"/>
        <v>0</v>
      </c>
    </row>
    <row r="11974" spans="6:10" hidden="1" x14ac:dyDescent="0.25">
      <c r="F11974" s="485">
        <v>422</v>
      </c>
      <c r="G11974" s="476" t="s">
        <v>3798</v>
      </c>
      <c r="J11974" s="595">
        <f t="shared" si="359"/>
        <v>0</v>
      </c>
    </row>
    <row r="11975" spans="6:10" ht="15.75" hidden="1" thickBot="1" x14ac:dyDescent="0.3">
      <c r="F11975" s="485">
        <v>423</v>
      </c>
      <c r="G11975" s="476" t="s">
        <v>3799</v>
      </c>
      <c r="J11975" s="595">
        <f t="shared" si="359"/>
        <v>0</v>
      </c>
    </row>
    <row r="11976" spans="6:10" hidden="1" x14ac:dyDescent="0.25">
      <c r="F11976" s="485">
        <v>424</v>
      </c>
      <c r="G11976" s="476" t="s">
        <v>3801</v>
      </c>
      <c r="J11976" s="595">
        <f t="shared" si="359"/>
        <v>0</v>
      </c>
    </row>
    <row r="11977" spans="6:10" hidden="1" x14ac:dyDescent="0.25">
      <c r="F11977" s="485">
        <v>425</v>
      </c>
      <c r="G11977" s="476" t="s">
        <v>4202</v>
      </c>
      <c r="J11977" s="595">
        <f t="shared" si="359"/>
        <v>0</v>
      </c>
    </row>
    <row r="11978" spans="6:10" hidden="1" x14ac:dyDescent="0.25">
      <c r="F11978" s="485">
        <v>426</v>
      </c>
      <c r="G11978" s="476" t="s">
        <v>3805</v>
      </c>
      <c r="J11978" s="595">
        <f t="shared" si="359"/>
        <v>0</v>
      </c>
    </row>
    <row r="11979" spans="6:10" hidden="1" x14ac:dyDescent="0.25">
      <c r="F11979" s="485">
        <v>431</v>
      </c>
      <c r="G11979" s="476" t="s">
        <v>4203</v>
      </c>
      <c r="J11979" s="595">
        <f t="shared" si="359"/>
        <v>0</v>
      </c>
    </row>
    <row r="11980" spans="6:10" hidden="1" x14ac:dyDescent="0.25">
      <c r="F11980" s="485">
        <v>432</v>
      </c>
      <c r="G11980" s="476" t="s">
        <v>4204</v>
      </c>
      <c r="J11980" s="595">
        <f t="shared" si="359"/>
        <v>0</v>
      </c>
    </row>
    <row r="11981" spans="6:10" hidden="1" x14ac:dyDescent="0.25">
      <c r="F11981" s="485">
        <v>433</v>
      </c>
      <c r="G11981" s="476" t="s">
        <v>4205</v>
      </c>
      <c r="J11981" s="595">
        <f t="shared" si="359"/>
        <v>0</v>
      </c>
    </row>
    <row r="11982" spans="6:10" hidden="1" x14ac:dyDescent="0.25">
      <c r="F11982" s="485">
        <v>434</v>
      </c>
      <c r="G11982" s="476" t="s">
        <v>4206</v>
      </c>
      <c r="J11982" s="595">
        <f t="shared" si="359"/>
        <v>0</v>
      </c>
    </row>
    <row r="11983" spans="6:10" hidden="1" x14ac:dyDescent="0.25">
      <c r="F11983" s="485">
        <v>435</v>
      </c>
      <c r="G11983" s="476" t="s">
        <v>3812</v>
      </c>
      <c r="J11983" s="595">
        <f t="shared" si="359"/>
        <v>0</v>
      </c>
    </row>
    <row r="11984" spans="6:10" hidden="1" x14ac:dyDescent="0.25">
      <c r="F11984" s="485">
        <v>441</v>
      </c>
      <c r="G11984" s="476" t="s">
        <v>4207</v>
      </c>
      <c r="J11984" s="595">
        <f t="shared" si="359"/>
        <v>0</v>
      </c>
    </row>
    <row r="11985" spans="6:10" hidden="1" x14ac:dyDescent="0.25">
      <c r="F11985" s="485">
        <v>442</v>
      </c>
      <c r="G11985" s="476" t="s">
        <v>4208</v>
      </c>
      <c r="J11985" s="595">
        <f t="shared" si="359"/>
        <v>0</v>
      </c>
    </row>
    <row r="11986" spans="6:10" hidden="1" x14ac:dyDescent="0.25">
      <c r="F11986" s="485">
        <v>443</v>
      </c>
      <c r="G11986" s="476" t="s">
        <v>3817</v>
      </c>
      <c r="J11986" s="595">
        <f t="shared" si="359"/>
        <v>0</v>
      </c>
    </row>
    <row r="11987" spans="6:10" hidden="1" x14ac:dyDescent="0.25">
      <c r="F11987" s="485">
        <v>444</v>
      </c>
      <c r="G11987" s="476" t="s">
        <v>3818</v>
      </c>
      <c r="J11987" s="595">
        <f t="shared" si="359"/>
        <v>0</v>
      </c>
    </row>
    <row r="11988" spans="6:10" ht="30" hidden="1" x14ac:dyDescent="0.25">
      <c r="F11988" s="485">
        <v>4511</v>
      </c>
      <c r="G11988" s="223" t="s">
        <v>1692</v>
      </c>
      <c r="J11988" s="595">
        <f t="shared" si="359"/>
        <v>0</v>
      </c>
    </row>
    <row r="11989" spans="6:10" ht="30" hidden="1" x14ac:dyDescent="0.25">
      <c r="F11989" s="485">
        <v>4512</v>
      </c>
      <c r="G11989" s="223" t="s">
        <v>1701</v>
      </c>
      <c r="J11989" s="595">
        <f t="shared" si="359"/>
        <v>0</v>
      </c>
    </row>
    <row r="11990" spans="6:10" hidden="1" x14ac:dyDescent="0.25">
      <c r="F11990" s="485">
        <v>452</v>
      </c>
      <c r="G11990" s="476" t="s">
        <v>4209</v>
      </c>
      <c r="J11990" s="595">
        <f t="shared" si="359"/>
        <v>0</v>
      </c>
    </row>
    <row r="11991" spans="6:10" hidden="1" x14ac:dyDescent="0.25">
      <c r="F11991" s="485">
        <v>453</v>
      </c>
      <c r="G11991" s="476" t="s">
        <v>4210</v>
      </c>
      <c r="J11991" s="595">
        <f t="shared" si="359"/>
        <v>0</v>
      </c>
    </row>
    <row r="11992" spans="6:10" hidden="1" x14ac:dyDescent="0.25">
      <c r="F11992" s="485">
        <v>454</v>
      </c>
      <c r="G11992" s="476" t="s">
        <v>3823</v>
      </c>
      <c r="J11992" s="595">
        <f t="shared" si="359"/>
        <v>0</v>
      </c>
    </row>
    <row r="11993" spans="6:10" hidden="1" x14ac:dyDescent="0.25">
      <c r="F11993" s="485">
        <v>461</v>
      </c>
      <c r="G11993" s="476" t="s">
        <v>4191</v>
      </c>
      <c r="J11993" s="595">
        <f t="shared" si="359"/>
        <v>0</v>
      </c>
    </row>
    <row r="11994" spans="6:10" hidden="1" x14ac:dyDescent="0.25">
      <c r="F11994" s="485">
        <v>462</v>
      </c>
      <c r="G11994" s="476" t="s">
        <v>3826</v>
      </c>
      <c r="J11994" s="595">
        <f t="shared" si="359"/>
        <v>0</v>
      </c>
    </row>
    <row r="11995" spans="6:10" hidden="1" x14ac:dyDescent="0.25">
      <c r="F11995" s="485">
        <v>4631</v>
      </c>
      <c r="G11995" s="476" t="s">
        <v>3827</v>
      </c>
      <c r="J11995" s="595">
        <f t="shared" si="359"/>
        <v>0</v>
      </c>
    </row>
    <row r="11996" spans="6:10" hidden="1" x14ac:dyDescent="0.25">
      <c r="F11996" s="485">
        <v>4632</v>
      </c>
      <c r="G11996" s="476" t="s">
        <v>3828</v>
      </c>
      <c r="J11996" s="595">
        <f t="shared" si="359"/>
        <v>0</v>
      </c>
    </row>
    <row r="11997" spans="6:10" hidden="1" x14ac:dyDescent="0.25">
      <c r="F11997" s="485">
        <v>464</v>
      </c>
      <c r="G11997" s="476" t="s">
        <v>3829</v>
      </c>
      <c r="J11997" s="595">
        <f t="shared" si="359"/>
        <v>0</v>
      </c>
    </row>
    <row r="11998" spans="6:10" hidden="1" x14ac:dyDescent="0.25">
      <c r="F11998" s="485">
        <v>465</v>
      </c>
      <c r="G11998" s="476" t="s">
        <v>4192</v>
      </c>
      <c r="J11998" s="595">
        <f t="shared" si="359"/>
        <v>0</v>
      </c>
    </row>
    <row r="11999" spans="6:10" hidden="1" x14ac:dyDescent="0.25">
      <c r="F11999" s="485">
        <v>472</v>
      </c>
      <c r="G11999" s="476" t="s">
        <v>3833</v>
      </c>
      <c r="J11999" s="595">
        <f t="shared" si="359"/>
        <v>0</v>
      </c>
    </row>
    <row r="12000" spans="6:10" hidden="1" x14ac:dyDescent="0.25">
      <c r="F12000" s="485">
        <v>481</v>
      </c>
      <c r="G12000" s="476" t="s">
        <v>4211</v>
      </c>
      <c r="J12000" s="595">
        <f t="shared" si="359"/>
        <v>0</v>
      </c>
    </row>
    <row r="12001" spans="6:10" hidden="1" x14ac:dyDescent="0.25">
      <c r="F12001" s="485">
        <v>482</v>
      </c>
      <c r="G12001" s="476" t="s">
        <v>4212</v>
      </c>
      <c r="J12001" s="595">
        <f t="shared" si="359"/>
        <v>0</v>
      </c>
    </row>
    <row r="12002" spans="6:10" hidden="1" x14ac:dyDescent="0.25">
      <c r="F12002" s="485">
        <v>483</v>
      </c>
      <c r="G12002" s="478" t="s">
        <v>4213</v>
      </c>
      <c r="J12002" s="595">
        <f t="shared" si="359"/>
        <v>0</v>
      </c>
    </row>
    <row r="12003" spans="6:10" ht="30" hidden="1" x14ac:dyDescent="0.25">
      <c r="F12003" s="485">
        <v>484</v>
      </c>
      <c r="G12003" s="476" t="s">
        <v>4214</v>
      </c>
      <c r="J12003" s="595">
        <f t="shared" si="359"/>
        <v>0</v>
      </c>
    </row>
    <row r="12004" spans="6:10" ht="30" hidden="1" x14ac:dyDescent="0.25">
      <c r="F12004" s="485">
        <v>485</v>
      </c>
      <c r="G12004" s="476" t="s">
        <v>4215</v>
      </c>
      <c r="J12004" s="595">
        <f t="shared" si="359"/>
        <v>0</v>
      </c>
    </row>
    <row r="12005" spans="6:10" ht="30" hidden="1" x14ac:dyDescent="0.25">
      <c r="F12005" s="485">
        <v>489</v>
      </c>
      <c r="G12005" s="476" t="s">
        <v>3841</v>
      </c>
      <c r="J12005" s="595">
        <f t="shared" si="359"/>
        <v>0</v>
      </c>
    </row>
    <row r="12006" spans="6:10" hidden="1" x14ac:dyDescent="0.25">
      <c r="F12006" s="485">
        <v>494</v>
      </c>
      <c r="G12006" s="476" t="s">
        <v>4193</v>
      </c>
      <c r="J12006" s="595">
        <f t="shared" si="359"/>
        <v>0</v>
      </c>
    </row>
    <row r="12007" spans="6:10" ht="30" hidden="1" x14ac:dyDescent="0.25">
      <c r="F12007" s="485">
        <v>495</v>
      </c>
      <c r="G12007" s="476" t="s">
        <v>4194</v>
      </c>
      <c r="J12007" s="595">
        <f t="shared" si="359"/>
        <v>0</v>
      </c>
    </row>
    <row r="12008" spans="6:10" ht="30" hidden="1" x14ac:dyDescent="0.25">
      <c r="F12008" s="485">
        <v>496</v>
      </c>
      <c r="G12008" s="476" t="s">
        <v>4195</v>
      </c>
      <c r="J12008" s="595">
        <f t="shared" si="359"/>
        <v>0</v>
      </c>
    </row>
    <row r="12009" spans="6:10" hidden="1" x14ac:dyDescent="0.25">
      <c r="F12009" s="485">
        <v>499</v>
      </c>
      <c r="G12009" s="476" t="s">
        <v>4196</v>
      </c>
      <c r="J12009" s="595">
        <f t="shared" si="359"/>
        <v>0</v>
      </c>
    </row>
    <row r="12010" spans="6:10" hidden="1" x14ac:dyDescent="0.25">
      <c r="F12010" s="485">
        <v>511</v>
      </c>
      <c r="G12010" s="478" t="s">
        <v>4216</v>
      </c>
      <c r="J12010" s="595">
        <f t="shared" si="359"/>
        <v>0</v>
      </c>
    </row>
    <row r="12011" spans="6:10" hidden="1" x14ac:dyDescent="0.25">
      <c r="F12011" s="485">
        <v>512</v>
      </c>
      <c r="G12011" s="478" t="s">
        <v>4217</v>
      </c>
      <c r="J12011" s="595">
        <f t="shared" si="359"/>
        <v>0</v>
      </c>
    </row>
    <row r="12012" spans="6:10" hidden="1" x14ac:dyDescent="0.25">
      <c r="F12012" s="485">
        <v>513</v>
      </c>
      <c r="G12012" s="478" t="s">
        <v>4218</v>
      </c>
      <c r="J12012" s="595">
        <f t="shared" si="359"/>
        <v>0</v>
      </c>
    </row>
    <row r="12013" spans="6:10" hidden="1" x14ac:dyDescent="0.25">
      <c r="F12013" s="485">
        <v>514</v>
      </c>
      <c r="G12013" s="476" t="s">
        <v>4219</v>
      </c>
      <c r="J12013" s="595">
        <f t="shared" si="359"/>
        <v>0</v>
      </c>
    </row>
    <row r="12014" spans="6:10" hidden="1" x14ac:dyDescent="0.25">
      <c r="F12014" s="485">
        <v>515</v>
      </c>
      <c r="G12014" s="476" t="s">
        <v>3852</v>
      </c>
      <c r="J12014" s="595">
        <f t="shared" si="359"/>
        <v>0</v>
      </c>
    </row>
    <row r="12015" spans="6:10" hidden="1" x14ac:dyDescent="0.25">
      <c r="F12015" s="485">
        <v>521</v>
      </c>
      <c r="G12015" s="476" t="s">
        <v>4220</v>
      </c>
      <c r="J12015" s="595">
        <f t="shared" si="359"/>
        <v>0</v>
      </c>
    </row>
    <row r="12016" spans="6:10" hidden="1" x14ac:dyDescent="0.25">
      <c r="F12016" s="485">
        <v>522</v>
      </c>
      <c r="G12016" s="476" t="s">
        <v>4221</v>
      </c>
      <c r="J12016" s="595">
        <f t="shared" si="359"/>
        <v>0</v>
      </c>
    </row>
    <row r="12017" spans="5:10" hidden="1" x14ac:dyDescent="0.25">
      <c r="F12017" s="485">
        <v>523</v>
      </c>
      <c r="G12017" s="476" t="s">
        <v>3857</v>
      </c>
      <c r="J12017" s="595">
        <f t="shared" si="359"/>
        <v>0</v>
      </c>
    </row>
    <row r="12018" spans="5:10" hidden="1" x14ac:dyDescent="0.25">
      <c r="F12018" s="485">
        <v>531</v>
      </c>
      <c r="G12018" s="473" t="s">
        <v>4197</v>
      </c>
      <c r="J12018" s="595">
        <f t="shared" si="359"/>
        <v>0</v>
      </c>
    </row>
    <row r="12019" spans="5:10" hidden="1" x14ac:dyDescent="0.25">
      <c r="F12019" s="485">
        <v>541</v>
      </c>
      <c r="G12019" s="476" t="s">
        <v>4222</v>
      </c>
      <c r="J12019" s="595">
        <f t="shared" si="359"/>
        <v>0</v>
      </c>
    </row>
    <row r="12020" spans="5:10" hidden="1" x14ac:dyDescent="0.25">
      <c r="F12020" s="485">
        <v>542</v>
      </c>
      <c r="G12020" s="476" t="s">
        <v>4223</v>
      </c>
      <c r="J12020" s="595">
        <f t="shared" si="359"/>
        <v>0</v>
      </c>
    </row>
    <row r="12021" spans="5:10" hidden="1" x14ac:dyDescent="0.25">
      <c r="F12021" s="485">
        <v>543</v>
      </c>
      <c r="G12021" s="476" t="s">
        <v>3862</v>
      </c>
      <c r="J12021" s="595">
        <f t="shared" si="359"/>
        <v>0</v>
      </c>
    </row>
    <row r="12022" spans="5:10" ht="30" hidden="1" x14ac:dyDescent="0.25">
      <c r="F12022" s="485">
        <v>551</v>
      </c>
      <c r="G12022" s="476" t="s">
        <v>4198</v>
      </c>
      <c r="J12022" s="595">
        <f t="shared" si="359"/>
        <v>0</v>
      </c>
    </row>
    <row r="12023" spans="5:10" hidden="1" x14ac:dyDescent="0.25">
      <c r="F12023" s="486">
        <v>611</v>
      </c>
      <c r="G12023" s="484" t="s">
        <v>3868</v>
      </c>
      <c r="J12023" s="595">
        <f t="shared" si="359"/>
        <v>0</v>
      </c>
    </row>
    <row r="12024" spans="5:10" ht="15.75" hidden="1" thickBot="1" x14ac:dyDescent="0.3">
      <c r="F12024" s="486">
        <v>620</v>
      </c>
      <c r="G12024" s="484" t="s">
        <v>88</v>
      </c>
      <c r="J12024" s="595">
        <f t="shared" si="359"/>
        <v>0</v>
      </c>
    </row>
    <row r="12025" spans="5:10" hidden="1" x14ac:dyDescent="0.25">
      <c r="E12025" s="474"/>
      <c r="F12025" s="486"/>
      <c r="G12025" s="326" t="s">
        <v>4459</v>
      </c>
      <c r="H12025" s="596"/>
      <c r="I12025" s="622"/>
      <c r="J12025" s="597"/>
    </row>
    <row r="12026" spans="5:10" hidden="1" x14ac:dyDescent="0.25">
      <c r="E12026" s="222"/>
      <c r="F12026" s="249" t="s">
        <v>234</v>
      </c>
      <c r="G12026" s="252" t="s">
        <v>235</v>
      </c>
      <c r="H12026" s="598">
        <f>SUM(H11965:H12024)</f>
        <v>0</v>
      </c>
      <c r="I12026" s="599"/>
      <c r="J12026" s="599">
        <f>SUM(H12026:I12026)</f>
        <v>0</v>
      </c>
    </row>
    <row r="12027" spans="5:10" hidden="1" x14ac:dyDescent="0.25">
      <c r="F12027" s="249" t="s">
        <v>236</v>
      </c>
      <c r="G12027" s="252" t="s">
        <v>237</v>
      </c>
      <c r="J12027" s="599">
        <f t="shared" ref="J12027:J12041" si="360">SUM(H12027:I12027)</f>
        <v>0</v>
      </c>
    </row>
    <row r="12028" spans="5:10" hidden="1" x14ac:dyDescent="0.25">
      <c r="F12028" s="249" t="s">
        <v>238</v>
      </c>
      <c r="G12028" s="252" t="s">
        <v>239</v>
      </c>
      <c r="J12028" s="599">
        <f t="shared" si="360"/>
        <v>0</v>
      </c>
    </row>
    <row r="12029" spans="5:10" ht="15.75" hidden="1" thickBot="1" x14ac:dyDescent="0.3">
      <c r="F12029" s="249" t="s">
        <v>240</v>
      </c>
      <c r="G12029" s="252" t="s">
        <v>241</v>
      </c>
      <c r="J12029" s="599">
        <f t="shared" si="360"/>
        <v>0</v>
      </c>
    </row>
    <row r="12030" spans="5:10" hidden="1" x14ac:dyDescent="0.25">
      <c r="F12030" s="249" t="s">
        <v>242</v>
      </c>
      <c r="G12030" s="252" t="s">
        <v>243</v>
      </c>
      <c r="J12030" s="599">
        <f t="shared" si="360"/>
        <v>0</v>
      </c>
    </row>
    <row r="12031" spans="5:10" hidden="1" x14ac:dyDescent="0.25">
      <c r="F12031" s="249" t="s">
        <v>244</v>
      </c>
      <c r="G12031" s="252" t="s">
        <v>245</v>
      </c>
      <c r="J12031" s="599">
        <f t="shared" si="360"/>
        <v>0</v>
      </c>
    </row>
    <row r="12032" spans="5:10" hidden="1" x14ac:dyDescent="0.25">
      <c r="F12032" s="249" t="s">
        <v>246</v>
      </c>
      <c r="G12032" s="252" t="s">
        <v>247</v>
      </c>
      <c r="J12032" s="599">
        <f t="shared" si="360"/>
        <v>0</v>
      </c>
    </row>
    <row r="12033" spans="5:10" hidden="1" x14ac:dyDescent="0.25">
      <c r="F12033" s="249" t="s">
        <v>248</v>
      </c>
      <c r="G12033" s="252" t="s">
        <v>249</v>
      </c>
      <c r="J12033" s="599">
        <f t="shared" si="360"/>
        <v>0</v>
      </c>
    </row>
    <row r="12034" spans="5:10" hidden="1" x14ac:dyDescent="0.25">
      <c r="F12034" s="249" t="s">
        <v>250</v>
      </c>
      <c r="G12034" s="252" t="s">
        <v>57</v>
      </c>
      <c r="J12034" s="599">
        <f t="shared" si="360"/>
        <v>0</v>
      </c>
    </row>
    <row r="12035" spans="5:10" hidden="1" x14ac:dyDescent="0.25">
      <c r="F12035" s="249" t="s">
        <v>251</v>
      </c>
      <c r="G12035" s="252" t="s">
        <v>252</v>
      </c>
      <c r="J12035" s="599">
        <f t="shared" si="360"/>
        <v>0</v>
      </c>
    </row>
    <row r="12036" spans="5:10" hidden="1" x14ac:dyDescent="0.25">
      <c r="F12036" s="249" t="s">
        <v>253</v>
      </c>
      <c r="G12036" s="252" t="s">
        <v>254</v>
      </c>
      <c r="J12036" s="599">
        <f t="shared" si="360"/>
        <v>0</v>
      </c>
    </row>
    <row r="12037" spans="5:10" ht="30" hidden="1" x14ac:dyDescent="0.25">
      <c r="F12037" s="249" t="s">
        <v>255</v>
      </c>
      <c r="G12037" s="252" t="s">
        <v>256</v>
      </c>
      <c r="J12037" s="599">
        <f t="shared" si="360"/>
        <v>0</v>
      </c>
    </row>
    <row r="12038" spans="5:10" hidden="1" x14ac:dyDescent="0.25">
      <c r="F12038" s="249" t="s">
        <v>257</v>
      </c>
      <c r="G12038" s="252" t="s">
        <v>258</v>
      </c>
      <c r="J12038" s="599">
        <f t="shared" si="360"/>
        <v>0</v>
      </c>
    </row>
    <row r="12039" spans="5:10" ht="30" hidden="1" x14ac:dyDescent="0.25">
      <c r="F12039" s="249" t="s">
        <v>259</v>
      </c>
      <c r="G12039" s="252" t="s">
        <v>260</v>
      </c>
      <c r="J12039" s="599">
        <f t="shared" si="360"/>
        <v>0</v>
      </c>
    </row>
    <row r="12040" spans="5:10" hidden="1" x14ac:dyDescent="0.25">
      <c r="F12040" s="249" t="s">
        <v>261</v>
      </c>
      <c r="G12040" s="252" t="s">
        <v>262</v>
      </c>
      <c r="J12040" s="599">
        <f t="shared" si="360"/>
        <v>0</v>
      </c>
    </row>
    <row r="12041" spans="5:10" ht="15.75" hidden="1" thickBot="1" x14ac:dyDescent="0.3">
      <c r="F12041" s="249" t="s">
        <v>263</v>
      </c>
      <c r="G12041" s="252" t="s">
        <v>264</v>
      </c>
      <c r="H12041" s="598"/>
      <c r="I12041" s="599"/>
      <c r="J12041" s="599">
        <f t="shared" si="360"/>
        <v>0</v>
      </c>
    </row>
    <row r="12042" spans="5:10" ht="15.75" hidden="1" thickBot="1" x14ac:dyDescent="0.3">
      <c r="G12042" s="229" t="s">
        <v>4460</v>
      </c>
      <c r="H12042" s="600">
        <f>SUM(H12026:H12041)</f>
        <v>0</v>
      </c>
      <c r="I12042" s="601">
        <f>SUM(I12027:I12041)</f>
        <v>0</v>
      </c>
      <c r="J12042" s="601">
        <f>SUM(J12026:J12041)</f>
        <v>0</v>
      </c>
    </row>
    <row r="12043" spans="5:10" hidden="1" collapsed="1" x14ac:dyDescent="0.25">
      <c r="E12043" s="474"/>
      <c r="F12043" s="486"/>
      <c r="G12043" s="231" t="s">
        <v>5060</v>
      </c>
      <c r="H12043" s="602"/>
      <c r="I12043" s="623"/>
      <c r="J12043" s="603"/>
    </row>
    <row r="12044" spans="5:10" hidden="1" x14ac:dyDescent="0.25">
      <c r="E12044" s="222"/>
      <c r="F12044" s="249" t="s">
        <v>234</v>
      </c>
      <c r="G12044" s="252" t="s">
        <v>235</v>
      </c>
      <c r="H12044" s="598">
        <f>SUM(H11965:H12024)</f>
        <v>0</v>
      </c>
      <c r="I12044" s="599"/>
      <c r="J12044" s="599">
        <f>SUM(H12044:I12044)</f>
        <v>0</v>
      </c>
    </row>
    <row r="12045" spans="5:10" hidden="1" x14ac:dyDescent="0.25">
      <c r="F12045" s="249" t="s">
        <v>236</v>
      </c>
      <c r="G12045" s="252" t="s">
        <v>237</v>
      </c>
      <c r="J12045" s="599">
        <f t="shared" ref="J12045:J12059" si="361">SUM(H12045:I12045)</f>
        <v>0</v>
      </c>
    </row>
    <row r="12046" spans="5:10" hidden="1" x14ac:dyDescent="0.25">
      <c r="F12046" s="249" t="s">
        <v>238</v>
      </c>
      <c r="G12046" s="252" t="s">
        <v>239</v>
      </c>
      <c r="J12046" s="599">
        <f t="shared" si="361"/>
        <v>0</v>
      </c>
    </row>
    <row r="12047" spans="5:10" ht="15.75" hidden="1" thickBot="1" x14ac:dyDescent="0.3">
      <c r="F12047" s="249" t="s">
        <v>240</v>
      </c>
      <c r="G12047" s="252" t="s">
        <v>241</v>
      </c>
      <c r="J12047" s="599">
        <f t="shared" si="361"/>
        <v>0</v>
      </c>
    </row>
    <row r="12048" spans="5:10" hidden="1" x14ac:dyDescent="0.25">
      <c r="F12048" s="249" t="s">
        <v>242</v>
      </c>
      <c r="G12048" s="252" t="s">
        <v>243</v>
      </c>
      <c r="J12048" s="599">
        <f t="shared" si="361"/>
        <v>0</v>
      </c>
    </row>
    <row r="12049" spans="5:10" hidden="1" x14ac:dyDescent="0.25">
      <c r="F12049" s="249" t="s">
        <v>244</v>
      </c>
      <c r="G12049" s="252" t="s">
        <v>245</v>
      </c>
      <c r="J12049" s="599">
        <f t="shared" si="361"/>
        <v>0</v>
      </c>
    </row>
    <row r="12050" spans="5:10" hidden="1" x14ac:dyDescent="0.25">
      <c r="F12050" s="249" t="s">
        <v>246</v>
      </c>
      <c r="G12050" s="252" t="s">
        <v>247</v>
      </c>
      <c r="J12050" s="599">
        <f t="shared" si="361"/>
        <v>0</v>
      </c>
    </row>
    <row r="12051" spans="5:10" hidden="1" x14ac:dyDescent="0.25">
      <c r="F12051" s="249" t="s">
        <v>248</v>
      </c>
      <c r="G12051" s="252" t="s">
        <v>249</v>
      </c>
      <c r="J12051" s="599">
        <f t="shared" si="361"/>
        <v>0</v>
      </c>
    </row>
    <row r="12052" spans="5:10" hidden="1" x14ac:dyDescent="0.25">
      <c r="F12052" s="249" t="s">
        <v>250</v>
      </c>
      <c r="G12052" s="252" t="s">
        <v>57</v>
      </c>
      <c r="J12052" s="599">
        <f t="shared" si="361"/>
        <v>0</v>
      </c>
    </row>
    <row r="12053" spans="5:10" hidden="1" x14ac:dyDescent="0.25">
      <c r="F12053" s="249" t="s">
        <v>251</v>
      </c>
      <c r="G12053" s="252" t="s">
        <v>252</v>
      </c>
      <c r="J12053" s="599">
        <f t="shared" si="361"/>
        <v>0</v>
      </c>
    </row>
    <row r="12054" spans="5:10" hidden="1" x14ac:dyDescent="0.25">
      <c r="F12054" s="249" t="s">
        <v>253</v>
      </c>
      <c r="G12054" s="252" t="s">
        <v>254</v>
      </c>
      <c r="J12054" s="599">
        <f t="shared" si="361"/>
        <v>0</v>
      </c>
    </row>
    <row r="12055" spans="5:10" ht="30" hidden="1" x14ac:dyDescent="0.25">
      <c r="F12055" s="249" t="s">
        <v>255</v>
      </c>
      <c r="G12055" s="252" t="s">
        <v>256</v>
      </c>
      <c r="J12055" s="599">
        <f t="shared" si="361"/>
        <v>0</v>
      </c>
    </row>
    <row r="12056" spans="5:10" hidden="1" x14ac:dyDescent="0.25">
      <c r="F12056" s="249" t="s">
        <v>257</v>
      </c>
      <c r="G12056" s="252" t="s">
        <v>258</v>
      </c>
      <c r="J12056" s="599">
        <f t="shared" si="361"/>
        <v>0</v>
      </c>
    </row>
    <row r="12057" spans="5:10" ht="30" hidden="1" x14ac:dyDescent="0.25">
      <c r="F12057" s="249" t="s">
        <v>259</v>
      </c>
      <c r="G12057" s="252" t="s">
        <v>260</v>
      </c>
      <c r="J12057" s="599">
        <f t="shared" si="361"/>
        <v>0</v>
      </c>
    </row>
    <row r="12058" spans="5:10" hidden="1" x14ac:dyDescent="0.25">
      <c r="F12058" s="249" t="s">
        <v>261</v>
      </c>
      <c r="G12058" s="252" t="s">
        <v>262</v>
      </c>
      <c r="J12058" s="599">
        <f t="shared" si="361"/>
        <v>0</v>
      </c>
    </row>
    <row r="12059" spans="5:10" ht="15.75" hidden="1" thickBot="1" x14ac:dyDescent="0.3">
      <c r="F12059" s="249" t="s">
        <v>263</v>
      </c>
      <c r="G12059" s="252" t="s">
        <v>264</v>
      </c>
      <c r="H12059" s="598"/>
      <c r="I12059" s="599"/>
      <c r="J12059" s="599">
        <f t="shared" si="361"/>
        <v>0</v>
      </c>
    </row>
    <row r="12060" spans="5:10" ht="15.75" hidden="1" thickBot="1" x14ac:dyDescent="0.3">
      <c r="G12060" s="229" t="s">
        <v>5047</v>
      </c>
      <c r="H12060" s="600">
        <f>SUM(H12044:H12059)</f>
        <v>0</v>
      </c>
      <c r="I12060" s="601">
        <f>SUM(I12045:I12059)</f>
        <v>0</v>
      </c>
      <c r="J12060" s="601">
        <f>SUM(J12044:J12059)</f>
        <v>0</v>
      </c>
    </row>
    <row r="12061" spans="5:10" hidden="1" x14ac:dyDescent="0.25"/>
    <row r="12062" spans="5:10" hidden="1" x14ac:dyDescent="0.25">
      <c r="E12062" s="474"/>
      <c r="F12062" s="486"/>
      <c r="G12062" s="250" t="s">
        <v>4346</v>
      </c>
      <c r="H12062" s="606"/>
      <c r="I12062" s="624"/>
      <c r="J12062" s="607"/>
    </row>
    <row r="12063" spans="5:10" hidden="1" x14ac:dyDescent="0.25">
      <c r="E12063" s="222"/>
      <c r="F12063" s="249" t="s">
        <v>234</v>
      </c>
      <c r="G12063" s="252" t="s">
        <v>235</v>
      </c>
      <c r="H12063" s="598">
        <f>SUM(H12044,H11945)</f>
        <v>0</v>
      </c>
      <c r="I12063" s="599"/>
      <c r="J12063" s="599">
        <f>SUM(H12063:I12063)</f>
        <v>0</v>
      </c>
    </row>
    <row r="12064" spans="5:10" hidden="1" x14ac:dyDescent="0.25">
      <c r="F12064" s="249" t="s">
        <v>236</v>
      </c>
      <c r="G12064" s="252" t="s">
        <v>237</v>
      </c>
      <c r="J12064" s="599">
        <f t="shared" ref="J12064:J12078" si="362">SUM(H12064:I12064)</f>
        <v>0</v>
      </c>
    </row>
    <row r="12065" spans="6:10" hidden="1" x14ac:dyDescent="0.25">
      <c r="F12065" s="249" t="s">
        <v>238</v>
      </c>
      <c r="G12065" s="252" t="s">
        <v>239</v>
      </c>
      <c r="J12065" s="599">
        <f t="shared" si="362"/>
        <v>0</v>
      </c>
    </row>
    <row r="12066" spans="6:10" ht="15.75" hidden="1" thickBot="1" x14ac:dyDescent="0.3">
      <c r="F12066" s="249" t="s">
        <v>240</v>
      </c>
      <c r="G12066" s="252" t="s">
        <v>241</v>
      </c>
      <c r="J12066" s="599">
        <f t="shared" si="362"/>
        <v>0</v>
      </c>
    </row>
    <row r="12067" spans="6:10" hidden="1" x14ac:dyDescent="0.25">
      <c r="F12067" s="249" t="s">
        <v>242</v>
      </c>
      <c r="G12067" s="252" t="s">
        <v>243</v>
      </c>
      <c r="J12067" s="599">
        <f t="shared" si="362"/>
        <v>0</v>
      </c>
    </row>
    <row r="12068" spans="6:10" hidden="1" x14ac:dyDescent="0.25">
      <c r="F12068" s="249" t="s">
        <v>244</v>
      </c>
      <c r="G12068" s="252" t="s">
        <v>245</v>
      </c>
      <c r="J12068" s="599">
        <f t="shared" si="362"/>
        <v>0</v>
      </c>
    </row>
    <row r="12069" spans="6:10" hidden="1" x14ac:dyDescent="0.25">
      <c r="F12069" s="249" t="s">
        <v>246</v>
      </c>
      <c r="G12069" s="252" t="s">
        <v>247</v>
      </c>
      <c r="J12069" s="599">
        <f t="shared" si="362"/>
        <v>0</v>
      </c>
    </row>
    <row r="12070" spans="6:10" hidden="1" x14ac:dyDescent="0.25">
      <c r="F12070" s="249" t="s">
        <v>248</v>
      </c>
      <c r="G12070" s="252" t="s">
        <v>249</v>
      </c>
      <c r="J12070" s="599">
        <f t="shared" si="362"/>
        <v>0</v>
      </c>
    </row>
    <row r="12071" spans="6:10" hidden="1" x14ac:dyDescent="0.25">
      <c r="F12071" s="249" t="s">
        <v>250</v>
      </c>
      <c r="G12071" s="252" t="s">
        <v>57</v>
      </c>
      <c r="J12071" s="599">
        <f t="shared" si="362"/>
        <v>0</v>
      </c>
    </row>
    <row r="12072" spans="6:10" hidden="1" x14ac:dyDescent="0.25">
      <c r="F12072" s="249" t="s">
        <v>251</v>
      </c>
      <c r="G12072" s="252" t="s">
        <v>252</v>
      </c>
      <c r="J12072" s="599">
        <f t="shared" si="362"/>
        <v>0</v>
      </c>
    </row>
    <row r="12073" spans="6:10" hidden="1" x14ac:dyDescent="0.25">
      <c r="F12073" s="249" t="s">
        <v>253</v>
      </c>
      <c r="G12073" s="252" t="s">
        <v>254</v>
      </c>
      <c r="J12073" s="599">
        <f t="shared" si="362"/>
        <v>0</v>
      </c>
    </row>
    <row r="12074" spans="6:10" ht="30" hidden="1" x14ac:dyDescent="0.25">
      <c r="F12074" s="249" t="s">
        <v>255</v>
      </c>
      <c r="G12074" s="252" t="s">
        <v>256</v>
      </c>
      <c r="J12074" s="599">
        <f t="shared" si="362"/>
        <v>0</v>
      </c>
    </row>
    <row r="12075" spans="6:10" hidden="1" x14ac:dyDescent="0.25">
      <c r="F12075" s="249" t="s">
        <v>257</v>
      </c>
      <c r="G12075" s="252" t="s">
        <v>258</v>
      </c>
      <c r="J12075" s="599">
        <f t="shared" si="362"/>
        <v>0</v>
      </c>
    </row>
    <row r="12076" spans="6:10" ht="30" hidden="1" x14ac:dyDescent="0.25">
      <c r="F12076" s="249" t="s">
        <v>259</v>
      </c>
      <c r="G12076" s="252" t="s">
        <v>260</v>
      </c>
      <c r="J12076" s="599">
        <f t="shared" si="362"/>
        <v>0</v>
      </c>
    </row>
    <row r="12077" spans="6:10" hidden="1" x14ac:dyDescent="0.25">
      <c r="F12077" s="249" t="s">
        <v>261</v>
      </c>
      <c r="G12077" s="252" t="s">
        <v>262</v>
      </c>
      <c r="J12077" s="599">
        <f t="shared" si="362"/>
        <v>0</v>
      </c>
    </row>
    <row r="12078" spans="6:10" ht="15.75" hidden="1" thickBot="1" x14ac:dyDescent="0.3">
      <c r="F12078" s="249" t="s">
        <v>263</v>
      </c>
      <c r="G12078" s="252" t="s">
        <v>264</v>
      </c>
      <c r="H12078" s="598"/>
      <c r="I12078" s="599"/>
      <c r="J12078" s="599">
        <f t="shared" si="362"/>
        <v>0</v>
      </c>
    </row>
    <row r="12079" spans="6:10" ht="15.75" hidden="1" thickBot="1" x14ac:dyDescent="0.3">
      <c r="G12079" s="229" t="s">
        <v>4347</v>
      </c>
      <c r="H12079" s="600">
        <f>SUM(H12063:H12078)</f>
        <v>0</v>
      </c>
      <c r="I12079" s="601">
        <f>SUM(I12064:I12078)</f>
        <v>0</v>
      </c>
      <c r="J12079" s="601">
        <f>SUM(J12063:J12078)</f>
        <v>0</v>
      </c>
    </row>
    <row r="12080" spans="6:10" hidden="1" x14ac:dyDescent="0.25"/>
    <row r="12081" spans="5:10" hidden="1" x14ac:dyDescent="0.25">
      <c r="E12081" s="474"/>
      <c r="F12081" s="486"/>
      <c r="G12081" s="250" t="s">
        <v>5087</v>
      </c>
      <c r="H12081" s="606"/>
      <c r="I12081" s="624"/>
      <c r="J12081" s="607"/>
    </row>
    <row r="12082" spans="5:10" hidden="1" x14ac:dyDescent="0.25">
      <c r="E12082" s="222"/>
      <c r="F12082" s="249" t="s">
        <v>234</v>
      </c>
      <c r="G12082" s="252" t="s">
        <v>235</v>
      </c>
      <c r="H12082" s="598">
        <f>SUM(H12063)</f>
        <v>0</v>
      </c>
      <c r="I12082" s="599"/>
      <c r="J12082" s="599">
        <f>SUM(H12082:I12082)</f>
        <v>0</v>
      </c>
    </row>
    <row r="12083" spans="5:10" hidden="1" x14ac:dyDescent="0.25">
      <c r="F12083" s="249" t="s">
        <v>236</v>
      </c>
      <c r="G12083" s="252" t="s">
        <v>237</v>
      </c>
      <c r="J12083" s="599">
        <f t="shared" ref="J12083:J12097" si="363">SUM(H12083:I12083)</f>
        <v>0</v>
      </c>
    </row>
    <row r="12084" spans="5:10" hidden="1" x14ac:dyDescent="0.25">
      <c r="F12084" s="249" t="s">
        <v>238</v>
      </c>
      <c r="G12084" s="252" t="s">
        <v>239</v>
      </c>
      <c r="J12084" s="599">
        <f t="shared" si="363"/>
        <v>0</v>
      </c>
    </row>
    <row r="12085" spans="5:10" ht="15.75" hidden="1" thickBot="1" x14ac:dyDescent="0.3">
      <c r="F12085" s="249" t="s">
        <v>240</v>
      </c>
      <c r="G12085" s="252" t="s">
        <v>241</v>
      </c>
      <c r="J12085" s="599">
        <f t="shared" si="363"/>
        <v>0</v>
      </c>
    </row>
    <row r="12086" spans="5:10" hidden="1" x14ac:dyDescent="0.25">
      <c r="F12086" s="249" t="s">
        <v>242</v>
      </c>
      <c r="G12086" s="252" t="s">
        <v>243</v>
      </c>
      <c r="J12086" s="599">
        <f t="shared" si="363"/>
        <v>0</v>
      </c>
    </row>
    <row r="12087" spans="5:10" hidden="1" x14ac:dyDescent="0.25">
      <c r="F12087" s="249" t="s">
        <v>244</v>
      </c>
      <c r="G12087" s="252" t="s">
        <v>245</v>
      </c>
      <c r="J12087" s="599">
        <f t="shared" si="363"/>
        <v>0</v>
      </c>
    </row>
    <row r="12088" spans="5:10" hidden="1" x14ac:dyDescent="0.25">
      <c r="F12088" s="249" t="s">
        <v>246</v>
      </c>
      <c r="G12088" s="252" t="s">
        <v>247</v>
      </c>
      <c r="J12088" s="599">
        <f t="shared" si="363"/>
        <v>0</v>
      </c>
    </row>
    <row r="12089" spans="5:10" hidden="1" x14ac:dyDescent="0.25">
      <c r="F12089" s="249" t="s">
        <v>248</v>
      </c>
      <c r="G12089" s="252" t="s">
        <v>249</v>
      </c>
      <c r="J12089" s="599">
        <f t="shared" si="363"/>
        <v>0</v>
      </c>
    </row>
    <row r="12090" spans="5:10" hidden="1" x14ac:dyDescent="0.25">
      <c r="F12090" s="249" t="s">
        <v>250</v>
      </c>
      <c r="G12090" s="252" t="s">
        <v>57</v>
      </c>
      <c r="J12090" s="599">
        <f t="shared" si="363"/>
        <v>0</v>
      </c>
    </row>
    <row r="12091" spans="5:10" hidden="1" x14ac:dyDescent="0.25">
      <c r="F12091" s="249" t="s">
        <v>251</v>
      </c>
      <c r="G12091" s="252" t="s">
        <v>252</v>
      </c>
      <c r="J12091" s="599">
        <f t="shared" si="363"/>
        <v>0</v>
      </c>
    </row>
    <row r="12092" spans="5:10" hidden="1" x14ac:dyDescent="0.25">
      <c r="F12092" s="249" t="s">
        <v>253</v>
      </c>
      <c r="G12092" s="252" t="s">
        <v>254</v>
      </c>
      <c r="J12092" s="599">
        <f t="shared" si="363"/>
        <v>0</v>
      </c>
    </row>
    <row r="12093" spans="5:10" ht="30" hidden="1" x14ac:dyDescent="0.25">
      <c r="F12093" s="249" t="s">
        <v>255</v>
      </c>
      <c r="G12093" s="252" t="s">
        <v>256</v>
      </c>
      <c r="J12093" s="599">
        <f t="shared" si="363"/>
        <v>0</v>
      </c>
    </row>
    <row r="12094" spans="5:10" hidden="1" x14ac:dyDescent="0.25">
      <c r="F12094" s="249" t="s">
        <v>257</v>
      </c>
      <c r="G12094" s="252" t="s">
        <v>258</v>
      </c>
      <c r="J12094" s="599">
        <f t="shared" si="363"/>
        <v>0</v>
      </c>
    </row>
    <row r="12095" spans="5:10" ht="30" hidden="1" x14ac:dyDescent="0.25">
      <c r="F12095" s="249" t="s">
        <v>259</v>
      </c>
      <c r="G12095" s="252" t="s">
        <v>260</v>
      </c>
      <c r="J12095" s="599">
        <f t="shared" si="363"/>
        <v>0</v>
      </c>
    </row>
    <row r="12096" spans="5:10" hidden="1" x14ac:dyDescent="0.25">
      <c r="F12096" s="249" t="s">
        <v>261</v>
      </c>
      <c r="G12096" s="252" t="s">
        <v>262</v>
      </c>
      <c r="J12096" s="599">
        <f t="shared" si="363"/>
        <v>0</v>
      </c>
    </row>
    <row r="12097" spans="1:10" ht="15.75" hidden="1" thickBot="1" x14ac:dyDescent="0.3">
      <c r="F12097" s="249" t="s">
        <v>263</v>
      </c>
      <c r="G12097" s="252" t="s">
        <v>264</v>
      </c>
      <c r="H12097" s="598"/>
      <c r="I12097" s="599"/>
      <c r="J12097" s="599">
        <f t="shared" si="363"/>
        <v>0</v>
      </c>
    </row>
    <row r="12098" spans="1:10" ht="15.75" hidden="1" thickBot="1" x14ac:dyDescent="0.3">
      <c r="G12098" s="229" t="s">
        <v>5088</v>
      </c>
      <c r="H12098" s="600">
        <f>SUM(H12082:H12097)</f>
        <v>0</v>
      </c>
      <c r="I12098" s="601">
        <f>SUM(I12083:I12097)</f>
        <v>0</v>
      </c>
      <c r="J12098" s="601">
        <f>SUM(J12082:J12097)</f>
        <v>0</v>
      </c>
    </row>
    <row r="12099" spans="1:10" hidden="1" x14ac:dyDescent="0.25"/>
    <row r="12100" spans="1:10" hidden="1" x14ac:dyDescent="0.25">
      <c r="A12100" s="463">
        <v>4</v>
      </c>
      <c r="B12100" s="464" t="s">
        <v>4363</v>
      </c>
      <c r="C12100" s="463" t="s">
        <v>4031</v>
      </c>
      <c r="D12100" s="465"/>
      <c r="E12100" s="466"/>
      <c r="F12100" s="466"/>
      <c r="G12100" s="467" t="s">
        <v>4343</v>
      </c>
      <c r="H12100" s="632"/>
      <c r="I12100" s="633"/>
      <c r="J12100" s="618"/>
    </row>
    <row r="12101" spans="1:10" ht="16.5" hidden="1" customHeight="1" x14ac:dyDescent="0.25">
      <c r="C12101" s="228" t="s">
        <v>3602</v>
      </c>
      <c r="G12101" s="475" t="s">
        <v>4338</v>
      </c>
    </row>
    <row r="12102" spans="1:10" hidden="1" x14ac:dyDescent="0.25">
      <c r="C12102" s="228" t="s">
        <v>4145</v>
      </c>
      <c r="D12102" s="219"/>
      <c r="G12102" s="475" t="s">
        <v>4339</v>
      </c>
    </row>
    <row r="12103" spans="1:10" hidden="1" x14ac:dyDescent="0.25">
      <c r="C12103" s="228"/>
      <c r="D12103" s="312">
        <v>820</v>
      </c>
      <c r="E12103" s="312"/>
      <c r="F12103" s="312"/>
      <c r="G12103" s="313" t="s">
        <v>207</v>
      </c>
    </row>
    <row r="12104" spans="1:10" hidden="1" x14ac:dyDescent="0.25">
      <c r="F12104" s="485">
        <v>411</v>
      </c>
      <c r="G12104" s="476" t="s">
        <v>4189</v>
      </c>
      <c r="J12104" s="595">
        <f>SUM(H12104:I12104)</f>
        <v>0</v>
      </c>
    </row>
    <row r="12105" spans="1:10" hidden="1" x14ac:dyDescent="0.25">
      <c r="F12105" s="485">
        <v>412</v>
      </c>
      <c r="G12105" s="473" t="s">
        <v>3784</v>
      </c>
      <c r="J12105" s="595">
        <f t="shared" ref="J12105:J12163" si="364">SUM(H12105:I12105)</f>
        <v>0</v>
      </c>
    </row>
    <row r="12106" spans="1:10" hidden="1" x14ac:dyDescent="0.25">
      <c r="F12106" s="485">
        <v>413</v>
      </c>
      <c r="G12106" s="476" t="s">
        <v>4190</v>
      </c>
      <c r="J12106" s="595">
        <f t="shared" si="364"/>
        <v>0</v>
      </c>
    </row>
    <row r="12107" spans="1:10" hidden="1" x14ac:dyDescent="0.25">
      <c r="F12107" s="485">
        <v>414</v>
      </c>
      <c r="G12107" s="476" t="s">
        <v>3787</v>
      </c>
      <c r="J12107" s="595">
        <f t="shared" si="364"/>
        <v>0</v>
      </c>
    </row>
    <row r="12108" spans="1:10" hidden="1" x14ac:dyDescent="0.25">
      <c r="F12108" s="485">
        <v>415</v>
      </c>
      <c r="G12108" s="476" t="s">
        <v>4199</v>
      </c>
      <c r="J12108" s="595">
        <f t="shared" si="364"/>
        <v>0</v>
      </c>
    </row>
    <row r="12109" spans="1:10" hidden="1" x14ac:dyDescent="0.25">
      <c r="F12109" s="485">
        <v>416</v>
      </c>
      <c r="G12109" s="476" t="s">
        <v>4200</v>
      </c>
      <c r="J12109" s="595">
        <f t="shared" si="364"/>
        <v>0</v>
      </c>
    </row>
    <row r="12110" spans="1:10" hidden="1" x14ac:dyDescent="0.25">
      <c r="F12110" s="485">
        <v>417</v>
      </c>
      <c r="G12110" s="476" t="s">
        <v>4201</v>
      </c>
      <c r="J12110" s="595">
        <f t="shared" si="364"/>
        <v>0</v>
      </c>
    </row>
    <row r="12111" spans="1:10" hidden="1" x14ac:dyDescent="0.25">
      <c r="F12111" s="485">
        <v>418</v>
      </c>
      <c r="G12111" s="476" t="s">
        <v>3793</v>
      </c>
      <c r="J12111" s="595">
        <f t="shared" si="364"/>
        <v>0</v>
      </c>
    </row>
    <row r="12112" spans="1:10" hidden="1" x14ac:dyDescent="0.25">
      <c r="F12112" s="485">
        <v>421</v>
      </c>
      <c r="G12112" s="476" t="s">
        <v>3797</v>
      </c>
      <c r="J12112" s="595">
        <f t="shared" si="364"/>
        <v>0</v>
      </c>
    </row>
    <row r="12113" spans="6:10" hidden="1" x14ac:dyDescent="0.25">
      <c r="F12113" s="485">
        <v>422</v>
      </c>
      <c r="G12113" s="476" t="s">
        <v>3798</v>
      </c>
      <c r="J12113" s="595">
        <f t="shared" si="364"/>
        <v>0</v>
      </c>
    </row>
    <row r="12114" spans="6:10" hidden="1" x14ac:dyDescent="0.25">
      <c r="F12114" s="485">
        <v>423</v>
      </c>
      <c r="G12114" s="476" t="s">
        <v>3799</v>
      </c>
      <c r="J12114" s="595">
        <f t="shared" si="364"/>
        <v>0</v>
      </c>
    </row>
    <row r="12115" spans="6:10" hidden="1" x14ac:dyDescent="0.25">
      <c r="F12115" s="485">
        <v>424</v>
      </c>
      <c r="G12115" s="476" t="s">
        <v>3801</v>
      </c>
      <c r="J12115" s="595">
        <f t="shared" si="364"/>
        <v>0</v>
      </c>
    </row>
    <row r="12116" spans="6:10" hidden="1" x14ac:dyDescent="0.25">
      <c r="F12116" s="485">
        <v>425</v>
      </c>
      <c r="G12116" s="476" t="s">
        <v>4202</v>
      </c>
      <c r="J12116" s="595">
        <f t="shared" si="364"/>
        <v>0</v>
      </c>
    </row>
    <row r="12117" spans="6:10" hidden="1" x14ac:dyDescent="0.25">
      <c r="F12117" s="485">
        <v>426</v>
      </c>
      <c r="G12117" s="476" t="s">
        <v>3805</v>
      </c>
      <c r="J12117" s="595">
        <f t="shared" si="364"/>
        <v>0</v>
      </c>
    </row>
    <row r="12118" spans="6:10" hidden="1" x14ac:dyDescent="0.25">
      <c r="F12118" s="485">
        <v>431</v>
      </c>
      <c r="G12118" s="476" t="s">
        <v>4203</v>
      </c>
      <c r="J12118" s="595">
        <f t="shared" si="364"/>
        <v>0</v>
      </c>
    </row>
    <row r="12119" spans="6:10" hidden="1" x14ac:dyDescent="0.25">
      <c r="F12119" s="485">
        <v>432</v>
      </c>
      <c r="G12119" s="476" t="s">
        <v>4204</v>
      </c>
      <c r="J12119" s="595">
        <f t="shared" si="364"/>
        <v>0</v>
      </c>
    </row>
    <row r="12120" spans="6:10" hidden="1" x14ac:dyDescent="0.25">
      <c r="F12120" s="485">
        <v>433</v>
      </c>
      <c r="G12120" s="476" t="s">
        <v>4205</v>
      </c>
      <c r="J12120" s="595">
        <f t="shared" si="364"/>
        <v>0</v>
      </c>
    </row>
    <row r="12121" spans="6:10" hidden="1" x14ac:dyDescent="0.25">
      <c r="F12121" s="485">
        <v>434</v>
      </c>
      <c r="G12121" s="476" t="s">
        <v>4206</v>
      </c>
      <c r="J12121" s="595">
        <f t="shared" si="364"/>
        <v>0</v>
      </c>
    </row>
    <row r="12122" spans="6:10" hidden="1" x14ac:dyDescent="0.25">
      <c r="F12122" s="485">
        <v>435</v>
      </c>
      <c r="G12122" s="476" t="s">
        <v>3812</v>
      </c>
      <c r="J12122" s="595">
        <f t="shared" si="364"/>
        <v>0</v>
      </c>
    </row>
    <row r="12123" spans="6:10" hidden="1" x14ac:dyDescent="0.25">
      <c r="F12123" s="485">
        <v>441</v>
      </c>
      <c r="G12123" s="476" t="s">
        <v>4207</v>
      </c>
      <c r="J12123" s="595">
        <f t="shared" si="364"/>
        <v>0</v>
      </c>
    </row>
    <row r="12124" spans="6:10" hidden="1" x14ac:dyDescent="0.25">
      <c r="F12124" s="485">
        <v>442</v>
      </c>
      <c r="G12124" s="476" t="s">
        <v>4208</v>
      </c>
      <c r="J12124" s="595">
        <f t="shared" si="364"/>
        <v>0</v>
      </c>
    </row>
    <row r="12125" spans="6:10" hidden="1" x14ac:dyDescent="0.25">
      <c r="F12125" s="485">
        <v>443</v>
      </c>
      <c r="G12125" s="476" t="s">
        <v>3817</v>
      </c>
      <c r="J12125" s="595">
        <f t="shared" si="364"/>
        <v>0</v>
      </c>
    </row>
    <row r="12126" spans="6:10" hidden="1" x14ac:dyDescent="0.25">
      <c r="F12126" s="485">
        <v>444</v>
      </c>
      <c r="G12126" s="476" t="s">
        <v>3818</v>
      </c>
      <c r="J12126" s="595">
        <f t="shared" si="364"/>
        <v>0</v>
      </c>
    </row>
    <row r="12127" spans="6:10" ht="30" hidden="1" x14ac:dyDescent="0.25">
      <c r="F12127" s="485">
        <v>4511</v>
      </c>
      <c r="G12127" s="223" t="s">
        <v>1692</v>
      </c>
      <c r="J12127" s="595">
        <f t="shared" si="364"/>
        <v>0</v>
      </c>
    </row>
    <row r="12128" spans="6:10" ht="19.5" hidden="1" customHeight="1" x14ac:dyDescent="0.25">
      <c r="F12128" s="485">
        <v>4512</v>
      </c>
      <c r="G12128" s="223" t="s">
        <v>1701</v>
      </c>
      <c r="J12128" s="595">
        <f t="shared" si="364"/>
        <v>0</v>
      </c>
    </row>
    <row r="12129" spans="6:10" hidden="1" x14ac:dyDescent="0.25">
      <c r="F12129" s="485">
        <v>452</v>
      </c>
      <c r="G12129" s="476" t="s">
        <v>4209</v>
      </c>
      <c r="J12129" s="595">
        <f t="shared" si="364"/>
        <v>0</v>
      </c>
    </row>
    <row r="12130" spans="6:10" hidden="1" x14ac:dyDescent="0.25">
      <c r="F12130" s="485">
        <v>453</v>
      </c>
      <c r="G12130" s="476" t="s">
        <v>4210</v>
      </c>
      <c r="J12130" s="595">
        <f t="shared" si="364"/>
        <v>0</v>
      </c>
    </row>
    <row r="12131" spans="6:10" hidden="1" x14ac:dyDescent="0.25">
      <c r="F12131" s="485">
        <v>454</v>
      </c>
      <c r="G12131" s="476" t="s">
        <v>3823</v>
      </c>
      <c r="J12131" s="595">
        <f t="shared" si="364"/>
        <v>0</v>
      </c>
    </row>
    <row r="12132" spans="6:10" hidden="1" x14ac:dyDescent="0.25">
      <c r="F12132" s="485">
        <v>461</v>
      </c>
      <c r="G12132" s="476" t="s">
        <v>4191</v>
      </c>
      <c r="J12132" s="595">
        <f t="shared" si="364"/>
        <v>0</v>
      </c>
    </row>
    <row r="12133" spans="6:10" hidden="1" x14ac:dyDescent="0.25">
      <c r="F12133" s="485">
        <v>462</v>
      </c>
      <c r="G12133" s="476" t="s">
        <v>3826</v>
      </c>
      <c r="J12133" s="595">
        <f t="shared" si="364"/>
        <v>0</v>
      </c>
    </row>
    <row r="12134" spans="6:10" hidden="1" x14ac:dyDescent="0.25">
      <c r="F12134" s="485">
        <v>4631</v>
      </c>
      <c r="G12134" s="476" t="s">
        <v>3827</v>
      </c>
      <c r="J12134" s="595">
        <f t="shared" si="364"/>
        <v>0</v>
      </c>
    </row>
    <row r="12135" spans="6:10" hidden="1" x14ac:dyDescent="0.25">
      <c r="F12135" s="485">
        <v>4632</v>
      </c>
      <c r="G12135" s="476" t="s">
        <v>3828</v>
      </c>
      <c r="J12135" s="595">
        <f t="shared" si="364"/>
        <v>0</v>
      </c>
    </row>
    <row r="12136" spans="6:10" hidden="1" x14ac:dyDescent="0.25">
      <c r="F12136" s="485">
        <v>464</v>
      </c>
      <c r="G12136" s="476" t="s">
        <v>3829</v>
      </c>
      <c r="J12136" s="595">
        <f t="shared" si="364"/>
        <v>0</v>
      </c>
    </row>
    <row r="12137" spans="6:10" hidden="1" x14ac:dyDescent="0.25">
      <c r="F12137" s="485">
        <v>465</v>
      </c>
      <c r="G12137" s="476" t="s">
        <v>4192</v>
      </c>
      <c r="J12137" s="595">
        <f t="shared" si="364"/>
        <v>0</v>
      </c>
    </row>
    <row r="12138" spans="6:10" hidden="1" x14ac:dyDescent="0.25">
      <c r="F12138" s="485">
        <v>472</v>
      </c>
      <c r="G12138" s="476" t="s">
        <v>3833</v>
      </c>
      <c r="J12138" s="595">
        <f t="shared" si="364"/>
        <v>0</v>
      </c>
    </row>
    <row r="12139" spans="6:10" hidden="1" x14ac:dyDescent="0.25">
      <c r="F12139" s="485">
        <v>481</v>
      </c>
      <c r="G12139" s="476" t="s">
        <v>4211</v>
      </c>
      <c r="J12139" s="595">
        <f t="shared" si="364"/>
        <v>0</v>
      </c>
    </row>
    <row r="12140" spans="6:10" hidden="1" x14ac:dyDescent="0.25">
      <c r="F12140" s="485">
        <v>482</v>
      </c>
      <c r="G12140" s="476" t="s">
        <v>4212</v>
      </c>
      <c r="J12140" s="595">
        <f t="shared" si="364"/>
        <v>0</v>
      </c>
    </row>
    <row r="12141" spans="6:10" hidden="1" x14ac:dyDescent="0.25">
      <c r="F12141" s="485">
        <v>483</v>
      </c>
      <c r="G12141" s="478" t="s">
        <v>4213</v>
      </c>
      <c r="J12141" s="595">
        <f t="shared" si="364"/>
        <v>0</v>
      </c>
    </row>
    <row r="12142" spans="6:10" ht="30" hidden="1" x14ac:dyDescent="0.25">
      <c r="F12142" s="485">
        <v>484</v>
      </c>
      <c r="G12142" s="476" t="s">
        <v>4214</v>
      </c>
      <c r="J12142" s="595">
        <f t="shared" si="364"/>
        <v>0</v>
      </c>
    </row>
    <row r="12143" spans="6:10" ht="30" hidden="1" x14ac:dyDescent="0.25">
      <c r="F12143" s="485">
        <v>485</v>
      </c>
      <c r="G12143" s="476" t="s">
        <v>4215</v>
      </c>
      <c r="J12143" s="595">
        <f t="shared" si="364"/>
        <v>0</v>
      </c>
    </row>
    <row r="12144" spans="6:10" ht="30" hidden="1" x14ac:dyDescent="0.25">
      <c r="F12144" s="485">
        <v>489</v>
      </c>
      <c r="G12144" s="476" t="s">
        <v>3841</v>
      </c>
      <c r="J12144" s="595">
        <f t="shared" si="364"/>
        <v>0</v>
      </c>
    </row>
    <row r="12145" spans="6:10" hidden="1" x14ac:dyDescent="0.25">
      <c r="F12145" s="485">
        <v>494</v>
      </c>
      <c r="G12145" s="476" t="s">
        <v>4193</v>
      </c>
      <c r="J12145" s="595">
        <f t="shared" si="364"/>
        <v>0</v>
      </c>
    </row>
    <row r="12146" spans="6:10" ht="30" hidden="1" x14ac:dyDescent="0.25">
      <c r="F12146" s="485">
        <v>495</v>
      </c>
      <c r="G12146" s="476" t="s">
        <v>4194</v>
      </c>
      <c r="J12146" s="595">
        <f t="shared" si="364"/>
        <v>0</v>
      </c>
    </row>
    <row r="12147" spans="6:10" ht="30" hidden="1" x14ac:dyDescent="0.25">
      <c r="F12147" s="485">
        <v>496</v>
      </c>
      <c r="G12147" s="476" t="s">
        <v>4195</v>
      </c>
      <c r="J12147" s="595">
        <f t="shared" si="364"/>
        <v>0</v>
      </c>
    </row>
    <row r="12148" spans="6:10" hidden="1" x14ac:dyDescent="0.25">
      <c r="F12148" s="485">
        <v>499</v>
      </c>
      <c r="G12148" s="476" t="s">
        <v>4196</v>
      </c>
      <c r="J12148" s="595">
        <f t="shared" si="364"/>
        <v>0</v>
      </c>
    </row>
    <row r="12149" spans="6:10" hidden="1" x14ac:dyDescent="0.25">
      <c r="F12149" s="485">
        <v>511</v>
      </c>
      <c r="G12149" s="478" t="s">
        <v>4216</v>
      </c>
      <c r="J12149" s="595">
        <f t="shared" si="364"/>
        <v>0</v>
      </c>
    </row>
    <row r="12150" spans="6:10" ht="15.75" hidden="1" thickBot="1" x14ac:dyDescent="0.3">
      <c r="F12150" s="485">
        <v>512</v>
      </c>
      <c r="G12150" s="478" t="s">
        <v>4217</v>
      </c>
      <c r="J12150" s="595">
        <f t="shared" si="364"/>
        <v>0</v>
      </c>
    </row>
    <row r="12151" spans="6:10" hidden="1" x14ac:dyDescent="0.25">
      <c r="F12151" s="485">
        <v>513</v>
      </c>
      <c r="G12151" s="478" t="s">
        <v>4218</v>
      </c>
      <c r="J12151" s="595">
        <f t="shared" si="364"/>
        <v>0</v>
      </c>
    </row>
    <row r="12152" spans="6:10" hidden="1" x14ac:dyDescent="0.25">
      <c r="F12152" s="485">
        <v>514</v>
      </c>
      <c r="G12152" s="476" t="s">
        <v>4219</v>
      </c>
      <c r="J12152" s="595">
        <f t="shared" si="364"/>
        <v>0</v>
      </c>
    </row>
    <row r="12153" spans="6:10" hidden="1" x14ac:dyDescent="0.25">
      <c r="F12153" s="485">
        <v>515</v>
      </c>
      <c r="G12153" s="476" t="s">
        <v>3852</v>
      </c>
      <c r="J12153" s="595">
        <f t="shared" si="364"/>
        <v>0</v>
      </c>
    </row>
    <row r="12154" spans="6:10" hidden="1" x14ac:dyDescent="0.25">
      <c r="F12154" s="485">
        <v>521</v>
      </c>
      <c r="G12154" s="476" t="s">
        <v>4220</v>
      </c>
      <c r="J12154" s="595">
        <f t="shared" si="364"/>
        <v>0</v>
      </c>
    </row>
    <row r="12155" spans="6:10" hidden="1" x14ac:dyDescent="0.25">
      <c r="F12155" s="485">
        <v>522</v>
      </c>
      <c r="G12155" s="476" t="s">
        <v>4221</v>
      </c>
      <c r="J12155" s="595">
        <f t="shared" si="364"/>
        <v>0</v>
      </c>
    </row>
    <row r="12156" spans="6:10" hidden="1" x14ac:dyDescent="0.25">
      <c r="F12156" s="485">
        <v>523</v>
      </c>
      <c r="G12156" s="476" t="s">
        <v>3857</v>
      </c>
      <c r="J12156" s="595">
        <f t="shared" si="364"/>
        <v>0</v>
      </c>
    </row>
    <row r="12157" spans="6:10" hidden="1" x14ac:dyDescent="0.25">
      <c r="F12157" s="485">
        <v>531</v>
      </c>
      <c r="G12157" s="473" t="s">
        <v>4197</v>
      </c>
      <c r="J12157" s="595">
        <f t="shared" si="364"/>
        <v>0</v>
      </c>
    </row>
    <row r="12158" spans="6:10" hidden="1" x14ac:dyDescent="0.25">
      <c r="F12158" s="485">
        <v>541</v>
      </c>
      <c r="G12158" s="476" t="s">
        <v>4222</v>
      </c>
      <c r="J12158" s="595">
        <f t="shared" si="364"/>
        <v>0</v>
      </c>
    </row>
    <row r="12159" spans="6:10" hidden="1" x14ac:dyDescent="0.25">
      <c r="F12159" s="485">
        <v>542</v>
      </c>
      <c r="G12159" s="476" t="s">
        <v>4223</v>
      </c>
      <c r="J12159" s="595">
        <f t="shared" si="364"/>
        <v>0</v>
      </c>
    </row>
    <row r="12160" spans="6:10" hidden="1" x14ac:dyDescent="0.25">
      <c r="F12160" s="485">
        <v>543</v>
      </c>
      <c r="G12160" s="476" t="s">
        <v>3862</v>
      </c>
      <c r="J12160" s="595">
        <f t="shared" si="364"/>
        <v>0</v>
      </c>
    </row>
    <row r="12161" spans="5:10" ht="30" hidden="1" x14ac:dyDescent="0.25">
      <c r="F12161" s="485">
        <v>551</v>
      </c>
      <c r="G12161" s="476" t="s">
        <v>4198</v>
      </c>
      <c r="J12161" s="595">
        <f t="shared" si="364"/>
        <v>0</v>
      </c>
    </row>
    <row r="12162" spans="5:10" hidden="1" x14ac:dyDescent="0.25">
      <c r="F12162" s="486">
        <v>611</v>
      </c>
      <c r="G12162" s="484" t="s">
        <v>3868</v>
      </c>
      <c r="J12162" s="595">
        <f t="shared" si="364"/>
        <v>0</v>
      </c>
    </row>
    <row r="12163" spans="5:10" ht="15.75" hidden="1" thickBot="1" x14ac:dyDescent="0.3">
      <c r="F12163" s="486">
        <v>620</v>
      </c>
      <c r="G12163" s="484" t="s">
        <v>88</v>
      </c>
      <c r="J12163" s="595">
        <f t="shared" si="364"/>
        <v>0</v>
      </c>
    </row>
    <row r="12164" spans="5:10" hidden="1" x14ac:dyDescent="0.25">
      <c r="E12164" s="474"/>
      <c r="F12164" s="486"/>
      <c r="G12164" s="327" t="s">
        <v>4459</v>
      </c>
      <c r="H12164" s="596"/>
      <c r="I12164" s="622"/>
      <c r="J12164" s="597"/>
    </row>
    <row r="12165" spans="5:10" hidden="1" x14ac:dyDescent="0.25">
      <c r="E12165" s="222"/>
      <c r="F12165" s="249" t="s">
        <v>234</v>
      </c>
      <c r="G12165" s="252" t="s">
        <v>235</v>
      </c>
      <c r="H12165" s="598">
        <f>SUM(H12104:H12163)</f>
        <v>0</v>
      </c>
      <c r="I12165" s="599"/>
      <c r="J12165" s="599">
        <f t="shared" ref="J12165:J12180" si="365">SUM(H12165:I12165)</f>
        <v>0</v>
      </c>
    </row>
    <row r="12166" spans="5:10" hidden="1" x14ac:dyDescent="0.25">
      <c r="F12166" s="249" t="s">
        <v>236</v>
      </c>
      <c r="G12166" s="252" t="s">
        <v>237</v>
      </c>
      <c r="J12166" s="599">
        <f t="shared" si="365"/>
        <v>0</v>
      </c>
    </row>
    <row r="12167" spans="5:10" hidden="1" x14ac:dyDescent="0.25">
      <c r="F12167" s="249" t="s">
        <v>238</v>
      </c>
      <c r="G12167" s="252" t="s">
        <v>239</v>
      </c>
      <c r="J12167" s="599">
        <f t="shared" si="365"/>
        <v>0</v>
      </c>
    </row>
    <row r="12168" spans="5:10" ht="15.75" hidden="1" thickBot="1" x14ac:dyDescent="0.3">
      <c r="F12168" s="249" t="s">
        <v>240</v>
      </c>
      <c r="G12168" s="252" t="s">
        <v>241</v>
      </c>
      <c r="J12168" s="599">
        <f t="shared" si="365"/>
        <v>0</v>
      </c>
    </row>
    <row r="12169" spans="5:10" hidden="1" x14ac:dyDescent="0.25">
      <c r="F12169" s="249" t="s">
        <v>242</v>
      </c>
      <c r="G12169" s="252" t="s">
        <v>243</v>
      </c>
      <c r="J12169" s="599">
        <f t="shared" si="365"/>
        <v>0</v>
      </c>
    </row>
    <row r="12170" spans="5:10" hidden="1" x14ac:dyDescent="0.25">
      <c r="F12170" s="249" t="s">
        <v>244</v>
      </c>
      <c r="G12170" s="252" t="s">
        <v>245</v>
      </c>
      <c r="J12170" s="599">
        <f t="shared" si="365"/>
        <v>0</v>
      </c>
    </row>
    <row r="12171" spans="5:10" hidden="1" x14ac:dyDescent="0.25">
      <c r="F12171" s="249" t="s">
        <v>246</v>
      </c>
      <c r="G12171" s="252" t="s">
        <v>247</v>
      </c>
      <c r="J12171" s="599">
        <f t="shared" si="365"/>
        <v>0</v>
      </c>
    </row>
    <row r="12172" spans="5:10" hidden="1" x14ac:dyDescent="0.25">
      <c r="F12172" s="249" t="s">
        <v>248</v>
      </c>
      <c r="G12172" s="252" t="s">
        <v>249</v>
      </c>
      <c r="J12172" s="599">
        <f t="shared" si="365"/>
        <v>0</v>
      </c>
    </row>
    <row r="12173" spans="5:10" hidden="1" x14ac:dyDescent="0.25">
      <c r="F12173" s="249" t="s">
        <v>250</v>
      </c>
      <c r="G12173" s="252" t="s">
        <v>57</v>
      </c>
      <c r="J12173" s="599">
        <f t="shared" si="365"/>
        <v>0</v>
      </c>
    </row>
    <row r="12174" spans="5:10" hidden="1" x14ac:dyDescent="0.25">
      <c r="F12174" s="249" t="s">
        <v>251</v>
      </c>
      <c r="G12174" s="252" t="s">
        <v>252</v>
      </c>
      <c r="J12174" s="599">
        <f t="shared" si="365"/>
        <v>0</v>
      </c>
    </row>
    <row r="12175" spans="5:10" hidden="1" x14ac:dyDescent="0.25">
      <c r="F12175" s="249" t="s">
        <v>253</v>
      </c>
      <c r="G12175" s="252" t="s">
        <v>254</v>
      </c>
      <c r="J12175" s="599">
        <f t="shared" si="365"/>
        <v>0</v>
      </c>
    </row>
    <row r="12176" spans="5:10" ht="30" hidden="1" x14ac:dyDescent="0.25">
      <c r="F12176" s="249" t="s">
        <v>255</v>
      </c>
      <c r="G12176" s="252" t="s">
        <v>256</v>
      </c>
      <c r="J12176" s="599">
        <f t="shared" si="365"/>
        <v>0</v>
      </c>
    </row>
    <row r="12177" spans="5:10" hidden="1" x14ac:dyDescent="0.25">
      <c r="F12177" s="249" t="s">
        <v>257</v>
      </c>
      <c r="G12177" s="252" t="s">
        <v>258</v>
      </c>
      <c r="J12177" s="599">
        <f t="shared" si="365"/>
        <v>0</v>
      </c>
    </row>
    <row r="12178" spans="5:10" ht="30" hidden="1" x14ac:dyDescent="0.25">
      <c r="F12178" s="249" t="s">
        <v>259</v>
      </c>
      <c r="G12178" s="252" t="s">
        <v>260</v>
      </c>
      <c r="J12178" s="599">
        <f t="shared" si="365"/>
        <v>0</v>
      </c>
    </row>
    <row r="12179" spans="5:10" hidden="1" x14ac:dyDescent="0.25">
      <c r="F12179" s="249" t="s">
        <v>261</v>
      </c>
      <c r="G12179" s="252" t="s">
        <v>262</v>
      </c>
      <c r="J12179" s="599">
        <f t="shared" si="365"/>
        <v>0</v>
      </c>
    </row>
    <row r="12180" spans="5:10" ht="15.75" hidden="1" thickBot="1" x14ac:dyDescent="0.3">
      <c r="F12180" s="249" t="s">
        <v>263</v>
      </c>
      <c r="G12180" s="252" t="s">
        <v>264</v>
      </c>
      <c r="H12180" s="598"/>
      <c r="I12180" s="599"/>
      <c r="J12180" s="599">
        <f t="shared" si="365"/>
        <v>0</v>
      </c>
    </row>
    <row r="12181" spans="5:10" ht="15.75" hidden="1" thickBot="1" x14ac:dyDescent="0.3">
      <c r="G12181" s="229" t="s">
        <v>4460</v>
      </c>
      <c r="H12181" s="600">
        <f>SUM(H12165:H12180)</f>
        <v>0</v>
      </c>
      <c r="I12181" s="601">
        <f>SUM(I12166:I12180)</f>
        <v>0</v>
      </c>
      <c r="J12181" s="601">
        <f>SUM(J12165:J12180)</f>
        <v>0</v>
      </c>
    </row>
    <row r="12182" spans="5:10" ht="28.5" hidden="1" collapsed="1" x14ac:dyDescent="0.25">
      <c r="E12182" s="474"/>
      <c r="F12182" s="486"/>
      <c r="G12182" s="231" t="s">
        <v>4461</v>
      </c>
      <c r="H12182" s="602"/>
      <c r="I12182" s="623"/>
      <c r="J12182" s="603"/>
    </row>
    <row r="12183" spans="5:10" hidden="1" x14ac:dyDescent="0.25">
      <c r="E12183" s="222"/>
      <c r="F12183" s="249" t="s">
        <v>234</v>
      </c>
      <c r="G12183" s="252" t="s">
        <v>235</v>
      </c>
      <c r="H12183" s="598">
        <f>SUM(H12104:H12163)</f>
        <v>0</v>
      </c>
      <c r="I12183" s="599"/>
      <c r="J12183" s="599">
        <f>SUM(H12183:I12183)</f>
        <v>0</v>
      </c>
    </row>
    <row r="12184" spans="5:10" hidden="1" x14ac:dyDescent="0.25">
      <c r="F12184" s="249" t="s">
        <v>236</v>
      </c>
      <c r="G12184" s="252" t="s">
        <v>237</v>
      </c>
      <c r="J12184" s="599">
        <f t="shared" ref="J12184:J12198" si="366">SUM(H12184:I12184)</f>
        <v>0</v>
      </c>
    </row>
    <row r="12185" spans="5:10" hidden="1" x14ac:dyDescent="0.25">
      <c r="F12185" s="249" t="s">
        <v>238</v>
      </c>
      <c r="G12185" s="252" t="s">
        <v>239</v>
      </c>
      <c r="J12185" s="599">
        <f t="shared" si="366"/>
        <v>0</v>
      </c>
    </row>
    <row r="12186" spans="5:10" ht="15.75" hidden="1" thickBot="1" x14ac:dyDescent="0.3">
      <c r="F12186" s="249" t="s">
        <v>240</v>
      </c>
      <c r="G12186" s="252" t="s">
        <v>241</v>
      </c>
      <c r="J12186" s="599">
        <f t="shared" si="366"/>
        <v>0</v>
      </c>
    </row>
    <row r="12187" spans="5:10" hidden="1" x14ac:dyDescent="0.25">
      <c r="F12187" s="249" t="s">
        <v>242</v>
      </c>
      <c r="G12187" s="252" t="s">
        <v>243</v>
      </c>
      <c r="J12187" s="599">
        <f t="shared" si="366"/>
        <v>0</v>
      </c>
    </row>
    <row r="12188" spans="5:10" hidden="1" x14ac:dyDescent="0.25">
      <c r="F12188" s="249" t="s">
        <v>244</v>
      </c>
      <c r="G12188" s="252" t="s">
        <v>245</v>
      </c>
      <c r="J12188" s="599">
        <f t="shared" si="366"/>
        <v>0</v>
      </c>
    </row>
    <row r="12189" spans="5:10" hidden="1" x14ac:dyDescent="0.25">
      <c r="F12189" s="249" t="s">
        <v>246</v>
      </c>
      <c r="G12189" s="252" t="s">
        <v>247</v>
      </c>
      <c r="J12189" s="599">
        <f t="shared" si="366"/>
        <v>0</v>
      </c>
    </row>
    <row r="12190" spans="5:10" hidden="1" x14ac:dyDescent="0.25">
      <c r="F12190" s="249" t="s">
        <v>248</v>
      </c>
      <c r="G12190" s="252" t="s">
        <v>249</v>
      </c>
      <c r="J12190" s="599">
        <f t="shared" si="366"/>
        <v>0</v>
      </c>
    </row>
    <row r="12191" spans="5:10" hidden="1" x14ac:dyDescent="0.25">
      <c r="F12191" s="249" t="s">
        <v>250</v>
      </c>
      <c r="G12191" s="252" t="s">
        <v>57</v>
      </c>
      <c r="J12191" s="599">
        <f t="shared" si="366"/>
        <v>0</v>
      </c>
    </row>
    <row r="12192" spans="5:10" hidden="1" x14ac:dyDescent="0.25">
      <c r="F12192" s="249" t="s">
        <v>251</v>
      </c>
      <c r="G12192" s="252" t="s">
        <v>252</v>
      </c>
      <c r="J12192" s="599">
        <f t="shared" si="366"/>
        <v>0</v>
      </c>
    </row>
    <row r="12193" spans="3:10" hidden="1" x14ac:dyDescent="0.25">
      <c r="F12193" s="249" t="s">
        <v>253</v>
      </c>
      <c r="G12193" s="252" t="s">
        <v>254</v>
      </c>
      <c r="J12193" s="599">
        <f t="shared" si="366"/>
        <v>0</v>
      </c>
    </row>
    <row r="12194" spans="3:10" ht="30" hidden="1" x14ac:dyDescent="0.25">
      <c r="F12194" s="249" t="s">
        <v>255</v>
      </c>
      <c r="G12194" s="252" t="s">
        <v>256</v>
      </c>
      <c r="J12194" s="599">
        <f t="shared" si="366"/>
        <v>0</v>
      </c>
    </row>
    <row r="12195" spans="3:10" hidden="1" x14ac:dyDescent="0.25">
      <c r="F12195" s="249" t="s">
        <v>257</v>
      </c>
      <c r="G12195" s="252" t="s">
        <v>258</v>
      </c>
      <c r="J12195" s="599">
        <f t="shared" si="366"/>
        <v>0</v>
      </c>
    </row>
    <row r="12196" spans="3:10" ht="30" hidden="1" x14ac:dyDescent="0.25">
      <c r="F12196" s="249" t="s">
        <v>259</v>
      </c>
      <c r="G12196" s="252" t="s">
        <v>260</v>
      </c>
      <c r="J12196" s="599">
        <f t="shared" si="366"/>
        <v>0</v>
      </c>
    </row>
    <row r="12197" spans="3:10" hidden="1" x14ac:dyDescent="0.25">
      <c r="F12197" s="249" t="s">
        <v>261</v>
      </c>
      <c r="G12197" s="252" t="s">
        <v>262</v>
      </c>
      <c r="J12197" s="599">
        <f t="shared" si="366"/>
        <v>0</v>
      </c>
    </row>
    <row r="12198" spans="3:10" ht="15.75" hidden="1" thickBot="1" x14ac:dyDescent="0.3">
      <c r="F12198" s="249" t="s">
        <v>263</v>
      </c>
      <c r="G12198" s="252" t="s">
        <v>264</v>
      </c>
      <c r="H12198" s="598"/>
      <c r="I12198" s="599"/>
      <c r="J12198" s="599">
        <f t="shared" si="366"/>
        <v>0</v>
      </c>
    </row>
    <row r="12199" spans="3:10" ht="15.75" hidden="1" collapsed="1" thickBot="1" x14ac:dyDescent="0.3">
      <c r="G12199" s="229" t="s">
        <v>4462</v>
      </c>
      <c r="H12199" s="600">
        <f>SUM(H12183:H12198)</f>
        <v>0</v>
      </c>
      <c r="I12199" s="601">
        <f>SUM(I12184:I12198)</f>
        <v>0</v>
      </c>
      <c r="J12199" s="601">
        <f>SUM(J12183:J12198)</f>
        <v>0</v>
      </c>
    </row>
    <row r="12200" spans="3:10" hidden="1" x14ac:dyDescent="0.25"/>
    <row r="12201" spans="3:10" hidden="1" x14ac:dyDescent="0.25">
      <c r="C12201" s="228" t="s">
        <v>4865</v>
      </c>
      <c r="D12201" s="219"/>
      <c r="G12201" s="477" t="s">
        <v>4254</v>
      </c>
    </row>
    <row r="12202" spans="3:10" hidden="1" x14ac:dyDescent="0.25">
      <c r="C12202" s="228"/>
      <c r="D12202" s="312">
        <v>820</v>
      </c>
      <c r="E12202" s="312"/>
      <c r="F12202" s="312"/>
      <c r="G12202" s="313" t="s">
        <v>207</v>
      </c>
    </row>
    <row r="12203" spans="3:10" hidden="1" x14ac:dyDescent="0.25">
      <c r="F12203" s="485">
        <v>411</v>
      </c>
      <c r="G12203" s="476" t="s">
        <v>4189</v>
      </c>
      <c r="J12203" s="595">
        <f>SUM(H12203:I12203)</f>
        <v>0</v>
      </c>
    </row>
    <row r="12204" spans="3:10" hidden="1" x14ac:dyDescent="0.25">
      <c r="F12204" s="485">
        <v>412</v>
      </c>
      <c r="G12204" s="473" t="s">
        <v>3784</v>
      </c>
      <c r="J12204" s="595">
        <f t="shared" ref="J12204:J12262" si="367">SUM(H12204:I12204)</f>
        <v>0</v>
      </c>
    </row>
    <row r="12205" spans="3:10" hidden="1" x14ac:dyDescent="0.25">
      <c r="F12205" s="485">
        <v>413</v>
      </c>
      <c r="G12205" s="476" t="s">
        <v>4190</v>
      </c>
      <c r="J12205" s="595">
        <f t="shared" si="367"/>
        <v>0</v>
      </c>
    </row>
    <row r="12206" spans="3:10" hidden="1" x14ac:dyDescent="0.25">
      <c r="F12206" s="485">
        <v>414</v>
      </c>
      <c r="G12206" s="476" t="s">
        <v>3787</v>
      </c>
      <c r="J12206" s="595">
        <f t="shared" si="367"/>
        <v>0</v>
      </c>
    </row>
    <row r="12207" spans="3:10" hidden="1" x14ac:dyDescent="0.25">
      <c r="F12207" s="485">
        <v>415</v>
      </c>
      <c r="G12207" s="476" t="s">
        <v>4199</v>
      </c>
      <c r="J12207" s="595">
        <f t="shared" si="367"/>
        <v>0</v>
      </c>
    </row>
    <row r="12208" spans="3:10" hidden="1" x14ac:dyDescent="0.25">
      <c r="F12208" s="485">
        <v>416</v>
      </c>
      <c r="G12208" s="476" t="s">
        <v>4200</v>
      </c>
      <c r="J12208" s="595">
        <f t="shared" si="367"/>
        <v>0</v>
      </c>
    </row>
    <row r="12209" spans="6:10" hidden="1" x14ac:dyDescent="0.25">
      <c r="F12209" s="485">
        <v>417</v>
      </c>
      <c r="G12209" s="476" t="s">
        <v>4201</v>
      </c>
      <c r="J12209" s="595">
        <f t="shared" si="367"/>
        <v>0</v>
      </c>
    </row>
    <row r="12210" spans="6:10" hidden="1" x14ac:dyDescent="0.25">
      <c r="F12210" s="485">
        <v>418</v>
      </c>
      <c r="G12210" s="476" t="s">
        <v>3793</v>
      </c>
      <c r="J12210" s="595">
        <f t="shared" si="367"/>
        <v>0</v>
      </c>
    </row>
    <row r="12211" spans="6:10" hidden="1" x14ac:dyDescent="0.25">
      <c r="F12211" s="485">
        <v>421</v>
      </c>
      <c r="G12211" s="476" t="s">
        <v>3797</v>
      </c>
      <c r="J12211" s="595">
        <f t="shared" si="367"/>
        <v>0</v>
      </c>
    </row>
    <row r="12212" spans="6:10" hidden="1" x14ac:dyDescent="0.25">
      <c r="F12212" s="485">
        <v>422</v>
      </c>
      <c r="G12212" s="476" t="s">
        <v>3798</v>
      </c>
      <c r="J12212" s="595">
        <f t="shared" si="367"/>
        <v>0</v>
      </c>
    </row>
    <row r="12213" spans="6:10" hidden="1" x14ac:dyDescent="0.25">
      <c r="F12213" s="485">
        <v>423</v>
      </c>
      <c r="G12213" s="476" t="s">
        <v>3799</v>
      </c>
      <c r="J12213" s="595">
        <f t="shared" si="367"/>
        <v>0</v>
      </c>
    </row>
    <row r="12214" spans="6:10" hidden="1" x14ac:dyDescent="0.25">
      <c r="F12214" s="485">
        <v>424</v>
      </c>
      <c r="G12214" s="476" t="s">
        <v>3801</v>
      </c>
      <c r="J12214" s="595">
        <f t="shared" si="367"/>
        <v>0</v>
      </c>
    </row>
    <row r="12215" spans="6:10" hidden="1" x14ac:dyDescent="0.25">
      <c r="F12215" s="485">
        <v>425</v>
      </c>
      <c r="G12215" s="476" t="s">
        <v>4202</v>
      </c>
      <c r="J12215" s="595">
        <f t="shared" si="367"/>
        <v>0</v>
      </c>
    </row>
    <row r="12216" spans="6:10" hidden="1" x14ac:dyDescent="0.25">
      <c r="F12216" s="485">
        <v>426</v>
      </c>
      <c r="G12216" s="476" t="s">
        <v>3805</v>
      </c>
      <c r="J12216" s="595">
        <f t="shared" si="367"/>
        <v>0</v>
      </c>
    </row>
    <row r="12217" spans="6:10" hidden="1" x14ac:dyDescent="0.25">
      <c r="F12217" s="485">
        <v>431</v>
      </c>
      <c r="G12217" s="476" t="s">
        <v>4203</v>
      </c>
      <c r="J12217" s="595">
        <f t="shared" si="367"/>
        <v>0</v>
      </c>
    </row>
    <row r="12218" spans="6:10" hidden="1" x14ac:dyDescent="0.25">
      <c r="F12218" s="485">
        <v>432</v>
      </c>
      <c r="G12218" s="476" t="s">
        <v>4204</v>
      </c>
      <c r="J12218" s="595">
        <f t="shared" si="367"/>
        <v>0</v>
      </c>
    </row>
    <row r="12219" spans="6:10" hidden="1" x14ac:dyDescent="0.25">
      <c r="F12219" s="485">
        <v>433</v>
      </c>
      <c r="G12219" s="476" t="s">
        <v>4205</v>
      </c>
      <c r="J12219" s="595">
        <f t="shared" si="367"/>
        <v>0</v>
      </c>
    </row>
    <row r="12220" spans="6:10" hidden="1" x14ac:dyDescent="0.25">
      <c r="F12220" s="485">
        <v>434</v>
      </c>
      <c r="G12220" s="476" t="s">
        <v>4206</v>
      </c>
      <c r="J12220" s="595">
        <f t="shared" si="367"/>
        <v>0</v>
      </c>
    </row>
    <row r="12221" spans="6:10" hidden="1" x14ac:dyDescent="0.25">
      <c r="F12221" s="485">
        <v>435</v>
      </c>
      <c r="G12221" s="476" t="s">
        <v>3812</v>
      </c>
      <c r="J12221" s="595">
        <f t="shared" si="367"/>
        <v>0</v>
      </c>
    </row>
    <row r="12222" spans="6:10" hidden="1" x14ac:dyDescent="0.25">
      <c r="F12222" s="485">
        <v>441</v>
      </c>
      <c r="G12222" s="476" t="s">
        <v>4207</v>
      </c>
      <c r="J12222" s="595">
        <f t="shared" si="367"/>
        <v>0</v>
      </c>
    </row>
    <row r="12223" spans="6:10" hidden="1" x14ac:dyDescent="0.25">
      <c r="F12223" s="485">
        <v>442</v>
      </c>
      <c r="G12223" s="476" t="s">
        <v>4208</v>
      </c>
      <c r="J12223" s="595">
        <f t="shared" si="367"/>
        <v>0</v>
      </c>
    </row>
    <row r="12224" spans="6:10" hidden="1" x14ac:dyDescent="0.25">
      <c r="F12224" s="485">
        <v>443</v>
      </c>
      <c r="G12224" s="476" t="s">
        <v>3817</v>
      </c>
      <c r="J12224" s="595">
        <f t="shared" si="367"/>
        <v>0</v>
      </c>
    </row>
    <row r="12225" spans="6:10" hidden="1" x14ac:dyDescent="0.25">
      <c r="F12225" s="485">
        <v>444</v>
      </c>
      <c r="G12225" s="476" t="s">
        <v>3818</v>
      </c>
      <c r="J12225" s="595">
        <f t="shared" si="367"/>
        <v>0</v>
      </c>
    </row>
    <row r="12226" spans="6:10" ht="30" hidden="1" x14ac:dyDescent="0.25">
      <c r="F12226" s="485">
        <v>4511</v>
      </c>
      <c r="G12226" s="223" t="s">
        <v>1692</v>
      </c>
      <c r="J12226" s="595">
        <f t="shared" si="367"/>
        <v>0</v>
      </c>
    </row>
    <row r="12227" spans="6:10" ht="30" hidden="1" x14ac:dyDescent="0.25">
      <c r="F12227" s="485">
        <v>4512</v>
      </c>
      <c r="G12227" s="223" t="s">
        <v>1701</v>
      </c>
      <c r="J12227" s="595">
        <f t="shared" si="367"/>
        <v>0</v>
      </c>
    </row>
    <row r="12228" spans="6:10" hidden="1" x14ac:dyDescent="0.25">
      <c r="F12228" s="485">
        <v>452</v>
      </c>
      <c r="G12228" s="476" t="s">
        <v>4209</v>
      </c>
      <c r="J12228" s="595">
        <f t="shared" si="367"/>
        <v>0</v>
      </c>
    </row>
    <row r="12229" spans="6:10" hidden="1" x14ac:dyDescent="0.25">
      <c r="F12229" s="485">
        <v>453</v>
      </c>
      <c r="G12229" s="476" t="s">
        <v>4210</v>
      </c>
      <c r="J12229" s="595">
        <f t="shared" si="367"/>
        <v>0</v>
      </c>
    </row>
    <row r="12230" spans="6:10" hidden="1" x14ac:dyDescent="0.25">
      <c r="F12230" s="485">
        <v>454</v>
      </c>
      <c r="G12230" s="476" t="s">
        <v>3823</v>
      </c>
      <c r="J12230" s="595">
        <f t="shared" si="367"/>
        <v>0</v>
      </c>
    </row>
    <row r="12231" spans="6:10" hidden="1" x14ac:dyDescent="0.25">
      <c r="F12231" s="485">
        <v>461</v>
      </c>
      <c r="G12231" s="476" t="s">
        <v>4191</v>
      </c>
      <c r="J12231" s="595">
        <f t="shared" si="367"/>
        <v>0</v>
      </c>
    </row>
    <row r="12232" spans="6:10" hidden="1" x14ac:dyDescent="0.25">
      <c r="F12232" s="485">
        <v>462</v>
      </c>
      <c r="G12232" s="476" t="s">
        <v>3826</v>
      </c>
      <c r="J12232" s="595">
        <f t="shared" si="367"/>
        <v>0</v>
      </c>
    </row>
    <row r="12233" spans="6:10" hidden="1" x14ac:dyDescent="0.25">
      <c r="F12233" s="485">
        <v>4631</v>
      </c>
      <c r="G12233" s="476" t="s">
        <v>3827</v>
      </c>
      <c r="J12233" s="595">
        <f t="shared" si="367"/>
        <v>0</v>
      </c>
    </row>
    <row r="12234" spans="6:10" hidden="1" x14ac:dyDescent="0.25">
      <c r="F12234" s="485">
        <v>4632</v>
      </c>
      <c r="G12234" s="476" t="s">
        <v>3828</v>
      </c>
      <c r="J12234" s="595">
        <f t="shared" si="367"/>
        <v>0</v>
      </c>
    </row>
    <row r="12235" spans="6:10" hidden="1" x14ac:dyDescent="0.25">
      <c r="F12235" s="485">
        <v>464</v>
      </c>
      <c r="G12235" s="476" t="s">
        <v>3829</v>
      </c>
      <c r="J12235" s="595">
        <f t="shared" si="367"/>
        <v>0</v>
      </c>
    </row>
    <row r="12236" spans="6:10" hidden="1" x14ac:dyDescent="0.25">
      <c r="F12236" s="485">
        <v>465</v>
      </c>
      <c r="G12236" s="476" t="s">
        <v>4192</v>
      </c>
      <c r="J12236" s="595">
        <f t="shared" si="367"/>
        <v>0</v>
      </c>
    </row>
    <row r="12237" spans="6:10" ht="15.75" hidden="1" thickBot="1" x14ac:dyDescent="0.3">
      <c r="F12237" s="485">
        <v>472</v>
      </c>
      <c r="G12237" s="476" t="s">
        <v>3833</v>
      </c>
      <c r="J12237" s="595">
        <f t="shared" si="367"/>
        <v>0</v>
      </c>
    </row>
    <row r="12238" spans="6:10" hidden="1" x14ac:dyDescent="0.25">
      <c r="F12238" s="485">
        <v>481</v>
      </c>
      <c r="G12238" s="476" t="s">
        <v>4211</v>
      </c>
      <c r="J12238" s="595">
        <f t="shared" si="367"/>
        <v>0</v>
      </c>
    </row>
    <row r="12239" spans="6:10" hidden="1" x14ac:dyDescent="0.25">
      <c r="F12239" s="485">
        <v>482</v>
      </c>
      <c r="G12239" s="476" t="s">
        <v>4212</v>
      </c>
      <c r="J12239" s="595">
        <f t="shared" si="367"/>
        <v>0</v>
      </c>
    </row>
    <row r="12240" spans="6:10" hidden="1" x14ac:dyDescent="0.25">
      <c r="F12240" s="485">
        <v>483</v>
      </c>
      <c r="G12240" s="478" t="s">
        <v>4213</v>
      </c>
      <c r="J12240" s="595">
        <f t="shared" si="367"/>
        <v>0</v>
      </c>
    </row>
    <row r="12241" spans="6:10" ht="30" hidden="1" x14ac:dyDescent="0.25">
      <c r="F12241" s="485">
        <v>484</v>
      </c>
      <c r="G12241" s="476" t="s">
        <v>4214</v>
      </c>
      <c r="J12241" s="595">
        <f t="shared" si="367"/>
        <v>0</v>
      </c>
    </row>
    <row r="12242" spans="6:10" ht="30" hidden="1" x14ac:dyDescent="0.25">
      <c r="F12242" s="485">
        <v>485</v>
      </c>
      <c r="G12242" s="476" t="s">
        <v>4215</v>
      </c>
      <c r="J12242" s="595">
        <f t="shared" si="367"/>
        <v>0</v>
      </c>
    </row>
    <row r="12243" spans="6:10" ht="30" hidden="1" x14ac:dyDescent="0.25">
      <c r="F12243" s="485">
        <v>489</v>
      </c>
      <c r="G12243" s="476" t="s">
        <v>3841</v>
      </c>
      <c r="J12243" s="595">
        <f t="shared" si="367"/>
        <v>0</v>
      </c>
    </row>
    <row r="12244" spans="6:10" hidden="1" x14ac:dyDescent="0.25">
      <c r="F12244" s="485">
        <v>494</v>
      </c>
      <c r="G12244" s="476" t="s">
        <v>4193</v>
      </c>
      <c r="J12244" s="595">
        <f t="shared" si="367"/>
        <v>0</v>
      </c>
    </row>
    <row r="12245" spans="6:10" ht="30" hidden="1" x14ac:dyDescent="0.25">
      <c r="F12245" s="485">
        <v>495</v>
      </c>
      <c r="G12245" s="476" t="s">
        <v>4194</v>
      </c>
      <c r="J12245" s="595">
        <f t="shared" si="367"/>
        <v>0</v>
      </c>
    </row>
    <row r="12246" spans="6:10" ht="30" hidden="1" x14ac:dyDescent="0.25">
      <c r="F12246" s="485">
        <v>496</v>
      </c>
      <c r="G12246" s="476" t="s">
        <v>4195</v>
      </c>
      <c r="J12246" s="595">
        <f t="shared" si="367"/>
        <v>0</v>
      </c>
    </row>
    <row r="12247" spans="6:10" hidden="1" x14ac:dyDescent="0.25">
      <c r="F12247" s="485">
        <v>499</v>
      </c>
      <c r="G12247" s="476" t="s">
        <v>4196</v>
      </c>
      <c r="J12247" s="595">
        <f t="shared" si="367"/>
        <v>0</v>
      </c>
    </row>
    <row r="12248" spans="6:10" hidden="1" x14ac:dyDescent="0.25">
      <c r="F12248" s="485">
        <v>511</v>
      </c>
      <c r="G12248" s="478" t="s">
        <v>4216</v>
      </c>
      <c r="J12248" s="595">
        <f t="shared" si="367"/>
        <v>0</v>
      </c>
    </row>
    <row r="12249" spans="6:10" hidden="1" x14ac:dyDescent="0.25">
      <c r="F12249" s="485">
        <v>512</v>
      </c>
      <c r="G12249" s="478" t="s">
        <v>4217</v>
      </c>
      <c r="J12249" s="595">
        <f t="shared" si="367"/>
        <v>0</v>
      </c>
    </row>
    <row r="12250" spans="6:10" hidden="1" x14ac:dyDescent="0.25">
      <c r="F12250" s="485">
        <v>513</v>
      </c>
      <c r="G12250" s="478" t="s">
        <v>4218</v>
      </c>
      <c r="J12250" s="595">
        <f t="shared" si="367"/>
        <v>0</v>
      </c>
    </row>
    <row r="12251" spans="6:10" hidden="1" x14ac:dyDescent="0.25">
      <c r="F12251" s="485">
        <v>514</v>
      </c>
      <c r="G12251" s="476" t="s">
        <v>4219</v>
      </c>
      <c r="J12251" s="595">
        <f t="shared" si="367"/>
        <v>0</v>
      </c>
    </row>
    <row r="12252" spans="6:10" hidden="1" x14ac:dyDescent="0.25">
      <c r="F12252" s="485">
        <v>515</v>
      </c>
      <c r="G12252" s="476" t="s">
        <v>3852</v>
      </c>
      <c r="J12252" s="595">
        <f t="shared" si="367"/>
        <v>0</v>
      </c>
    </row>
    <row r="12253" spans="6:10" hidden="1" x14ac:dyDescent="0.25">
      <c r="F12253" s="485">
        <v>521</v>
      </c>
      <c r="G12253" s="476" t="s">
        <v>4220</v>
      </c>
      <c r="J12253" s="595">
        <f t="shared" si="367"/>
        <v>0</v>
      </c>
    </row>
    <row r="12254" spans="6:10" hidden="1" x14ac:dyDescent="0.25">
      <c r="F12254" s="485">
        <v>522</v>
      </c>
      <c r="G12254" s="476" t="s">
        <v>4221</v>
      </c>
      <c r="J12254" s="595">
        <f t="shared" si="367"/>
        <v>0</v>
      </c>
    </row>
    <row r="12255" spans="6:10" hidden="1" x14ac:dyDescent="0.25">
      <c r="F12255" s="485">
        <v>523</v>
      </c>
      <c r="G12255" s="476" t="s">
        <v>3857</v>
      </c>
      <c r="J12255" s="595">
        <f t="shared" si="367"/>
        <v>0</v>
      </c>
    </row>
    <row r="12256" spans="6:10" hidden="1" x14ac:dyDescent="0.25">
      <c r="F12256" s="485">
        <v>531</v>
      </c>
      <c r="G12256" s="473" t="s">
        <v>4197</v>
      </c>
      <c r="J12256" s="595">
        <f t="shared" si="367"/>
        <v>0</v>
      </c>
    </row>
    <row r="12257" spans="5:10" hidden="1" x14ac:dyDescent="0.25">
      <c r="F12257" s="485">
        <v>541</v>
      </c>
      <c r="G12257" s="476" t="s">
        <v>4222</v>
      </c>
      <c r="J12257" s="595">
        <f t="shared" si="367"/>
        <v>0</v>
      </c>
    </row>
    <row r="12258" spans="5:10" hidden="1" x14ac:dyDescent="0.25">
      <c r="F12258" s="485">
        <v>542</v>
      </c>
      <c r="G12258" s="476" t="s">
        <v>4223</v>
      </c>
      <c r="J12258" s="595">
        <f t="shared" si="367"/>
        <v>0</v>
      </c>
    </row>
    <row r="12259" spans="5:10" hidden="1" x14ac:dyDescent="0.25">
      <c r="F12259" s="485">
        <v>543</v>
      </c>
      <c r="G12259" s="476" t="s">
        <v>3862</v>
      </c>
      <c r="J12259" s="595">
        <f t="shared" si="367"/>
        <v>0</v>
      </c>
    </row>
    <row r="12260" spans="5:10" ht="30" hidden="1" x14ac:dyDescent="0.25">
      <c r="F12260" s="485">
        <v>551</v>
      </c>
      <c r="G12260" s="476" t="s">
        <v>4198</v>
      </c>
      <c r="J12260" s="595">
        <f t="shared" si="367"/>
        <v>0</v>
      </c>
    </row>
    <row r="12261" spans="5:10" hidden="1" x14ac:dyDescent="0.25">
      <c r="F12261" s="486">
        <v>611</v>
      </c>
      <c r="G12261" s="484" t="s">
        <v>3868</v>
      </c>
      <c r="J12261" s="595">
        <f t="shared" si="367"/>
        <v>0</v>
      </c>
    </row>
    <row r="12262" spans="5:10" ht="15.75" hidden="1" thickBot="1" x14ac:dyDescent="0.3">
      <c r="F12262" s="486">
        <v>620</v>
      </c>
      <c r="G12262" s="484" t="s">
        <v>88</v>
      </c>
      <c r="J12262" s="595">
        <f t="shared" si="367"/>
        <v>0</v>
      </c>
    </row>
    <row r="12263" spans="5:10" hidden="1" x14ac:dyDescent="0.25">
      <c r="E12263" s="474"/>
      <c r="F12263" s="486"/>
      <c r="G12263" s="326" t="s">
        <v>4459</v>
      </c>
      <c r="H12263" s="596"/>
      <c r="I12263" s="622"/>
      <c r="J12263" s="597"/>
    </row>
    <row r="12264" spans="5:10" hidden="1" x14ac:dyDescent="0.25">
      <c r="E12264" s="222"/>
      <c r="F12264" s="249" t="s">
        <v>234</v>
      </c>
      <c r="G12264" s="252" t="s">
        <v>235</v>
      </c>
      <c r="H12264" s="598">
        <f>SUM(H12203:H12262)</f>
        <v>0</v>
      </c>
      <c r="I12264" s="599"/>
      <c r="J12264" s="599">
        <f>SUM(H12264:I12264)</f>
        <v>0</v>
      </c>
    </row>
    <row r="12265" spans="5:10" hidden="1" x14ac:dyDescent="0.25">
      <c r="F12265" s="249" t="s">
        <v>236</v>
      </c>
      <c r="G12265" s="252" t="s">
        <v>237</v>
      </c>
      <c r="J12265" s="599">
        <f t="shared" ref="J12265:J12279" si="368">SUM(H12265:I12265)</f>
        <v>0</v>
      </c>
    </row>
    <row r="12266" spans="5:10" hidden="1" x14ac:dyDescent="0.25">
      <c r="F12266" s="249" t="s">
        <v>238</v>
      </c>
      <c r="G12266" s="252" t="s">
        <v>239</v>
      </c>
      <c r="J12266" s="599">
        <f t="shared" si="368"/>
        <v>0</v>
      </c>
    </row>
    <row r="12267" spans="5:10" ht="15.75" hidden="1" thickBot="1" x14ac:dyDescent="0.3">
      <c r="F12267" s="249" t="s">
        <v>240</v>
      </c>
      <c r="G12267" s="252" t="s">
        <v>241</v>
      </c>
      <c r="J12267" s="599">
        <f t="shared" si="368"/>
        <v>0</v>
      </c>
    </row>
    <row r="12268" spans="5:10" hidden="1" x14ac:dyDescent="0.25">
      <c r="F12268" s="249" t="s">
        <v>242</v>
      </c>
      <c r="G12268" s="252" t="s">
        <v>243</v>
      </c>
      <c r="J12268" s="599">
        <f t="shared" si="368"/>
        <v>0</v>
      </c>
    </row>
    <row r="12269" spans="5:10" hidden="1" x14ac:dyDescent="0.25">
      <c r="F12269" s="249" t="s">
        <v>244</v>
      </c>
      <c r="G12269" s="252" t="s">
        <v>245</v>
      </c>
      <c r="J12269" s="599">
        <f t="shared" si="368"/>
        <v>0</v>
      </c>
    </row>
    <row r="12270" spans="5:10" hidden="1" x14ac:dyDescent="0.25">
      <c r="F12270" s="249" t="s">
        <v>246</v>
      </c>
      <c r="G12270" s="252" t="s">
        <v>247</v>
      </c>
      <c r="J12270" s="599">
        <f t="shared" si="368"/>
        <v>0</v>
      </c>
    </row>
    <row r="12271" spans="5:10" hidden="1" x14ac:dyDescent="0.25">
      <c r="F12271" s="249" t="s">
        <v>248</v>
      </c>
      <c r="G12271" s="252" t="s">
        <v>249</v>
      </c>
      <c r="J12271" s="599">
        <f t="shared" si="368"/>
        <v>0</v>
      </c>
    </row>
    <row r="12272" spans="5:10" hidden="1" x14ac:dyDescent="0.25">
      <c r="F12272" s="249" t="s">
        <v>250</v>
      </c>
      <c r="G12272" s="252" t="s">
        <v>57</v>
      </c>
      <c r="J12272" s="599">
        <f t="shared" si="368"/>
        <v>0</v>
      </c>
    </row>
    <row r="12273" spans="5:10" hidden="1" x14ac:dyDescent="0.25">
      <c r="F12273" s="249" t="s">
        <v>251</v>
      </c>
      <c r="G12273" s="252" t="s">
        <v>252</v>
      </c>
      <c r="J12273" s="599">
        <f t="shared" si="368"/>
        <v>0</v>
      </c>
    </row>
    <row r="12274" spans="5:10" hidden="1" x14ac:dyDescent="0.25">
      <c r="F12274" s="249" t="s">
        <v>253</v>
      </c>
      <c r="G12274" s="252" t="s">
        <v>254</v>
      </c>
      <c r="J12274" s="599">
        <f t="shared" si="368"/>
        <v>0</v>
      </c>
    </row>
    <row r="12275" spans="5:10" ht="30" hidden="1" x14ac:dyDescent="0.25">
      <c r="F12275" s="249" t="s">
        <v>255</v>
      </c>
      <c r="G12275" s="252" t="s">
        <v>256</v>
      </c>
      <c r="J12275" s="599">
        <f t="shared" si="368"/>
        <v>0</v>
      </c>
    </row>
    <row r="12276" spans="5:10" hidden="1" x14ac:dyDescent="0.25">
      <c r="F12276" s="249" t="s">
        <v>257</v>
      </c>
      <c r="G12276" s="252" t="s">
        <v>258</v>
      </c>
      <c r="J12276" s="599">
        <f t="shared" si="368"/>
        <v>0</v>
      </c>
    </row>
    <row r="12277" spans="5:10" ht="30" hidden="1" x14ac:dyDescent="0.25">
      <c r="F12277" s="249" t="s">
        <v>259</v>
      </c>
      <c r="G12277" s="252" t="s">
        <v>260</v>
      </c>
      <c r="J12277" s="599">
        <f t="shared" si="368"/>
        <v>0</v>
      </c>
    </row>
    <row r="12278" spans="5:10" hidden="1" x14ac:dyDescent="0.25">
      <c r="F12278" s="249" t="s">
        <v>261</v>
      </c>
      <c r="G12278" s="252" t="s">
        <v>262</v>
      </c>
      <c r="J12278" s="599">
        <f t="shared" si="368"/>
        <v>0</v>
      </c>
    </row>
    <row r="12279" spans="5:10" ht="15.75" hidden="1" thickBot="1" x14ac:dyDescent="0.3">
      <c r="F12279" s="249" t="s">
        <v>263</v>
      </c>
      <c r="G12279" s="252" t="s">
        <v>264</v>
      </c>
      <c r="H12279" s="598"/>
      <c r="I12279" s="599"/>
      <c r="J12279" s="599">
        <f t="shared" si="368"/>
        <v>0</v>
      </c>
    </row>
    <row r="12280" spans="5:10" ht="15.75" hidden="1" thickBot="1" x14ac:dyDescent="0.3">
      <c r="G12280" s="229" t="s">
        <v>4460</v>
      </c>
      <c r="H12280" s="600">
        <f>SUM(H12264:H12279)</f>
        <v>0</v>
      </c>
      <c r="I12280" s="601">
        <f>SUM(I12265:I12279)</f>
        <v>0</v>
      </c>
      <c r="J12280" s="601">
        <f>SUM(J12264:J12279)</f>
        <v>0</v>
      </c>
    </row>
    <row r="12281" spans="5:10" hidden="1" collapsed="1" x14ac:dyDescent="0.25">
      <c r="E12281" s="474"/>
      <c r="F12281" s="486"/>
      <c r="G12281" s="231" t="s">
        <v>5061</v>
      </c>
      <c r="H12281" s="602"/>
      <c r="I12281" s="623"/>
      <c r="J12281" s="603"/>
    </row>
    <row r="12282" spans="5:10" hidden="1" x14ac:dyDescent="0.25">
      <c r="E12282" s="222"/>
      <c r="F12282" s="249" t="s">
        <v>234</v>
      </c>
      <c r="G12282" s="252" t="s">
        <v>235</v>
      </c>
      <c r="H12282" s="598">
        <f>SUM(H12203:H12262)</f>
        <v>0</v>
      </c>
      <c r="I12282" s="599"/>
      <c r="J12282" s="599">
        <f>SUM(H12282:I12282)</f>
        <v>0</v>
      </c>
    </row>
    <row r="12283" spans="5:10" hidden="1" x14ac:dyDescent="0.25">
      <c r="F12283" s="249" t="s">
        <v>236</v>
      </c>
      <c r="G12283" s="252" t="s">
        <v>237</v>
      </c>
      <c r="J12283" s="599">
        <f t="shared" ref="J12283:J12297" si="369">SUM(H12283:I12283)</f>
        <v>0</v>
      </c>
    </row>
    <row r="12284" spans="5:10" hidden="1" x14ac:dyDescent="0.25">
      <c r="F12284" s="249" t="s">
        <v>238</v>
      </c>
      <c r="G12284" s="252" t="s">
        <v>239</v>
      </c>
      <c r="J12284" s="599">
        <f t="shared" si="369"/>
        <v>0</v>
      </c>
    </row>
    <row r="12285" spans="5:10" ht="15.75" hidden="1" thickBot="1" x14ac:dyDescent="0.3">
      <c r="F12285" s="249" t="s">
        <v>240</v>
      </c>
      <c r="G12285" s="252" t="s">
        <v>241</v>
      </c>
      <c r="J12285" s="599">
        <f t="shared" si="369"/>
        <v>0</v>
      </c>
    </row>
    <row r="12286" spans="5:10" hidden="1" x14ac:dyDescent="0.25">
      <c r="F12286" s="249" t="s">
        <v>242</v>
      </c>
      <c r="G12286" s="252" t="s">
        <v>243</v>
      </c>
      <c r="J12286" s="599">
        <f t="shared" si="369"/>
        <v>0</v>
      </c>
    </row>
    <row r="12287" spans="5:10" hidden="1" x14ac:dyDescent="0.25">
      <c r="F12287" s="249" t="s">
        <v>244</v>
      </c>
      <c r="G12287" s="252" t="s">
        <v>245</v>
      </c>
      <c r="J12287" s="599">
        <f t="shared" si="369"/>
        <v>0</v>
      </c>
    </row>
    <row r="12288" spans="5:10" hidden="1" x14ac:dyDescent="0.25">
      <c r="F12288" s="249" t="s">
        <v>246</v>
      </c>
      <c r="G12288" s="252" t="s">
        <v>247</v>
      </c>
      <c r="J12288" s="599">
        <f t="shared" si="369"/>
        <v>0</v>
      </c>
    </row>
    <row r="12289" spans="3:10" hidden="1" x14ac:dyDescent="0.25">
      <c r="F12289" s="249" t="s">
        <v>248</v>
      </c>
      <c r="G12289" s="252" t="s">
        <v>249</v>
      </c>
      <c r="J12289" s="599">
        <f t="shared" si="369"/>
        <v>0</v>
      </c>
    </row>
    <row r="12290" spans="3:10" hidden="1" x14ac:dyDescent="0.25">
      <c r="F12290" s="249" t="s">
        <v>250</v>
      </c>
      <c r="G12290" s="252" t="s">
        <v>57</v>
      </c>
      <c r="J12290" s="599">
        <f t="shared" si="369"/>
        <v>0</v>
      </c>
    </row>
    <row r="12291" spans="3:10" hidden="1" x14ac:dyDescent="0.25">
      <c r="F12291" s="249" t="s">
        <v>251</v>
      </c>
      <c r="G12291" s="252" t="s">
        <v>252</v>
      </c>
      <c r="J12291" s="599">
        <f t="shared" si="369"/>
        <v>0</v>
      </c>
    </row>
    <row r="12292" spans="3:10" hidden="1" x14ac:dyDescent="0.25">
      <c r="F12292" s="249" t="s">
        <v>253</v>
      </c>
      <c r="G12292" s="252" t="s">
        <v>254</v>
      </c>
      <c r="J12292" s="599">
        <f t="shared" si="369"/>
        <v>0</v>
      </c>
    </row>
    <row r="12293" spans="3:10" ht="30" hidden="1" x14ac:dyDescent="0.25">
      <c r="F12293" s="249" t="s">
        <v>255</v>
      </c>
      <c r="G12293" s="252" t="s">
        <v>256</v>
      </c>
      <c r="J12293" s="599">
        <f t="shared" si="369"/>
        <v>0</v>
      </c>
    </row>
    <row r="12294" spans="3:10" hidden="1" x14ac:dyDescent="0.25">
      <c r="F12294" s="249" t="s">
        <v>257</v>
      </c>
      <c r="G12294" s="252" t="s">
        <v>258</v>
      </c>
      <c r="J12294" s="599">
        <f t="shared" si="369"/>
        <v>0</v>
      </c>
    </row>
    <row r="12295" spans="3:10" ht="30" hidden="1" x14ac:dyDescent="0.25">
      <c r="F12295" s="249" t="s">
        <v>259</v>
      </c>
      <c r="G12295" s="252" t="s">
        <v>260</v>
      </c>
      <c r="J12295" s="599">
        <f t="shared" si="369"/>
        <v>0</v>
      </c>
    </row>
    <row r="12296" spans="3:10" hidden="1" x14ac:dyDescent="0.25">
      <c r="F12296" s="249" t="s">
        <v>261</v>
      </c>
      <c r="G12296" s="252" t="s">
        <v>262</v>
      </c>
      <c r="J12296" s="599">
        <f t="shared" si="369"/>
        <v>0</v>
      </c>
    </row>
    <row r="12297" spans="3:10" ht="15.75" hidden="1" thickBot="1" x14ac:dyDescent="0.3">
      <c r="F12297" s="249" t="s">
        <v>263</v>
      </c>
      <c r="G12297" s="252" t="s">
        <v>264</v>
      </c>
      <c r="H12297" s="598"/>
      <c r="I12297" s="599"/>
      <c r="J12297" s="599">
        <f t="shared" si="369"/>
        <v>0</v>
      </c>
    </row>
    <row r="12298" spans="3:10" ht="15.75" hidden="1" thickBot="1" x14ac:dyDescent="0.3">
      <c r="G12298" s="229" t="s">
        <v>5048</v>
      </c>
      <c r="H12298" s="600">
        <f>SUM(H12282:H12297)</f>
        <v>0</v>
      </c>
      <c r="I12298" s="601">
        <f>SUM(I12283:I12297)</f>
        <v>0</v>
      </c>
      <c r="J12298" s="601">
        <f>SUM(J12282:J12297)</f>
        <v>0</v>
      </c>
    </row>
    <row r="12299" spans="3:10" hidden="1" x14ac:dyDescent="0.25"/>
    <row r="12300" spans="3:10" hidden="1" x14ac:dyDescent="0.25">
      <c r="C12300" s="228" t="s">
        <v>4866</v>
      </c>
      <c r="D12300" s="219"/>
      <c r="G12300" s="521" t="s">
        <v>4254</v>
      </c>
    </row>
    <row r="12301" spans="3:10" hidden="1" x14ac:dyDescent="0.25">
      <c r="C12301" s="228"/>
      <c r="D12301" s="312">
        <v>820</v>
      </c>
      <c r="E12301" s="312"/>
      <c r="F12301" s="312"/>
      <c r="G12301" s="313" t="s">
        <v>207</v>
      </c>
    </row>
    <row r="12302" spans="3:10" hidden="1" x14ac:dyDescent="0.25">
      <c r="F12302" s="527">
        <v>411</v>
      </c>
      <c r="G12302" s="520" t="s">
        <v>4189</v>
      </c>
      <c r="J12302" s="595">
        <f>SUM(H12302:I12302)</f>
        <v>0</v>
      </c>
    </row>
    <row r="12303" spans="3:10" hidden="1" x14ac:dyDescent="0.25">
      <c r="F12303" s="527">
        <v>412</v>
      </c>
      <c r="G12303" s="516" t="s">
        <v>3784</v>
      </c>
      <c r="J12303" s="595">
        <f t="shared" ref="J12303:J12361" si="370">SUM(H12303:I12303)</f>
        <v>0</v>
      </c>
    </row>
    <row r="12304" spans="3:10" hidden="1" x14ac:dyDescent="0.25">
      <c r="F12304" s="527">
        <v>413</v>
      </c>
      <c r="G12304" s="520" t="s">
        <v>4190</v>
      </c>
      <c r="J12304" s="595">
        <f t="shared" si="370"/>
        <v>0</v>
      </c>
    </row>
    <row r="12305" spans="6:10" hidden="1" x14ac:dyDescent="0.25">
      <c r="F12305" s="527">
        <v>414</v>
      </c>
      <c r="G12305" s="520" t="s">
        <v>3787</v>
      </c>
      <c r="J12305" s="595">
        <f t="shared" si="370"/>
        <v>0</v>
      </c>
    </row>
    <row r="12306" spans="6:10" hidden="1" x14ac:dyDescent="0.25">
      <c r="F12306" s="527">
        <v>415</v>
      </c>
      <c r="G12306" s="520" t="s">
        <v>4199</v>
      </c>
      <c r="J12306" s="595">
        <f t="shared" si="370"/>
        <v>0</v>
      </c>
    </row>
    <row r="12307" spans="6:10" hidden="1" x14ac:dyDescent="0.25">
      <c r="F12307" s="527">
        <v>416</v>
      </c>
      <c r="G12307" s="520" t="s">
        <v>4200</v>
      </c>
      <c r="J12307" s="595">
        <f t="shared" si="370"/>
        <v>0</v>
      </c>
    </row>
    <row r="12308" spans="6:10" hidden="1" x14ac:dyDescent="0.25">
      <c r="F12308" s="527">
        <v>417</v>
      </c>
      <c r="G12308" s="520" t="s">
        <v>4201</v>
      </c>
      <c r="J12308" s="595">
        <f t="shared" si="370"/>
        <v>0</v>
      </c>
    </row>
    <row r="12309" spans="6:10" hidden="1" x14ac:dyDescent="0.25">
      <c r="F12309" s="527">
        <v>418</v>
      </c>
      <c r="G12309" s="520" t="s">
        <v>3793</v>
      </c>
      <c r="J12309" s="595">
        <f t="shared" si="370"/>
        <v>0</v>
      </c>
    </row>
    <row r="12310" spans="6:10" hidden="1" x14ac:dyDescent="0.25">
      <c r="F12310" s="527">
        <v>421</v>
      </c>
      <c r="G12310" s="520" t="s">
        <v>3797</v>
      </c>
      <c r="J12310" s="595">
        <f t="shared" si="370"/>
        <v>0</v>
      </c>
    </row>
    <row r="12311" spans="6:10" hidden="1" x14ac:dyDescent="0.25">
      <c r="F12311" s="527">
        <v>422</v>
      </c>
      <c r="G12311" s="520" t="s">
        <v>3798</v>
      </c>
      <c r="J12311" s="595">
        <f t="shared" si="370"/>
        <v>0</v>
      </c>
    </row>
    <row r="12312" spans="6:10" hidden="1" x14ac:dyDescent="0.25">
      <c r="F12312" s="527">
        <v>423</v>
      </c>
      <c r="G12312" s="520" t="s">
        <v>3799</v>
      </c>
      <c r="J12312" s="595">
        <f t="shared" si="370"/>
        <v>0</v>
      </c>
    </row>
    <row r="12313" spans="6:10" hidden="1" x14ac:dyDescent="0.25">
      <c r="F12313" s="527">
        <v>424</v>
      </c>
      <c r="G12313" s="520" t="s">
        <v>3801</v>
      </c>
      <c r="J12313" s="595">
        <f t="shared" si="370"/>
        <v>0</v>
      </c>
    </row>
    <row r="12314" spans="6:10" hidden="1" x14ac:dyDescent="0.25">
      <c r="F12314" s="527">
        <v>425</v>
      </c>
      <c r="G12314" s="520" t="s">
        <v>4202</v>
      </c>
      <c r="J12314" s="595">
        <f t="shared" si="370"/>
        <v>0</v>
      </c>
    </row>
    <row r="12315" spans="6:10" hidden="1" x14ac:dyDescent="0.25">
      <c r="F12315" s="527">
        <v>426</v>
      </c>
      <c r="G12315" s="520" t="s">
        <v>3805</v>
      </c>
      <c r="J12315" s="595">
        <f t="shared" si="370"/>
        <v>0</v>
      </c>
    </row>
    <row r="12316" spans="6:10" hidden="1" x14ac:dyDescent="0.25">
      <c r="F12316" s="527">
        <v>431</v>
      </c>
      <c r="G12316" s="520" t="s">
        <v>4203</v>
      </c>
      <c r="J12316" s="595">
        <f t="shared" si="370"/>
        <v>0</v>
      </c>
    </row>
    <row r="12317" spans="6:10" hidden="1" x14ac:dyDescent="0.25">
      <c r="F12317" s="527">
        <v>432</v>
      </c>
      <c r="G12317" s="520" t="s">
        <v>4204</v>
      </c>
      <c r="J12317" s="595">
        <f t="shared" si="370"/>
        <v>0</v>
      </c>
    </row>
    <row r="12318" spans="6:10" hidden="1" x14ac:dyDescent="0.25">
      <c r="F12318" s="527">
        <v>433</v>
      </c>
      <c r="G12318" s="520" t="s">
        <v>4205</v>
      </c>
      <c r="J12318" s="595">
        <f t="shared" si="370"/>
        <v>0</v>
      </c>
    </row>
    <row r="12319" spans="6:10" hidden="1" x14ac:dyDescent="0.25">
      <c r="F12319" s="527">
        <v>434</v>
      </c>
      <c r="G12319" s="520" t="s">
        <v>4206</v>
      </c>
      <c r="J12319" s="595">
        <f t="shared" si="370"/>
        <v>0</v>
      </c>
    </row>
    <row r="12320" spans="6:10" hidden="1" x14ac:dyDescent="0.25">
      <c r="F12320" s="527">
        <v>435</v>
      </c>
      <c r="G12320" s="520" t="s">
        <v>3812</v>
      </c>
      <c r="J12320" s="595">
        <f t="shared" si="370"/>
        <v>0</v>
      </c>
    </row>
    <row r="12321" spans="6:10" hidden="1" x14ac:dyDescent="0.25">
      <c r="F12321" s="527">
        <v>441</v>
      </c>
      <c r="G12321" s="520" t="s">
        <v>4207</v>
      </c>
      <c r="J12321" s="595">
        <f t="shared" si="370"/>
        <v>0</v>
      </c>
    </row>
    <row r="12322" spans="6:10" hidden="1" x14ac:dyDescent="0.25">
      <c r="F12322" s="527">
        <v>442</v>
      </c>
      <c r="G12322" s="520" t="s">
        <v>4208</v>
      </c>
      <c r="J12322" s="595">
        <f t="shared" si="370"/>
        <v>0</v>
      </c>
    </row>
    <row r="12323" spans="6:10" hidden="1" x14ac:dyDescent="0.25">
      <c r="F12323" s="527">
        <v>443</v>
      </c>
      <c r="G12323" s="520" t="s">
        <v>3817</v>
      </c>
      <c r="J12323" s="595">
        <f t="shared" si="370"/>
        <v>0</v>
      </c>
    </row>
    <row r="12324" spans="6:10" hidden="1" x14ac:dyDescent="0.25">
      <c r="F12324" s="527">
        <v>444</v>
      </c>
      <c r="G12324" s="520" t="s">
        <v>3818</v>
      </c>
      <c r="J12324" s="595">
        <f t="shared" si="370"/>
        <v>0</v>
      </c>
    </row>
    <row r="12325" spans="6:10" ht="30" hidden="1" x14ac:dyDescent="0.25">
      <c r="F12325" s="527">
        <v>4511</v>
      </c>
      <c r="G12325" s="223" t="s">
        <v>1692</v>
      </c>
      <c r="J12325" s="595">
        <f t="shared" si="370"/>
        <v>0</v>
      </c>
    </row>
    <row r="12326" spans="6:10" ht="30" hidden="1" x14ac:dyDescent="0.25">
      <c r="F12326" s="527">
        <v>4512</v>
      </c>
      <c r="G12326" s="223" t="s">
        <v>1701</v>
      </c>
      <c r="J12326" s="595">
        <f t="shared" si="370"/>
        <v>0</v>
      </c>
    </row>
    <row r="12327" spans="6:10" hidden="1" x14ac:dyDescent="0.25">
      <c r="F12327" s="527">
        <v>452</v>
      </c>
      <c r="G12327" s="520" t="s">
        <v>4209</v>
      </c>
      <c r="J12327" s="595">
        <f t="shared" si="370"/>
        <v>0</v>
      </c>
    </row>
    <row r="12328" spans="6:10" hidden="1" x14ac:dyDescent="0.25">
      <c r="F12328" s="527">
        <v>453</v>
      </c>
      <c r="G12328" s="520" t="s">
        <v>4210</v>
      </c>
      <c r="J12328" s="595">
        <f t="shared" si="370"/>
        <v>0</v>
      </c>
    </row>
    <row r="12329" spans="6:10" hidden="1" x14ac:dyDescent="0.25">
      <c r="F12329" s="527">
        <v>454</v>
      </c>
      <c r="G12329" s="520" t="s">
        <v>3823</v>
      </c>
      <c r="J12329" s="595">
        <f t="shared" si="370"/>
        <v>0</v>
      </c>
    </row>
    <row r="12330" spans="6:10" hidden="1" x14ac:dyDescent="0.25">
      <c r="F12330" s="527">
        <v>461</v>
      </c>
      <c r="G12330" s="520" t="s">
        <v>4191</v>
      </c>
      <c r="J12330" s="595">
        <f t="shared" si="370"/>
        <v>0</v>
      </c>
    </row>
    <row r="12331" spans="6:10" hidden="1" x14ac:dyDescent="0.25">
      <c r="F12331" s="527">
        <v>462</v>
      </c>
      <c r="G12331" s="520" t="s">
        <v>3826</v>
      </c>
      <c r="J12331" s="595">
        <f t="shared" si="370"/>
        <v>0</v>
      </c>
    </row>
    <row r="12332" spans="6:10" hidden="1" x14ac:dyDescent="0.25">
      <c r="F12332" s="527">
        <v>4631</v>
      </c>
      <c r="G12332" s="520" t="s">
        <v>3827</v>
      </c>
      <c r="J12332" s="595">
        <f t="shared" si="370"/>
        <v>0</v>
      </c>
    </row>
    <row r="12333" spans="6:10" hidden="1" x14ac:dyDescent="0.25">
      <c r="F12333" s="527">
        <v>4632</v>
      </c>
      <c r="G12333" s="520" t="s">
        <v>3828</v>
      </c>
      <c r="J12333" s="595">
        <f t="shared" si="370"/>
        <v>0</v>
      </c>
    </row>
    <row r="12334" spans="6:10" hidden="1" x14ac:dyDescent="0.25">
      <c r="F12334" s="527">
        <v>464</v>
      </c>
      <c r="G12334" s="520" t="s">
        <v>3829</v>
      </c>
      <c r="J12334" s="595">
        <f t="shared" si="370"/>
        <v>0</v>
      </c>
    </row>
    <row r="12335" spans="6:10" hidden="1" x14ac:dyDescent="0.25">
      <c r="F12335" s="527">
        <v>465</v>
      </c>
      <c r="G12335" s="520" t="s">
        <v>4192</v>
      </c>
      <c r="J12335" s="595">
        <f t="shared" si="370"/>
        <v>0</v>
      </c>
    </row>
    <row r="12336" spans="6:10" ht="15.75" hidden="1" thickBot="1" x14ac:dyDescent="0.3">
      <c r="F12336" s="527">
        <v>472</v>
      </c>
      <c r="G12336" s="520" t="s">
        <v>3833</v>
      </c>
      <c r="J12336" s="595">
        <f t="shared" si="370"/>
        <v>0</v>
      </c>
    </row>
    <row r="12337" spans="6:10" ht="15.75" hidden="1" thickBot="1" x14ac:dyDescent="0.3">
      <c r="F12337" s="527">
        <v>481</v>
      </c>
      <c r="G12337" s="520" t="s">
        <v>4211</v>
      </c>
      <c r="J12337" s="595">
        <f t="shared" si="370"/>
        <v>0</v>
      </c>
    </row>
    <row r="12338" spans="6:10" ht="15.75" hidden="1" thickBot="1" x14ac:dyDescent="0.3">
      <c r="F12338" s="527">
        <v>482</v>
      </c>
      <c r="G12338" s="520" t="s">
        <v>4212</v>
      </c>
      <c r="J12338" s="595">
        <f t="shared" si="370"/>
        <v>0</v>
      </c>
    </row>
    <row r="12339" spans="6:10" ht="15.75" hidden="1" thickBot="1" x14ac:dyDescent="0.3">
      <c r="F12339" s="527">
        <v>483</v>
      </c>
      <c r="G12339" s="524" t="s">
        <v>4213</v>
      </c>
      <c r="J12339" s="595">
        <f t="shared" si="370"/>
        <v>0</v>
      </c>
    </row>
    <row r="12340" spans="6:10" ht="30.75" hidden="1" thickBot="1" x14ac:dyDescent="0.3">
      <c r="F12340" s="527">
        <v>484</v>
      </c>
      <c r="G12340" s="520" t="s">
        <v>4214</v>
      </c>
      <c r="J12340" s="595">
        <f t="shared" si="370"/>
        <v>0</v>
      </c>
    </row>
    <row r="12341" spans="6:10" ht="30.75" hidden="1" thickBot="1" x14ac:dyDescent="0.3">
      <c r="F12341" s="527">
        <v>485</v>
      </c>
      <c r="G12341" s="520" t="s">
        <v>4215</v>
      </c>
      <c r="J12341" s="595">
        <f t="shared" si="370"/>
        <v>0</v>
      </c>
    </row>
    <row r="12342" spans="6:10" ht="30.75" hidden="1" thickBot="1" x14ac:dyDescent="0.3">
      <c r="F12342" s="527">
        <v>489</v>
      </c>
      <c r="G12342" s="520" t="s">
        <v>3841</v>
      </c>
      <c r="J12342" s="595">
        <f t="shared" si="370"/>
        <v>0</v>
      </c>
    </row>
    <row r="12343" spans="6:10" ht="15.75" hidden="1" thickBot="1" x14ac:dyDescent="0.3">
      <c r="F12343" s="527">
        <v>494</v>
      </c>
      <c r="G12343" s="520" t="s">
        <v>4193</v>
      </c>
      <c r="J12343" s="595">
        <f t="shared" si="370"/>
        <v>0</v>
      </c>
    </row>
    <row r="12344" spans="6:10" ht="30.75" hidden="1" thickBot="1" x14ac:dyDescent="0.3">
      <c r="F12344" s="527">
        <v>495</v>
      </c>
      <c r="G12344" s="520" t="s">
        <v>4194</v>
      </c>
      <c r="J12344" s="595">
        <f t="shared" si="370"/>
        <v>0</v>
      </c>
    </row>
    <row r="12345" spans="6:10" ht="30.75" hidden="1" thickBot="1" x14ac:dyDescent="0.3">
      <c r="F12345" s="527">
        <v>496</v>
      </c>
      <c r="G12345" s="520" t="s">
        <v>4195</v>
      </c>
      <c r="J12345" s="595">
        <f t="shared" si="370"/>
        <v>0</v>
      </c>
    </row>
    <row r="12346" spans="6:10" ht="15.75" hidden="1" thickBot="1" x14ac:dyDescent="0.3">
      <c r="F12346" s="527">
        <v>499</v>
      </c>
      <c r="G12346" s="520" t="s">
        <v>4196</v>
      </c>
      <c r="J12346" s="595">
        <f t="shared" si="370"/>
        <v>0</v>
      </c>
    </row>
    <row r="12347" spans="6:10" ht="15.75" hidden="1" thickBot="1" x14ac:dyDescent="0.3">
      <c r="F12347" s="527">
        <v>511</v>
      </c>
      <c r="G12347" s="524" t="s">
        <v>4216</v>
      </c>
      <c r="J12347" s="595">
        <f t="shared" si="370"/>
        <v>0</v>
      </c>
    </row>
    <row r="12348" spans="6:10" ht="15.75" hidden="1" thickBot="1" x14ac:dyDescent="0.3">
      <c r="F12348" s="527">
        <v>512</v>
      </c>
      <c r="G12348" s="524" t="s">
        <v>4217</v>
      </c>
      <c r="J12348" s="595">
        <f t="shared" si="370"/>
        <v>0</v>
      </c>
    </row>
    <row r="12349" spans="6:10" ht="15.75" hidden="1" thickBot="1" x14ac:dyDescent="0.3">
      <c r="F12349" s="527">
        <v>513</v>
      </c>
      <c r="G12349" s="524" t="s">
        <v>4218</v>
      </c>
      <c r="J12349" s="595">
        <f t="shared" si="370"/>
        <v>0</v>
      </c>
    </row>
    <row r="12350" spans="6:10" ht="15.75" hidden="1" thickBot="1" x14ac:dyDescent="0.3">
      <c r="F12350" s="527">
        <v>514</v>
      </c>
      <c r="G12350" s="520" t="s">
        <v>4219</v>
      </c>
      <c r="J12350" s="595">
        <f t="shared" si="370"/>
        <v>0</v>
      </c>
    </row>
    <row r="12351" spans="6:10" ht="15.75" hidden="1" thickBot="1" x14ac:dyDescent="0.3">
      <c r="F12351" s="527">
        <v>515</v>
      </c>
      <c r="G12351" s="520" t="s">
        <v>3852</v>
      </c>
      <c r="J12351" s="595">
        <f t="shared" si="370"/>
        <v>0</v>
      </c>
    </row>
    <row r="12352" spans="6:10" ht="15.75" hidden="1" thickBot="1" x14ac:dyDescent="0.3">
      <c r="F12352" s="527">
        <v>521</v>
      </c>
      <c r="G12352" s="520" t="s">
        <v>4220</v>
      </c>
      <c r="J12352" s="595">
        <f t="shared" si="370"/>
        <v>0</v>
      </c>
    </row>
    <row r="12353" spans="5:10" ht="15.75" hidden="1" thickBot="1" x14ac:dyDescent="0.3">
      <c r="F12353" s="527">
        <v>522</v>
      </c>
      <c r="G12353" s="520" t="s">
        <v>4221</v>
      </c>
      <c r="J12353" s="595">
        <f t="shared" si="370"/>
        <v>0</v>
      </c>
    </row>
    <row r="12354" spans="5:10" ht="15.75" hidden="1" thickBot="1" x14ac:dyDescent="0.3">
      <c r="F12354" s="527">
        <v>523</v>
      </c>
      <c r="G12354" s="520" t="s">
        <v>3857</v>
      </c>
      <c r="J12354" s="595">
        <f t="shared" si="370"/>
        <v>0</v>
      </c>
    </row>
    <row r="12355" spans="5:10" ht="15.75" hidden="1" thickBot="1" x14ac:dyDescent="0.3">
      <c r="F12355" s="527">
        <v>531</v>
      </c>
      <c r="G12355" s="516" t="s">
        <v>4197</v>
      </c>
      <c r="J12355" s="595">
        <f t="shared" si="370"/>
        <v>0</v>
      </c>
    </row>
    <row r="12356" spans="5:10" ht="15.75" hidden="1" thickBot="1" x14ac:dyDescent="0.3">
      <c r="F12356" s="527">
        <v>541</v>
      </c>
      <c r="G12356" s="520" t="s">
        <v>4222</v>
      </c>
      <c r="J12356" s="595">
        <f t="shared" si="370"/>
        <v>0</v>
      </c>
    </row>
    <row r="12357" spans="5:10" ht="15.75" hidden="1" thickBot="1" x14ac:dyDescent="0.3">
      <c r="F12357" s="527">
        <v>542</v>
      </c>
      <c r="G12357" s="520" t="s">
        <v>4223</v>
      </c>
      <c r="J12357" s="595">
        <f t="shared" si="370"/>
        <v>0</v>
      </c>
    </row>
    <row r="12358" spans="5:10" ht="15.75" hidden="1" thickBot="1" x14ac:dyDescent="0.3">
      <c r="F12358" s="527">
        <v>543</v>
      </c>
      <c r="G12358" s="520" t="s">
        <v>3862</v>
      </c>
      <c r="J12358" s="595">
        <f t="shared" si="370"/>
        <v>0</v>
      </c>
    </row>
    <row r="12359" spans="5:10" ht="30.75" hidden="1" thickBot="1" x14ac:dyDescent="0.3">
      <c r="F12359" s="527">
        <v>551</v>
      </c>
      <c r="G12359" s="520" t="s">
        <v>4198</v>
      </c>
      <c r="J12359" s="595">
        <f t="shared" si="370"/>
        <v>0</v>
      </c>
    </row>
    <row r="12360" spans="5:10" ht="15.75" hidden="1" thickBot="1" x14ac:dyDescent="0.3">
      <c r="F12360" s="528">
        <v>611</v>
      </c>
      <c r="G12360" s="526" t="s">
        <v>3868</v>
      </c>
      <c r="J12360" s="595">
        <f t="shared" si="370"/>
        <v>0</v>
      </c>
    </row>
    <row r="12361" spans="5:10" ht="15.75" hidden="1" thickBot="1" x14ac:dyDescent="0.3">
      <c r="F12361" s="528">
        <v>620</v>
      </c>
      <c r="G12361" s="526" t="s">
        <v>88</v>
      </c>
      <c r="J12361" s="595">
        <f t="shared" si="370"/>
        <v>0</v>
      </c>
    </row>
    <row r="12362" spans="5:10" hidden="1" x14ac:dyDescent="0.25">
      <c r="E12362" s="517"/>
      <c r="F12362" s="528"/>
      <c r="G12362" s="326" t="s">
        <v>4459</v>
      </c>
      <c r="H12362" s="596"/>
      <c r="I12362" s="622"/>
      <c r="J12362" s="597"/>
    </row>
    <row r="12363" spans="5:10" hidden="1" x14ac:dyDescent="0.25">
      <c r="E12363" s="222"/>
      <c r="F12363" s="642" t="s">
        <v>234</v>
      </c>
      <c r="G12363" s="643" t="s">
        <v>235</v>
      </c>
      <c r="H12363" s="598">
        <f>SUM(H12302:H12361)</f>
        <v>0</v>
      </c>
      <c r="I12363" s="599"/>
      <c r="J12363" s="599">
        <f>SUM(H12363:I12363)</f>
        <v>0</v>
      </c>
    </row>
    <row r="12364" spans="5:10" hidden="1" x14ac:dyDescent="0.25">
      <c r="F12364" s="642" t="s">
        <v>236</v>
      </c>
      <c r="G12364" s="643" t="s">
        <v>237</v>
      </c>
      <c r="J12364" s="599">
        <f t="shared" ref="J12364:J12378" si="371">SUM(H12364:I12364)</f>
        <v>0</v>
      </c>
    </row>
    <row r="12365" spans="5:10" hidden="1" x14ac:dyDescent="0.25">
      <c r="F12365" s="642" t="s">
        <v>238</v>
      </c>
      <c r="G12365" s="643" t="s">
        <v>239</v>
      </c>
      <c r="J12365" s="599">
        <f t="shared" si="371"/>
        <v>0</v>
      </c>
    </row>
    <row r="12366" spans="5:10" ht="15.75" hidden="1" thickBot="1" x14ac:dyDescent="0.3">
      <c r="F12366" s="642" t="s">
        <v>240</v>
      </c>
      <c r="G12366" s="643" t="s">
        <v>241</v>
      </c>
      <c r="J12366" s="599">
        <f t="shared" si="371"/>
        <v>0</v>
      </c>
    </row>
    <row r="12367" spans="5:10" ht="15.75" hidden="1" thickBot="1" x14ac:dyDescent="0.3">
      <c r="F12367" s="642" t="s">
        <v>242</v>
      </c>
      <c r="G12367" s="643" t="s">
        <v>243</v>
      </c>
      <c r="J12367" s="599">
        <f t="shared" si="371"/>
        <v>0</v>
      </c>
    </row>
    <row r="12368" spans="5:10" ht="15.75" hidden="1" thickBot="1" x14ac:dyDescent="0.3">
      <c r="F12368" s="642" t="s">
        <v>244</v>
      </c>
      <c r="G12368" s="643" t="s">
        <v>245</v>
      </c>
      <c r="J12368" s="599">
        <f t="shared" si="371"/>
        <v>0</v>
      </c>
    </row>
    <row r="12369" spans="5:10" ht="15.75" hidden="1" thickBot="1" x14ac:dyDescent="0.3">
      <c r="F12369" s="642" t="s">
        <v>246</v>
      </c>
      <c r="G12369" s="643" t="s">
        <v>247</v>
      </c>
      <c r="J12369" s="599">
        <f t="shared" si="371"/>
        <v>0</v>
      </c>
    </row>
    <row r="12370" spans="5:10" ht="15.75" hidden="1" thickBot="1" x14ac:dyDescent="0.3">
      <c r="F12370" s="642" t="s">
        <v>248</v>
      </c>
      <c r="G12370" s="643" t="s">
        <v>249</v>
      </c>
      <c r="J12370" s="599">
        <f t="shared" si="371"/>
        <v>0</v>
      </c>
    </row>
    <row r="12371" spans="5:10" ht="15.75" hidden="1" thickBot="1" x14ac:dyDescent="0.3">
      <c r="F12371" s="642" t="s">
        <v>250</v>
      </c>
      <c r="G12371" s="643" t="s">
        <v>57</v>
      </c>
      <c r="J12371" s="599">
        <f t="shared" si="371"/>
        <v>0</v>
      </c>
    </row>
    <row r="12372" spans="5:10" ht="15.75" hidden="1" thickBot="1" x14ac:dyDescent="0.3">
      <c r="F12372" s="642" t="s">
        <v>251</v>
      </c>
      <c r="G12372" s="643" t="s">
        <v>252</v>
      </c>
      <c r="J12372" s="599">
        <f t="shared" si="371"/>
        <v>0</v>
      </c>
    </row>
    <row r="12373" spans="5:10" ht="15.75" hidden="1" thickBot="1" x14ac:dyDescent="0.3">
      <c r="F12373" s="642" t="s">
        <v>253</v>
      </c>
      <c r="G12373" s="643" t="s">
        <v>254</v>
      </c>
      <c r="J12373" s="599">
        <f t="shared" si="371"/>
        <v>0</v>
      </c>
    </row>
    <row r="12374" spans="5:10" ht="30.75" hidden="1" thickBot="1" x14ac:dyDescent="0.3">
      <c r="F12374" s="642" t="s">
        <v>255</v>
      </c>
      <c r="G12374" s="643" t="s">
        <v>256</v>
      </c>
      <c r="J12374" s="599">
        <f t="shared" si="371"/>
        <v>0</v>
      </c>
    </row>
    <row r="12375" spans="5:10" ht="15.75" hidden="1" thickBot="1" x14ac:dyDescent="0.3">
      <c r="F12375" s="642" t="s">
        <v>257</v>
      </c>
      <c r="G12375" s="643" t="s">
        <v>258</v>
      </c>
      <c r="J12375" s="599">
        <f t="shared" si="371"/>
        <v>0</v>
      </c>
    </row>
    <row r="12376" spans="5:10" ht="30.75" hidden="1" thickBot="1" x14ac:dyDescent="0.3">
      <c r="F12376" s="642" t="s">
        <v>259</v>
      </c>
      <c r="G12376" s="643" t="s">
        <v>260</v>
      </c>
      <c r="J12376" s="599">
        <f t="shared" si="371"/>
        <v>0</v>
      </c>
    </row>
    <row r="12377" spans="5:10" ht="15.75" hidden="1" thickBot="1" x14ac:dyDescent="0.3">
      <c r="F12377" s="642" t="s">
        <v>261</v>
      </c>
      <c r="G12377" s="643" t="s">
        <v>262</v>
      </c>
      <c r="J12377" s="599">
        <f t="shared" si="371"/>
        <v>0</v>
      </c>
    </row>
    <row r="12378" spans="5:10" ht="15.75" hidden="1" thickBot="1" x14ac:dyDescent="0.3">
      <c r="F12378" s="642" t="s">
        <v>263</v>
      </c>
      <c r="G12378" s="643" t="s">
        <v>264</v>
      </c>
      <c r="H12378" s="598"/>
      <c r="I12378" s="599"/>
      <c r="J12378" s="599">
        <f t="shared" si="371"/>
        <v>0</v>
      </c>
    </row>
    <row r="12379" spans="5:10" ht="15.75" hidden="1" thickBot="1" x14ac:dyDescent="0.3">
      <c r="G12379" s="229" t="s">
        <v>4460</v>
      </c>
      <c r="H12379" s="600">
        <f>SUM(H12363:H12378)</f>
        <v>0</v>
      </c>
      <c r="I12379" s="601">
        <f>SUM(I12364:I12378)</f>
        <v>0</v>
      </c>
      <c r="J12379" s="601">
        <f>SUM(J12363:J12378)</f>
        <v>0</v>
      </c>
    </row>
    <row r="12380" spans="5:10" hidden="1" collapsed="1" x14ac:dyDescent="0.25">
      <c r="E12380" s="517"/>
      <c r="F12380" s="528"/>
      <c r="G12380" s="231" t="s">
        <v>5062</v>
      </c>
      <c r="H12380" s="602"/>
      <c r="I12380" s="623"/>
      <c r="J12380" s="603"/>
    </row>
    <row r="12381" spans="5:10" hidden="1" x14ac:dyDescent="0.25">
      <c r="E12381" s="222"/>
      <c r="F12381" s="642" t="s">
        <v>234</v>
      </c>
      <c r="G12381" s="643" t="s">
        <v>235</v>
      </c>
      <c r="H12381" s="598">
        <f>SUM(H12302:H12361)</f>
        <v>0</v>
      </c>
      <c r="I12381" s="599"/>
      <c r="J12381" s="599">
        <f>SUM(H12381:I12381)</f>
        <v>0</v>
      </c>
    </row>
    <row r="12382" spans="5:10" hidden="1" x14ac:dyDescent="0.25">
      <c r="F12382" s="642" t="s">
        <v>236</v>
      </c>
      <c r="G12382" s="643" t="s">
        <v>237</v>
      </c>
      <c r="J12382" s="599">
        <f t="shared" ref="J12382:J12396" si="372">SUM(H12382:I12382)</f>
        <v>0</v>
      </c>
    </row>
    <row r="12383" spans="5:10" hidden="1" x14ac:dyDescent="0.25">
      <c r="F12383" s="642" t="s">
        <v>238</v>
      </c>
      <c r="G12383" s="643" t="s">
        <v>239</v>
      </c>
      <c r="J12383" s="599">
        <f t="shared" si="372"/>
        <v>0</v>
      </c>
    </row>
    <row r="12384" spans="5:10" ht="15.75" hidden="1" thickBot="1" x14ac:dyDescent="0.3">
      <c r="F12384" s="642" t="s">
        <v>240</v>
      </c>
      <c r="G12384" s="643" t="s">
        <v>241</v>
      </c>
      <c r="J12384" s="599">
        <f t="shared" si="372"/>
        <v>0</v>
      </c>
    </row>
    <row r="12385" spans="3:10" ht="15.75" hidden="1" thickBot="1" x14ac:dyDescent="0.3">
      <c r="F12385" s="642" t="s">
        <v>242</v>
      </c>
      <c r="G12385" s="643" t="s">
        <v>243</v>
      </c>
      <c r="J12385" s="599">
        <f t="shared" si="372"/>
        <v>0</v>
      </c>
    </row>
    <row r="12386" spans="3:10" ht="15.75" hidden="1" thickBot="1" x14ac:dyDescent="0.3">
      <c r="F12386" s="642" t="s">
        <v>244</v>
      </c>
      <c r="G12386" s="643" t="s">
        <v>245</v>
      </c>
      <c r="J12386" s="599">
        <f t="shared" si="372"/>
        <v>0</v>
      </c>
    </row>
    <row r="12387" spans="3:10" ht="15.75" hidden="1" thickBot="1" x14ac:dyDescent="0.3">
      <c r="F12387" s="642" t="s">
        <v>246</v>
      </c>
      <c r="G12387" s="643" t="s">
        <v>247</v>
      </c>
      <c r="J12387" s="599">
        <f t="shared" si="372"/>
        <v>0</v>
      </c>
    </row>
    <row r="12388" spans="3:10" ht="15.75" hidden="1" thickBot="1" x14ac:dyDescent="0.3">
      <c r="F12388" s="642" t="s">
        <v>248</v>
      </c>
      <c r="G12388" s="643" t="s">
        <v>249</v>
      </c>
      <c r="J12388" s="599">
        <f t="shared" si="372"/>
        <v>0</v>
      </c>
    </row>
    <row r="12389" spans="3:10" ht="15.75" hidden="1" thickBot="1" x14ac:dyDescent="0.3">
      <c r="F12389" s="642" t="s">
        <v>250</v>
      </c>
      <c r="G12389" s="643" t="s">
        <v>57</v>
      </c>
      <c r="J12389" s="599">
        <f t="shared" si="372"/>
        <v>0</v>
      </c>
    </row>
    <row r="12390" spans="3:10" ht="15.75" hidden="1" thickBot="1" x14ac:dyDescent="0.3">
      <c r="F12390" s="642" t="s">
        <v>251</v>
      </c>
      <c r="G12390" s="643" t="s">
        <v>252</v>
      </c>
      <c r="J12390" s="599">
        <f t="shared" si="372"/>
        <v>0</v>
      </c>
    </row>
    <row r="12391" spans="3:10" ht="15.75" hidden="1" thickBot="1" x14ac:dyDescent="0.3">
      <c r="F12391" s="642" t="s">
        <v>253</v>
      </c>
      <c r="G12391" s="643" t="s">
        <v>254</v>
      </c>
      <c r="J12391" s="599">
        <f t="shared" si="372"/>
        <v>0</v>
      </c>
    </row>
    <row r="12392" spans="3:10" ht="30.75" hidden="1" thickBot="1" x14ac:dyDescent="0.3">
      <c r="F12392" s="642" t="s">
        <v>255</v>
      </c>
      <c r="G12392" s="643" t="s">
        <v>256</v>
      </c>
      <c r="J12392" s="599">
        <f t="shared" si="372"/>
        <v>0</v>
      </c>
    </row>
    <row r="12393" spans="3:10" ht="15.75" hidden="1" thickBot="1" x14ac:dyDescent="0.3">
      <c r="F12393" s="642" t="s">
        <v>257</v>
      </c>
      <c r="G12393" s="643" t="s">
        <v>258</v>
      </c>
      <c r="J12393" s="599">
        <f t="shared" si="372"/>
        <v>0</v>
      </c>
    </row>
    <row r="12394" spans="3:10" ht="30.75" hidden="1" thickBot="1" x14ac:dyDescent="0.3">
      <c r="F12394" s="642" t="s">
        <v>259</v>
      </c>
      <c r="G12394" s="643" t="s">
        <v>260</v>
      </c>
      <c r="J12394" s="599">
        <f t="shared" si="372"/>
        <v>0</v>
      </c>
    </row>
    <row r="12395" spans="3:10" ht="15.75" hidden="1" thickBot="1" x14ac:dyDescent="0.3">
      <c r="F12395" s="642" t="s">
        <v>261</v>
      </c>
      <c r="G12395" s="643" t="s">
        <v>262</v>
      </c>
      <c r="J12395" s="599">
        <f t="shared" si="372"/>
        <v>0</v>
      </c>
    </row>
    <row r="12396" spans="3:10" ht="15.75" hidden="1" thickBot="1" x14ac:dyDescent="0.3">
      <c r="F12396" s="642" t="s">
        <v>263</v>
      </c>
      <c r="G12396" s="643" t="s">
        <v>264</v>
      </c>
      <c r="H12396" s="598"/>
      <c r="I12396" s="599"/>
      <c r="J12396" s="599">
        <f t="shared" si="372"/>
        <v>0</v>
      </c>
    </row>
    <row r="12397" spans="3:10" ht="15.75" hidden="1" thickBot="1" x14ac:dyDescent="0.3">
      <c r="G12397" s="229" t="s">
        <v>5049</v>
      </c>
      <c r="H12397" s="600">
        <f>SUM(H12381:H12396)</f>
        <v>0</v>
      </c>
      <c r="I12397" s="601">
        <f>SUM(I12382:I12396)</f>
        <v>0</v>
      </c>
      <c r="J12397" s="601">
        <f>SUM(J12381:J12396)</f>
        <v>0</v>
      </c>
    </row>
    <row r="12398" spans="3:10" hidden="1" x14ac:dyDescent="0.25">
      <c r="G12398" s="286"/>
      <c r="H12398" s="604"/>
      <c r="I12398" s="605"/>
      <c r="J12398" s="605"/>
    </row>
    <row r="12399" spans="3:10" hidden="1" x14ac:dyDescent="0.25">
      <c r="C12399" s="228" t="s">
        <v>4867</v>
      </c>
      <c r="D12399" s="219"/>
      <c r="G12399" s="521" t="s">
        <v>4254</v>
      </c>
    </row>
    <row r="12400" spans="3:10" hidden="1" x14ac:dyDescent="0.25">
      <c r="C12400" s="228"/>
      <c r="D12400" s="312">
        <v>820</v>
      </c>
      <c r="E12400" s="312"/>
      <c r="F12400" s="312"/>
      <c r="G12400" s="313" t="s">
        <v>207</v>
      </c>
    </row>
    <row r="12401" spans="6:10" hidden="1" x14ac:dyDescent="0.25">
      <c r="F12401" s="527">
        <v>411</v>
      </c>
      <c r="G12401" s="520" t="s">
        <v>4189</v>
      </c>
      <c r="J12401" s="595">
        <f>SUM(H12401:I12401)</f>
        <v>0</v>
      </c>
    </row>
    <row r="12402" spans="6:10" hidden="1" x14ac:dyDescent="0.25">
      <c r="F12402" s="527">
        <v>412</v>
      </c>
      <c r="G12402" s="516" t="s">
        <v>3784</v>
      </c>
      <c r="J12402" s="595">
        <f t="shared" ref="J12402:J12460" si="373">SUM(H12402:I12402)</f>
        <v>0</v>
      </c>
    </row>
    <row r="12403" spans="6:10" hidden="1" x14ac:dyDescent="0.25">
      <c r="F12403" s="527">
        <v>413</v>
      </c>
      <c r="G12403" s="520" t="s">
        <v>4190</v>
      </c>
      <c r="J12403" s="595">
        <f t="shared" si="373"/>
        <v>0</v>
      </c>
    </row>
    <row r="12404" spans="6:10" hidden="1" x14ac:dyDescent="0.25">
      <c r="F12404" s="527">
        <v>414</v>
      </c>
      <c r="G12404" s="520" t="s">
        <v>3787</v>
      </c>
      <c r="J12404" s="595">
        <f t="shared" si="373"/>
        <v>0</v>
      </c>
    </row>
    <row r="12405" spans="6:10" hidden="1" x14ac:dyDescent="0.25">
      <c r="F12405" s="527">
        <v>415</v>
      </c>
      <c r="G12405" s="520" t="s">
        <v>4199</v>
      </c>
      <c r="J12405" s="595">
        <f t="shared" si="373"/>
        <v>0</v>
      </c>
    </row>
    <row r="12406" spans="6:10" hidden="1" x14ac:dyDescent="0.25">
      <c r="F12406" s="527">
        <v>416</v>
      </c>
      <c r="G12406" s="520" t="s">
        <v>4200</v>
      </c>
      <c r="J12406" s="595">
        <f t="shared" si="373"/>
        <v>0</v>
      </c>
    </row>
    <row r="12407" spans="6:10" hidden="1" x14ac:dyDescent="0.25">
      <c r="F12407" s="527">
        <v>417</v>
      </c>
      <c r="G12407" s="520" t="s">
        <v>4201</v>
      </c>
      <c r="J12407" s="595">
        <f t="shared" si="373"/>
        <v>0</v>
      </c>
    </row>
    <row r="12408" spans="6:10" hidden="1" x14ac:dyDescent="0.25">
      <c r="F12408" s="527">
        <v>418</v>
      </c>
      <c r="G12408" s="520" t="s">
        <v>3793</v>
      </c>
      <c r="J12408" s="595">
        <f t="shared" si="373"/>
        <v>0</v>
      </c>
    </row>
    <row r="12409" spans="6:10" hidden="1" x14ac:dyDescent="0.25">
      <c r="F12409" s="527">
        <v>421</v>
      </c>
      <c r="G12409" s="520" t="s">
        <v>3797</v>
      </c>
      <c r="J12409" s="595">
        <f t="shared" si="373"/>
        <v>0</v>
      </c>
    </row>
    <row r="12410" spans="6:10" hidden="1" x14ac:dyDescent="0.25">
      <c r="F12410" s="527">
        <v>422</v>
      </c>
      <c r="G12410" s="520" t="s">
        <v>3798</v>
      </c>
      <c r="J12410" s="595">
        <f t="shared" si="373"/>
        <v>0</v>
      </c>
    </row>
    <row r="12411" spans="6:10" hidden="1" x14ac:dyDescent="0.25">
      <c r="F12411" s="527">
        <v>423</v>
      </c>
      <c r="G12411" s="520" t="s">
        <v>3799</v>
      </c>
      <c r="J12411" s="595">
        <f t="shared" si="373"/>
        <v>0</v>
      </c>
    </row>
    <row r="12412" spans="6:10" hidden="1" x14ac:dyDescent="0.25">
      <c r="F12412" s="527">
        <v>424</v>
      </c>
      <c r="G12412" s="520" t="s">
        <v>3801</v>
      </c>
      <c r="J12412" s="595">
        <f t="shared" si="373"/>
        <v>0</v>
      </c>
    </row>
    <row r="12413" spans="6:10" hidden="1" x14ac:dyDescent="0.25">
      <c r="F12413" s="527">
        <v>425</v>
      </c>
      <c r="G12413" s="520" t="s">
        <v>4202</v>
      </c>
      <c r="J12413" s="595">
        <f t="shared" si="373"/>
        <v>0</v>
      </c>
    </row>
    <row r="12414" spans="6:10" hidden="1" x14ac:dyDescent="0.25">
      <c r="F12414" s="527">
        <v>426</v>
      </c>
      <c r="G12414" s="520" t="s">
        <v>3805</v>
      </c>
      <c r="J12414" s="595">
        <f t="shared" si="373"/>
        <v>0</v>
      </c>
    </row>
    <row r="12415" spans="6:10" hidden="1" x14ac:dyDescent="0.25">
      <c r="F12415" s="527">
        <v>431</v>
      </c>
      <c r="G12415" s="520" t="s">
        <v>4203</v>
      </c>
      <c r="J12415" s="595">
        <f t="shared" si="373"/>
        <v>0</v>
      </c>
    </row>
    <row r="12416" spans="6:10" hidden="1" x14ac:dyDescent="0.25">
      <c r="F12416" s="527">
        <v>432</v>
      </c>
      <c r="G12416" s="520" t="s">
        <v>4204</v>
      </c>
      <c r="J12416" s="595">
        <f t="shared" si="373"/>
        <v>0</v>
      </c>
    </row>
    <row r="12417" spans="6:10" hidden="1" x14ac:dyDescent="0.25">
      <c r="F12417" s="527">
        <v>433</v>
      </c>
      <c r="G12417" s="520" t="s">
        <v>4205</v>
      </c>
      <c r="J12417" s="595">
        <f t="shared" si="373"/>
        <v>0</v>
      </c>
    </row>
    <row r="12418" spans="6:10" hidden="1" x14ac:dyDescent="0.25">
      <c r="F12418" s="527">
        <v>434</v>
      </c>
      <c r="G12418" s="520" t="s">
        <v>4206</v>
      </c>
      <c r="J12418" s="595">
        <f t="shared" si="373"/>
        <v>0</v>
      </c>
    </row>
    <row r="12419" spans="6:10" hidden="1" x14ac:dyDescent="0.25">
      <c r="F12419" s="527">
        <v>435</v>
      </c>
      <c r="G12419" s="520" t="s">
        <v>3812</v>
      </c>
      <c r="J12419" s="595">
        <f t="shared" si="373"/>
        <v>0</v>
      </c>
    </row>
    <row r="12420" spans="6:10" hidden="1" x14ac:dyDescent="0.25">
      <c r="F12420" s="527">
        <v>441</v>
      </c>
      <c r="G12420" s="520" t="s">
        <v>4207</v>
      </c>
      <c r="J12420" s="595">
        <f t="shared" si="373"/>
        <v>0</v>
      </c>
    </row>
    <row r="12421" spans="6:10" hidden="1" x14ac:dyDescent="0.25">
      <c r="F12421" s="527">
        <v>442</v>
      </c>
      <c r="G12421" s="520" t="s">
        <v>4208</v>
      </c>
      <c r="J12421" s="595">
        <f t="shared" si="373"/>
        <v>0</v>
      </c>
    </row>
    <row r="12422" spans="6:10" hidden="1" x14ac:dyDescent="0.25">
      <c r="F12422" s="527">
        <v>443</v>
      </c>
      <c r="G12422" s="520" t="s">
        <v>3817</v>
      </c>
      <c r="J12422" s="595">
        <f t="shared" si="373"/>
        <v>0</v>
      </c>
    </row>
    <row r="12423" spans="6:10" hidden="1" x14ac:dyDescent="0.25">
      <c r="F12423" s="527">
        <v>444</v>
      </c>
      <c r="G12423" s="520" t="s">
        <v>3818</v>
      </c>
      <c r="J12423" s="595">
        <f t="shared" si="373"/>
        <v>0</v>
      </c>
    </row>
    <row r="12424" spans="6:10" ht="30" hidden="1" x14ac:dyDescent="0.25">
      <c r="F12424" s="527">
        <v>4511</v>
      </c>
      <c r="G12424" s="223" t="s">
        <v>1692</v>
      </c>
      <c r="J12424" s="595">
        <f t="shared" si="373"/>
        <v>0</v>
      </c>
    </row>
    <row r="12425" spans="6:10" ht="30" hidden="1" x14ac:dyDescent="0.25">
      <c r="F12425" s="527">
        <v>4512</v>
      </c>
      <c r="G12425" s="223" t="s">
        <v>1701</v>
      </c>
      <c r="J12425" s="595">
        <f t="shared" si="373"/>
        <v>0</v>
      </c>
    </row>
    <row r="12426" spans="6:10" hidden="1" x14ac:dyDescent="0.25">
      <c r="F12426" s="527">
        <v>452</v>
      </c>
      <c r="G12426" s="520" t="s">
        <v>4209</v>
      </c>
      <c r="J12426" s="595">
        <f t="shared" si="373"/>
        <v>0</v>
      </c>
    </row>
    <row r="12427" spans="6:10" hidden="1" x14ac:dyDescent="0.25">
      <c r="F12427" s="527">
        <v>453</v>
      </c>
      <c r="G12427" s="520" t="s">
        <v>4210</v>
      </c>
      <c r="J12427" s="595">
        <f t="shared" si="373"/>
        <v>0</v>
      </c>
    </row>
    <row r="12428" spans="6:10" hidden="1" x14ac:dyDescent="0.25">
      <c r="F12428" s="527">
        <v>454</v>
      </c>
      <c r="G12428" s="520" t="s">
        <v>3823</v>
      </c>
      <c r="J12428" s="595">
        <f t="shared" si="373"/>
        <v>0</v>
      </c>
    </row>
    <row r="12429" spans="6:10" hidden="1" x14ac:dyDescent="0.25">
      <c r="F12429" s="527">
        <v>461</v>
      </c>
      <c r="G12429" s="520" t="s">
        <v>4191</v>
      </c>
      <c r="J12429" s="595">
        <f t="shared" si="373"/>
        <v>0</v>
      </c>
    </row>
    <row r="12430" spans="6:10" hidden="1" x14ac:dyDescent="0.25">
      <c r="F12430" s="527">
        <v>462</v>
      </c>
      <c r="G12430" s="520" t="s">
        <v>3826</v>
      </c>
      <c r="J12430" s="595">
        <f t="shared" si="373"/>
        <v>0</v>
      </c>
    </row>
    <row r="12431" spans="6:10" hidden="1" x14ac:dyDescent="0.25">
      <c r="F12431" s="527">
        <v>4631</v>
      </c>
      <c r="G12431" s="520" t="s">
        <v>3827</v>
      </c>
      <c r="J12431" s="595">
        <f t="shared" si="373"/>
        <v>0</v>
      </c>
    </row>
    <row r="12432" spans="6:10" hidden="1" x14ac:dyDescent="0.25">
      <c r="F12432" s="527">
        <v>4632</v>
      </c>
      <c r="G12432" s="520" t="s">
        <v>3828</v>
      </c>
      <c r="J12432" s="595">
        <f t="shared" si="373"/>
        <v>0</v>
      </c>
    </row>
    <row r="12433" spans="6:10" hidden="1" x14ac:dyDescent="0.25">
      <c r="F12433" s="527">
        <v>464</v>
      </c>
      <c r="G12433" s="520" t="s">
        <v>3829</v>
      </c>
      <c r="J12433" s="595">
        <f t="shared" si="373"/>
        <v>0</v>
      </c>
    </row>
    <row r="12434" spans="6:10" hidden="1" x14ac:dyDescent="0.25">
      <c r="F12434" s="527">
        <v>465</v>
      </c>
      <c r="G12434" s="520" t="s">
        <v>4192</v>
      </c>
      <c r="J12434" s="595">
        <f t="shared" si="373"/>
        <v>0</v>
      </c>
    </row>
    <row r="12435" spans="6:10" ht="15.75" hidden="1" thickBot="1" x14ac:dyDescent="0.3">
      <c r="F12435" s="527">
        <v>472</v>
      </c>
      <c r="G12435" s="520" t="s">
        <v>3833</v>
      </c>
      <c r="J12435" s="595">
        <f t="shared" si="373"/>
        <v>0</v>
      </c>
    </row>
    <row r="12436" spans="6:10" ht="15.75" hidden="1" thickBot="1" x14ac:dyDescent="0.3">
      <c r="F12436" s="527">
        <v>481</v>
      </c>
      <c r="G12436" s="520" t="s">
        <v>4211</v>
      </c>
      <c r="J12436" s="595">
        <f t="shared" si="373"/>
        <v>0</v>
      </c>
    </row>
    <row r="12437" spans="6:10" ht="15.75" hidden="1" thickBot="1" x14ac:dyDescent="0.3">
      <c r="F12437" s="527">
        <v>482</v>
      </c>
      <c r="G12437" s="520" t="s">
        <v>4212</v>
      </c>
      <c r="J12437" s="595">
        <f t="shared" si="373"/>
        <v>0</v>
      </c>
    </row>
    <row r="12438" spans="6:10" ht="15.75" hidden="1" thickBot="1" x14ac:dyDescent="0.3">
      <c r="F12438" s="527">
        <v>483</v>
      </c>
      <c r="G12438" s="524" t="s">
        <v>4213</v>
      </c>
      <c r="J12438" s="595">
        <f t="shared" si="373"/>
        <v>0</v>
      </c>
    </row>
    <row r="12439" spans="6:10" ht="30.75" hidden="1" thickBot="1" x14ac:dyDescent="0.3">
      <c r="F12439" s="527">
        <v>484</v>
      </c>
      <c r="G12439" s="520" t="s">
        <v>4214</v>
      </c>
      <c r="J12439" s="595">
        <f t="shared" si="373"/>
        <v>0</v>
      </c>
    </row>
    <row r="12440" spans="6:10" ht="30.75" hidden="1" thickBot="1" x14ac:dyDescent="0.3">
      <c r="F12440" s="527">
        <v>485</v>
      </c>
      <c r="G12440" s="520" t="s">
        <v>4215</v>
      </c>
      <c r="J12440" s="595">
        <f t="shared" si="373"/>
        <v>0</v>
      </c>
    </row>
    <row r="12441" spans="6:10" ht="30.75" hidden="1" thickBot="1" x14ac:dyDescent="0.3">
      <c r="F12441" s="527">
        <v>489</v>
      </c>
      <c r="G12441" s="520" t="s">
        <v>3841</v>
      </c>
      <c r="J12441" s="595">
        <f t="shared" si="373"/>
        <v>0</v>
      </c>
    </row>
    <row r="12442" spans="6:10" ht="15.75" hidden="1" thickBot="1" x14ac:dyDescent="0.3">
      <c r="F12442" s="527">
        <v>494</v>
      </c>
      <c r="G12442" s="520" t="s">
        <v>4193</v>
      </c>
      <c r="J12442" s="595">
        <f t="shared" si="373"/>
        <v>0</v>
      </c>
    </row>
    <row r="12443" spans="6:10" ht="30.75" hidden="1" thickBot="1" x14ac:dyDescent="0.3">
      <c r="F12443" s="527">
        <v>495</v>
      </c>
      <c r="G12443" s="520" t="s">
        <v>4194</v>
      </c>
      <c r="J12443" s="595">
        <f t="shared" si="373"/>
        <v>0</v>
      </c>
    </row>
    <row r="12444" spans="6:10" ht="30.75" hidden="1" thickBot="1" x14ac:dyDescent="0.3">
      <c r="F12444" s="527">
        <v>496</v>
      </c>
      <c r="G12444" s="520" t="s">
        <v>4195</v>
      </c>
      <c r="J12444" s="595">
        <f t="shared" si="373"/>
        <v>0</v>
      </c>
    </row>
    <row r="12445" spans="6:10" ht="15.75" hidden="1" thickBot="1" x14ac:dyDescent="0.3">
      <c r="F12445" s="527">
        <v>499</v>
      </c>
      <c r="G12445" s="520" t="s">
        <v>4196</v>
      </c>
      <c r="J12445" s="595">
        <f t="shared" si="373"/>
        <v>0</v>
      </c>
    </row>
    <row r="12446" spans="6:10" ht="15.75" hidden="1" thickBot="1" x14ac:dyDescent="0.3">
      <c r="F12446" s="527">
        <v>511</v>
      </c>
      <c r="G12446" s="524" t="s">
        <v>4216</v>
      </c>
      <c r="J12446" s="595">
        <f t="shared" si="373"/>
        <v>0</v>
      </c>
    </row>
    <row r="12447" spans="6:10" ht="15.75" hidden="1" thickBot="1" x14ac:dyDescent="0.3">
      <c r="F12447" s="527">
        <v>512</v>
      </c>
      <c r="G12447" s="524" t="s">
        <v>4217</v>
      </c>
      <c r="J12447" s="595">
        <f t="shared" si="373"/>
        <v>0</v>
      </c>
    </row>
    <row r="12448" spans="6:10" ht="15.75" hidden="1" thickBot="1" x14ac:dyDescent="0.3">
      <c r="F12448" s="527">
        <v>513</v>
      </c>
      <c r="G12448" s="524" t="s">
        <v>4218</v>
      </c>
      <c r="J12448" s="595">
        <f t="shared" si="373"/>
        <v>0</v>
      </c>
    </row>
    <row r="12449" spans="5:10" ht="15.75" hidden="1" thickBot="1" x14ac:dyDescent="0.3">
      <c r="F12449" s="527">
        <v>514</v>
      </c>
      <c r="G12449" s="520" t="s">
        <v>4219</v>
      </c>
      <c r="J12449" s="595">
        <f t="shared" si="373"/>
        <v>0</v>
      </c>
    </row>
    <row r="12450" spans="5:10" ht="15.75" hidden="1" thickBot="1" x14ac:dyDescent="0.3">
      <c r="F12450" s="527">
        <v>515</v>
      </c>
      <c r="G12450" s="520" t="s">
        <v>3852</v>
      </c>
      <c r="J12450" s="595">
        <f t="shared" si="373"/>
        <v>0</v>
      </c>
    </row>
    <row r="12451" spans="5:10" ht="15.75" hidden="1" thickBot="1" x14ac:dyDescent="0.3">
      <c r="F12451" s="527">
        <v>521</v>
      </c>
      <c r="G12451" s="520" t="s">
        <v>4220</v>
      </c>
      <c r="J12451" s="595">
        <f t="shared" si="373"/>
        <v>0</v>
      </c>
    </row>
    <row r="12452" spans="5:10" ht="15.75" hidden="1" thickBot="1" x14ac:dyDescent="0.3">
      <c r="F12452" s="527">
        <v>522</v>
      </c>
      <c r="G12452" s="520" t="s">
        <v>4221</v>
      </c>
      <c r="J12452" s="595">
        <f t="shared" si="373"/>
        <v>0</v>
      </c>
    </row>
    <row r="12453" spans="5:10" ht="15.75" hidden="1" thickBot="1" x14ac:dyDescent="0.3">
      <c r="F12453" s="527">
        <v>523</v>
      </c>
      <c r="G12453" s="520" t="s">
        <v>3857</v>
      </c>
      <c r="J12453" s="595">
        <f t="shared" si="373"/>
        <v>0</v>
      </c>
    </row>
    <row r="12454" spans="5:10" ht="15.75" hidden="1" thickBot="1" x14ac:dyDescent="0.3">
      <c r="F12454" s="527">
        <v>531</v>
      </c>
      <c r="G12454" s="516" t="s">
        <v>4197</v>
      </c>
      <c r="J12454" s="595">
        <f t="shared" si="373"/>
        <v>0</v>
      </c>
    </row>
    <row r="12455" spans="5:10" ht="15.75" hidden="1" thickBot="1" x14ac:dyDescent="0.3">
      <c r="F12455" s="527">
        <v>541</v>
      </c>
      <c r="G12455" s="520" t="s">
        <v>4222</v>
      </c>
      <c r="J12455" s="595">
        <f t="shared" si="373"/>
        <v>0</v>
      </c>
    </row>
    <row r="12456" spans="5:10" ht="15.75" hidden="1" thickBot="1" x14ac:dyDescent="0.3">
      <c r="F12456" s="527">
        <v>542</v>
      </c>
      <c r="G12456" s="520" t="s">
        <v>4223</v>
      </c>
      <c r="J12456" s="595">
        <f t="shared" si="373"/>
        <v>0</v>
      </c>
    </row>
    <row r="12457" spans="5:10" ht="15.75" hidden="1" thickBot="1" x14ac:dyDescent="0.3">
      <c r="F12457" s="527">
        <v>543</v>
      </c>
      <c r="G12457" s="520" t="s">
        <v>3862</v>
      </c>
      <c r="J12457" s="595">
        <f t="shared" si="373"/>
        <v>0</v>
      </c>
    </row>
    <row r="12458" spans="5:10" ht="30.75" hidden="1" thickBot="1" x14ac:dyDescent="0.3">
      <c r="F12458" s="527">
        <v>551</v>
      </c>
      <c r="G12458" s="520" t="s">
        <v>4198</v>
      </c>
      <c r="J12458" s="595">
        <f t="shared" si="373"/>
        <v>0</v>
      </c>
    </row>
    <row r="12459" spans="5:10" ht="15.75" hidden="1" thickBot="1" x14ac:dyDescent="0.3">
      <c r="F12459" s="528">
        <v>611</v>
      </c>
      <c r="G12459" s="526" t="s">
        <v>3868</v>
      </c>
      <c r="J12459" s="595">
        <f t="shared" si="373"/>
        <v>0</v>
      </c>
    </row>
    <row r="12460" spans="5:10" ht="15.75" hidden="1" thickBot="1" x14ac:dyDescent="0.3">
      <c r="F12460" s="528">
        <v>620</v>
      </c>
      <c r="G12460" s="526" t="s">
        <v>88</v>
      </c>
      <c r="J12460" s="595">
        <f t="shared" si="373"/>
        <v>0</v>
      </c>
    </row>
    <row r="12461" spans="5:10" hidden="1" x14ac:dyDescent="0.25">
      <c r="E12461" s="517"/>
      <c r="F12461" s="528"/>
      <c r="G12461" s="326" t="s">
        <v>4459</v>
      </c>
      <c r="H12461" s="596"/>
      <c r="I12461" s="622"/>
      <c r="J12461" s="597"/>
    </row>
    <row r="12462" spans="5:10" hidden="1" x14ac:dyDescent="0.25">
      <c r="E12462" s="222"/>
      <c r="F12462" s="642" t="s">
        <v>234</v>
      </c>
      <c r="G12462" s="643" t="s">
        <v>235</v>
      </c>
      <c r="H12462" s="598">
        <f>SUM(H12401:H12460)</f>
        <v>0</v>
      </c>
      <c r="I12462" s="599"/>
      <c r="J12462" s="599">
        <f>SUM(H12462:I12462)</f>
        <v>0</v>
      </c>
    </row>
    <row r="12463" spans="5:10" hidden="1" x14ac:dyDescent="0.25">
      <c r="F12463" s="642" t="s">
        <v>236</v>
      </c>
      <c r="G12463" s="643" t="s">
        <v>237</v>
      </c>
      <c r="J12463" s="599">
        <f t="shared" ref="J12463:J12477" si="374">SUM(H12463:I12463)</f>
        <v>0</v>
      </c>
    </row>
    <row r="12464" spans="5:10" hidden="1" x14ac:dyDescent="0.25">
      <c r="F12464" s="642" t="s">
        <v>238</v>
      </c>
      <c r="G12464" s="643" t="s">
        <v>239</v>
      </c>
      <c r="J12464" s="599">
        <f t="shared" si="374"/>
        <v>0</v>
      </c>
    </row>
    <row r="12465" spans="5:10" ht="15.75" hidden="1" thickBot="1" x14ac:dyDescent="0.3">
      <c r="F12465" s="642" t="s">
        <v>240</v>
      </c>
      <c r="G12465" s="643" t="s">
        <v>241</v>
      </c>
      <c r="J12465" s="599">
        <f t="shared" si="374"/>
        <v>0</v>
      </c>
    </row>
    <row r="12466" spans="5:10" ht="15.75" hidden="1" thickBot="1" x14ac:dyDescent="0.3">
      <c r="F12466" s="642" t="s">
        <v>242</v>
      </c>
      <c r="G12466" s="643" t="s">
        <v>243</v>
      </c>
      <c r="J12466" s="599">
        <f t="shared" si="374"/>
        <v>0</v>
      </c>
    </row>
    <row r="12467" spans="5:10" ht="15.75" hidden="1" thickBot="1" x14ac:dyDescent="0.3">
      <c r="F12467" s="642" t="s">
        <v>244</v>
      </c>
      <c r="G12467" s="643" t="s">
        <v>245</v>
      </c>
      <c r="J12467" s="599">
        <f t="shared" si="374"/>
        <v>0</v>
      </c>
    </row>
    <row r="12468" spans="5:10" ht="15.75" hidden="1" thickBot="1" x14ac:dyDescent="0.3">
      <c r="F12468" s="642" t="s">
        <v>246</v>
      </c>
      <c r="G12468" s="643" t="s">
        <v>247</v>
      </c>
      <c r="J12468" s="599">
        <f t="shared" si="374"/>
        <v>0</v>
      </c>
    </row>
    <row r="12469" spans="5:10" ht="15.75" hidden="1" thickBot="1" x14ac:dyDescent="0.3">
      <c r="F12469" s="642" t="s">
        <v>248</v>
      </c>
      <c r="G12469" s="643" t="s">
        <v>249</v>
      </c>
      <c r="J12469" s="599">
        <f t="shared" si="374"/>
        <v>0</v>
      </c>
    </row>
    <row r="12470" spans="5:10" ht="15.75" hidden="1" thickBot="1" x14ac:dyDescent="0.3">
      <c r="F12470" s="642" t="s">
        <v>250</v>
      </c>
      <c r="G12470" s="643" t="s">
        <v>57</v>
      </c>
      <c r="J12470" s="599">
        <f t="shared" si="374"/>
        <v>0</v>
      </c>
    </row>
    <row r="12471" spans="5:10" ht="15.75" hidden="1" thickBot="1" x14ac:dyDescent="0.3">
      <c r="F12471" s="642" t="s">
        <v>251</v>
      </c>
      <c r="G12471" s="643" t="s">
        <v>252</v>
      </c>
      <c r="J12471" s="599">
        <f t="shared" si="374"/>
        <v>0</v>
      </c>
    </row>
    <row r="12472" spans="5:10" ht="15.75" hidden="1" thickBot="1" x14ac:dyDescent="0.3">
      <c r="F12472" s="642" t="s">
        <v>253</v>
      </c>
      <c r="G12472" s="643" t="s">
        <v>254</v>
      </c>
      <c r="J12472" s="599">
        <f t="shared" si="374"/>
        <v>0</v>
      </c>
    </row>
    <row r="12473" spans="5:10" ht="30.75" hidden="1" thickBot="1" x14ac:dyDescent="0.3">
      <c r="F12473" s="642" t="s">
        <v>255</v>
      </c>
      <c r="G12473" s="643" t="s">
        <v>256</v>
      </c>
      <c r="J12473" s="599">
        <f t="shared" si="374"/>
        <v>0</v>
      </c>
    </row>
    <row r="12474" spans="5:10" ht="15.75" hidden="1" thickBot="1" x14ac:dyDescent="0.3">
      <c r="F12474" s="642" t="s">
        <v>257</v>
      </c>
      <c r="G12474" s="643" t="s">
        <v>258</v>
      </c>
      <c r="J12474" s="599">
        <f t="shared" si="374"/>
        <v>0</v>
      </c>
    </row>
    <row r="12475" spans="5:10" ht="30.75" hidden="1" thickBot="1" x14ac:dyDescent="0.3">
      <c r="F12475" s="642" t="s">
        <v>259</v>
      </c>
      <c r="G12475" s="643" t="s">
        <v>260</v>
      </c>
      <c r="J12475" s="599">
        <f t="shared" si="374"/>
        <v>0</v>
      </c>
    </row>
    <row r="12476" spans="5:10" ht="15.75" hidden="1" thickBot="1" x14ac:dyDescent="0.3">
      <c r="F12476" s="642" t="s">
        <v>261</v>
      </c>
      <c r="G12476" s="643" t="s">
        <v>262</v>
      </c>
      <c r="J12476" s="599">
        <f t="shared" si="374"/>
        <v>0</v>
      </c>
    </row>
    <row r="12477" spans="5:10" ht="15.75" hidden="1" thickBot="1" x14ac:dyDescent="0.3">
      <c r="F12477" s="642" t="s">
        <v>263</v>
      </c>
      <c r="G12477" s="643" t="s">
        <v>264</v>
      </c>
      <c r="H12477" s="598"/>
      <c r="I12477" s="599"/>
      <c r="J12477" s="599">
        <f t="shared" si="374"/>
        <v>0</v>
      </c>
    </row>
    <row r="12478" spans="5:10" ht="15.75" hidden="1" thickBot="1" x14ac:dyDescent="0.3">
      <c r="G12478" s="229" t="s">
        <v>4460</v>
      </c>
      <c r="H12478" s="600">
        <f>SUM(H12462:H12477)</f>
        <v>0</v>
      </c>
      <c r="I12478" s="601">
        <f>SUM(I12463:I12477)</f>
        <v>0</v>
      </c>
      <c r="J12478" s="601">
        <f>SUM(J12462:J12477)</f>
        <v>0</v>
      </c>
    </row>
    <row r="12479" spans="5:10" hidden="1" collapsed="1" x14ac:dyDescent="0.25">
      <c r="E12479" s="517"/>
      <c r="F12479" s="528"/>
      <c r="G12479" s="231" t="s">
        <v>5125</v>
      </c>
      <c r="H12479" s="602"/>
      <c r="I12479" s="623"/>
      <c r="J12479" s="603"/>
    </row>
    <row r="12480" spans="5:10" hidden="1" x14ac:dyDescent="0.25">
      <c r="E12480" s="222"/>
      <c r="F12480" s="642" t="s">
        <v>234</v>
      </c>
      <c r="G12480" s="643" t="s">
        <v>235</v>
      </c>
      <c r="H12480" s="598">
        <f>SUM(H12401:H12460)</f>
        <v>0</v>
      </c>
      <c r="I12480" s="599"/>
      <c r="J12480" s="599">
        <f>SUM(H12480:I12480)</f>
        <v>0</v>
      </c>
    </row>
    <row r="12481" spans="6:10" hidden="1" x14ac:dyDescent="0.25">
      <c r="F12481" s="642" t="s">
        <v>236</v>
      </c>
      <c r="G12481" s="643" t="s">
        <v>237</v>
      </c>
      <c r="J12481" s="599">
        <f t="shared" ref="J12481:J12495" si="375">SUM(H12481:I12481)</f>
        <v>0</v>
      </c>
    </row>
    <row r="12482" spans="6:10" hidden="1" x14ac:dyDescent="0.25">
      <c r="F12482" s="642" t="s">
        <v>238</v>
      </c>
      <c r="G12482" s="643" t="s">
        <v>239</v>
      </c>
      <c r="J12482" s="599">
        <f t="shared" si="375"/>
        <v>0</v>
      </c>
    </row>
    <row r="12483" spans="6:10" ht="15.75" hidden="1" thickBot="1" x14ac:dyDescent="0.3">
      <c r="F12483" s="642" t="s">
        <v>240</v>
      </c>
      <c r="G12483" s="643" t="s">
        <v>241</v>
      </c>
      <c r="J12483" s="599">
        <f t="shared" si="375"/>
        <v>0</v>
      </c>
    </row>
    <row r="12484" spans="6:10" ht="15.75" hidden="1" thickBot="1" x14ac:dyDescent="0.3">
      <c r="F12484" s="642" t="s">
        <v>242</v>
      </c>
      <c r="G12484" s="643" t="s">
        <v>243</v>
      </c>
      <c r="J12484" s="599">
        <f t="shared" si="375"/>
        <v>0</v>
      </c>
    </row>
    <row r="12485" spans="6:10" ht="15.75" hidden="1" thickBot="1" x14ac:dyDescent="0.3">
      <c r="F12485" s="642" t="s">
        <v>244</v>
      </c>
      <c r="G12485" s="643" t="s">
        <v>245</v>
      </c>
      <c r="J12485" s="599">
        <f t="shared" si="375"/>
        <v>0</v>
      </c>
    </row>
    <row r="12486" spans="6:10" ht="15.75" hidden="1" thickBot="1" x14ac:dyDescent="0.3">
      <c r="F12486" s="642" t="s">
        <v>246</v>
      </c>
      <c r="G12486" s="643" t="s">
        <v>247</v>
      </c>
      <c r="J12486" s="599">
        <f t="shared" si="375"/>
        <v>0</v>
      </c>
    </row>
    <row r="12487" spans="6:10" ht="15.75" hidden="1" thickBot="1" x14ac:dyDescent="0.3">
      <c r="F12487" s="642" t="s">
        <v>248</v>
      </c>
      <c r="G12487" s="643" t="s">
        <v>249</v>
      </c>
      <c r="J12487" s="599">
        <f t="shared" si="375"/>
        <v>0</v>
      </c>
    </row>
    <row r="12488" spans="6:10" ht="15.75" hidden="1" thickBot="1" x14ac:dyDescent="0.3">
      <c r="F12488" s="642" t="s">
        <v>250</v>
      </c>
      <c r="G12488" s="643" t="s">
        <v>57</v>
      </c>
      <c r="J12488" s="599">
        <f t="shared" si="375"/>
        <v>0</v>
      </c>
    </row>
    <row r="12489" spans="6:10" ht="15.75" hidden="1" thickBot="1" x14ac:dyDescent="0.3">
      <c r="F12489" s="642" t="s">
        <v>251</v>
      </c>
      <c r="G12489" s="643" t="s">
        <v>252</v>
      </c>
      <c r="J12489" s="599">
        <f t="shared" si="375"/>
        <v>0</v>
      </c>
    </row>
    <row r="12490" spans="6:10" ht="15.75" hidden="1" thickBot="1" x14ac:dyDescent="0.3">
      <c r="F12490" s="642" t="s">
        <v>253</v>
      </c>
      <c r="G12490" s="643" t="s">
        <v>254</v>
      </c>
      <c r="J12490" s="599">
        <f t="shared" si="375"/>
        <v>0</v>
      </c>
    </row>
    <row r="12491" spans="6:10" ht="30.75" hidden="1" thickBot="1" x14ac:dyDescent="0.3">
      <c r="F12491" s="642" t="s">
        <v>255</v>
      </c>
      <c r="G12491" s="643" t="s">
        <v>256</v>
      </c>
      <c r="J12491" s="599">
        <f t="shared" si="375"/>
        <v>0</v>
      </c>
    </row>
    <row r="12492" spans="6:10" ht="15.75" hidden="1" thickBot="1" x14ac:dyDescent="0.3">
      <c r="F12492" s="642" t="s">
        <v>257</v>
      </c>
      <c r="G12492" s="643" t="s">
        <v>258</v>
      </c>
      <c r="J12492" s="599">
        <f t="shared" si="375"/>
        <v>0</v>
      </c>
    </row>
    <row r="12493" spans="6:10" ht="30.75" hidden="1" thickBot="1" x14ac:dyDescent="0.3">
      <c r="F12493" s="642" t="s">
        <v>259</v>
      </c>
      <c r="G12493" s="643" t="s">
        <v>260</v>
      </c>
      <c r="J12493" s="599">
        <f t="shared" si="375"/>
        <v>0</v>
      </c>
    </row>
    <row r="12494" spans="6:10" ht="15.75" hidden="1" thickBot="1" x14ac:dyDescent="0.3">
      <c r="F12494" s="642" t="s">
        <v>261</v>
      </c>
      <c r="G12494" s="643" t="s">
        <v>262</v>
      </c>
      <c r="J12494" s="599">
        <f t="shared" si="375"/>
        <v>0</v>
      </c>
    </row>
    <row r="12495" spans="6:10" ht="15.75" hidden="1" thickBot="1" x14ac:dyDescent="0.3">
      <c r="F12495" s="642" t="s">
        <v>263</v>
      </c>
      <c r="G12495" s="643" t="s">
        <v>264</v>
      </c>
      <c r="H12495" s="598"/>
      <c r="I12495" s="599"/>
      <c r="J12495" s="599">
        <f t="shared" si="375"/>
        <v>0</v>
      </c>
    </row>
    <row r="12496" spans="6:10" ht="15.75" hidden="1" thickBot="1" x14ac:dyDescent="0.3">
      <c r="G12496" s="229" t="s">
        <v>5050</v>
      </c>
      <c r="H12496" s="600">
        <f>SUM(H12480:H12495)</f>
        <v>0</v>
      </c>
      <c r="I12496" s="601">
        <f>SUM(I12481:I12495)</f>
        <v>0</v>
      </c>
      <c r="J12496" s="601">
        <f>SUM(J12480:J12495)</f>
        <v>0</v>
      </c>
    </row>
    <row r="12497" spans="3:10" hidden="1" x14ac:dyDescent="0.25">
      <c r="G12497" s="286"/>
      <c r="H12497" s="604"/>
      <c r="I12497" s="605"/>
      <c r="J12497" s="605"/>
    </row>
    <row r="12498" spans="3:10" hidden="1" x14ac:dyDescent="0.25">
      <c r="C12498" s="228" t="s">
        <v>4868</v>
      </c>
      <c r="D12498" s="219"/>
      <c r="G12498" s="521" t="s">
        <v>4254</v>
      </c>
    </row>
    <row r="12499" spans="3:10" hidden="1" x14ac:dyDescent="0.25">
      <c r="C12499" s="228"/>
      <c r="D12499" s="312">
        <v>820</v>
      </c>
      <c r="E12499" s="312"/>
      <c r="F12499" s="312"/>
      <c r="G12499" s="313" t="s">
        <v>207</v>
      </c>
    </row>
    <row r="12500" spans="3:10" hidden="1" x14ac:dyDescent="0.25">
      <c r="F12500" s="527">
        <v>411</v>
      </c>
      <c r="G12500" s="520" t="s">
        <v>4189</v>
      </c>
      <c r="J12500" s="595">
        <f>SUM(H12500:I12500)</f>
        <v>0</v>
      </c>
    </row>
    <row r="12501" spans="3:10" hidden="1" x14ac:dyDescent="0.25">
      <c r="F12501" s="527">
        <v>412</v>
      </c>
      <c r="G12501" s="516" t="s">
        <v>3784</v>
      </c>
      <c r="J12501" s="595">
        <f t="shared" ref="J12501:J12559" si="376">SUM(H12501:I12501)</f>
        <v>0</v>
      </c>
    </row>
    <row r="12502" spans="3:10" hidden="1" x14ac:dyDescent="0.25">
      <c r="F12502" s="527">
        <v>413</v>
      </c>
      <c r="G12502" s="520" t="s">
        <v>4190</v>
      </c>
      <c r="J12502" s="595">
        <f t="shared" si="376"/>
        <v>0</v>
      </c>
    </row>
    <row r="12503" spans="3:10" hidden="1" x14ac:dyDescent="0.25">
      <c r="F12503" s="527">
        <v>414</v>
      </c>
      <c r="G12503" s="520" t="s">
        <v>3787</v>
      </c>
      <c r="J12503" s="595">
        <f t="shared" si="376"/>
        <v>0</v>
      </c>
    </row>
    <row r="12504" spans="3:10" hidden="1" x14ac:dyDescent="0.25">
      <c r="F12504" s="527">
        <v>415</v>
      </c>
      <c r="G12504" s="520" t="s">
        <v>4199</v>
      </c>
      <c r="J12504" s="595">
        <f t="shared" si="376"/>
        <v>0</v>
      </c>
    </row>
    <row r="12505" spans="3:10" hidden="1" x14ac:dyDescent="0.25">
      <c r="F12505" s="527">
        <v>416</v>
      </c>
      <c r="G12505" s="520" t="s">
        <v>4200</v>
      </c>
      <c r="J12505" s="595">
        <f t="shared" si="376"/>
        <v>0</v>
      </c>
    </row>
    <row r="12506" spans="3:10" hidden="1" x14ac:dyDescent="0.25">
      <c r="F12506" s="527">
        <v>417</v>
      </c>
      <c r="G12506" s="520" t="s">
        <v>4201</v>
      </c>
      <c r="J12506" s="595">
        <f t="shared" si="376"/>
        <v>0</v>
      </c>
    </row>
    <row r="12507" spans="3:10" hidden="1" x14ac:dyDescent="0.25">
      <c r="F12507" s="527">
        <v>418</v>
      </c>
      <c r="G12507" s="520" t="s">
        <v>3793</v>
      </c>
      <c r="J12507" s="595">
        <f t="shared" si="376"/>
        <v>0</v>
      </c>
    </row>
    <row r="12508" spans="3:10" hidden="1" x14ac:dyDescent="0.25">
      <c r="F12508" s="527">
        <v>421</v>
      </c>
      <c r="G12508" s="520" t="s">
        <v>3797</v>
      </c>
      <c r="J12508" s="595">
        <f t="shared" si="376"/>
        <v>0</v>
      </c>
    </row>
    <row r="12509" spans="3:10" hidden="1" x14ac:dyDescent="0.25">
      <c r="F12509" s="527">
        <v>422</v>
      </c>
      <c r="G12509" s="520" t="s">
        <v>3798</v>
      </c>
      <c r="J12509" s="595">
        <f t="shared" si="376"/>
        <v>0</v>
      </c>
    </row>
    <row r="12510" spans="3:10" hidden="1" x14ac:dyDescent="0.25">
      <c r="F12510" s="527">
        <v>423</v>
      </c>
      <c r="G12510" s="520" t="s">
        <v>3799</v>
      </c>
      <c r="J12510" s="595">
        <f t="shared" si="376"/>
        <v>0</v>
      </c>
    </row>
    <row r="12511" spans="3:10" hidden="1" x14ac:dyDescent="0.25">
      <c r="F12511" s="527">
        <v>424</v>
      </c>
      <c r="G12511" s="520" t="s">
        <v>3801</v>
      </c>
      <c r="J12511" s="595">
        <f t="shared" si="376"/>
        <v>0</v>
      </c>
    </row>
    <row r="12512" spans="3:10" hidden="1" x14ac:dyDescent="0.25">
      <c r="F12512" s="527">
        <v>425</v>
      </c>
      <c r="G12512" s="520" t="s">
        <v>4202</v>
      </c>
      <c r="J12512" s="595">
        <f t="shared" si="376"/>
        <v>0</v>
      </c>
    </row>
    <row r="12513" spans="6:10" hidden="1" x14ac:dyDescent="0.25">
      <c r="F12513" s="527">
        <v>426</v>
      </c>
      <c r="G12513" s="520" t="s">
        <v>3805</v>
      </c>
      <c r="J12513" s="595">
        <f t="shared" si="376"/>
        <v>0</v>
      </c>
    </row>
    <row r="12514" spans="6:10" hidden="1" x14ac:dyDescent="0.25">
      <c r="F12514" s="527">
        <v>431</v>
      </c>
      <c r="G12514" s="520" t="s">
        <v>4203</v>
      </c>
      <c r="J12514" s="595">
        <f t="shared" si="376"/>
        <v>0</v>
      </c>
    </row>
    <row r="12515" spans="6:10" hidden="1" x14ac:dyDescent="0.25">
      <c r="F12515" s="527">
        <v>432</v>
      </c>
      <c r="G12515" s="520" t="s">
        <v>4204</v>
      </c>
      <c r="J12515" s="595">
        <f t="shared" si="376"/>
        <v>0</v>
      </c>
    </row>
    <row r="12516" spans="6:10" hidden="1" x14ac:dyDescent="0.25">
      <c r="F12516" s="527">
        <v>433</v>
      </c>
      <c r="G12516" s="520" t="s">
        <v>4205</v>
      </c>
      <c r="J12516" s="595">
        <f t="shared" si="376"/>
        <v>0</v>
      </c>
    </row>
    <row r="12517" spans="6:10" hidden="1" x14ac:dyDescent="0.25">
      <c r="F12517" s="527">
        <v>434</v>
      </c>
      <c r="G12517" s="520" t="s">
        <v>4206</v>
      </c>
      <c r="J12517" s="595">
        <f t="shared" si="376"/>
        <v>0</v>
      </c>
    </row>
    <row r="12518" spans="6:10" hidden="1" x14ac:dyDescent="0.25">
      <c r="F12518" s="527">
        <v>435</v>
      </c>
      <c r="G12518" s="520" t="s">
        <v>3812</v>
      </c>
      <c r="J12518" s="595">
        <f t="shared" si="376"/>
        <v>0</v>
      </c>
    </row>
    <row r="12519" spans="6:10" hidden="1" x14ac:dyDescent="0.25">
      <c r="F12519" s="527">
        <v>441</v>
      </c>
      <c r="G12519" s="520" t="s">
        <v>4207</v>
      </c>
      <c r="J12519" s="595">
        <f t="shared" si="376"/>
        <v>0</v>
      </c>
    </row>
    <row r="12520" spans="6:10" hidden="1" x14ac:dyDescent="0.25">
      <c r="F12520" s="527">
        <v>442</v>
      </c>
      <c r="G12520" s="520" t="s">
        <v>4208</v>
      </c>
      <c r="J12520" s="595">
        <f t="shared" si="376"/>
        <v>0</v>
      </c>
    </row>
    <row r="12521" spans="6:10" hidden="1" x14ac:dyDescent="0.25">
      <c r="F12521" s="527">
        <v>443</v>
      </c>
      <c r="G12521" s="520" t="s">
        <v>3817</v>
      </c>
      <c r="J12521" s="595">
        <f t="shared" si="376"/>
        <v>0</v>
      </c>
    </row>
    <row r="12522" spans="6:10" hidden="1" x14ac:dyDescent="0.25">
      <c r="F12522" s="527">
        <v>444</v>
      </c>
      <c r="G12522" s="520" t="s">
        <v>3818</v>
      </c>
      <c r="J12522" s="595">
        <f t="shared" si="376"/>
        <v>0</v>
      </c>
    </row>
    <row r="12523" spans="6:10" ht="30" hidden="1" x14ac:dyDescent="0.25">
      <c r="F12523" s="527">
        <v>4511</v>
      </c>
      <c r="G12523" s="223" t="s">
        <v>1692</v>
      </c>
      <c r="J12523" s="595">
        <f t="shared" si="376"/>
        <v>0</v>
      </c>
    </row>
    <row r="12524" spans="6:10" ht="30" hidden="1" x14ac:dyDescent="0.25">
      <c r="F12524" s="527">
        <v>4512</v>
      </c>
      <c r="G12524" s="223" t="s">
        <v>1701</v>
      </c>
      <c r="J12524" s="595">
        <f t="shared" si="376"/>
        <v>0</v>
      </c>
    </row>
    <row r="12525" spans="6:10" hidden="1" x14ac:dyDescent="0.25">
      <c r="F12525" s="527">
        <v>452</v>
      </c>
      <c r="G12525" s="520" t="s">
        <v>4209</v>
      </c>
      <c r="J12525" s="595">
        <f t="shared" si="376"/>
        <v>0</v>
      </c>
    </row>
    <row r="12526" spans="6:10" hidden="1" x14ac:dyDescent="0.25">
      <c r="F12526" s="527">
        <v>453</v>
      </c>
      <c r="G12526" s="520" t="s">
        <v>4210</v>
      </c>
      <c r="J12526" s="595">
        <f t="shared" si="376"/>
        <v>0</v>
      </c>
    </row>
    <row r="12527" spans="6:10" hidden="1" x14ac:dyDescent="0.25">
      <c r="F12527" s="527">
        <v>454</v>
      </c>
      <c r="G12527" s="520" t="s">
        <v>3823</v>
      </c>
      <c r="J12527" s="595">
        <f t="shared" si="376"/>
        <v>0</v>
      </c>
    </row>
    <row r="12528" spans="6:10" hidden="1" x14ac:dyDescent="0.25">
      <c r="F12528" s="527">
        <v>461</v>
      </c>
      <c r="G12528" s="520" t="s">
        <v>4191</v>
      </c>
      <c r="J12528" s="595">
        <f t="shared" si="376"/>
        <v>0</v>
      </c>
    </row>
    <row r="12529" spans="6:10" hidden="1" x14ac:dyDescent="0.25">
      <c r="F12529" s="527">
        <v>462</v>
      </c>
      <c r="G12529" s="520" t="s">
        <v>3826</v>
      </c>
      <c r="J12529" s="595">
        <f t="shared" si="376"/>
        <v>0</v>
      </c>
    </row>
    <row r="12530" spans="6:10" hidden="1" x14ac:dyDescent="0.25">
      <c r="F12530" s="527">
        <v>4631</v>
      </c>
      <c r="G12530" s="520" t="s">
        <v>3827</v>
      </c>
      <c r="J12530" s="595">
        <f t="shared" si="376"/>
        <v>0</v>
      </c>
    </row>
    <row r="12531" spans="6:10" hidden="1" x14ac:dyDescent="0.25">
      <c r="F12531" s="527">
        <v>4632</v>
      </c>
      <c r="G12531" s="520" t="s">
        <v>3828</v>
      </c>
      <c r="J12531" s="595">
        <f t="shared" si="376"/>
        <v>0</v>
      </c>
    </row>
    <row r="12532" spans="6:10" hidden="1" x14ac:dyDescent="0.25">
      <c r="F12532" s="527">
        <v>464</v>
      </c>
      <c r="G12532" s="520" t="s">
        <v>3829</v>
      </c>
      <c r="J12532" s="595">
        <f t="shared" si="376"/>
        <v>0</v>
      </c>
    </row>
    <row r="12533" spans="6:10" hidden="1" x14ac:dyDescent="0.25">
      <c r="F12533" s="527">
        <v>465</v>
      </c>
      <c r="G12533" s="520" t="s">
        <v>4192</v>
      </c>
      <c r="J12533" s="595">
        <f t="shared" si="376"/>
        <v>0</v>
      </c>
    </row>
    <row r="12534" spans="6:10" ht="15.75" hidden="1" thickBot="1" x14ac:dyDescent="0.3">
      <c r="F12534" s="527">
        <v>472</v>
      </c>
      <c r="G12534" s="520" t="s">
        <v>3833</v>
      </c>
      <c r="J12534" s="595">
        <f t="shared" si="376"/>
        <v>0</v>
      </c>
    </row>
    <row r="12535" spans="6:10" ht="15.75" hidden="1" thickBot="1" x14ac:dyDescent="0.3">
      <c r="F12535" s="527">
        <v>481</v>
      </c>
      <c r="G12535" s="520" t="s">
        <v>4211</v>
      </c>
      <c r="J12535" s="595">
        <f t="shared" si="376"/>
        <v>0</v>
      </c>
    </row>
    <row r="12536" spans="6:10" ht="15.75" hidden="1" thickBot="1" x14ac:dyDescent="0.3">
      <c r="F12536" s="527">
        <v>482</v>
      </c>
      <c r="G12536" s="520" t="s">
        <v>4212</v>
      </c>
      <c r="J12536" s="595">
        <f t="shared" si="376"/>
        <v>0</v>
      </c>
    </row>
    <row r="12537" spans="6:10" ht="15.75" hidden="1" thickBot="1" x14ac:dyDescent="0.3">
      <c r="F12537" s="527">
        <v>483</v>
      </c>
      <c r="G12537" s="524" t="s">
        <v>4213</v>
      </c>
      <c r="J12537" s="595">
        <f t="shared" si="376"/>
        <v>0</v>
      </c>
    </row>
    <row r="12538" spans="6:10" ht="30.75" hidden="1" thickBot="1" x14ac:dyDescent="0.3">
      <c r="F12538" s="527">
        <v>484</v>
      </c>
      <c r="G12538" s="520" t="s">
        <v>4214</v>
      </c>
      <c r="J12538" s="595">
        <f t="shared" si="376"/>
        <v>0</v>
      </c>
    </row>
    <row r="12539" spans="6:10" ht="30.75" hidden="1" thickBot="1" x14ac:dyDescent="0.3">
      <c r="F12539" s="527">
        <v>485</v>
      </c>
      <c r="G12539" s="520" t="s">
        <v>4215</v>
      </c>
      <c r="J12539" s="595">
        <f t="shared" si="376"/>
        <v>0</v>
      </c>
    </row>
    <row r="12540" spans="6:10" ht="30.75" hidden="1" thickBot="1" x14ac:dyDescent="0.3">
      <c r="F12540" s="527">
        <v>489</v>
      </c>
      <c r="G12540" s="520" t="s">
        <v>3841</v>
      </c>
      <c r="J12540" s="595">
        <f t="shared" si="376"/>
        <v>0</v>
      </c>
    </row>
    <row r="12541" spans="6:10" ht="15.75" hidden="1" thickBot="1" x14ac:dyDescent="0.3">
      <c r="F12541" s="527">
        <v>494</v>
      </c>
      <c r="G12541" s="520" t="s">
        <v>4193</v>
      </c>
      <c r="J12541" s="595">
        <f t="shared" si="376"/>
        <v>0</v>
      </c>
    </row>
    <row r="12542" spans="6:10" ht="30.75" hidden="1" thickBot="1" x14ac:dyDescent="0.3">
      <c r="F12542" s="527">
        <v>495</v>
      </c>
      <c r="G12542" s="520" t="s">
        <v>4194</v>
      </c>
      <c r="J12542" s="595">
        <f t="shared" si="376"/>
        <v>0</v>
      </c>
    </row>
    <row r="12543" spans="6:10" ht="30.75" hidden="1" thickBot="1" x14ac:dyDescent="0.3">
      <c r="F12543" s="527">
        <v>496</v>
      </c>
      <c r="G12543" s="520" t="s">
        <v>4195</v>
      </c>
      <c r="J12543" s="595">
        <f t="shared" si="376"/>
        <v>0</v>
      </c>
    </row>
    <row r="12544" spans="6:10" ht="15.75" hidden="1" thickBot="1" x14ac:dyDescent="0.3">
      <c r="F12544" s="527">
        <v>499</v>
      </c>
      <c r="G12544" s="520" t="s">
        <v>4196</v>
      </c>
      <c r="J12544" s="595">
        <f t="shared" si="376"/>
        <v>0</v>
      </c>
    </row>
    <row r="12545" spans="5:10" ht="15.75" hidden="1" thickBot="1" x14ac:dyDescent="0.3">
      <c r="F12545" s="527">
        <v>511</v>
      </c>
      <c r="G12545" s="524" t="s">
        <v>4216</v>
      </c>
      <c r="J12545" s="595">
        <f t="shared" si="376"/>
        <v>0</v>
      </c>
    </row>
    <row r="12546" spans="5:10" ht="15.75" hidden="1" thickBot="1" x14ac:dyDescent="0.3">
      <c r="F12546" s="527">
        <v>512</v>
      </c>
      <c r="G12546" s="524" t="s">
        <v>4217</v>
      </c>
      <c r="J12546" s="595">
        <f t="shared" si="376"/>
        <v>0</v>
      </c>
    </row>
    <row r="12547" spans="5:10" ht="15.75" hidden="1" thickBot="1" x14ac:dyDescent="0.3">
      <c r="F12547" s="527">
        <v>513</v>
      </c>
      <c r="G12547" s="524" t="s">
        <v>4218</v>
      </c>
      <c r="J12547" s="595">
        <f t="shared" si="376"/>
        <v>0</v>
      </c>
    </row>
    <row r="12548" spans="5:10" ht="15.75" hidden="1" thickBot="1" x14ac:dyDescent="0.3">
      <c r="F12548" s="527">
        <v>514</v>
      </c>
      <c r="G12548" s="520" t="s">
        <v>4219</v>
      </c>
      <c r="J12548" s="595">
        <f t="shared" si="376"/>
        <v>0</v>
      </c>
    </row>
    <row r="12549" spans="5:10" ht="15.75" hidden="1" thickBot="1" x14ac:dyDescent="0.3">
      <c r="F12549" s="527">
        <v>515</v>
      </c>
      <c r="G12549" s="520" t="s">
        <v>3852</v>
      </c>
      <c r="J12549" s="595">
        <f t="shared" si="376"/>
        <v>0</v>
      </c>
    </row>
    <row r="12550" spans="5:10" ht="15.75" hidden="1" thickBot="1" x14ac:dyDescent="0.3">
      <c r="F12550" s="527">
        <v>521</v>
      </c>
      <c r="G12550" s="520" t="s">
        <v>4220</v>
      </c>
      <c r="J12550" s="595">
        <f t="shared" si="376"/>
        <v>0</v>
      </c>
    </row>
    <row r="12551" spans="5:10" ht="15.75" hidden="1" thickBot="1" x14ac:dyDescent="0.3">
      <c r="F12551" s="527">
        <v>522</v>
      </c>
      <c r="G12551" s="520" t="s">
        <v>4221</v>
      </c>
      <c r="J12551" s="595">
        <f t="shared" si="376"/>
        <v>0</v>
      </c>
    </row>
    <row r="12552" spans="5:10" ht="15.75" hidden="1" thickBot="1" x14ac:dyDescent="0.3">
      <c r="F12552" s="527">
        <v>523</v>
      </c>
      <c r="G12552" s="520" t="s">
        <v>3857</v>
      </c>
      <c r="J12552" s="595">
        <f t="shared" si="376"/>
        <v>0</v>
      </c>
    </row>
    <row r="12553" spans="5:10" ht="15.75" hidden="1" thickBot="1" x14ac:dyDescent="0.3">
      <c r="F12553" s="527">
        <v>531</v>
      </c>
      <c r="G12553" s="516" t="s">
        <v>4197</v>
      </c>
      <c r="J12553" s="595">
        <f t="shared" si="376"/>
        <v>0</v>
      </c>
    </row>
    <row r="12554" spans="5:10" ht="15.75" hidden="1" thickBot="1" x14ac:dyDescent="0.3">
      <c r="F12554" s="527">
        <v>541</v>
      </c>
      <c r="G12554" s="520" t="s">
        <v>4222</v>
      </c>
      <c r="J12554" s="595">
        <f t="shared" si="376"/>
        <v>0</v>
      </c>
    </row>
    <row r="12555" spans="5:10" ht="15.75" hidden="1" thickBot="1" x14ac:dyDescent="0.3">
      <c r="F12555" s="527">
        <v>542</v>
      </c>
      <c r="G12555" s="520" t="s">
        <v>4223</v>
      </c>
      <c r="J12555" s="595">
        <f t="shared" si="376"/>
        <v>0</v>
      </c>
    </row>
    <row r="12556" spans="5:10" ht="15.75" hidden="1" thickBot="1" x14ac:dyDescent="0.3">
      <c r="F12556" s="527">
        <v>543</v>
      </c>
      <c r="G12556" s="520" t="s">
        <v>3862</v>
      </c>
      <c r="J12556" s="595">
        <f t="shared" si="376"/>
        <v>0</v>
      </c>
    </row>
    <row r="12557" spans="5:10" ht="30.75" hidden="1" thickBot="1" x14ac:dyDescent="0.3">
      <c r="F12557" s="527">
        <v>551</v>
      </c>
      <c r="G12557" s="520" t="s">
        <v>4198</v>
      </c>
      <c r="J12557" s="595">
        <f t="shared" si="376"/>
        <v>0</v>
      </c>
    </row>
    <row r="12558" spans="5:10" ht="15.75" hidden="1" thickBot="1" x14ac:dyDescent="0.3">
      <c r="F12558" s="528">
        <v>611</v>
      </c>
      <c r="G12558" s="526" t="s">
        <v>3868</v>
      </c>
      <c r="J12558" s="595">
        <f t="shared" si="376"/>
        <v>0</v>
      </c>
    </row>
    <row r="12559" spans="5:10" ht="15.75" hidden="1" thickBot="1" x14ac:dyDescent="0.3">
      <c r="F12559" s="528">
        <v>620</v>
      </c>
      <c r="G12559" s="526" t="s">
        <v>88</v>
      </c>
      <c r="J12559" s="595">
        <f t="shared" si="376"/>
        <v>0</v>
      </c>
    </row>
    <row r="12560" spans="5:10" hidden="1" x14ac:dyDescent="0.25">
      <c r="E12560" s="517"/>
      <c r="F12560" s="528"/>
      <c r="G12560" s="326" t="s">
        <v>4459</v>
      </c>
      <c r="H12560" s="596"/>
      <c r="I12560" s="622"/>
      <c r="J12560" s="597"/>
    </row>
    <row r="12561" spans="5:10" hidden="1" x14ac:dyDescent="0.25">
      <c r="E12561" s="222"/>
      <c r="F12561" s="642" t="s">
        <v>234</v>
      </c>
      <c r="G12561" s="643" t="s">
        <v>235</v>
      </c>
      <c r="H12561" s="598">
        <f>SUM(H12500:H12559)</f>
        <v>0</v>
      </c>
      <c r="I12561" s="599"/>
      <c r="J12561" s="599">
        <f>SUM(H12561:I12561)</f>
        <v>0</v>
      </c>
    </row>
    <row r="12562" spans="5:10" hidden="1" x14ac:dyDescent="0.25">
      <c r="F12562" s="642" t="s">
        <v>236</v>
      </c>
      <c r="G12562" s="643" t="s">
        <v>237</v>
      </c>
      <c r="J12562" s="599">
        <f t="shared" ref="J12562:J12576" si="377">SUM(H12562:I12562)</f>
        <v>0</v>
      </c>
    </row>
    <row r="12563" spans="5:10" hidden="1" x14ac:dyDescent="0.25">
      <c r="F12563" s="642" t="s">
        <v>238</v>
      </c>
      <c r="G12563" s="643" t="s">
        <v>239</v>
      </c>
      <c r="J12563" s="599">
        <f t="shared" si="377"/>
        <v>0</v>
      </c>
    </row>
    <row r="12564" spans="5:10" ht="15.75" hidden="1" thickBot="1" x14ac:dyDescent="0.3">
      <c r="F12564" s="642" t="s">
        <v>240</v>
      </c>
      <c r="G12564" s="643" t="s">
        <v>241</v>
      </c>
      <c r="J12564" s="599">
        <f t="shared" si="377"/>
        <v>0</v>
      </c>
    </row>
    <row r="12565" spans="5:10" ht="15.75" hidden="1" thickBot="1" x14ac:dyDescent="0.3">
      <c r="F12565" s="642" t="s">
        <v>242</v>
      </c>
      <c r="G12565" s="643" t="s">
        <v>243</v>
      </c>
      <c r="J12565" s="599">
        <f t="shared" si="377"/>
        <v>0</v>
      </c>
    </row>
    <row r="12566" spans="5:10" ht="15.75" hidden="1" thickBot="1" x14ac:dyDescent="0.3">
      <c r="F12566" s="642" t="s">
        <v>244</v>
      </c>
      <c r="G12566" s="643" t="s">
        <v>245</v>
      </c>
      <c r="J12566" s="599">
        <f t="shared" si="377"/>
        <v>0</v>
      </c>
    </row>
    <row r="12567" spans="5:10" ht="15.75" hidden="1" thickBot="1" x14ac:dyDescent="0.3">
      <c r="F12567" s="642" t="s">
        <v>246</v>
      </c>
      <c r="G12567" s="643" t="s">
        <v>247</v>
      </c>
      <c r="J12567" s="599">
        <f t="shared" si="377"/>
        <v>0</v>
      </c>
    </row>
    <row r="12568" spans="5:10" ht="15.75" hidden="1" thickBot="1" x14ac:dyDescent="0.3">
      <c r="F12568" s="642" t="s">
        <v>248</v>
      </c>
      <c r="G12568" s="643" t="s">
        <v>249</v>
      </c>
      <c r="J12568" s="599">
        <f t="shared" si="377"/>
        <v>0</v>
      </c>
    </row>
    <row r="12569" spans="5:10" ht="15.75" hidden="1" thickBot="1" x14ac:dyDescent="0.3">
      <c r="F12569" s="642" t="s">
        <v>250</v>
      </c>
      <c r="G12569" s="643" t="s">
        <v>57</v>
      </c>
      <c r="J12569" s="599">
        <f t="shared" si="377"/>
        <v>0</v>
      </c>
    </row>
    <row r="12570" spans="5:10" ht="15.75" hidden="1" thickBot="1" x14ac:dyDescent="0.3">
      <c r="F12570" s="642" t="s">
        <v>251</v>
      </c>
      <c r="G12570" s="643" t="s">
        <v>252</v>
      </c>
      <c r="J12570" s="599">
        <f t="shared" si="377"/>
        <v>0</v>
      </c>
    </row>
    <row r="12571" spans="5:10" ht="15.75" hidden="1" thickBot="1" x14ac:dyDescent="0.3">
      <c r="F12571" s="642" t="s">
        <v>253</v>
      </c>
      <c r="G12571" s="643" t="s">
        <v>254</v>
      </c>
      <c r="J12571" s="599">
        <f t="shared" si="377"/>
        <v>0</v>
      </c>
    </row>
    <row r="12572" spans="5:10" ht="30.75" hidden="1" thickBot="1" x14ac:dyDescent="0.3">
      <c r="F12572" s="642" t="s">
        <v>255</v>
      </c>
      <c r="G12572" s="643" t="s">
        <v>256</v>
      </c>
      <c r="J12572" s="599">
        <f t="shared" si="377"/>
        <v>0</v>
      </c>
    </row>
    <row r="12573" spans="5:10" ht="15.75" hidden="1" thickBot="1" x14ac:dyDescent="0.3">
      <c r="F12573" s="642" t="s">
        <v>257</v>
      </c>
      <c r="G12573" s="643" t="s">
        <v>258</v>
      </c>
      <c r="J12573" s="599">
        <f t="shared" si="377"/>
        <v>0</v>
      </c>
    </row>
    <row r="12574" spans="5:10" ht="30.75" hidden="1" thickBot="1" x14ac:dyDescent="0.3">
      <c r="F12574" s="642" t="s">
        <v>259</v>
      </c>
      <c r="G12574" s="643" t="s">
        <v>260</v>
      </c>
      <c r="J12574" s="599">
        <f t="shared" si="377"/>
        <v>0</v>
      </c>
    </row>
    <row r="12575" spans="5:10" ht="15.75" hidden="1" thickBot="1" x14ac:dyDescent="0.3">
      <c r="F12575" s="642" t="s">
        <v>261</v>
      </c>
      <c r="G12575" s="643" t="s">
        <v>262</v>
      </c>
      <c r="J12575" s="599">
        <f t="shared" si="377"/>
        <v>0</v>
      </c>
    </row>
    <row r="12576" spans="5:10" ht="15.75" hidden="1" thickBot="1" x14ac:dyDescent="0.3">
      <c r="F12576" s="642" t="s">
        <v>263</v>
      </c>
      <c r="G12576" s="643" t="s">
        <v>264</v>
      </c>
      <c r="H12576" s="598"/>
      <c r="I12576" s="599"/>
      <c r="J12576" s="599">
        <f t="shared" si="377"/>
        <v>0</v>
      </c>
    </row>
    <row r="12577" spans="5:10" ht="15.75" hidden="1" thickBot="1" x14ac:dyDescent="0.3">
      <c r="G12577" s="229" t="s">
        <v>4460</v>
      </c>
      <c r="H12577" s="600">
        <f>SUM(H12561:H12576)</f>
        <v>0</v>
      </c>
      <c r="I12577" s="601">
        <f>SUM(I12562:I12576)</f>
        <v>0</v>
      </c>
      <c r="J12577" s="601">
        <f>SUM(J12561:J12576)</f>
        <v>0</v>
      </c>
    </row>
    <row r="12578" spans="5:10" hidden="1" collapsed="1" x14ac:dyDescent="0.25">
      <c r="E12578" s="517"/>
      <c r="F12578" s="528"/>
      <c r="G12578" s="231" t="s">
        <v>5126</v>
      </c>
      <c r="H12578" s="602"/>
      <c r="I12578" s="623"/>
      <c r="J12578" s="603"/>
    </row>
    <row r="12579" spans="5:10" hidden="1" x14ac:dyDescent="0.25">
      <c r="E12579" s="222"/>
      <c r="F12579" s="642" t="s">
        <v>234</v>
      </c>
      <c r="G12579" s="643" t="s">
        <v>235</v>
      </c>
      <c r="H12579" s="598">
        <f>SUM(H12500:H12559)</f>
        <v>0</v>
      </c>
      <c r="I12579" s="599"/>
      <c r="J12579" s="599">
        <f>SUM(H12579:I12579)</f>
        <v>0</v>
      </c>
    </row>
    <row r="12580" spans="5:10" hidden="1" x14ac:dyDescent="0.25">
      <c r="F12580" s="642" t="s">
        <v>236</v>
      </c>
      <c r="G12580" s="643" t="s">
        <v>237</v>
      </c>
      <c r="J12580" s="599">
        <f t="shared" ref="J12580:J12594" si="378">SUM(H12580:I12580)</f>
        <v>0</v>
      </c>
    </row>
    <row r="12581" spans="5:10" hidden="1" x14ac:dyDescent="0.25">
      <c r="F12581" s="642" t="s">
        <v>238</v>
      </c>
      <c r="G12581" s="643" t="s">
        <v>239</v>
      </c>
      <c r="J12581" s="599">
        <f t="shared" si="378"/>
        <v>0</v>
      </c>
    </row>
    <row r="12582" spans="5:10" ht="15.75" hidden="1" thickBot="1" x14ac:dyDescent="0.3">
      <c r="F12582" s="642" t="s">
        <v>240</v>
      </c>
      <c r="G12582" s="643" t="s">
        <v>241</v>
      </c>
      <c r="J12582" s="599">
        <f t="shared" si="378"/>
        <v>0</v>
      </c>
    </row>
    <row r="12583" spans="5:10" ht="15.75" hidden="1" thickBot="1" x14ac:dyDescent="0.3">
      <c r="F12583" s="642" t="s">
        <v>242</v>
      </c>
      <c r="G12583" s="643" t="s">
        <v>243</v>
      </c>
      <c r="J12583" s="599">
        <f t="shared" si="378"/>
        <v>0</v>
      </c>
    </row>
    <row r="12584" spans="5:10" ht="15.75" hidden="1" thickBot="1" x14ac:dyDescent="0.3">
      <c r="F12584" s="642" t="s">
        <v>244</v>
      </c>
      <c r="G12584" s="643" t="s">
        <v>245</v>
      </c>
      <c r="J12584" s="599">
        <f t="shared" si="378"/>
        <v>0</v>
      </c>
    </row>
    <row r="12585" spans="5:10" ht="15.75" hidden="1" thickBot="1" x14ac:dyDescent="0.3">
      <c r="F12585" s="642" t="s">
        <v>246</v>
      </c>
      <c r="G12585" s="643" t="s">
        <v>247</v>
      </c>
      <c r="J12585" s="599">
        <f t="shared" si="378"/>
        <v>0</v>
      </c>
    </row>
    <row r="12586" spans="5:10" ht="15.75" hidden="1" thickBot="1" x14ac:dyDescent="0.3">
      <c r="F12586" s="642" t="s">
        <v>248</v>
      </c>
      <c r="G12586" s="643" t="s">
        <v>249</v>
      </c>
      <c r="J12586" s="599">
        <f t="shared" si="378"/>
        <v>0</v>
      </c>
    </row>
    <row r="12587" spans="5:10" ht="15.75" hidden="1" thickBot="1" x14ac:dyDescent="0.3">
      <c r="F12587" s="642" t="s">
        <v>250</v>
      </c>
      <c r="G12587" s="643" t="s">
        <v>57</v>
      </c>
      <c r="J12587" s="599">
        <f t="shared" si="378"/>
        <v>0</v>
      </c>
    </row>
    <row r="12588" spans="5:10" ht="15.75" hidden="1" thickBot="1" x14ac:dyDescent="0.3">
      <c r="F12588" s="642" t="s">
        <v>251</v>
      </c>
      <c r="G12588" s="643" t="s">
        <v>252</v>
      </c>
      <c r="J12588" s="599">
        <f t="shared" si="378"/>
        <v>0</v>
      </c>
    </row>
    <row r="12589" spans="5:10" ht="15.75" hidden="1" thickBot="1" x14ac:dyDescent="0.3">
      <c r="F12589" s="642" t="s">
        <v>253</v>
      </c>
      <c r="G12589" s="643" t="s">
        <v>254</v>
      </c>
      <c r="J12589" s="599">
        <f t="shared" si="378"/>
        <v>0</v>
      </c>
    </row>
    <row r="12590" spans="5:10" ht="30.75" hidden="1" thickBot="1" x14ac:dyDescent="0.3">
      <c r="F12590" s="642" t="s">
        <v>255</v>
      </c>
      <c r="G12590" s="643" t="s">
        <v>256</v>
      </c>
      <c r="J12590" s="599">
        <f t="shared" si="378"/>
        <v>0</v>
      </c>
    </row>
    <row r="12591" spans="5:10" ht="15.75" hidden="1" thickBot="1" x14ac:dyDescent="0.3">
      <c r="F12591" s="642" t="s">
        <v>257</v>
      </c>
      <c r="G12591" s="643" t="s">
        <v>258</v>
      </c>
      <c r="J12591" s="599">
        <f t="shared" si="378"/>
        <v>0</v>
      </c>
    </row>
    <row r="12592" spans="5:10" ht="30.75" hidden="1" thickBot="1" x14ac:dyDescent="0.3">
      <c r="F12592" s="642" t="s">
        <v>259</v>
      </c>
      <c r="G12592" s="643" t="s">
        <v>260</v>
      </c>
      <c r="J12592" s="599">
        <f t="shared" si="378"/>
        <v>0</v>
      </c>
    </row>
    <row r="12593" spans="3:10" ht="15.75" hidden="1" thickBot="1" x14ac:dyDescent="0.3">
      <c r="F12593" s="642" t="s">
        <v>261</v>
      </c>
      <c r="G12593" s="643" t="s">
        <v>262</v>
      </c>
      <c r="J12593" s="599">
        <f t="shared" si="378"/>
        <v>0</v>
      </c>
    </row>
    <row r="12594" spans="3:10" ht="15.75" hidden="1" thickBot="1" x14ac:dyDescent="0.3">
      <c r="F12594" s="642" t="s">
        <v>263</v>
      </c>
      <c r="G12594" s="643" t="s">
        <v>264</v>
      </c>
      <c r="H12594" s="598"/>
      <c r="I12594" s="599"/>
      <c r="J12594" s="599">
        <f t="shared" si="378"/>
        <v>0</v>
      </c>
    </row>
    <row r="12595" spans="3:10" ht="15.75" hidden="1" thickBot="1" x14ac:dyDescent="0.3">
      <c r="G12595" s="229" t="s">
        <v>5127</v>
      </c>
      <c r="H12595" s="600">
        <f>SUM(H12579:H12594)</f>
        <v>0</v>
      </c>
      <c r="I12595" s="601">
        <f>SUM(I12580:I12594)</f>
        <v>0</v>
      </c>
      <c r="J12595" s="601">
        <f>SUM(J12579:J12594)</f>
        <v>0</v>
      </c>
    </row>
    <row r="12596" spans="3:10" hidden="1" x14ac:dyDescent="0.25">
      <c r="G12596" s="286"/>
      <c r="H12596" s="604"/>
      <c r="I12596" s="605"/>
      <c r="J12596" s="605"/>
    </row>
    <row r="12597" spans="3:10" hidden="1" x14ac:dyDescent="0.25">
      <c r="C12597" s="228" t="s">
        <v>4869</v>
      </c>
      <c r="D12597" s="219"/>
      <c r="G12597" s="521" t="s">
        <v>4254</v>
      </c>
    </row>
    <row r="12598" spans="3:10" hidden="1" x14ac:dyDescent="0.25">
      <c r="C12598" s="228"/>
      <c r="D12598" s="312">
        <v>820</v>
      </c>
      <c r="E12598" s="312"/>
      <c r="F12598" s="312"/>
      <c r="G12598" s="313" t="s">
        <v>207</v>
      </c>
    </row>
    <row r="12599" spans="3:10" hidden="1" x14ac:dyDescent="0.25">
      <c r="F12599" s="527">
        <v>411</v>
      </c>
      <c r="G12599" s="520" t="s">
        <v>4189</v>
      </c>
      <c r="J12599" s="595">
        <f>SUM(H12599:I12599)</f>
        <v>0</v>
      </c>
    </row>
    <row r="12600" spans="3:10" hidden="1" x14ac:dyDescent="0.25">
      <c r="F12600" s="527">
        <v>412</v>
      </c>
      <c r="G12600" s="516" t="s">
        <v>3784</v>
      </c>
      <c r="J12600" s="595">
        <f t="shared" ref="J12600:J12658" si="379">SUM(H12600:I12600)</f>
        <v>0</v>
      </c>
    </row>
    <row r="12601" spans="3:10" hidden="1" x14ac:dyDescent="0.25">
      <c r="F12601" s="527">
        <v>413</v>
      </c>
      <c r="G12601" s="520" t="s">
        <v>4190</v>
      </c>
      <c r="J12601" s="595">
        <f t="shared" si="379"/>
        <v>0</v>
      </c>
    </row>
    <row r="12602" spans="3:10" hidden="1" x14ac:dyDescent="0.25">
      <c r="F12602" s="527">
        <v>414</v>
      </c>
      <c r="G12602" s="520" t="s">
        <v>3787</v>
      </c>
      <c r="J12602" s="595">
        <f t="shared" si="379"/>
        <v>0</v>
      </c>
    </row>
    <row r="12603" spans="3:10" hidden="1" x14ac:dyDescent="0.25">
      <c r="F12603" s="527">
        <v>415</v>
      </c>
      <c r="G12603" s="520" t="s">
        <v>4199</v>
      </c>
      <c r="J12603" s="595">
        <f t="shared" si="379"/>
        <v>0</v>
      </c>
    </row>
    <row r="12604" spans="3:10" hidden="1" x14ac:dyDescent="0.25">
      <c r="F12604" s="527">
        <v>416</v>
      </c>
      <c r="G12604" s="520" t="s">
        <v>4200</v>
      </c>
      <c r="J12604" s="595">
        <f t="shared" si="379"/>
        <v>0</v>
      </c>
    </row>
    <row r="12605" spans="3:10" hidden="1" x14ac:dyDescent="0.25">
      <c r="F12605" s="527">
        <v>417</v>
      </c>
      <c r="G12605" s="520" t="s">
        <v>4201</v>
      </c>
      <c r="J12605" s="595">
        <f t="shared" si="379"/>
        <v>0</v>
      </c>
    </row>
    <row r="12606" spans="3:10" hidden="1" x14ac:dyDescent="0.25">
      <c r="F12606" s="527">
        <v>418</v>
      </c>
      <c r="G12606" s="520" t="s">
        <v>3793</v>
      </c>
      <c r="J12606" s="595">
        <f t="shared" si="379"/>
        <v>0</v>
      </c>
    </row>
    <row r="12607" spans="3:10" hidden="1" x14ac:dyDescent="0.25">
      <c r="F12607" s="527">
        <v>421</v>
      </c>
      <c r="G12607" s="520" t="s">
        <v>3797</v>
      </c>
      <c r="J12607" s="595">
        <f t="shared" si="379"/>
        <v>0</v>
      </c>
    </row>
    <row r="12608" spans="3:10" hidden="1" x14ac:dyDescent="0.25">
      <c r="F12608" s="527">
        <v>422</v>
      </c>
      <c r="G12608" s="520" t="s">
        <v>3798</v>
      </c>
      <c r="J12608" s="595">
        <f t="shared" si="379"/>
        <v>0</v>
      </c>
    </row>
    <row r="12609" spans="6:10" hidden="1" x14ac:dyDescent="0.25">
      <c r="F12609" s="527">
        <v>423</v>
      </c>
      <c r="G12609" s="520" t="s">
        <v>3799</v>
      </c>
      <c r="J12609" s="595">
        <f t="shared" si="379"/>
        <v>0</v>
      </c>
    </row>
    <row r="12610" spans="6:10" hidden="1" x14ac:dyDescent="0.25">
      <c r="F12610" s="527">
        <v>424</v>
      </c>
      <c r="G12610" s="520" t="s">
        <v>3801</v>
      </c>
      <c r="J12610" s="595">
        <f t="shared" si="379"/>
        <v>0</v>
      </c>
    </row>
    <row r="12611" spans="6:10" hidden="1" x14ac:dyDescent="0.25">
      <c r="F12611" s="527">
        <v>425</v>
      </c>
      <c r="G12611" s="520" t="s">
        <v>4202</v>
      </c>
      <c r="J12611" s="595">
        <f t="shared" si="379"/>
        <v>0</v>
      </c>
    </row>
    <row r="12612" spans="6:10" hidden="1" x14ac:dyDescent="0.25">
      <c r="F12612" s="527">
        <v>426</v>
      </c>
      <c r="G12612" s="520" t="s">
        <v>3805</v>
      </c>
      <c r="J12612" s="595">
        <f t="shared" si="379"/>
        <v>0</v>
      </c>
    </row>
    <row r="12613" spans="6:10" hidden="1" x14ac:dyDescent="0.25">
      <c r="F12613" s="527">
        <v>431</v>
      </c>
      <c r="G12613" s="520" t="s">
        <v>4203</v>
      </c>
      <c r="J12613" s="595">
        <f t="shared" si="379"/>
        <v>0</v>
      </c>
    </row>
    <row r="12614" spans="6:10" hidden="1" x14ac:dyDescent="0.25">
      <c r="F12614" s="527">
        <v>432</v>
      </c>
      <c r="G12614" s="520" t="s">
        <v>4204</v>
      </c>
      <c r="J12614" s="595">
        <f t="shared" si="379"/>
        <v>0</v>
      </c>
    </row>
    <row r="12615" spans="6:10" hidden="1" x14ac:dyDescent="0.25">
      <c r="F12615" s="527">
        <v>433</v>
      </c>
      <c r="G12615" s="520" t="s">
        <v>4205</v>
      </c>
      <c r="J12615" s="595">
        <f t="shared" si="379"/>
        <v>0</v>
      </c>
    </row>
    <row r="12616" spans="6:10" hidden="1" x14ac:dyDescent="0.25">
      <c r="F12616" s="527">
        <v>434</v>
      </c>
      <c r="G12616" s="520" t="s">
        <v>4206</v>
      </c>
      <c r="J12616" s="595">
        <f t="shared" si="379"/>
        <v>0</v>
      </c>
    </row>
    <row r="12617" spans="6:10" hidden="1" x14ac:dyDescent="0.25">
      <c r="F12617" s="527">
        <v>435</v>
      </c>
      <c r="G12617" s="520" t="s">
        <v>3812</v>
      </c>
      <c r="J12617" s="595">
        <f t="shared" si="379"/>
        <v>0</v>
      </c>
    </row>
    <row r="12618" spans="6:10" hidden="1" x14ac:dyDescent="0.25">
      <c r="F12618" s="527">
        <v>441</v>
      </c>
      <c r="G12618" s="520" t="s">
        <v>4207</v>
      </c>
      <c r="J12618" s="595">
        <f t="shared" si="379"/>
        <v>0</v>
      </c>
    </row>
    <row r="12619" spans="6:10" hidden="1" x14ac:dyDescent="0.25">
      <c r="F12619" s="527">
        <v>442</v>
      </c>
      <c r="G12619" s="520" t="s">
        <v>4208</v>
      </c>
      <c r="J12619" s="595">
        <f t="shared" si="379"/>
        <v>0</v>
      </c>
    </row>
    <row r="12620" spans="6:10" hidden="1" x14ac:dyDescent="0.25">
      <c r="F12620" s="527">
        <v>443</v>
      </c>
      <c r="G12620" s="520" t="s">
        <v>3817</v>
      </c>
      <c r="J12620" s="595">
        <f t="shared" si="379"/>
        <v>0</v>
      </c>
    </row>
    <row r="12621" spans="6:10" hidden="1" x14ac:dyDescent="0.25">
      <c r="F12621" s="527">
        <v>444</v>
      </c>
      <c r="G12621" s="520" t="s">
        <v>3818</v>
      </c>
      <c r="J12621" s="595">
        <f t="shared" si="379"/>
        <v>0</v>
      </c>
    </row>
    <row r="12622" spans="6:10" ht="30" hidden="1" x14ac:dyDescent="0.25">
      <c r="F12622" s="527">
        <v>4511</v>
      </c>
      <c r="G12622" s="223" t="s">
        <v>1692</v>
      </c>
      <c r="J12622" s="595">
        <f t="shared" si="379"/>
        <v>0</v>
      </c>
    </row>
    <row r="12623" spans="6:10" ht="30" hidden="1" x14ac:dyDescent="0.25">
      <c r="F12623" s="527">
        <v>4512</v>
      </c>
      <c r="G12623" s="223" t="s">
        <v>1701</v>
      </c>
      <c r="J12623" s="595">
        <f t="shared" si="379"/>
        <v>0</v>
      </c>
    </row>
    <row r="12624" spans="6:10" hidden="1" x14ac:dyDescent="0.25">
      <c r="F12624" s="527">
        <v>452</v>
      </c>
      <c r="G12624" s="520" t="s">
        <v>4209</v>
      </c>
      <c r="J12624" s="595">
        <f t="shared" si="379"/>
        <v>0</v>
      </c>
    </row>
    <row r="12625" spans="6:10" hidden="1" x14ac:dyDescent="0.25">
      <c r="F12625" s="527">
        <v>453</v>
      </c>
      <c r="G12625" s="520" t="s">
        <v>4210</v>
      </c>
      <c r="J12625" s="595">
        <f t="shared" si="379"/>
        <v>0</v>
      </c>
    </row>
    <row r="12626" spans="6:10" hidden="1" x14ac:dyDescent="0.25">
      <c r="F12626" s="527">
        <v>454</v>
      </c>
      <c r="G12626" s="520" t="s">
        <v>3823</v>
      </c>
      <c r="J12626" s="595">
        <f t="shared" si="379"/>
        <v>0</v>
      </c>
    </row>
    <row r="12627" spans="6:10" hidden="1" x14ac:dyDescent="0.25">
      <c r="F12627" s="527">
        <v>461</v>
      </c>
      <c r="G12627" s="520" t="s">
        <v>4191</v>
      </c>
      <c r="J12627" s="595">
        <f t="shared" si="379"/>
        <v>0</v>
      </c>
    </row>
    <row r="12628" spans="6:10" hidden="1" x14ac:dyDescent="0.25">
      <c r="F12628" s="527">
        <v>462</v>
      </c>
      <c r="G12628" s="520" t="s">
        <v>3826</v>
      </c>
      <c r="J12628" s="595">
        <f t="shared" si="379"/>
        <v>0</v>
      </c>
    </row>
    <row r="12629" spans="6:10" hidden="1" x14ac:dyDescent="0.25">
      <c r="F12629" s="527">
        <v>4631</v>
      </c>
      <c r="G12629" s="520" t="s">
        <v>3827</v>
      </c>
      <c r="J12629" s="595">
        <f t="shared" si="379"/>
        <v>0</v>
      </c>
    </row>
    <row r="12630" spans="6:10" hidden="1" x14ac:dyDescent="0.25">
      <c r="F12630" s="527">
        <v>4632</v>
      </c>
      <c r="G12630" s="520" t="s">
        <v>3828</v>
      </c>
      <c r="J12630" s="595">
        <f t="shared" si="379"/>
        <v>0</v>
      </c>
    </row>
    <row r="12631" spans="6:10" hidden="1" x14ac:dyDescent="0.25">
      <c r="F12631" s="527">
        <v>464</v>
      </c>
      <c r="G12631" s="520" t="s">
        <v>3829</v>
      </c>
      <c r="J12631" s="595">
        <f t="shared" si="379"/>
        <v>0</v>
      </c>
    </row>
    <row r="12632" spans="6:10" hidden="1" x14ac:dyDescent="0.25">
      <c r="F12632" s="527">
        <v>465</v>
      </c>
      <c r="G12632" s="520" t="s">
        <v>4192</v>
      </c>
      <c r="J12632" s="595">
        <f t="shared" si="379"/>
        <v>0</v>
      </c>
    </row>
    <row r="12633" spans="6:10" ht="15.75" hidden="1" thickBot="1" x14ac:dyDescent="0.3">
      <c r="F12633" s="527">
        <v>472</v>
      </c>
      <c r="G12633" s="520" t="s">
        <v>3833</v>
      </c>
      <c r="J12633" s="595">
        <f t="shared" si="379"/>
        <v>0</v>
      </c>
    </row>
    <row r="12634" spans="6:10" ht="15.75" hidden="1" thickBot="1" x14ac:dyDescent="0.3">
      <c r="F12634" s="527">
        <v>481</v>
      </c>
      <c r="G12634" s="520" t="s">
        <v>4211</v>
      </c>
      <c r="J12634" s="595">
        <f t="shared" si="379"/>
        <v>0</v>
      </c>
    </row>
    <row r="12635" spans="6:10" ht="15.75" hidden="1" thickBot="1" x14ac:dyDescent="0.3">
      <c r="F12635" s="527">
        <v>482</v>
      </c>
      <c r="G12635" s="520" t="s">
        <v>4212</v>
      </c>
      <c r="J12635" s="595">
        <f t="shared" si="379"/>
        <v>0</v>
      </c>
    </row>
    <row r="12636" spans="6:10" ht="15.75" hidden="1" thickBot="1" x14ac:dyDescent="0.3">
      <c r="F12636" s="527">
        <v>483</v>
      </c>
      <c r="G12636" s="524" t="s">
        <v>4213</v>
      </c>
      <c r="J12636" s="595">
        <f t="shared" si="379"/>
        <v>0</v>
      </c>
    </row>
    <row r="12637" spans="6:10" ht="30.75" hidden="1" thickBot="1" x14ac:dyDescent="0.3">
      <c r="F12637" s="527">
        <v>484</v>
      </c>
      <c r="G12637" s="520" t="s">
        <v>4214</v>
      </c>
      <c r="J12637" s="595">
        <f t="shared" si="379"/>
        <v>0</v>
      </c>
    </row>
    <row r="12638" spans="6:10" ht="30.75" hidden="1" thickBot="1" x14ac:dyDescent="0.3">
      <c r="F12638" s="527">
        <v>485</v>
      </c>
      <c r="G12638" s="520" t="s">
        <v>4215</v>
      </c>
      <c r="J12638" s="595">
        <f t="shared" si="379"/>
        <v>0</v>
      </c>
    </row>
    <row r="12639" spans="6:10" ht="30.75" hidden="1" thickBot="1" x14ac:dyDescent="0.3">
      <c r="F12639" s="527">
        <v>489</v>
      </c>
      <c r="G12639" s="520" t="s">
        <v>3841</v>
      </c>
      <c r="J12639" s="595">
        <f t="shared" si="379"/>
        <v>0</v>
      </c>
    </row>
    <row r="12640" spans="6:10" ht="15.75" hidden="1" thickBot="1" x14ac:dyDescent="0.3">
      <c r="F12640" s="527">
        <v>494</v>
      </c>
      <c r="G12640" s="520" t="s">
        <v>4193</v>
      </c>
      <c r="J12640" s="595">
        <f t="shared" si="379"/>
        <v>0</v>
      </c>
    </row>
    <row r="12641" spans="6:10" ht="30.75" hidden="1" thickBot="1" x14ac:dyDescent="0.3">
      <c r="F12641" s="527">
        <v>495</v>
      </c>
      <c r="G12641" s="520" t="s">
        <v>4194</v>
      </c>
      <c r="J12641" s="595">
        <f t="shared" si="379"/>
        <v>0</v>
      </c>
    </row>
    <row r="12642" spans="6:10" ht="30.75" hidden="1" thickBot="1" x14ac:dyDescent="0.3">
      <c r="F12642" s="527">
        <v>496</v>
      </c>
      <c r="G12642" s="520" t="s">
        <v>4195</v>
      </c>
      <c r="J12642" s="595">
        <f t="shared" si="379"/>
        <v>0</v>
      </c>
    </row>
    <row r="12643" spans="6:10" ht="15.75" hidden="1" thickBot="1" x14ac:dyDescent="0.3">
      <c r="F12643" s="527">
        <v>499</v>
      </c>
      <c r="G12643" s="520" t="s">
        <v>4196</v>
      </c>
      <c r="J12643" s="595">
        <f t="shared" si="379"/>
        <v>0</v>
      </c>
    </row>
    <row r="12644" spans="6:10" ht="15.75" hidden="1" thickBot="1" x14ac:dyDescent="0.3">
      <c r="F12644" s="527">
        <v>511</v>
      </c>
      <c r="G12644" s="524" t="s">
        <v>4216</v>
      </c>
      <c r="J12644" s="595">
        <f t="shared" si="379"/>
        <v>0</v>
      </c>
    </row>
    <row r="12645" spans="6:10" ht="15.75" hidden="1" thickBot="1" x14ac:dyDescent="0.3">
      <c r="F12645" s="527">
        <v>512</v>
      </c>
      <c r="G12645" s="524" t="s">
        <v>4217</v>
      </c>
      <c r="J12645" s="595">
        <f t="shared" si="379"/>
        <v>0</v>
      </c>
    </row>
    <row r="12646" spans="6:10" ht="15.75" hidden="1" thickBot="1" x14ac:dyDescent="0.3">
      <c r="F12646" s="527">
        <v>513</v>
      </c>
      <c r="G12646" s="524" t="s">
        <v>4218</v>
      </c>
      <c r="J12646" s="595">
        <f t="shared" si="379"/>
        <v>0</v>
      </c>
    </row>
    <row r="12647" spans="6:10" ht="15.75" hidden="1" thickBot="1" x14ac:dyDescent="0.3">
      <c r="F12647" s="527">
        <v>514</v>
      </c>
      <c r="G12647" s="520" t="s">
        <v>4219</v>
      </c>
      <c r="J12647" s="595">
        <f t="shared" si="379"/>
        <v>0</v>
      </c>
    </row>
    <row r="12648" spans="6:10" ht="15.75" hidden="1" thickBot="1" x14ac:dyDescent="0.3">
      <c r="F12648" s="527">
        <v>515</v>
      </c>
      <c r="G12648" s="520" t="s">
        <v>3852</v>
      </c>
      <c r="J12648" s="595">
        <f t="shared" si="379"/>
        <v>0</v>
      </c>
    </row>
    <row r="12649" spans="6:10" ht="15.75" hidden="1" thickBot="1" x14ac:dyDescent="0.3">
      <c r="F12649" s="527">
        <v>521</v>
      </c>
      <c r="G12649" s="520" t="s">
        <v>4220</v>
      </c>
      <c r="J12649" s="595">
        <f t="shared" si="379"/>
        <v>0</v>
      </c>
    </row>
    <row r="12650" spans="6:10" ht="15.75" hidden="1" thickBot="1" x14ac:dyDescent="0.3">
      <c r="F12650" s="527">
        <v>522</v>
      </c>
      <c r="G12650" s="520" t="s">
        <v>4221</v>
      </c>
      <c r="J12650" s="595">
        <f t="shared" si="379"/>
        <v>0</v>
      </c>
    </row>
    <row r="12651" spans="6:10" ht="15.75" hidden="1" thickBot="1" x14ac:dyDescent="0.3">
      <c r="F12651" s="527">
        <v>523</v>
      </c>
      <c r="G12651" s="520" t="s">
        <v>3857</v>
      </c>
      <c r="J12651" s="595">
        <f t="shared" si="379"/>
        <v>0</v>
      </c>
    </row>
    <row r="12652" spans="6:10" ht="15.75" hidden="1" thickBot="1" x14ac:dyDescent="0.3">
      <c r="F12652" s="527">
        <v>531</v>
      </c>
      <c r="G12652" s="516" t="s">
        <v>4197</v>
      </c>
      <c r="J12652" s="595">
        <f t="shared" si="379"/>
        <v>0</v>
      </c>
    </row>
    <row r="12653" spans="6:10" ht="15.75" hidden="1" thickBot="1" x14ac:dyDescent="0.3">
      <c r="F12653" s="527">
        <v>541</v>
      </c>
      <c r="G12653" s="520" t="s">
        <v>4222</v>
      </c>
      <c r="J12653" s="595">
        <f t="shared" si="379"/>
        <v>0</v>
      </c>
    </row>
    <row r="12654" spans="6:10" ht="15.75" hidden="1" thickBot="1" x14ac:dyDescent="0.3">
      <c r="F12654" s="527">
        <v>542</v>
      </c>
      <c r="G12654" s="520" t="s">
        <v>4223</v>
      </c>
      <c r="J12654" s="595">
        <f t="shared" si="379"/>
        <v>0</v>
      </c>
    </row>
    <row r="12655" spans="6:10" ht="15.75" hidden="1" thickBot="1" x14ac:dyDescent="0.3">
      <c r="F12655" s="527">
        <v>543</v>
      </c>
      <c r="G12655" s="520" t="s">
        <v>3862</v>
      </c>
      <c r="J12655" s="595">
        <f t="shared" si="379"/>
        <v>0</v>
      </c>
    </row>
    <row r="12656" spans="6:10" ht="30.75" hidden="1" thickBot="1" x14ac:dyDescent="0.3">
      <c r="F12656" s="527">
        <v>551</v>
      </c>
      <c r="G12656" s="520" t="s">
        <v>4198</v>
      </c>
      <c r="J12656" s="595">
        <f t="shared" si="379"/>
        <v>0</v>
      </c>
    </row>
    <row r="12657" spans="5:10" ht="15.75" hidden="1" thickBot="1" x14ac:dyDescent="0.3">
      <c r="F12657" s="528">
        <v>611</v>
      </c>
      <c r="G12657" s="526" t="s">
        <v>3868</v>
      </c>
      <c r="J12657" s="595">
        <f t="shared" si="379"/>
        <v>0</v>
      </c>
    </row>
    <row r="12658" spans="5:10" ht="15.75" hidden="1" thickBot="1" x14ac:dyDescent="0.3">
      <c r="F12658" s="528">
        <v>620</v>
      </c>
      <c r="G12658" s="526" t="s">
        <v>88</v>
      </c>
      <c r="J12658" s="595">
        <f t="shared" si="379"/>
        <v>0</v>
      </c>
    </row>
    <row r="12659" spans="5:10" hidden="1" x14ac:dyDescent="0.25">
      <c r="E12659" s="517"/>
      <c r="F12659" s="528"/>
      <c r="G12659" s="326" t="s">
        <v>4459</v>
      </c>
      <c r="H12659" s="596"/>
      <c r="I12659" s="622"/>
      <c r="J12659" s="597"/>
    </row>
    <row r="12660" spans="5:10" hidden="1" x14ac:dyDescent="0.25">
      <c r="E12660" s="222"/>
      <c r="F12660" s="642" t="s">
        <v>234</v>
      </c>
      <c r="G12660" s="643" t="s">
        <v>235</v>
      </c>
      <c r="H12660" s="598">
        <f>SUM(H12599:H12658)</f>
        <v>0</v>
      </c>
      <c r="I12660" s="599"/>
      <c r="J12660" s="599">
        <f>SUM(H12660:I12660)</f>
        <v>0</v>
      </c>
    </row>
    <row r="12661" spans="5:10" hidden="1" x14ac:dyDescent="0.25">
      <c r="F12661" s="642" t="s">
        <v>236</v>
      </c>
      <c r="G12661" s="643" t="s">
        <v>237</v>
      </c>
      <c r="J12661" s="599">
        <f t="shared" ref="J12661:J12675" si="380">SUM(H12661:I12661)</f>
        <v>0</v>
      </c>
    </row>
    <row r="12662" spans="5:10" hidden="1" x14ac:dyDescent="0.25">
      <c r="F12662" s="642" t="s">
        <v>238</v>
      </c>
      <c r="G12662" s="643" t="s">
        <v>239</v>
      </c>
      <c r="J12662" s="599">
        <f t="shared" si="380"/>
        <v>0</v>
      </c>
    </row>
    <row r="12663" spans="5:10" ht="15.75" hidden="1" thickBot="1" x14ac:dyDescent="0.3">
      <c r="F12663" s="642" t="s">
        <v>240</v>
      </c>
      <c r="G12663" s="643" t="s">
        <v>241</v>
      </c>
      <c r="J12663" s="599">
        <f t="shared" si="380"/>
        <v>0</v>
      </c>
    </row>
    <row r="12664" spans="5:10" ht="15.75" hidden="1" thickBot="1" x14ac:dyDescent="0.3">
      <c r="F12664" s="642" t="s">
        <v>242</v>
      </c>
      <c r="G12664" s="643" t="s">
        <v>243</v>
      </c>
      <c r="J12664" s="599">
        <f t="shared" si="380"/>
        <v>0</v>
      </c>
    </row>
    <row r="12665" spans="5:10" ht="15.75" hidden="1" thickBot="1" x14ac:dyDescent="0.3">
      <c r="F12665" s="642" t="s">
        <v>244</v>
      </c>
      <c r="G12665" s="643" t="s">
        <v>245</v>
      </c>
      <c r="J12665" s="599">
        <f t="shared" si="380"/>
        <v>0</v>
      </c>
    </row>
    <row r="12666" spans="5:10" ht="15.75" hidden="1" thickBot="1" x14ac:dyDescent="0.3">
      <c r="F12666" s="642" t="s">
        <v>246</v>
      </c>
      <c r="G12666" s="643" t="s">
        <v>247</v>
      </c>
      <c r="J12666" s="599">
        <f t="shared" si="380"/>
        <v>0</v>
      </c>
    </row>
    <row r="12667" spans="5:10" ht="15.75" hidden="1" thickBot="1" x14ac:dyDescent="0.3">
      <c r="F12667" s="642" t="s">
        <v>248</v>
      </c>
      <c r="G12667" s="643" t="s">
        <v>249</v>
      </c>
      <c r="J12667" s="599">
        <f t="shared" si="380"/>
        <v>0</v>
      </c>
    </row>
    <row r="12668" spans="5:10" ht="15.75" hidden="1" thickBot="1" x14ac:dyDescent="0.3">
      <c r="F12668" s="642" t="s">
        <v>250</v>
      </c>
      <c r="G12668" s="643" t="s">
        <v>57</v>
      </c>
      <c r="J12668" s="599">
        <f t="shared" si="380"/>
        <v>0</v>
      </c>
    </row>
    <row r="12669" spans="5:10" ht="15.75" hidden="1" thickBot="1" x14ac:dyDescent="0.3">
      <c r="F12669" s="642" t="s">
        <v>251</v>
      </c>
      <c r="G12669" s="643" t="s">
        <v>252</v>
      </c>
      <c r="J12669" s="599">
        <f t="shared" si="380"/>
        <v>0</v>
      </c>
    </row>
    <row r="12670" spans="5:10" ht="15.75" hidden="1" thickBot="1" x14ac:dyDescent="0.3">
      <c r="F12670" s="642" t="s">
        <v>253</v>
      </c>
      <c r="G12670" s="643" t="s">
        <v>254</v>
      </c>
      <c r="J12670" s="599">
        <f t="shared" si="380"/>
        <v>0</v>
      </c>
    </row>
    <row r="12671" spans="5:10" ht="30.75" hidden="1" thickBot="1" x14ac:dyDescent="0.3">
      <c r="F12671" s="642" t="s">
        <v>255</v>
      </c>
      <c r="G12671" s="643" t="s">
        <v>256</v>
      </c>
      <c r="J12671" s="599">
        <f t="shared" si="380"/>
        <v>0</v>
      </c>
    </row>
    <row r="12672" spans="5:10" ht="15.75" hidden="1" thickBot="1" x14ac:dyDescent="0.3">
      <c r="F12672" s="642" t="s">
        <v>257</v>
      </c>
      <c r="G12672" s="643" t="s">
        <v>258</v>
      </c>
      <c r="J12672" s="599">
        <f t="shared" si="380"/>
        <v>0</v>
      </c>
    </row>
    <row r="12673" spans="5:10" ht="30.75" hidden="1" thickBot="1" x14ac:dyDescent="0.3">
      <c r="F12673" s="642" t="s">
        <v>259</v>
      </c>
      <c r="G12673" s="643" t="s">
        <v>260</v>
      </c>
      <c r="J12673" s="599">
        <f t="shared" si="380"/>
        <v>0</v>
      </c>
    </row>
    <row r="12674" spans="5:10" ht="15.75" hidden="1" thickBot="1" x14ac:dyDescent="0.3">
      <c r="F12674" s="642" t="s">
        <v>261</v>
      </c>
      <c r="G12674" s="643" t="s">
        <v>262</v>
      </c>
      <c r="J12674" s="599">
        <f t="shared" si="380"/>
        <v>0</v>
      </c>
    </row>
    <row r="12675" spans="5:10" ht="15.75" hidden="1" thickBot="1" x14ac:dyDescent="0.3">
      <c r="F12675" s="642" t="s">
        <v>263</v>
      </c>
      <c r="G12675" s="643" t="s">
        <v>264</v>
      </c>
      <c r="H12675" s="598"/>
      <c r="I12675" s="599"/>
      <c r="J12675" s="599">
        <f t="shared" si="380"/>
        <v>0</v>
      </c>
    </row>
    <row r="12676" spans="5:10" ht="15.75" hidden="1" thickBot="1" x14ac:dyDescent="0.3">
      <c r="G12676" s="229" t="s">
        <v>4460</v>
      </c>
      <c r="H12676" s="600">
        <f>SUM(H12660:H12675)</f>
        <v>0</v>
      </c>
      <c r="I12676" s="601">
        <f>SUM(I12661:I12675)</f>
        <v>0</v>
      </c>
      <c r="J12676" s="601">
        <f>SUM(J12660:J12675)</f>
        <v>0</v>
      </c>
    </row>
    <row r="12677" spans="5:10" hidden="1" collapsed="1" x14ac:dyDescent="0.25">
      <c r="E12677" s="517"/>
      <c r="F12677" s="528"/>
      <c r="G12677" s="231" t="s">
        <v>5128</v>
      </c>
      <c r="H12677" s="602"/>
      <c r="I12677" s="623"/>
      <c r="J12677" s="603"/>
    </row>
    <row r="12678" spans="5:10" hidden="1" x14ac:dyDescent="0.25">
      <c r="E12678" s="222"/>
      <c r="F12678" s="642" t="s">
        <v>234</v>
      </c>
      <c r="G12678" s="643" t="s">
        <v>235</v>
      </c>
      <c r="H12678" s="598">
        <f>SUM(H12599:H12658)</f>
        <v>0</v>
      </c>
      <c r="I12678" s="599"/>
      <c r="J12678" s="599">
        <f>SUM(H12678:I12678)</f>
        <v>0</v>
      </c>
    </row>
    <row r="12679" spans="5:10" hidden="1" x14ac:dyDescent="0.25">
      <c r="F12679" s="642" t="s">
        <v>236</v>
      </c>
      <c r="G12679" s="643" t="s">
        <v>237</v>
      </c>
      <c r="J12679" s="599">
        <f t="shared" ref="J12679:J12693" si="381">SUM(H12679:I12679)</f>
        <v>0</v>
      </c>
    </row>
    <row r="12680" spans="5:10" hidden="1" x14ac:dyDescent="0.25">
      <c r="F12680" s="642" t="s">
        <v>238</v>
      </c>
      <c r="G12680" s="643" t="s">
        <v>239</v>
      </c>
      <c r="J12680" s="599">
        <f t="shared" si="381"/>
        <v>0</v>
      </c>
    </row>
    <row r="12681" spans="5:10" ht="15.75" hidden="1" thickBot="1" x14ac:dyDescent="0.3">
      <c r="F12681" s="642" t="s">
        <v>240</v>
      </c>
      <c r="G12681" s="643" t="s">
        <v>241</v>
      </c>
      <c r="J12681" s="599">
        <f t="shared" si="381"/>
        <v>0</v>
      </c>
    </row>
    <row r="12682" spans="5:10" ht="15.75" hidden="1" thickBot="1" x14ac:dyDescent="0.3">
      <c r="F12682" s="642" t="s">
        <v>242</v>
      </c>
      <c r="G12682" s="643" t="s">
        <v>243</v>
      </c>
      <c r="J12682" s="599">
        <f t="shared" si="381"/>
        <v>0</v>
      </c>
    </row>
    <row r="12683" spans="5:10" ht="15.75" hidden="1" thickBot="1" x14ac:dyDescent="0.3">
      <c r="F12683" s="642" t="s">
        <v>244</v>
      </c>
      <c r="G12683" s="643" t="s">
        <v>245</v>
      </c>
      <c r="J12683" s="599">
        <f t="shared" si="381"/>
        <v>0</v>
      </c>
    </row>
    <row r="12684" spans="5:10" ht="15.75" hidden="1" thickBot="1" x14ac:dyDescent="0.3">
      <c r="F12684" s="642" t="s">
        <v>246</v>
      </c>
      <c r="G12684" s="643" t="s">
        <v>247</v>
      </c>
      <c r="J12684" s="599">
        <f t="shared" si="381"/>
        <v>0</v>
      </c>
    </row>
    <row r="12685" spans="5:10" ht="15.75" hidden="1" thickBot="1" x14ac:dyDescent="0.3">
      <c r="F12685" s="642" t="s">
        <v>248</v>
      </c>
      <c r="G12685" s="643" t="s">
        <v>249</v>
      </c>
      <c r="J12685" s="599">
        <f t="shared" si="381"/>
        <v>0</v>
      </c>
    </row>
    <row r="12686" spans="5:10" ht="15.75" hidden="1" thickBot="1" x14ac:dyDescent="0.3">
      <c r="F12686" s="642" t="s">
        <v>250</v>
      </c>
      <c r="G12686" s="643" t="s">
        <v>57</v>
      </c>
      <c r="J12686" s="599">
        <f t="shared" si="381"/>
        <v>0</v>
      </c>
    </row>
    <row r="12687" spans="5:10" ht="15.75" hidden="1" thickBot="1" x14ac:dyDescent="0.3">
      <c r="F12687" s="642" t="s">
        <v>251</v>
      </c>
      <c r="G12687" s="643" t="s">
        <v>252</v>
      </c>
      <c r="J12687" s="599">
        <f t="shared" si="381"/>
        <v>0</v>
      </c>
    </row>
    <row r="12688" spans="5:10" ht="15.75" hidden="1" thickBot="1" x14ac:dyDescent="0.3">
      <c r="F12688" s="642" t="s">
        <v>253</v>
      </c>
      <c r="G12688" s="643" t="s">
        <v>254</v>
      </c>
      <c r="J12688" s="599">
        <f t="shared" si="381"/>
        <v>0</v>
      </c>
    </row>
    <row r="12689" spans="3:10" ht="30.75" hidden="1" thickBot="1" x14ac:dyDescent="0.3">
      <c r="F12689" s="642" t="s">
        <v>255</v>
      </c>
      <c r="G12689" s="643" t="s">
        <v>256</v>
      </c>
      <c r="J12689" s="599">
        <f t="shared" si="381"/>
        <v>0</v>
      </c>
    </row>
    <row r="12690" spans="3:10" ht="15.75" hidden="1" thickBot="1" x14ac:dyDescent="0.3">
      <c r="F12690" s="642" t="s">
        <v>257</v>
      </c>
      <c r="G12690" s="643" t="s">
        <v>258</v>
      </c>
      <c r="J12690" s="599">
        <f t="shared" si="381"/>
        <v>0</v>
      </c>
    </row>
    <row r="12691" spans="3:10" ht="30.75" hidden="1" thickBot="1" x14ac:dyDescent="0.3">
      <c r="F12691" s="642" t="s">
        <v>259</v>
      </c>
      <c r="G12691" s="643" t="s">
        <v>260</v>
      </c>
      <c r="J12691" s="599">
        <f t="shared" si="381"/>
        <v>0</v>
      </c>
    </row>
    <row r="12692" spans="3:10" ht="15.75" hidden="1" thickBot="1" x14ac:dyDescent="0.3">
      <c r="F12692" s="642" t="s">
        <v>261</v>
      </c>
      <c r="G12692" s="643" t="s">
        <v>262</v>
      </c>
      <c r="J12692" s="599">
        <f t="shared" si="381"/>
        <v>0</v>
      </c>
    </row>
    <row r="12693" spans="3:10" ht="15.75" hidden="1" thickBot="1" x14ac:dyDescent="0.3">
      <c r="F12693" s="642" t="s">
        <v>263</v>
      </c>
      <c r="G12693" s="643" t="s">
        <v>264</v>
      </c>
      <c r="H12693" s="598"/>
      <c r="I12693" s="599"/>
      <c r="J12693" s="599">
        <f t="shared" si="381"/>
        <v>0</v>
      </c>
    </row>
    <row r="12694" spans="3:10" ht="15.75" hidden="1" thickBot="1" x14ac:dyDescent="0.3">
      <c r="G12694" s="229" t="s">
        <v>5129</v>
      </c>
      <c r="H12694" s="600">
        <f>SUM(H12678:H12693)</f>
        <v>0</v>
      </c>
      <c r="I12694" s="601">
        <f>SUM(I12679:I12693)</f>
        <v>0</v>
      </c>
      <c r="J12694" s="601">
        <f>SUM(J12678:J12693)</f>
        <v>0</v>
      </c>
    </row>
    <row r="12695" spans="3:10" hidden="1" x14ac:dyDescent="0.25">
      <c r="G12695" s="286"/>
      <c r="H12695" s="604"/>
      <c r="I12695" s="605"/>
      <c r="J12695" s="605"/>
    </row>
    <row r="12696" spans="3:10" hidden="1" x14ac:dyDescent="0.25">
      <c r="C12696" s="228" t="s">
        <v>4870</v>
      </c>
      <c r="D12696" s="219"/>
      <c r="G12696" s="521" t="s">
        <v>4254</v>
      </c>
    </row>
    <row r="12697" spans="3:10" hidden="1" x14ac:dyDescent="0.25">
      <c r="C12697" s="228"/>
      <c r="D12697" s="312">
        <v>820</v>
      </c>
      <c r="E12697" s="312"/>
      <c r="F12697" s="312"/>
      <c r="G12697" s="313" t="s">
        <v>207</v>
      </c>
    </row>
    <row r="12698" spans="3:10" hidden="1" x14ac:dyDescent="0.25">
      <c r="F12698" s="527">
        <v>411</v>
      </c>
      <c r="G12698" s="520" t="s">
        <v>4189</v>
      </c>
      <c r="J12698" s="595">
        <f>SUM(H12698:I12698)</f>
        <v>0</v>
      </c>
    </row>
    <row r="12699" spans="3:10" hidden="1" x14ac:dyDescent="0.25">
      <c r="F12699" s="527">
        <v>412</v>
      </c>
      <c r="G12699" s="516" t="s">
        <v>3784</v>
      </c>
      <c r="J12699" s="595">
        <f t="shared" ref="J12699:J12757" si="382">SUM(H12699:I12699)</f>
        <v>0</v>
      </c>
    </row>
    <row r="12700" spans="3:10" hidden="1" x14ac:dyDescent="0.25">
      <c r="F12700" s="527">
        <v>413</v>
      </c>
      <c r="G12700" s="520" t="s">
        <v>4190</v>
      </c>
      <c r="J12700" s="595">
        <f t="shared" si="382"/>
        <v>0</v>
      </c>
    </row>
    <row r="12701" spans="3:10" hidden="1" x14ac:dyDescent="0.25">
      <c r="F12701" s="527">
        <v>414</v>
      </c>
      <c r="G12701" s="520" t="s">
        <v>3787</v>
      </c>
      <c r="J12701" s="595">
        <f t="shared" si="382"/>
        <v>0</v>
      </c>
    </row>
    <row r="12702" spans="3:10" hidden="1" x14ac:dyDescent="0.25">
      <c r="F12702" s="527">
        <v>415</v>
      </c>
      <c r="G12702" s="520" t="s">
        <v>4199</v>
      </c>
      <c r="J12702" s="595">
        <f t="shared" si="382"/>
        <v>0</v>
      </c>
    </row>
    <row r="12703" spans="3:10" hidden="1" x14ac:dyDescent="0.25">
      <c r="F12703" s="527">
        <v>416</v>
      </c>
      <c r="G12703" s="520" t="s">
        <v>4200</v>
      </c>
      <c r="J12703" s="595">
        <f t="shared" si="382"/>
        <v>0</v>
      </c>
    </row>
    <row r="12704" spans="3:10" hidden="1" x14ac:dyDescent="0.25">
      <c r="F12704" s="527">
        <v>417</v>
      </c>
      <c r="G12704" s="520" t="s">
        <v>4201</v>
      </c>
      <c r="J12704" s="595">
        <f t="shared" si="382"/>
        <v>0</v>
      </c>
    </row>
    <row r="12705" spans="6:10" hidden="1" x14ac:dyDescent="0.25">
      <c r="F12705" s="527">
        <v>418</v>
      </c>
      <c r="G12705" s="520" t="s">
        <v>3793</v>
      </c>
      <c r="J12705" s="595">
        <f t="shared" si="382"/>
        <v>0</v>
      </c>
    </row>
    <row r="12706" spans="6:10" hidden="1" x14ac:dyDescent="0.25">
      <c r="F12706" s="527">
        <v>421</v>
      </c>
      <c r="G12706" s="520" t="s">
        <v>3797</v>
      </c>
      <c r="J12706" s="595">
        <f t="shared" si="382"/>
        <v>0</v>
      </c>
    </row>
    <row r="12707" spans="6:10" hidden="1" x14ac:dyDescent="0.25">
      <c r="F12707" s="527">
        <v>422</v>
      </c>
      <c r="G12707" s="520" t="s">
        <v>3798</v>
      </c>
      <c r="J12707" s="595">
        <f t="shared" si="382"/>
        <v>0</v>
      </c>
    </row>
    <row r="12708" spans="6:10" hidden="1" x14ac:dyDescent="0.25">
      <c r="F12708" s="527">
        <v>423</v>
      </c>
      <c r="G12708" s="520" t="s">
        <v>3799</v>
      </c>
      <c r="J12708" s="595">
        <f t="shared" si="382"/>
        <v>0</v>
      </c>
    </row>
    <row r="12709" spans="6:10" hidden="1" x14ac:dyDescent="0.25">
      <c r="F12709" s="527">
        <v>424</v>
      </c>
      <c r="G12709" s="520" t="s">
        <v>3801</v>
      </c>
      <c r="J12709" s="595">
        <f t="shared" si="382"/>
        <v>0</v>
      </c>
    </row>
    <row r="12710" spans="6:10" hidden="1" x14ac:dyDescent="0.25">
      <c r="F12710" s="527">
        <v>425</v>
      </c>
      <c r="G12710" s="520" t="s">
        <v>4202</v>
      </c>
      <c r="J12710" s="595">
        <f t="shared" si="382"/>
        <v>0</v>
      </c>
    </row>
    <row r="12711" spans="6:10" hidden="1" x14ac:dyDescent="0.25">
      <c r="F12711" s="527">
        <v>426</v>
      </c>
      <c r="G12711" s="520" t="s">
        <v>3805</v>
      </c>
      <c r="J12711" s="595">
        <f t="shared" si="382"/>
        <v>0</v>
      </c>
    </row>
    <row r="12712" spans="6:10" hidden="1" x14ac:dyDescent="0.25">
      <c r="F12712" s="527">
        <v>431</v>
      </c>
      <c r="G12712" s="520" t="s">
        <v>4203</v>
      </c>
      <c r="J12712" s="595">
        <f t="shared" si="382"/>
        <v>0</v>
      </c>
    </row>
    <row r="12713" spans="6:10" hidden="1" x14ac:dyDescent="0.25">
      <c r="F12713" s="527">
        <v>432</v>
      </c>
      <c r="G12713" s="520" t="s">
        <v>4204</v>
      </c>
      <c r="J12713" s="595">
        <f t="shared" si="382"/>
        <v>0</v>
      </c>
    </row>
    <row r="12714" spans="6:10" hidden="1" x14ac:dyDescent="0.25">
      <c r="F12714" s="527">
        <v>433</v>
      </c>
      <c r="G12714" s="520" t="s">
        <v>4205</v>
      </c>
      <c r="J12714" s="595">
        <f t="shared" si="382"/>
        <v>0</v>
      </c>
    </row>
    <row r="12715" spans="6:10" hidden="1" x14ac:dyDescent="0.25">
      <c r="F12715" s="527">
        <v>434</v>
      </c>
      <c r="G12715" s="520" t="s">
        <v>4206</v>
      </c>
      <c r="J12715" s="595">
        <f t="shared" si="382"/>
        <v>0</v>
      </c>
    </row>
    <row r="12716" spans="6:10" hidden="1" x14ac:dyDescent="0.25">
      <c r="F12716" s="527">
        <v>435</v>
      </c>
      <c r="G12716" s="520" t="s">
        <v>3812</v>
      </c>
      <c r="J12716" s="595">
        <f t="shared" si="382"/>
        <v>0</v>
      </c>
    </row>
    <row r="12717" spans="6:10" hidden="1" x14ac:dyDescent="0.25">
      <c r="F12717" s="527">
        <v>441</v>
      </c>
      <c r="G12717" s="520" t="s">
        <v>4207</v>
      </c>
      <c r="J12717" s="595">
        <f t="shared" si="382"/>
        <v>0</v>
      </c>
    </row>
    <row r="12718" spans="6:10" hidden="1" x14ac:dyDescent="0.25">
      <c r="F12718" s="527">
        <v>442</v>
      </c>
      <c r="G12718" s="520" t="s">
        <v>4208</v>
      </c>
      <c r="J12718" s="595">
        <f t="shared" si="382"/>
        <v>0</v>
      </c>
    </row>
    <row r="12719" spans="6:10" hidden="1" x14ac:dyDescent="0.25">
      <c r="F12719" s="527">
        <v>443</v>
      </c>
      <c r="G12719" s="520" t="s">
        <v>3817</v>
      </c>
      <c r="J12719" s="595">
        <f t="shared" si="382"/>
        <v>0</v>
      </c>
    </row>
    <row r="12720" spans="6:10" hidden="1" x14ac:dyDescent="0.25">
      <c r="F12720" s="527">
        <v>444</v>
      </c>
      <c r="G12720" s="520" t="s">
        <v>3818</v>
      </c>
      <c r="J12720" s="595">
        <f t="shared" si="382"/>
        <v>0</v>
      </c>
    </row>
    <row r="12721" spans="6:10" ht="30" hidden="1" x14ac:dyDescent="0.25">
      <c r="F12721" s="527">
        <v>4511</v>
      </c>
      <c r="G12721" s="223" t="s">
        <v>1692</v>
      </c>
      <c r="J12721" s="595">
        <f t="shared" si="382"/>
        <v>0</v>
      </c>
    </row>
    <row r="12722" spans="6:10" ht="30" hidden="1" x14ac:dyDescent="0.25">
      <c r="F12722" s="527">
        <v>4512</v>
      </c>
      <c r="G12722" s="223" t="s">
        <v>1701</v>
      </c>
      <c r="J12722" s="595">
        <f t="shared" si="382"/>
        <v>0</v>
      </c>
    </row>
    <row r="12723" spans="6:10" hidden="1" x14ac:dyDescent="0.25">
      <c r="F12723" s="527">
        <v>452</v>
      </c>
      <c r="G12723" s="520" t="s">
        <v>4209</v>
      </c>
      <c r="J12723" s="595">
        <f t="shared" si="382"/>
        <v>0</v>
      </c>
    </row>
    <row r="12724" spans="6:10" hidden="1" x14ac:dyDescent="0.25">
      <c r="F12724" s="527">
        <v>453</v>
      </c>
      <c r="G12724" s="520" t="s">
        <v>4210</v>
      </c>
      <c r="J12724" s="595">
        <f t="shared" si="382"/>
        <v>0</v>
      </c>
    </row>
    <row r="12725" spans="6:10" hidden="1" x14ac:dyDescent="0.25">
      <c r="F12725" s="527">
        <v>454</v>
      </c>
      <c r="G12725" s="520" t="s">
        <v>3823</v>
      </c>
      <c r="J12725" s="595">
        <f t="shared" si="382"/>
        <v>0</v>
      </c>
    </row>
    <row r="12726" spans="6:10" hidden="1" x14ac:dyDescent="0.25">
      <c r="F12726" s="527">
        <v>461</v>
      </c>
      <c r="G12726" s="520" t="s">
        <v>4191</v>
      </c>
      <c r="J12726" s="595">
        <f t="shared" si="382"/>
        <v>0</v>
      </c>
    </row>
    <row r="12727" spans="6:10" hidden="1" x14ac:dyDescent="0.25">
      <c r="F12727" s="527">
        <v>462</v>
      </c>
      <c r="G12727" s="520" t="s">
        <v>3826</v>
      </c>
      <c r="J12727" s="595">
        <f t="shared" si="382"/>
        <v>0</v>
      </c>
    </row>
    <row r="12728" spans="6:10" hidden="1" x14ac:dyDescent="0.25">
      <c r="F12728" s="527">
        <v>4631</v>
      </c>
      <c r="G12728" s="520" t="s">
        <v>3827</v>
      </c>
      <c r="J12728" s="595">
        <f t="shared" si="382"/>
        <v>0</v>
      </c>
    </row>
    <row r="12729" spans="6:10" hidden="1" x14ac:dyDescent="0.25">
      <c r="F12729" s="527">
        <v>4632</v>
      </c>
      <c r="G12729" s="520" t="s">
        <v>3828</v>
      </c>
      <c r="J12729" s="595">
        <f t="shared" si="382"/>
        <v>0</v>
      </c>
    </row>
    <row r="12730" spans="6:10" hidden="1" x14ac:dyDescent="0.25">
      <c r="F12730" s="527">
        <v>464</v>
      </c>
      <c r="G12730" s="520" t="s">
        <v>3829</v>
      </c>
      <c r="J12730" s="595">
        <f t="shared" si="382"/>
        <v>0</v>
      </c>
    </row>
    <row r="12731" spans="6:10" hidden="1" x14ac:dyDescent="0.25">
      <c r="F12731" s="527">
        <v>465</v>
      </c>
      <c r="G12731" s="520" t="s">
        <v>4192</v>
      </c>
      <c r="J12731" s="595">
        <f t="shared" si="382"/>
        <v>0</v>
      </c>
    </row>
    <row r="12732" spans="6:10" ht="15.75" hidden="1" thickBot="1" x14ac:dyDescent="0.3">
      <c r="F12732" s="527">
        <v>472</v>
      </c>
      <c r="G12732" s="520" t="s">
        <v>3833</v>
      </c>
      <c r="J12732" s="595">
        <f t="shared" si="382"/>
        <v>0</v>
      </c>
    </row>
    <row r="12733" spans="6:10" ht="15.75" hidden="1" thickBot="1" x14ac:dyDescent="0.3">
      <c r="F12733" s="527">
        <v>481</v>
      </c>
      <c r="G12733" s="520" t="s">
        <v>4211</v>
      </c>
      <c r="J12733" s="595">
        <f t="shared" si="382"/>
        <v>0</v>
      </c>
    </row>
    <row r="12734" spans="6:10" ht="15.75" hidden="1" thickBot="1" x14ac:dyDescent="0.3">
      <c r="F12734" s="527">
        <v>482</v>
      </c>
      <c r="G12734" s="520" t="s">
        <v>4212</v>
      </c>
      <c r="J12734" s="595">
        <f t="shared" si="382"/>
        <v>0</v>
      </c>
    </row>
    <row r="12735" spans="6:10" ht="15.75" hidden="1" thickBot="1" x14ac:dyDescent="0.3">
      <c r="F12735" s="527">
        <v>483</v>
      </c>
      <c r="G12735" s="524" t="s">
        <v>4213</v>
      </c>
      <c r="J12735" s="595">
        <f t="shared" si="382"/>
        <v>0</v>
      </c>
    </row>
    <row r="12736" spans="6:10" ht="30.75" hidden="1" thickBot="1" x14ac:dyDescent="0.3">
      <c r="F12736" s="527">
        <v>484</v>
      </c>
      <c r="G12736" s="520" t="s">
        <v>4214</v>
      </c>
      <c r="J12736" s="595">
        <f t="shared" si="382"/>
        <v>0</v>
      </c>
    </row>
    <row r="12737" spans="6:10" ht="30.75" hidden="1" thickBot="1" x14ac:dyDescent="0.3">
      <c r="F12737" s="527">
        <v>485</v>
      </c>
      <c r="G12737" s="520" t="s">
        <v>4215</v>
      </c>
      <c r="J12737" s="595">
        <f t="shared" si="382"/>
        <v>0</v>
      </c>
    </row>
    <row r="12738" spans="6:10" ht="30.75" hidden="1" thickBot="1" x14ac:dyDescent="0.3">
      <c r="F12738" s="527">
        <v>489</v>
      </c>
      <c r="G12738" s="520" t="s">
        <v>3841</v>
      </c>
      <c r="J12738" s="595">
        <f t="shared" si="382"/>
        <v>0</v>
      </c>
    </row>
    <row r="12739" spans="6:10" ht="15.75" hidden="1" thickBot="1" x14ac:dyDescent="0.3">
      <c r="F12739" s="527">
        <v>494</v>
      </c>
      <c r="G12739" s="520" t="s">
        <v>4193</v>
      </c>
      <c r="J12739" s="595">
        <f t="shared" si="382"/>
        <v>0</v>
      </c>
    </row>
    <row r="12740" spans="6:10" ht="30.75" hidden="1" thickBot="1" x14ac:dyDescent="0.3">
      <c r="F12740" s="527">
        <v>495</v>
      </c>
      <c r="G12740" s="520" t="s">
        <v>4194</v>
      </c>
      <c r="J12740" s="595">
        <f t="shared" si="382"/>
        <v>0</v>
      </c>
    </row>
    <row r="12741" spans="6:10" ht="30.75" hidden="1" thickBot="1" x14ac:dyDescent="0.3">
      <c r="F12741" s="527">
        <v>496</v>
      </c>
      <c r="G12741" s="520" t="s">
        <v>4195</v>
      </c>
      <c r="J12741" s="595">
        <f t="shared" si="382"/>
        <v>0</v>
      </c>
    </row>
    <row r="12742" spans="6:10" ht="15.75" hidden="1" thickBot="1" x14ac:dyDescent="0.3">
      <c r="F12742" s="527">
        <v>499</v>
      </c>
      <c r="G12742" s="520" t="s">
        <v>4196</v>
      </c>
      <c r="J12742" s="595">
        <f t="shared" si="382"/>
        <v>0</v>
      </c>
    </row>
    <row r="12743" spans="6:10" ht="15.75" hidden="1" thickBot="1" x14ac:dyDescent="0.3">
      <c r="F12743" s="527">
        <v>511</v>
      </c>
      <c r="G12743" s="524" t="s">
        <v>4216</v>
      </c>
      <c r="J12743" s="595">
        <f t="shared" si="382"/>
        <v>0</v>
      </c>
    </row>
    <row r="12744" spans="6:10" ht="15.75" hidden="1" thickBot="1" x14ac:dyDescent="0.3">
      <c r="F12744" s="527">
        <v>512</v>
      </c>
      <c r="G12744" s="524" t="s">
        <v>4217</v>
      </c>
      <c r="J12744" s="595">
        <f t="shared" si="382"/>
        <v>0</v>
      </c>
    </row>
    <row r="12745" spans="6:10" ht="15.75" hidden="1" thickBot="1" x14ac:dyDescent="0.3">
      <c r="F12745" s="527">
        <v>513</v>
      </c>
      <c r="G12745" s="524" t="s">
        <v>4218</v>
      </c>
      <c r="J12745" s="595">
        <f t="shared" si="382"/>
        <v>0</v>
      </c>
    </row>
    <row r="12746" spans="6:10" ht="15.75" hidden="1" thickBot="1" x14ac:dyDescent="0.3">
      <c r="F12746" s="527">
        <v>514</v>
      </c>
      <c r="G12746" s="520" t="s">
        <v>4219</v>
      </c>
      <c r="J12746" s="595">
        <f t="shared" si="382"/>
        <v>0</v>
      </c>
    </row>
    <row r="12747" spans="6:10" ht="15.75" hidden="1" thickBot="1" x14ac:dyDescent="0.3">
      <c r="F12747" s="527">
        <v>515</v>
      </c>
      <c r="G12747" s="520" t="s">
        <v>3852</v>
      </c>
      <c r="J12747" s="595">
        <f t="shared" si="382"/>
        <v>0</v>
      </c>
    </row>
    <row r="12748" spans="6:10" ht="15.75" hidden="1" thickBot="1" x14ac:dyDescent="0.3">
      <c r="F12748" s="527">
        <v>521</v>
      </c>
      <c r="G12748" s="520" t="s">
        <v>4220</v>
      </c>
      <c r="J12748" s="595">
        <f t="shared" si="382"/>
        <v>0</v>
      </c>
    </row>
    <row r="12749" spans="6:10" ht="15.75" hidden="1" thickBot="1" x14ac:dyDescent="0.3">
      <c r="F12749" s="527">
        <v>522</v>
      </c>
      <c r="G12749" s="520" t="s">
        <v>4221</v>
      </c>
      <c r="J12749" s="595">
        <f t="shared" si="382"/>
        <v>0</v>
      </c>
    </row>
    <row r="12750" spans="6:10" ht="15.75" hidden="1" thickBot="1" x14ac:dyDescent="0.3">
      <c r="F12750" s="527">
        <v>523</v>
      </c>
      <c r="G12750" s="520" t="s">
        <v>3857</v>
      </c>
      <c r="J12750" s="595">
        <f t="shared" si="382"/>
        <v>0</v>
      </c>
    </row>
    <row r="12751" spans="6:10" ht="15.75" hidden="1" thickBot="1" x14ac:dyDescent="0.3">
      <c r="F12751" s="527">
        <v>531</v>
      </c>
      <c r="G12751" s="516" t="s">
        <v>4197</v>
      </c>
      <c r="J12751" s="595">
        <f t="shared" si="382"/>
        <v>0</v>
      </c>
    </row>
    <row r="12752" spans="6:10" ht="15.75" hidden="1" thickBot="1" x14ac:dyDescent="0.3">
      <c r="F12752" s="527">
        <v>541</v>
      </c>
      <c r="G12752" s="520" t="s">
        <v>4222</v>
      </c>
      <c r="J12752" s="595">
        <f t="shared" si="382"/>
        <v>0</v>
      </c>
    </row>
    <row r="12753" spans="5:10" ht="15.75" hidden="1" thickBot="1" x14ac:dyDescent="0.3">
      <c r="F12753" s="527">
        <v>542</v>
      </c>
      <c r="G12753" s="520" t="s">
        <v>4223</v>
      </c>
      <c r="J12753" s="595">
        <f t="shared" si="382"/>
        <v>0</v>
      </c>
    </row>
    <row r="12754" spans="5:10" ht="15.75" hidden="1" thickBot="1" x14ac:dyDescent="0.3">
      <c r="F12754" s="527">
        <v>543</v>
      </c>
      <c r="G12754" s="520" t="s">
        <v>3862</v>
      </c>
      <c r="J12754" s="595">
        <f t="shared" si="382"/>
        <v>0</v>
      </c>
    </row>
    <row r="12755" spans="5:10" ht="30.75" hidden="1" thickBot="1" x14ac:dyDescent="0.3">
      <c r="F12755" s="527">
        <v>551</v>
      </c>
      <c r="G12755" s="520" t="s">
        <v>4198</v>
      </c>
      <c r="J12755" s="595">
        <f t="shared" si="382"/>
        <v>0</v>
      </c>
    </row>
    <row r="12756" spans="5:10" ht="15.75" hidden="1" thickBot="1" x14ac:dyDescent="0.3">
      <c r="F12756" s="528">
        <v>611</v>
      </c>
      <c r="G12756" s="526" t="s">
        <v>3868</v>
      </c>
      <c r="J12756" s="595">
        <f t="shared" si="382"/>
        <v>0</v>
      </c>
    </row>
    <row r="12757" spans="5:10" ht="15.75" hidden="1" thickBot="1" x14ac:dyDescent="0.3">
      <c r="F12757" s="528">
        <v>620</v>
      </c>
      <c r="G12757" s="526" t="s">
        <v>88</v>
      </c>
      <c r="J12757" s="595">
        <f t="shared" si="382"/>
        <v>0</v>
      </c>
    </row>
    <row r="12758" spans="5:10" hidden="1" x14ac:dyDescent="0.25">
      <c r="E12758" s="517"/>
      <c r="F12758" s="528"/>
      <c r="G12758" s="326" t="s">
        <v>4459</v>
      </c>
      <c r="H12758" s="596"/>
      <c r="I12758" s="622"/>
      <c r="J12758" s="597"/>
    </row>
    <row r="12759" spans="5:10" hidden="1" x14ac:dyDescent="0.25">
      <c r="E12759" s="222"/>
      <c r="F12759" s="642" t="s">
        <v>234</v>
      </c>
      <c r="G12759" s="643" t="s">
        <v>235</v>
      </c>
      <c r="H12759" s="598">
        <f>SUM(H12698:H12757)</f>
        <v>0</v>
      </c>
      <c r="I12759" s="599"/>
      <c r="J12759" s="599">
        <f>SUM(H12759:I12759)</f>
        <v>0</v>
      </c>
    </row>
    <row r="12760" spans="5:10" hidden="1" x14ac:dyDescent="0.25">
      <c r="F12760" s="642" t="s">
        <v>236</v>
      </c>
      <c r="G12760" s="643" t="s">
        <v>237</v>
      </c>
      <c r="J12760" s="599">
        <f t="shared" ref="J12760:J12774" si="383">SUM(H12760:I12760)</f>
        <v>0</v>
      </c>
    </row>
    <row r="12761" spans="5:10" hidden="1" x14ac:dyDescent="0.25">
      <c r="F12761" s="642" t="s">
        <v>238</v>
      </c>
      <c r="G12761" s="643" t="s">
        <v>239</v>
      </c>
      <c r="J12761" s="599">
        <f t="shared" si="383"/>
        <v>0</v>
      </c>
    </row>
    <row r="12762" spans="5:10" ht="15.75" hidden="1" thickBot="1" x14ac:dyDescent="0.3">
      <c r="F12762" s="642" t="s">
        <v>240</v>
      </c>
      <c r="G12762" s="643" t="s">
        <v>241</v>
      </c>
      <c r="J12762" s="599">
        <f t="shared" si="383"/>
        <v>0</v>
      </c>
    </row>
    <row r="12763" spans="5:10" ht="15.75" hidden="1" thickBot="1" x14ac:dyDescent="0.3">
      <c r="F12763" s="642" t="s">
        <v>242</v>
      </c>
      <c r="G12763" s="643" t="s">
        <v>243</v>
      </c>
      <c r="J12763" s="599">
        <f t="shared" si="383"/>
        <v>0</v>
      </c>
    </row>
    <row r="12764" spans="5:10" ht="15.75" hidden="1" thickBot="1" x14ac:dyDescent="0.3">
      <c r="F12764" s="642" t="s">
        <v>244</v>
      </c>
      <c r="G12764" s="643" t="s">
        <v>245</v>
      </c>
      <c r="J12764" s="599">
        <f t="shared" si="383"/>
        <v>0</v>
      </c>
    </row>
    <row r="12765" spans="5:10" ht="15.75" hidden="1" thickBot="1" x14ac:dyDescent="0.3">
      <c r="F12765" s="642" t="s">
        <v>246</v>
      </c>
      <c r="G12765" s="643" t="s">
        <v>247</v>
      </c>
      <c r="J12765" s="599">
        <f t="shared" si="383"/>
        <v>0</v>
      </c>
    </row>
    <row r="12766" spans="5:10" ht="15.75" hidden="1" thickBot="1" x14ac:dyDescent="0.3">
      <c r="F12766" s="642" t="s">
        <v>248</v>
      </c>
      <c r="G12766" s="643" t="s">
        <v>249</v>
      </c>
      <c r="J12766" s="599">
        <f t="shared" si="383"/>
        <v>0</v>
      </c>
    </row>
    <row r="12767" spans="5:10" ht="15.75" hidden="1" thickBot="1" x14ac:dyDescent="0.3">
      <c r="F12767" s="642" t="s">
        <v>250</v>
      </c>
      <c r="G12767" s="643" t="s">
        <v>57</v>
      </c>
      <c r="J12767" s="599">
        <f t="shared" si="383"/>
        <v>0</v>
      </c>
    </row>
    <row r="12768" spans="5:10" ht="15.75" hidden="1" thickBot="1" x14ac:dyDescent="0.3">
      <c r="F12768" s="642" t="s">
        <v>251</v>
      </c>
      <c r="G12768" s="643" t="s">
        <v>252</v>
      </c>
      <c r="J12768" s="599">
        <f t="shared" si="383"/>
        <v>0</v>
      </c>
    </row>
    <row r="12769" spans="5:10" ht="15.75" hidden="1" thickBot="1" x14ac:dyDescent="0.3">
      <c r="F12769" s="642" t="s">
        <v>253</v>
      </c>
      <c r="G12769" s="643" t="s">
        <v>254</v>
      </c>
      <c r="J12769" s="599">
        <f t="shared" si="383"/>
        <v>0</v>
      </c>
    </row>
    <row r="12770" spans="5:10" ht="30.75" hidden="1" thickBot="1" x14ac:dyDescent="0.3">
      <c r="F12770" s="642" t="s">
        <v>255</v>
      </c>
      <c r="G12770" s="643" t="s">
        <v>256</v>
      </c>
      <c r="J12770" s="599">
        <f t="shared" si="383"/>
        <v>0</v>
      </c>
    </row>
    <row r="12771" spans="5:10" ht="15.75" hidden="1" thickBot="1" x14ac:dyDescent="0.3">
      <c r="F12771" s="642" t="s">
        <v>257</v>
      </c>
      <c r="G12771" s="643" t="s">
        <v>258</v>
      </c>
      <c r="J12771" s="599">
        <f t="shared" si="383"/>
        <v>0</v>
      </c>
    </row>
    <row r="12772" spans="5:10" ht="30.75" hidden="1" thickBot="1" x14ac:dyDescent="0.3">
      <c r="F12772" s="642" t="s">
        <v>259</v>
      </c>
      <c r="G12772" s="643" t="s">
        <v>260</v>
      </c>
      <c r="J12772" s="599">
        <f t="shared" si="383"/>
        <v>0</v>
      </c>
    </row>
    <row r="12773" spans="5:10" ht="15.75" hidden="1" thickBot="1" x14ac:dyDescent="0.3">
      <c r="F12773" s="642" t="s">
        <v>261</v>
      </c>
      <c r="G12773" s="643" t="s">
        <v>262</v>
      </c>
      <c r="J12773" s="599">
        <f t="shared" si="383"/>
        <v>0</v>
      </c>
    </row>
    <row r="12774" spans="5:10" ht="15.75" hidden="1" thickBot="1" x14ac:dyDescent="0.3">
      <c r="F12774" s="642" t="s">
        <v>263</v>
      </c>
      <c r="G12774" s="643" t="s">
        <v>264</v>
      </c>
      <c r="H12774" s="598"/>
      <c r="I12774" s="599"/>
      <c r="J12774" s="599">
        <f t="shared" si="383"/>
        <v>0</v>
      </c>
    </row>
    <row r="12775" spans="5:10" ht="15.75" hidden="1" thickBot="1" x14ac:dyDescent="0.3">
      <c r="G12775" s="229" t="s">
        <v>4460</v>
      </c>
      <c r="H12775" s="600">
        <f>SUM(H12759:H12774)</f>
        <v>0</v>
      </c>
      <c r="I12775" s="601">
        <f>SUM(I12760:I12774)</f>
        <v>0</v>
      </c>
      <c r="J12775" s="601">
        <f>SUM(J12759:J12774)</f>
        <v>0</v>
      </c>
    </row>
    <row r="12776" spans="5:10" hidden="1" collapsed="1" x14ac:dyDescent="0.25">
      <c r="E12776" s="517"/>
      <c r="F12776" s="528"/>
      <c r="G12776" s="231" t="s">
        <v>5130</v>
      </c>
      <c r="H12776" s="602"/>
      <c r="I12776" s="623"/>
      <c r="J12776" s="603"/>
    </row>
    <row r="12777" spans="5:10" hidden="1" x14ac:dyDescent="0.25">
      <c r="E12777" s="222"/>
      <c r="F12777" s="642" t="s">
        <v>234</v>
      </c>
      <c r="G12777" s="643" t="s">
        <v>235</v>
      </c>
      <c r="H12777" s="598">
        <f>SUM(H12698:H12757)</f>
        <v>0</v>
      </c>
      <c r="I12777" s="599"/>
      <c r="J12777" s="599">
        <f>SUM(H12777:I12777)</f>
        <v>0</v>
      </c>
    </row>
    <row r="12778" spans="5:10" hidden="1" x14ac:dyDescent="0.25">
      <c r="F12778" s="642" t="s">
        <v>236</v>
      </c>
      <c r="G12778" s="643" t="s">
        <v>237</v>
      </c>
      <c r="J12778" s="599">
        <f t="shared" ref="J12778:J12792" si="384">SUM(H12778:I12778)</f>
        <v>0</v>
      </c>
    </row>
    <row r="12779" spans="5:10" hidden="1" x14ac:dyDescent="0.25">
      <c r="F12779" s="642" t="s">
        <v>238</v>
      </c>
      <c r="G12779" s="643" t="s">
        <v>239</v>
      </c>
      <c r="J12779" s="599">
        <f t="shared" si="384"/>
        <v>0</v>
      </c>
    </row>
    <row r="12780" spans="5:10" ht="15.75" hidden="1" thickBot="1" x14ac:dyDescent="0.3">
      <c r="F12780" s="642" t="s">
        <v>240</v>
      </c>
      <c r="G12780" s="643" t="s">
        <v>241</v>
      </c>
      <c r="J12780" s="599">
        <f t="shared" si="384"/>
        <v>0</v>
      </c>
    </row>
    <row r="12781" spans="5:10" ht="15.75" hidden="1" thickBot="1" x14ac:dyDescent="0.3">
      <c r="F12781" s="642" t="s">
        <v>242</v>
      </c>
      <c r="G12781" s="643" t="s">
        <v>243</v>
      </c>
      <c r="J12781" s="599">
        <f t="shared" si="384"/>
        <v>0</v>
      </c>
    </row>
    <row r="12782" spans="5:10" ht="15.75" hidden="1" thickBot="1" x14ac:dyDescent="0.3">
      <c r="F12782" s="642" t="s">
        <v>244</v>
      </c>
      <c r="G12782" s="643" t="s">
        <v>245</v>
      </c>
      <c r="J12782" s="599">
        <f t="shared" si="384"/>
        <v>0</v>
      </c>
    </row>
    <row r="12783" spans="5:10" ht="15.75" hidden="1" thickBot="1" x14ac:dyDescent="0.3">
      <c r="F12783" s="642" t="s">
        <v>246</v>
      </c>
      <c r="G12783" s="643" t="s">
        <v>247</v>
      </c>
      <c r="J12783" s="599">
        <f t="shared" si="384"/>
        <v>0</v>
      </c>
    </row>
    <row r="12784" spans="5:10" ht="15.75" hidden="1" thickBot="1" x14ac:dyDescent="0.3">
      <c r="F12784" s="642" t="s">
        <v>248</v>
      </c>
      <c r="G12784" s="643" t="s">
        <v>249</v>
      </c>
      <c r="J12784" s="599">
        <f t="shared" si="384"/>
        <v>0</v>
      </c>
    </row>
    <row r="12785" spans="3:10" ht="15.75" hidden="1" thickBot="1" x14ac:dyDescent="0.3">
      <c r="F12785" s="642" t="s">
        <v>250</v>
      </c>
      <c r="G12785" s="643" t="s">
        <v>57</v>
      </c>
      <c r="J12785" s="599">
        <f t="shared" si="384"/>
        <v>0</v>
      </c>
    </row>
    <row r="12786" spans="3:10" ht="15.75" hidden="1" thickBot="1" x14ac:dyDescent="0.3">
      <c r="F12786" s="642" t="s">
        <v>251</v>
      </c>
      <c r="G12786" s="643" t="s">
        <v>252</v>
      </c>
      <c r="J12786" s="599">
        <f t="shared" si="384"/>
        <v>0</v>
      </c>
    </row>
    <row r="12787" spans="3:10" ht="15.75" hidden="1" thickBot="1" x14ac:dyDescent="0.3">
      <c r="F12787" s="642" t="s">
        <v>253</v>
      </c>
      <c r="G12787" s="643" t="s">
        <v>254</v>
      </c>
      <c r="J12787" s="599">
        <f t="shared" si="384"/>
        <v>0</v>
      </c>
    </row>
    <row r="12788" spans="3:10" ht="30.75" hidden="1" thickBot="1" x14ac:dyDescent="0.3">
      <c r="F12788" s="642" t="s">
        <v>255</v>
      </c>
      <c r="G12788" s="643" t="s">
        <v>256</v>
      </c>
      <c r="J12788" s="599">
        <f t="shared" si="384"/>
        <v>0</v>
      </c>
    </row>
    <row r="12789" spans="3:10" ht="15.75" hidden="1" thickBot="1" x14ac:dyDescent="0.3">
      <c r="F12789" s="642" t="s">
        <v>257</v>
      </c>
      <c r="G12789" s="643" t="s">
        <v>258</v>
      </c>
      <c r="J12789" s="599">
        <f t="shared" si="384"/>
        <v>0</v>
      </c>
    </row>
    <row r="12790" spans="3:10" ht="30.75" hidden="1" thickBot="1" x14ac:dyDescent="0.3">
      <c r="F12790" s="642" t="s">
        <v>259</v>
      </c>
      <c r="G12790" s="643" t="s">
        <v>260</v>
      </c>
      <c r="J12790" s="599">
        <f t="shared" si="384"/>
        <v>0</v>
      </c>
    </row>
    <row r="12791" spans="3:10" ht="15.75" hidden="1" thickBot="1" x14ac:dyDescent="0.3">
      <c r="F12791" s="642" t="s">
        <v>261</v>
      </c>
      <c r="G12791" s="643" t="s">
        <v>262</v>
      </c>
      <c r="J12791" s="599">
        <f t="shared" si="384"/>
        <v>0</v>
      </c>
    </row>
    <row r="12792" spans="3:10" ht="15.75" hidden="1" thickBot="1" x14ac:dyDescent="0.3">
      <c r="F12792" s="642" t="s">
        <v>263</v>
      </c>
      <c r="G12792" s="643" t="s">
        <v>264</v>
      </c>
      <c r="H12792" s="598"/>
      <c r="I12792" s="599"/>
      <c r="J12792" s="599">
        <f t="shared" si="384"/>
        <v>0</v>
      </c>
    </row>
    <row r="12793" spans="3:10" ht="15.75" hidden="1" thickBot="1" x14ac:dyDescent="0.3">
      <c r="G12793" s="229" t="s">
        <v>5131</v>
      </c>
      <c r="H12793" s="600">
        <f>SUM(H12777:H12792)</f>
        <v>0</v>
      </c>
      <c r="I12793" s="601">
        <f>SUM(I12778:I12792)</f>
        <v>0</v>
      </c>
      <c r="J12793" s="601">
        <f>SUM(J12777:J12792)</f>
        <v>0</v>
      </c>
    </row>
    <row r="12794" spans="3:10" hidden="1" x14ac:dyDescent="0.25">
      <c r="G12794" s="286"/>
      <c r="H12794" s="604"/>
      <c r="I12794" s="605"/>
      <c r="J12794" s="605"/>
    </row>
    <row r="12795" spans="3:10" hidden="1" x14ac:dyDescent="0.25">
      <c r="C12795" s="228" t="s">
        <v>4871</v>
      </c>
      <c r="D12795" s="219"/>
      <c r="G12795" s="521" t="s">
        <v>4254</v>
      </c>
    </row>
    <row r="12796" spans="3:10" hidden="1" x14ac:dyDescent="0.25">
      <c r="C12796" s="228"/>
      <c r="D12796" s="312">
        <v>820</v>
      </c>
      <c r="E12796" s="312"/>
      <c r="F12796" s="312"/>
      <c r="G12796" s="313" t="s">
        <v>207</v>
      </c>
    </row>
    <row r="12797" spans="3:10" hidden="1" x14ac:dyDescent="0.25">
      <c r="F12797" s="527">
        <v>411</v>
      </c>
      <c r="G12797" s="520" t="s">
        <v>4189</v>
      </c>
      <c r="J12797" s="595">
        <f>SUM(H12797:I12797)</f>
        <v>0</v>
      </c>
    </row>
    <row r="12798" spans="3:10" hidden="1" x14ac:dyDescent="0.25">
      <c r="F12798" s="527">
        <v>412</v>
      </c>
      <c r="G12798" s="516" t="s">
        <v>3784</v>
      </c>
      <c r="J12798" s="595">
        <f t="shared" ref="J12798:J12856" si="385">SUM(H12798:I12798)</f>
        <v>0</v>
      </c>
    </row>
    <row r="12799" spans="3:10" hidden="1" x14ac:dyDescent="0.25">
      <c r="F12799" s="527">
        <v>413</v>
      </c>
      <c r="G12799" s="520" t="s">
        <v>4190</v>
      </c>
      <c r="J12799" s="595">
        <f t="shared" si="385"/>
        <v>0</v>
      </c>
    </row>
    <row r="12800" spans="3:10" hidden="1" x14ac:dyDescent="0.25">
      <c r="F12800" s="527">
        <v>414</v>
      </c>
      <c r="G12800" s="520" t="s">
        <v>3787</v>
      </c>
      <c r="J12800" s="595">
        <f t="shared" si="385"/>
        <v>0</v>
      </c>
    </row>
    <row r="12801" spans="6:10" hidden="1" x14ac:dyDescent="0.25">
      <c r="F12801" s="527">
        <v>415</v>
      </c>
      <c r="G12801" s="520" t="s">
        <v>4199</v>
      </c>
      <c r="J12801" s="595">
        <f t="shared" si="385"/>
        <v>0</v>
      </c>
    </row>
    <row r="12802" spans="6:10" hidden="1" x14ac:dyDescent="0.25">
      <c r="F12802" s="527">
        <v>416</v>
      </c>
      <c r="G12802" s="520" t="s">
        <v>4200</v>
      </c>
      <c r="J12802" s="595">
        <f t="shared" si="385"/>
        <v>0</v>
      </c>
    </row>
    <row r="12803" spans="6:10" hidden="1" x14ac:dyDescent="0.25">
      <c r="F12803" s="527">
        <v>417</v>
      </c>
      <c r="G12803" s="520" t="s">
        <v>4201</v>
      </c>
      <c r="J12803" s="595">
        <f t="shared" si="385"/>
        <v>0</v>
      </c>
    </row>
    <row r="12804" spans="6:10" hidden="1" x14ac:dyDescent="0.25">
      <c r="F12804" s="527">
        <v>418</v>
      </c>
      <c r="G12804" s="520" t="s">
        <v>3793</v>
      </c>
      <c r="J12804" s="595">
        <f t="shared" si="385"/>
        <v>0</v>
      </c>
    </row>
    <row r="12805" spans="6:10" hidden="1" x14ac:dyDescent="0.25">
      <c r="F12805" s="527">
        <v>421</v>
      </c>
      <c r="G12805" s="520" t="s">
        <v>3797</v>
      </c>
      <c r="J12805" s="595">
        <f t="shared" si="385"/>
        <v>0</v>
      </c>
    </row>
    <row r="12806" spans="6:10" hidden="1" x14ac:dyDescent="0.25">
      <c r="F12806" s="527">
        <v>422</v>
      </c>
      <c r="G12806" s="520" t="s">
        <v>3798</v>
      </c>
      <c r="J12806" s="595">
        <f t="shared" si="385"/>
        <v>0</v>
      </c>
    </row>
    <row r="12807" spans="6:10" hidden="1" x14ac:dyDescent="0.25">
      <c r="F12807" s="527">
        <v>423</v>
      </c>
      <c r="G12807" s="520" t="s">
        <v>3799</v>
      </c>
      <c r="J12807" s="595">
        <f t="shared" si="385"/>
        <v>0</v>
      </c>
    </row>
    <row r="12808" spans="6:10" hidden="1" x14ac:dyDescent="0.25">
      <c r="F12808" s="527">
        <v>424</v>
      </c>
      <c r="G12808" s="520" t="s">
        <v>3801</v>
      </c>
      <c r="J12808" s="595">
        <f t="shared" si="385"/>
        <v>0</v>
      </c>
    </row>
    <row r="12809" spans="6:10" hidden="1" x14ac:dyDescent="0.25">
      <c r="F12809" s="527">
        <v>425</v>
      </c>
      <c r="G12809" s="520" t="s">
        <v>4202</v>
      </c>
      <c r="J12809" s="595">
        <f t="shared" si="385"/>
        <v>0</v>
      </c>
    </row>
    <row r="12810" spans="6:10" hidden="1" x14ac:dyDescent="0.25">
      <c r="F12810" s="527">
        <v>426</v>
      </c>
      <c r="G12810" s="520" t="s">
        <v>3805</v>
      </c>
      <c r="J12810" s="595">
        <f t="shared" si="385"/>
        <v>0</v>
      </c>
    </row>
    <row r="12811" spans="6:10" hidden="1" x14ac:dyDescent="0.25">
      <c r="F12811" s="527">
        <v>431</v>
      </c>
      <c r="G12811" s="520" t="s">
        <v>4203</v>
      </c>
      <c r="J12811" s="595">
        <f t="shared" si="385"/>
        <v>0</v>
      </c>
    </row>
    <row r="12812" spans="6:10" hidden="1" x14ac:dyDescent="0.25">
      <c r="F12812" s="527">
        <v>432</v>
      </c>
      <c r="G12812" s="520" t="s">
        <v>4204</v>
      </c>
      <c r="J12812" s="595">
        <f t="shared" si="385"/>
        <v>0</v>
      </c>
    </row>
    <row r="12813" spans="6:10" hidden="1" x14ac:dyDescent="0.25">
      <c r="F12813" s="527">
        <v>433</v>
      </c>
      <c r="G12813" s="520" t="s">
        <v>4205</v>
      </c>
      <c r="J12813" s="595">
        <f t="shared" si="385"/>
        <v>0</v>
      </c>
    </row>
    <row r="12814" spans="6:10" hidden="1" x14ac:dyDescent="0.25">
      <c r="F12814" s="527">
        <v>434</v>
      </c>
      <c r="G12814" s="520" t="s">
        <v>4206</v>
      </c>
      <c r="J12814" s="595">
        <f t="shared" si="385"/>
        <v>0</v>
      </c>
    </row>
    <row r="12815" spans="6:10" hidden="1" x14ac:dyDescent="0.25">
      <c r="F12815" s="527">
        <v>435</v>
      </c>
      <c r="G12815" s="520" t="s">
        <v>3812</v>
      </c>
      <c r="J12815" s="595">
        <f t="shared" si="385"/>
        <v>0</v>
      </c>
    </row>
    <row r="12816" spans="6:10" hidden="1" x14ac:dyDescent="0.25">
      <c r="F12816" s="527">
        <v>441</v>
      </c>
      <c r="G12816" s="520" t="s">
        <v>4207</v>
      </c>
      <c r="J12816" s="595">
        <f t="shared" si="385"/>
        <v>0</v>
      </c>
    </row>
    <row r="12817" spans="6:10" hidden="1" x14ac:dyDescent="0.25">
      <c r="F12817" s="527">
        <v>442</v>
      </c>
      <c r="G12817" s="520" t="s">
        <v>4208</v>
      </c>
      <c r="J12817" s="595">
        <f t="shared" si="385"/>
        <v>0</v>
      </c>
    </row>
    <row r="12818" spans="6:10" hidden="1" x14ac:dyDescent="0.25">
      <c r="F12818" s="527">
        <v>443</v>
      </c>
      <c r="G12818" s="520" t="s">
        <v>3817</v>
      </c>
      <c r="J12818" s="595">
        <f t="shared" si="385"/>
        <v>0</v>
      </c>
    </row>
    <row r="12819" spans="6:10" hidden="1" x14ac:dyDescent="0.25">
      <c r="F12819" s="527">
        <v>444</v>
      </c>
      <c r="G12819" s="520" t="s">
        <v>3818</v>
      </c>
      <c r="J12819" s="595">
        <f t="shared" si="385"/>
        <v>0</v>
      </c>
    </row>
    <row r="12820" spans="6:10" ht="30" hidden="1" x14ac:dyDescent="0.25">
      <c r="F12820" s="527">
        <v>4511</v>
      </c>
      <c r="G12820" s="223" t="s">
        <v>1692</v>
      </c>
      <c r="J12820" s="595">
        <f t="shared" si="385"/>
        <v>0</v>
      </c>
    </row>
    <row r="12821" spans="6:10" ht="30" hidden="1" x14ac:dyDescent="0.25">
      <c r="F12821" s="527">
        <v>4512</v>
      </c>
      <c r="G12821" s="223" t="s">
        <v>1701</v>
      </c>
      <c r="J12821" s="595">
        <f t="shared" si="385"/>
        <v>0</v>
      </c>
    </row>
    <row r="12822" spans="6:10" hidden="1" x14ac:dyDescent="0.25">
      <c r="F12822" s="527">
        <v>452</v>
      </c>
      <c r="G12822" s="520" t="s">
        <v>4209</v>
      </c>
      <c r="J12822" s="595">
        <f t="shared" si="385"/>
        <v>0</v>
      </c>
    </row>
    <row r="12823" spans="6:10" hidden="1" x14ac:dyDescent="0.25">
      <c r="F12823" s="527">
        <v>453</v>
      </c>
      <c r="G12823" s="520" t="s">
        <v>4210</v>
      </c>
      <c r="J12823" s="595">
        <f t="shared" si="385"/>
        <v>0</v>
      </c>
    </row>
    <row r="12824" spans="6:10" hidden="1" x14ac:dyDescent="0.25">
      <c r="F12824" s="527">
        <v>454</v>
      </c>
      <c r="G12824" s="520" t="s">
        <v>3823</v>
      </c>
      <c r="J12824" s="595">
        <f t="shared" si="385"/>
        <v>0</v>
      </c>
    </row>
    <row r="12825" spans="6:10" hidden="1" x14ac:dyDescent="0.25">
      <c r="F12825" s="527">
        <v>461</v>
      </c>
      <c r="G12825" s="520" t="s">
        <v>4191</v>
      </c>
      <c r="J12825" s="595">
        <f t="shared" si="385"/>
        <v>0</v>
      </c>
    </row>
    <row r="12826" spans="6:10" hidden="1" x14ac:dyDescent="0.25">
      <c r="F12826" s="527">
        <v>462</v>
      </c>
      <c r="G12826" s="520" t="s">
        <v>3826</v>
      </c>
      <c r="J12826" s="595">
        <f t="shared" si="385"/>
        <v>0</v>
      </c>
    </row>
    <row r="12827" spans="6:10" hidden="1" x14ac:dyDescent="0.25">
      <c r="F12827" s="527">
        <v>4631</v>
      </c>
      <c r="G12827" s="520" t="s">
        <v>3827</v>
      </c>
      <c r="J12827" s="595">
        <f t="shared" si="385"/>
        <v>0</v>
      </c>
    </row>
    <row r="12828" spans="6:10" hidden="1" x14ac:dyDescent="0.25">
      <c r="F12828" s="527">
        <v>4632</v>
      </c>
      <c r="G12828" s="520" t="s">
        <v>3828</v>
      </c>
      <c r="J12828" s="595">
        <f t="shared" si="385"/>
        <v>0</v>
      </c>
    </row>
    <row r="12829" spans="6:10" hidden="1" x14ac:dyDescent="0.25">
      <c r="F12829" s="527">
        <v>464</v>
      </c>
      <c r="G12829" s="520" t="s">
        <v>3829</v>
      </c>
      <c r="J12829" s="595">
        <f t="shared" si="385"/>
        <v>0</v>
      </c>
    </row>
    <row r="12830" spans="6:10" hidden="1" x14ac:dyDescent="0.25">
      <c r="F12830" s="527">
        <v>465</v>
      </c>
      <c r="G12830" s="520" t="s">
        <v>4192</v>
      </c>
      <c r="J12830" s="595">
        <f t="shared" si="385"/>
        <v>0</v>
      </c>
    </row>
    <row r="12831" spans="6:10" ht="15.75" hidden="1" thickBot="1" x14ac:dyDescent="0.3">
      <c r="F12831" s="527">
        <v>472</v>
      </c>
      <c r="G12831" s="520" t="s">
        <v>3833</v>
      </c>
      <c r="J12831" s="595">
        <f t="shared" si="385"/>
        <v>0</v>
      </c>
    </row>
    <row r="12832" spans="6:10" ht="15.75" hidden="1" thickBot="1" x14ac:dyDescent="0.3">
      <c r="F12832" s="527">
        <v>481</v>
      </c>
      <c r="G12832" s="520" t="s">
        <v>4211</v>
      </c>
      <c r="J12832" s="595">
        <f t="shared" si="385"/>
        <v>0</v>
      </c>
    </row>
    <row r="12833" spans="6:10" ht="15.75" hidden="1" thickBot="1" x14ac:dyDescent="0.3">
      <c r="F12833" s="527">
        <v>482</v>
      </c>
      <c r="G12833" s="520" t="s">
        <v>4212</v>
      </c>
      <c r="J12833" s="595">
        <f t="shared" si="385"/>
        <v>0</v>
      </c>
    </row>
    <row r="12834" spans="6:10" ht="15.75" hidden="1" thickBot="1" x14ac:dyDescent="0.3">
      <c r="F12834" s="527">
        <v>483</v>
      </c>
      <c r="G12834" s="524" t="s">
        <v>4213</v>
      </c>
      <c r="J12834" s="595">
        <f t="shared" si="385"/>
        <v>0</v>
      </c>
    </row>
    <row r="12835" spans="6:10" ht="30.75" hidden="1" thickBot="1" x14ac:dyDescent="0.3">
      <c r="F12835" s="527">
        <v>484</v>
      </c>
      <c r="G12835" s="520" t="s">
        <v>4214</v>
      </c>
      <c r="J12835" s="595">
        <f t="shared" si="385"/>
        <v>0</v>
      </c>
    </row>
    <row r="12836" spans="6:10" ht="30.75" hidden="1" thickBot="1" x14ac:dyDescent="0.3">
      <c r="F12836" s="527">
        <v>485</v>
      </c>
      <c r="G12836" s="520" t="s">
        <v>4215</v>
      </c>
      <c r="J12836" s="595">
        <f t="shared" si="385"/>
        <v>0</v>
      </c>
    </row>
    <row r="12837" spans="6:10" ht="30.75" hidden="1" thickBot="1" x14ac:dyDescent="0.3">
      <c r="F12837" s="527">
        <v>489</v>
      </c>
      <c r="G12837" s="520" t="s">
        <v>3841</v>
      </c>
      <c r="J12837" s="595">
        <f t="shared" si="385"/>
        <v>0</v>
      </c>
    </row>
    <row r="12838" spans="6:10" ht="15.75" hidden="1" thickBot="1" x14ac:dyDescent="0.3">
      <c r="F12838" s="527">
        <v>494</v>
      </c>
      <c r="G12838" s="520" t="s">
        <v>4193</v>
      </c>
      <c r="J12838" s="595">
        <f t="shared" si="385"/>
        <v>0</v>
      </c>
    </row>
    <row r="12839" spans="6:10" ht="30.75" hidden="1" thickBot="1" x14ac:dyDescent="0.3">
      <c r="F12839" s="527">
        <v>495</v>
      </c>
      <c r="G12839" s="520" t="s">
        <v>4194</v>
      </c>
      <c r="J12839" s="595">
        <f t="shared" si="385"/>
        <v>0</v>
      </c>
    </row>
    <row r="12840" spans="6:10" ht="30.75" hidden="1" thickBot="1" x14ac:dyDescent="0.3">
      <c r="F12840" s="527">
        <v>496</v>
      </c>
      <c r="G12840" s="520" t="s">
        <v>4195</v>
      </c>
      <c r="J12840" s="595">
        <f t="shared" si="385"/>
        <v>0</v>
      </c>
    </row>
    <row r="12841" spans="6:10" ht="15.75" hidden="1" thickBot="1" x14ac:dyDescent="0.3">
      <c r="F12841" s="527">
        <v>499</v>
      </c>
      <c r="G12841" s="520" t="s">
        <v>4196</v>
      </c>
      <c r="J12841" s="595">
        <f t="shared" si="385"/>
        <v>0</v>
      </c>
    </row>
    <row r="12842" spans="6:10" ht="15.75" hidden="1" thickBot="1" x14ac:dyDescent="0.3">
      <c r="F12842" s="527">
        <v>511</v>
      </c>
      <c r="G12842" s="524" t="s">
        <v>4216</v>
      </c>
      <c r="J12842" s="595">
        <f t="shared" si="385"/>
        <v>0</v>
      </c>
    </row>
    <row r="12843" spans="6:10" ht="15.75" hidden="1" thickBot="1" x14ac:dyDescent="0.3">
      <c r="F12843" s="527">
        <v>512</v>
      </c>
      <c r="G12843" s="524" t="s">
        <v>4217</v>
      </c>
      <c r="J12843" s="595">
        <f t="shared" si="385"/>
        <v>0</v>
      </c>
    </row>
    <row r="12844" spans="6:10" ht="15.75" hidden="1" thickBot="1" x14ac:dyDescent="0.3">
      <c r="F12844" s="527">
        <v>513</v>
      </c>
      <c r="G12844" s="524" t="s">
        <v>4218</v>
      </c>
      <c r="J12844" s="595">
        <f t="shared" si="385"/>
        <v>0</v>
      </c>
    </row>
    <row r="12845" spans="6:10" ht="15.75" hidden="1" thickBot="1" x14ac:dyDescent="0.3">
      <c r="F12845" s="527">
        <v>514</v>
      </c>
      <c r="G12845" s="520" t="s">
        <v>4219</v>
      </c>
      <c r="J12845" s="595">
        <f t="shared" si="385"/>
        <v>0</v>
      </c>
    </row>
    <row r="12846" spans="6:10" ht="15.75" hidden="1" thickBot="1" x14ac:dyDescent="0.3">
      <c r="F12846" s="527">
        <v>515</v>
      </c>
      <c r="G12846" s="520" t="s">
        <v>3852</v>
      </c>
      <c r="J12846" s="595">
        <f t="shared" si="385"/>
        <v>0</v>
      </c>
    </row>
    <row r="12847" spans="6:10" ht="15.75" hidden="1" thickBot="1" x14ac:dyDescent="0.3">
      <c r="F12847" s="527">
        <v>521</v>
      </c>
      <c r="G12847" s="520" t="s">
        <v>4220</v>
      </c>
      <c r="J12847" s="595">
        <f t="shared" si="385"/>
        <v>0</v>
      </c>
    </row>
    <row r="12848" spans="6:10" ht="15.75" hidden="1" thickBot="1" x14ac:dyDescent="0.3">
      <c r="F12848" s="527">
        <v>522</v>
      </c>
      <c r="G12848" s="520" t="s">
        <v>4221</v>
      </c>
      <c r="J12848" s="595">
        <f t="shared" si="385"/>
        <v>0</v>
      </c>
    </row>
    <row r="12849" spans="5:10" ht="15.75" hidden="1" thickBot="1" x14ac:dyDescent="0.3">
      <c r="F12849" s="527">
        <v>523</v>
      </c>
      <c r="G12849" s="520" t="s">
        <v>3857</v>
      </c>
      <c r="J12849" s="595">
        <f t="shared" si="385"/>
        <v>0</v>
      </c>
    </row>
    <row r="12850" spans="5:10" ht="15.75" hidden="1" thickBot="1" x14ac:dyDescent="0.3">
      <c r="F12850" s="527">
        <v>531</v>
      </c>
      <c r="G12850" s="516" t="s">
        <v>4197</v>
      </c>
      <c r="J12850" s="595">
        <f t="shared" si="385"/>
        <v>0</v>
      </c>
    </row>
    <row r="12851" spans="5:10" ht="15.75" hidden="1" thickBot="1" x14ac:dyDescent="0.3">
      <c r="F12851" s="527">
        <v>541</v>
      </c>
      <c r="G12851" s="520" t="s">
        <v>4222</v>
      </c>
      <c r="J12851" s="595">
        <f t="shared" si="385"/>
        <v>0</v>
      </c>
    </row>
    <row r="12852" spans="5:10" ht="15.75" hidden="1" thickBot="1" x14ac:dyDescent="0.3">
      <c r="F12852" s="527">
        <v>542</v>
      </c>
      <c r="G12852" s="520" t="s">
        <v>4223</v>
      </c>
      <c r="J12852" s="595">
        <f t="shared" si="385"/>
        <v>0</v>
      </c>
    </row>
    <row r="12853" spans="5:10" ht="15.75" hidden="1" thickBot="1" x14ac:dyDescent="0.3">
      <c r="F12853" s="527">
        <v>543</v>
      </c>
      <c r="G12853" s="520" t="s">
        <v>3862</v>
      </c>
      <c r="J12853" s="595">
        <f t="shared" si="385"/>
        <v>0</v>
      </c>
    </row>
    <row r="12854" spans="5:10" ht="30.75" hidden="1" thickBot="1" x14ac:dyDescent="0.3">
      <c r="F12854" s="527">
        <v>551</v>
      </c>
      <c r="G12854" s="520" t="s">
        <v>4198</v>
      </c>
      <c r="J12854" s="595">
        <f t="shared" si="385"/>
        <v>0</v>
      </c>
    </row>
    <row r="12855" spans="5:10" ht="15.75" hidden="1" thickBot="1" x14ac:dyDescent="0.3">
      <c r="F12855" s="528">
        <v>611</v>
      </c>
      <c r="G12855" s="526" t="s">
        <v>3868</v>
      </c>
      <c r="J12855" s="595">
        <f t="shared" si="385"/>
        <v>0</v>
      </c>
    </row>
    <row r="12856" spans="5:10" ht="15.75" hidden="1" thickBot="1" x14ac:dyDescent="0.3">
      <c r="F12856" s="528">
        <v>620</v>
      </c>
      <c r="G12856" s="526" t="s">
        <v>88</v>
      </c>
      <c r="J12856" s="595">
        <f t="shared" si="385"/>
        <v>0</v>
      </c>
    </row>
    <row r="12857" spans="5:10" hidden="1" x14ac:dyDescent="0.25">
      <c r="E12857" s="517"/>
      <c r="F12857" s="528"/>
      <c r="G12857" s="326" t="s">
        <v>4459</v>
      </c>
      <c r="H12857" s="596"/>
      <c r="I12857" s="622"/>
      <c r="J12857" s="597"/>
    </row>
    <row r="12858" spans="5:10" hidden="1" x14ac:dyDescent="0.25">
      <c r="E12858" s="222"/>
      <c r="F12858" s="642" t="s">
        <v>234</v>
      </c>
      <c r="G12858" s="643" t="s">
        <v>235</v>
      </c>
      <c r="H12858" s="598">
        <f>SUM(H12797:H12856)</f>
        <v>0</v>
      </c>
      <c r="I12858" s="599"/>
      <c r="J12858" s="599">
        <f>SUM(H12858:I12858)</f>
        <v>0</v>
      </c>
    </row>
    <row r="12859" spans="5:10" hidden="1" x14ac:dyDescent="0.25">
      <c r="F12859" s="642" t="s">
        <v>236</v>
      </c>
      <c r="G12859" s="643" t="s">
        <v>237</v>
      </c>
      <c r="J12859" s="599">
        <f t="shared" ref="J12859:J12873" si="386">SUM(H12859:I12859)</f>
        <v>0</v>
      </c>
    </row>
    <row r="12860" spans="5:10" hidden="1" x14ac:dyDescent="0.25">
      <c r="F12860" s="642" t="s">
        <v>238</v>
      </c>
      <c r="G12860" s="643" t="s">
        <v>239</v>
      </c>
      <c r="J12860" s="599">
        <f t="shared" si="386"/>
        <v>0</v>
      </c>
    </row>
    <row r="12861" spans="5:10" ht="15.75" hidden="1" thickBot="1" x14ac:dyDescent="0.3">
      <c r="F12861" s="642" t="s">
        <v>240</v>
      </c>
      <c r="G12861" s="643" t="s">
        <v>241</v>
      </c>
      <c r="J12861" s="599">
        <f t="shared" si="386"/>
        <v>0</v>
      </c>
    </row>
    <row r="12862" spans="5:10" ht="15.75" hidden="1" thickBot="1" x14ac:dyDescent="0.3">
      <c r="F12862" s="642" t="s">
        <v>242</v>
      </c>
      <c r="G12862" s="643" t="s">
        <v>243</v>
      </c>
      <c r="J12862" s="599">
        <f t="shared" si="386"/>
        <v>0</v>
      </c>
    </row>
    <row r="12863" spans="5:10" ht="15.75" hidden="1" thickBot="1" x14ac:dyDescent="0.3">
      <c r="F12863" s="642" t="s">
        <v>244</v>
      </c>
      <c r="G12863" s="643" t="s">
        <v>245</v>
      </c>
      <c r="J12863" s="599">
        <f t="shared" si="386"/>
        <v>0</v>
      </c>
    </row>
    <row r="12864" spans="5:10" ht="15.75" hidden="1" thickBot="1" x14ac:dyDescent="0.3">
      <c r="F12864" s="642" t="s">
        <v>246</v>
      </c>
      <c r="G12864" s="643" t="s">
        <v>247</v>
      </c>
      <c r="J12864" s="599">
        <f t="shared" si="386"/>
        <v>0</v>
      </c>
    </row>
    <row r="12865" spans="5:10" ht="15.75" hidden="1" thickBot="1" x14ac:dyDescent="0.3">
      <c r="F12865" s="642" t="s">
        <v>248</v>
      </c>
      <c r="G12865" s="643" t="s">
        <v>249</v>
      </c>
      <c r="J12865" s="599">
        <f t="shared" si="386"/>
        <v>0</v>
      </c>
    </row>
    <row r="12866" spans="5:10" ht="15.75" hidden="1" thickBot="1" x14ac:dyDescent="0.3">
      <c r="F12866" s="642" t="s">
        <v>250</v>
      </c>
      <c r="G12866" s="643" t="s">
        <v>57</v>
      </c>
      <c r="J12866" s="599">
        <f t="shared" si="386"/>
        <v>0</v>
      </c>
    </row>
    <row r="12867" spans="5:10" ht="15.75" hidden="1" thickBot="1" x14ac:dyDescent="0.3">
      <c r="F12867" s="642" t="s">
        <v>251</v>
      </c>
      <c r="G12867" s="643" t="s">
        <v>252</v>
      </c>
      <c r="J12867" s="599">
        <f t="shared" si="386"/>
        <v>0</v>
      </c>
    </row>
    <row r="12868" spans="5:10" ht="15.75" hidden="1" thickBot="1" x14ac:dyDescent="0.3">
      <c r="F12868" s="642" t="s">
        <v>253</v>
      </c>
      <c r="G12868" s="643" t="s">
        <v>254</v>
      </c>
      <c r="J12868" s="599">
        <f t="shared" si="386"/>
        <v>0</v>
      </c>
    </row>
    <row r="12869" spans="5:10" ht="30.75" hidden="1" thickBot="1" x14ac:dyDescent="0.3">
      <c r="F12869" s="642" t="s">
        <v>255</v>
      </c>
      <c r="G12869" s="643" t="s">
        <v>256</v>
      </c>
      <c r="J12869" s="599">
        <f t="shared" si="386"/>
        <v>0</v>
      </c>
    </row>
    <row r="12870" spans="5:10" ht="15.75" hidden="1" thickBot="1" x14ac:dyDescent="0.3">
      <c r="F12870" s="642" t="s">
        <v>257</v>
      </c>
      <c r="G12870" s="643" t="s">
        <v>258</v>
      </c>
      <c r="J12870" s="599">
        <f t="shared" si="386"/>
        <v>0</v>
      </c>
    </row>
    <row r="12871" spans="5:10" ht="30.75" hidden="1" thickBot="1" x14ac:dyDescent="0.3">
      <c r="F12871" s="642" t="s">
        <v>259</v>
      </c>
      <c r="G12871" s="643" t="s">
        <v>260</v>
      </c>
      <c r="J12871" s="599">
        <f t="shared" si="386"/>
        <v>0</v>
      </c>
    </row>
    <row r="12872" spans="5:10" ht="15.75" hidden="1" thickBot="1" x14ac:dyDescent="0.3">
      <c r="F12872" s="642" t="s">
        <v>261</v>
      </c>
      <c r="G12872" s="643" t="s">
        <v>262</v>
      </c>
      <c r="J12872" s="599">
        <f t="shared" si="386"/>
        <v>0</v>
      </c>
    </row>
    <row r="12873" spans="5:10" ht="15.75" hidden="1" thickBot="1" x14ac:dyDescent="0.3">
      <c r="F12873" s="642" t="s">
        <v>263</v>
      </c>
      <c r="G12873" s="643" t="s">
        <v>264</v>
      </c>
      <c r="H12873" s="598"/>
      <c r="I12873" s="599"/>
      <c r="J12873" s="599">
        <f t="shared" si="386"/>
        <v>0</v>
      </c>
    </row>
    <row r="12874" spans="5:10" ht="15.75" hidden="1" thickBot="1" x14ac:dyDescent="0.3">
      <c r="G12874" s="229" t="s">
        <v>4460</v>
      </c>
      <c r="H12874" s="600">
        <f>SUM(H12858:H12873)</f>
        <v>0</v>
      </c>
      <c r="I12874" s="601">
        <f>SUM(I12859:I12873)</f>
        <v>0</v>
      </c>
      <c r="J12874" s="601">
        <f>SUM(J12858:J12873)</f>
        <v>0</v>
      </c>
    </row>
    <row r="12875" spans="5:10" hidden="1" collapsed="1" x14ac:dyDescent="0.25">
      <c r="E12875" s="517"/>
      <c r="F12875" s="528"/>
      <c r="G12875" s="231" t="s">
        <v>5132</v>
      </c>
      <c r="H12875" s="602"/>
      <c r="I12875" s="623"/>
      <c r="J12875" s="603"/>
    </row>
    <row r="12876" spans="5:10" hidden="1" x14ac:dyDescent="0.25">
      <c r="E12876" s="222"/>
      <c r="F12876" s="642" t="s">
        <v>234</v>
      </c>
      <c r="G12876" s="643" t="s">
        <v>235</v>
      </c>
      <c r="H12876" s="598">
        <f>SUM(H12797:H12856)</f>
        <v>0</v>
      </c>
      <c r="I12876" s="599"/>
      <c r="J12876" s="599">
        <f>SUM(H12876:I12876)</f>
        <v>0</v>
      </c>
    </row>
    <row r="12877" spans="5:10" hidden="1" x14ac:dyDescent="0.25">
      <c r="F12877" s="642" t="s">
        <v>236</v>
      </c>
      <c r="G12877" s="643" t="s">
        <v>237</v>
      </c>
      <c r="J12877" s="599">
        <f t="shared" ref="J12877:J12891" si="387">SUM(H12877:I12877)</f>
        <v>0</v>
      </c>
    </row>
    <row r="12878" spans="5:10" hidden="1" x14ac:dyDescent="0.25">
      <c r="F12878" s="642" t="s">
        <v>238</v>
      </c>
      <c r="G12878" s="643" t="s">
        <v>239</v>
      </c>
      <c r="J12878" s="599">
        <f t="shared" si="387"/>
        <v>0</v>
      </c>
    </row>
    <row r="12879" spans="5:10" ht="15.75" hidden="1" thickBot="1" x14ac:dyDescent="0.3">
      <c r="F12879" s="642" t="s">
        <v>240</v>
      </c>
      <c r="G12879" s="643" t="s">
        <v>241</v>
      </c>
      <c r="J12879" s="599">
        <f t="shared" si="387"/>
        <v>0</v>
      </c>
    </row>
    <row r="12880" spans="5:10" ht="15.75" hidden="1" thickBot="1" x14ac:dyDescent="0.3">
      <c r="F12880" s="642" t="s">
        <v>242</v>
      </c>
      <c r="G12880" s="643" t="s">
        <v>243</v>
      </c>
      <c r="J12880" s="599">
        <f t="shared" si="387"/>
        <v>0</v>
      </c>
    </row>
    <row r="12881" spans="3:10" ht="15.75" hidden="1" thickBot="1" x14ac:dyDescent="0.3">
      <c r="F12881" s="642" t="s">
        <v>244</v>
      </c>
      <c r="G12881" s="643" t="s">
        <v>245</v>
      </c>
      <c r="J12881" s="599">
        <f t="shared" si="387"/>
        <v>0</v>
      </c>
    </row>
    <row r="12882" spans="3:10" ht="15.75" hidden="1" thickBot="1" x14ac:dyDescent="0.3">
      <c r="F12882" s="642" t="s">
        <v>246</v>
      </c>
      <c r="G12882" s="643" t="s">
        <v>247</v>
      </c>
      <c r="J12882" s="599">
        <f t="shared" si="387"/>
        <v>0</v>
      </c>
    </row>
    <row r="12883" spans="3:10" ht="15.75" hidden="1" thickBot="1" x14ac:dyDescent="0.3">
      <c r="F12883" s="642" t="s">
        <v>248</v>
      </c>
      <c r="G12883" s="643" t="s">
        <v>249</v>
      </c>
      <c r="J12883" s="599">
        <f t="shared" si="387"/>
        <v>0</v>
      </c>
    </row>
    <row r="12884" spans="3:10" ht="15.75" hidden="1" thickBot="1" x14ac:dyDescent="0.3">
      <c r="F12884" s="642" t="s">
        <v>250</v>
      </c>
      <c r="G12884" s="643" t="s">
        <v>57</v>
      </c>
      <c r="J12884" s="599">
        <f t="shared" si="387"/>
        <v>0</v>
      </c>
    </row>
    <row r="12885" spans="3:10" ht="15.75" hidden="1" thickBot="1" x14ac:dyDescent="0.3">
      <c r="F12885" s="642" t="s">
        <v>251</v>
      </c>
      <c r="G12885" s="643" t="s">
        <v>252</v>
      </c>
      <c r="J12885" s="599">
        <f t="shared" si="387"/>
        <v>0</v>
      </c>
    </row>
    <row r="12886" spans="3:10" ht="15.75" hidden="1" thickBot="1" x14ac:dyDescent="0.3">
      <c r="F12886" s="642" t="s">
        <v>253</v>
      </c>
      <c r="G12886" s="643" t="s">
        <v>254</v>
      </c>
      <c r="J12886" s="599">
        <f t="shared" si="387"/>
        <v>0</v>
      </c>
    </row>
    <row r="12887" spans="3:10" ht="30.75" hidden="1" thickBot="1" x14ac:dyDescent="0.3">
      <c r="F12887" s="642" t="s">
        <v>255</v>
      </c>
      <c r="G12887" s="643" t="s">
        <v>256</v>
      </c>
      <c r="J12887" s="599">
        <f t="shared" si="387"/>
        <v>0</v>
      </c>
    </row>
    <row r="12888" spans="3:10" ht="15.75" hidden="1" thickBot="1" x14ac:dyDescent="0.3">
      <c r="F12888" s="642" t="s">
        <v>257</v>
      </c>
      <c r="G12888" s="643" t="s">
        <v>258</v>
      </c>
      <c r="J12888" s="599">
        <f t="shared" si="387"/>
        <v>0</v>
      </c>
    </row>
    <row r="12889" spans="3:10" ht="30.75" hidden="1" thickBot="1" x14ac:dyDescent="0.3">
      <c r="F12889" s="642" t="s">
        <v>259</v>
      </c>
      <c r="G12889" s="643" t="s">
        <v>260</v>
      </c>
      <c r="J12889" s="599">
        <f t="shared" si="387"/>
        <v>0</v>
      </c>
    </row>
    <row r="12890" spans="3:10" ht="15.75" hidden="1" thickBot="1" x14ac:dyDescent="0.3">
      <c r="F12890" s="642" t="s">
        <v>261</v>
      </c>
      <c r="G12890" s="643" t="s">
        <v>262</v>
      </c>
      <c r="J12890" s="599">
        <f t="shared" si="387"/>
        <v>0</v>
      </c>
    </row>
    <row r="12891" spans="3:10" ht="15.75" hidden="1" thickBot="1" x14ac:dyDescent="0.3">
      <c r="F12891" s="642" t="s">
        <v>263</v>
      </c>
      <c r="G12891" s="643" t="s">
        <v>264</v>
      </c>
      <c r="H12891" s="598"/>
      <c r="I12891" s="599"/>
      <c r="J12891" s="599">
        <f t="shared" si="387"/>
        <v>0</v>
      </c>
    </row>
    <row r="12892" spans="3:10" ht="15.75" hidden="1" thickBot="1" x14ac:dyDescent="0.3">
      <c r="G12892" s="229" t="s">
        <v>5133</v>
      </c>
      <c r="H12892" s="600">
        <f>SUM(H12876:H12891)</f>
        <v>0</v>
      </c>
      <c r="I12892" s="601">
        <f>SUM(I12877:I12891)</f>
        <v>0</v>
      </c>
      <c r="J12892" s="601">
        <f>SUM(J12876:J12891)</f>
        <v>0</v>
      </c>
    </row>
    <row r="12893" spans="3:10" hidden="1" x14ac:dyDescent="0.25">
      <c r="G12893" s="286"/>
      <c r="H12893" s="604"/>
      <c r="I12893" s="605"/>
      <c r="J12893" s="605"/>
    </row>
    <row r="12894" spans="3:10" hidden="1" x14ac:dyDescent="0.25">
      <c r="C12894" s="228" t="s">
        <v>4872</v>
      </c>
      <c r="D12894" s="219"/>
      <c r="G12894" s="521" t="s">
        <v>4254</v>
      </c>
    </row>
    <row r="12895" spans="3:10" hidden="1" x14ac:dyDescent="0.25">
      <c r="C12895" s="228"/>
      <c r="D12895" s="312">
        <v>820</v>
      </c>
      <c r="E12895" s="312"/>
      <c r="F12895" s="312"/>
      <c r="G12895" s="313" t="s">
        <v>207</v>
      </c>
    </row>
    <row r="12896" spans="3:10" hidden="1" x14ac:dyDescent="0.25">
      <c r="F12896" s="527">
        <v>411</v>
      </c>
      <c r="G12896" s="520" t="s">
        <v>4189</v>
      </c>
      <c r="J12896" s="595">
        <f>SUM(H12896:I12896)</f>
        <v>0</v>
      </c>
    </row>
    <row r="12897" spans="6:10" hidden="1" x14ac:dyDescent="0.25">
      <c r="F12897" s="527">
        <v>412</v>
      </c>
      <c r="G12897" s="516" t="s">
        <v>3784</v>
      </c>
      <c r="J12897" s="595">
        <f t="shared" ref="J12897:J12955" si="388">SUM(H12897:I12897)</f>
        <v>0</v>
      </c>
    </row>
    <row r="12898" spans="6:10" hidden="1" x14ac:dyDescent="0.25">
      <c r="F12898" s="527">
        <v>413</v>
      </c>
      <c r="G12898" s="520" t="s">
        <v>4190</v>
      </c>
      <c r="J12898" s="595">
        <f t="shared" si="388"/>
        <v>0</v>
      </c>
    </row>
    <row r="12899" spans="6:10" hidden="1" x14ac:dyDescent="0.25">
      <c r="F12899" s="527">
        <v>414</v>
      </c>
      <c r="G12899" s="520" t="s">
        <v>3787</v>
      </c>
      <c r="J12899" s="595">
        <f t="shared" si="388"/>
        <v>0</v>
      </c>
    </row>
    <row r="12900" spans="6:10" hidden="1" x14ac:dyDescent="0.25">
      <c r="F12900" s="527">
        <v>415</v>
      </c>
      <c r="G12900" s="520" t="s">
        <v>4199</v>
      </c>
      <c r="J12900" s="595">
        <f t="shared" si="388"/>
        <v>0</v>
      </c>
    </row>
    <row r="12901" spans="6:10" hidden="1" x14ac:dyDescent="0.25">
      <c r="F12901" s="527">
        <v>416</v>
      </c>
      <c r="G12901" s="520" t="s">
        <v>4200</v>
      </c>
      <c r="J12901" s="595">
        <f t="shared" si="388"/>
        <v>0</v>
      </c>
    </row>
    <row r="12902" spans="6:10" hidden="1" x14ac:dyDescent="0.25">
      <c r="F12902" s="527">
        <v>417</v>
      </c>
      <c r="G12902" s="520" t="s">
        <v>4201</v>
      </c>
      <c r="J12902" s="595">
        <f t="shared" si="388"/>
        <v>0</v>
      </c>
    </row>
    <row r="12903" spans="6:10" hidden="1" x14ac:dyDescent="0.25">
      <c r="F12903" s="527">
        <v>418</v>
      </c>
      <c r="G12903" s="520" t="s">
        <v>3793</v>
      </c>
      <c r="J12903" s="595">
        <f t="shared" si="388"/>
        <v>0</v>
      </c>
    </row>
    <row r="12904" spans="6:10" hidden="1" x14ac:dyDescent="0.25">
      <c r="F12904" s="527">
        <v>421</v>
      </c>
      <c r="G12904" s="520" t="s">
        <v>3797</v>
      </c>
      <c r="J12904" s="595">
        <f t="shared" si="388"/>
        <v>0</v>
      </c>
    </row>
    <row r="12905" spans="6:10" hidden="1" x14ac:dyDescent="0.25">
      <c r="F12905" s="527">
        <v>422</v>
      </c>
      <c r="G12905" s="520" t="s">
        <v>3798</v>
      </c>
      <c r="J12905" s="595">
        <f t="shared" si="388"/>
        <v>0</v>
      </c>
    </row>
    <row r="12906" spans="6:10" hidden="1" x14ac:dyDescent="0.25">
      <c r="F12906" s="527">
        <v>423</v>
      </c>
      <c r="G12906" s="520" t="s">
        <v>3799</v>
      </c>
      <c r="J12906" s="595">
        <f t="shared" si="388"/>
        <v>0</v>
      </c>
    </row>
    <row r="12907" spans="6:10" hidden="1" x14ac:dyDescent="0.25">
      <c r="F12907" s="527">
        <v>424</v>
      </c>
      <c r="G12907" s="520" t="s">
        <v>3801</v>
      </c>
      <c r="J12907" s="595">
        <f t="shared" si="388"/>
        <v>0</v>
      </c>
    </row>
    <row r="12908" spans="6:10" hidden="1" x14ac:dyDescent="0.25">
      <c r="F12908" s="527">
        <v>425</v>
      </c>
      <c r="G12908" s="520" t="s">
        <v>4202</v>
      </c>
      <c r="J12908" s="595">
        <f t="shared" si="388"/>
        <v>0</v>
      </c>
    </row>
    <row r="12909" spans="6:10" hidden="1" x14ac:dyDescent="0.25">
      <c r="F12909" s="527">
        <v>426</v>
      </c>
      <c r="G12909" s="520" t="s">
        <v>3805</v>
      </c>
      <c r="J12909" s="595">
        <f t="shared" si="388"/>
        <v>0</v>
      </c>
    </row>
    <row r="12910" spans="6:10" hidden="1" x14ac:dyDescent="0.25">
      <c r="F12910" s="527">
        <v>431</v>
      </c>
      <c r="G12910" s="520" t="s">
        <v>4203</v>
      </c>
      <c r="J12910" s="595">
        <f t="shared" si="388"/>
        <v>0</v>
      </c>
    </row>
    <row r="12911" spans="6:10" hidden="1" x14ac:dyDescent="0.25">
      <c r="F12911" s="527">
        <v>432</v>
      </c>
      <c r="G12911" s="520" t="s">
        <v>4204</v>
      </c>
      <c r="J12911" s="595">
        <f t="shared" si="388"/>
        <v>0</v>
      </c>
    </row>
    <row r="12912" spans="6:10" hidden="1" x14ac:dyDescent="0.25">
      <c r="F12912" s="527">
        <v>433</v>
      </c>
      <c r="G12912" s="520" t="s">
        <v>4205</v>
      </c>
      <c r="J12912" s="595">
        <f t="shared" si="388"/>
        <v>0</v>
      </c>
    </row>
    <row r="12913" spans="6:10" hidden="1" x14ac:dyDescent="0.25">
      <c r="F12913" s="527">
        <v>434</v>
      </c>
      <c r="G12913" s="520" t="s">
        <v>4206</v>
      </c>
      <c r="J12913" s="595">
        <f t="shared" si="388"/>
        <v>0</v>
      </c>
    </row>
    <row r="12914" spans="6:10" hidden="1" x14ac:dyDescent="0.25">
      <c r="F12914" s="527">
        <v>435</v>
      </c>
      <c r="G12914" s="520" t="s">
        <v>3812</v>
      </c>
      <c r="J12914" s="595">
        <f t="shared" si="388"/>
        <v>0</v>
      </c>
    </row>
    <row r="12915" spans="6:10" hidden="1" x14ac:dyDescent="0.25">
      <c r="F12915" s="527">
        <v>441</v>
      </c>
      <c r="G12915" s="520" t="s">
        <v>4207</v>
      </c>
      <c r="J12915" s="595">
        <f t="shared" si="388"/>
        <v>0</v>
      </c>
    </row>
    <row r="12916" spans="6:10" hidden="1" x14ac:dyDescent="0.25">
      <c r="F12916" s="527">
        <v>442</v>
      </c>
      <c r="G12916" s="520" t="s">
        <v>4208</v>
      </c>
      <c r="J12916" s="595">
        <f t="shared" si="388"/>
        <v>0</v>
      </c>
    </row>
    <row r="12917" spans="6:10" hidden="1" x14ac:dyDescent="0.25">
      <c r="F12917" s="527">
        <v>443</v>
      </c>
      <c r="G12917" s="520" t="s">
        <v>3817</v>
      </c>
      <c r="J12917" s="595">
        <f t="shared" si="388"/>
        <v>0</v>
      </c>
    </row>
    <row r="12918" spans="6:10" hidden="1" x14ac:dyDescent="0.25">
      <c r="F12918" s="527">
        <v>444</v>
      </c>
      <c r="G12918" s="520" t="s">
        <v>3818</v>
      </c>
      <c r="J12918" s="595">
        <f t="shared" si="388"/>
        <v>0</v>
      </c>
    </row>
    <row r="12919" spans="6:10" ht="30" hidden="1" x14ac:dyDescent="0.25">
      <c r="F12919" s="527">
        <v>4511</v>
      </c>
      <c r="G12919" s="223" t="s">
        <v>1692</v>
      </c>
      <c r="J12919" s="595">
        <f t="shared" si="388"/>
        <v>0</v>
      </c>
    </row>
    <row r="12920" spans="6:10" ht="30" hidden="1" x14ac:dyDescent="0.25">
      <c r="F12920" s="527">
        <v>4512</v>
      </c>
      <c r="G12920" s="223" t="s">
        <v>1701</v>
      </c>
      <c r="J12920" s="595">
        <f t="shared" si="388"/>
        <v>0</v>
      </c>
    </row>
    <row r="12921" spans="6:10" hidden="1" x14ac:dyDescent="0.25">
      <c r="F12921" s="527">
        <v>452</v>
      </c>
      <c r="G12921" s="520" t="s">
        <v>4209</v>
      </c>
      <c r="J12921" s="595">
        <f t="shared" si="388"/>
        <v>0</v>
      </c>
    </row>
    <row r="12922" spans="6:10" hidden="1" x14ac:dyDescent="0.25">
      <c r="F12922" s="527">
        <v>453</v>
      </c>
      <c r="G12922" s="520" t="s">
        <v>4210</v>
      </c>
      <c r="J12922" s="595">
        <f t="shared" si="388"/>
        <v>0</v>
      </c>
    </row>
    <row r="12923" spans="6:10" hidden="1" x14ac:dyDescent="0.25">
      <c r="F12923" s="527">
        <v>454</v>
      </c>
      <c r="G12923" s="520" t="s">
        <v>3823</v>
      </c>
      <c r="J12923" s="595">
        <f t="shared" si="388"/>
        <v>0</v>
      </c>
    </row>
    <row r="12924" spans="6:10" hidden="1" x14ac:dyDescent="0.25">
      <c r="F12924" s="527">
        <v>461</v>
      </c>
      <c r="G12924" s="520" t="s">
        <v>4191</v>
      </c>
      <c r="J12924" s="595">
        <f t="shared" si="388"/>
        <v>0</v>
      </c>
    </row>
    <row r="12925" spans="6:10" hidden="1" x14ac:dyDescent="0.25">
      <c r="F12925" s="527">
        <v>462</v>
      </c>
      <c r="G12925" s="520" t="s">
        <v>3826</v>
      </c>
      <c r="J12925" s="595">
        <f t="shared" si="388"/>
        <v>0</v>
      </c>
    </row>
    <row r="12926" spans="6:10" hidden="1" x14ac:dyDescent="0.25">
      <c r="F12926" s="527">
        <v>4631</v>
      </c>
      <c r="G12926" s="520" t="s">
        <v>3827</v>
      </c>
      <c r="J12926" s="595">
        <f t="shared" si="388"/>
        <v>0</v>
      </c>
    </row>
    <row r="12927" spans="6:10" hidden="1" x14ac:dyDescent="0.25">
      <c r="F12927" s="527">
        <v>4632</v>
      </c>
      <c r="G12927" s="520" t="s">
        <v>3828</v>
      </c>
      <c r="J12927" s="595">
        <f t="shared" si="388"/>
        <v>0</v>
      </c>
    </row>
    <row r="12928" spans="6:10" hidden="1" x14ac:dyDescent="0.25">
      <c r="F12928" s="527">
        <v>464</v>
      </c>
      <c r="G12928" s="520" t="s">
        <v>3829</v>
      </c>
      <c r="J12928" s="595">
        <f t="shared" si="388"/>
        <v>0</v>
      </c>
    </row>
    <row r="12929" spans="6:10" hidden="1" x14ac:dyDescent="0.25">
      <c r="F12929" s="527">
        <v>465</v>
      </c>
      <c r="G12929" s="520" t="s">
        <v>4192</v>
      </c>
      <c r="J12929" s="595">
        <f t="shared" si="388"/>
        <v>0</v>
      </c>
    </row>
    <row r="12930" spans="6:10" ht="15.75" hidden="1" thickBot="1" x14ac:dyDescent="0.3">
      <c r="F12930" s="527">
        <v>472</v>
      </c>
      <c r="G12930" s="520" t="s">
        <v>3833</v>
      </c>
      <c r="J12930" s="595">
        <f t="shared" si="388"/>
        <v>0</v>
      </c>
    </row>
    <row r="12931" spans="6:10" ht="15.75" hidden="1" thickBot="1" x14ac:dyDescent="0.3">
      <c r="F12931" s="527">
        <v>481</v>
      </c>
      <c r="G12931" s="520" t="s">
        <v>4211</v>
      </c>
      <c r="J12931" s="595">
        <f t="shared" si="388"/>
        <v>0</v>
      </c>
    </row>
    <row r="12932" spans="6:10" ht="15.75" hidden="1" thickBot="1" x14ac:dyDescent="0.3">
      <c r="F12932" s="527">
        <v>482</v>
      </c>
      <c r="G12932" s="520" t="s">
        <v>4212</v>
      </c>
      <c r="J12932" s="595">
        <f t="shared" si="388"/>
        <v>0</v>
      </c>
    </row>
    <row r="12933" spans="6:10" ht="15.75" hidden="1" thickBot="1" x14ac:dyDescent="0.3">
      <c r="F12933" s="527">
        <v>483</v>
      </c>
      <c r="G12933" s="524" t="s">
        <v>4213</v>
      </c>
      <c r="J12933" s="595">
        <f t="shared" si="388"/>
        <v>0</v>
      </c>
    </row>
    <row r="12934" spans="6:10" ht="30.75" hidden="1" thickBot="1" x14ac:dyDescent="0.3">
      <c r="F12934" s="527">
        <v>484</v>
      </c>
      <c r="G12934" s="520" t="s">
        <v>4214</v>
      </c>
      <c r="J12934" s="595">
        <f t="shared" si="388"/>
        <v>0</v>
      </c>
    </row>
    <row r="12935" spans="6:10" ht="30.75" hidden="1" thickBot="1" x14ac:dyDescent="0.3">
      <c r="F12935" s="527">
        <v>485</v>
      </c>
      <c r="G12935" s="520" t="s">
        <v>4215</v>
      </c>
      <c r="J12935" s="595">
        <f t="shared" si="388"/>
        <v>0</v>
      </c>
    </row>
    <row r="12936" spans="6:10" ht="30.75" hidden="1" thickBot="1" x14ac:dyDescent="0.3">
      <c r="F12936" s="527">
        <v>489</v>
      </c>
      <c r="G12936" s="520" t="s">
        <v>3841</v>
      </c>
      <c r="J12936" s="595">
        <f t="shared" si="388"/>
        <v>0</v>
      </c>
    </row>
    <row r="12937" spans="6:10" ht="15.75" hidden="1" thickBot="1" x14ac:dyDescent="0.3">
      <c r="F12937" s="527">
        <v>494</v>
      </c>
      <c r="G12937" s="520" t="s">
        <v>4193</v>
      </c>
      <c r="J12937" s="595">
        <f t="shared" si="388"/>
        <v>0</v>
      </c>
    </row>
    <row r="12938" spans="6:10" ht="30.75" hidden="1" thickBot="1" x14ac:dyDescent="0.3">
      <c r="F12938" s="527">
        <v>495</v>
      </c>
      <c r="G12938" s="520" t="s">
        <v>4194</v>
      </c>
      <c r="J12938" s="595">
        <f t="shared" si="388"/>
        <v>0</v>
      </c>
    </row>
    <row r="12939" spans="6:10" ht="30.75" hidden="1" thickBot="1" x14ac:dyDescent="0.3">
      <c r="F12939" s="527">
        <v>496</v>
      </c>
      <c r="G12939" s="520" t="s">
        <v>4195</v>
      </c>
      <c r="J12939" s="595">
        <f t="shared" si="388"/>
        <v>0</v>
      </c>
    </row>
    <row r="12940" spans="6:10" ht="15.75" hidden="1" thickBot="1" x14ac:dyDescent="0.3">
      <c r="F12940" s="527">
        <v>499</v>
      </c>
      <c r="G12940" s="520" t="s">
        <v>4196</v>
      </c>
      <c r="J12940" s="595">
        <f t="shared" si="388"/>
        <v>0</v>
      </c>
    </row>
    <row r="12941" spans="6:10" ht="15.75" hidden="1" thickBot="1" x14ac:dyDescent="0.3">
      <c r="F12941" s="527">
        <v>511</v>
      </c>
      <c r="G12941" s="524" t="s">
        <v>4216</v>
      </c>
      <c r="J12941" s="595">
        <f t="shared" si="388"/>
        <v>0</v>
      </c>
    </row>
    <row r="12942" spans="6:10" ht="15.75" hidden="1" thickBot="1" x14ac:dyDescent="0.3">
      <c r="F12942" s="527">
        <v>512</v>
      </c>
      <c r="G12942" s="524" t="s">
        <v>4217</v>
      </c>
      <c r="J12942" s="595">
        <f t="shared" si="388"/>
        <v>0</v>
      </c>
    </row>
    <row r="12943" spans="6:10" ht="15.75" hidden="1" thickBot="1" x14ac:dyDescent="0.3">
      <c r="F12943" s="527">
        <v>513</v>
      </c>
      <c r="G12943" s="524" t="s">
        <v>4218</v>
      </c>
      <c r="J12943" s="595">
        <f t="shared" si="388"/>
        <v>0</v>
      </c>
    </row>
    <row r="12944" spans="6:10" ht="15.75" hidden="1" thickBot="1" x14ac:dyDescent="0.3">
      <c r="F12944" s="527">
        <v>514</v>
      </c>
      <c r="G12944" s="520" t="s">
        <v>4219</v>
      </c>
      <c r="J12944" s="595">
        <f t="shared" si="388"/>
        <v>0</v>
      </c>
    </row>
    <row r="12945" spans="5:10" ht="15.75" hidden="1" thickBot="1" x14ac:dyDescent="0.3">
      <c r="F12945" s="527">
        <v>515</v>
      </c>
      <c r="G12945" s="520" t="s">
        <v>3852</v>
      </c>
      <c r="J12945" s="595">
        <f t="shared" si="388"/>
        <v>0</v>
      </c>
    </row>
    <row r="12946" spans="5:10" ht="15.75" hidden="1" thickBot="1" x14ac:dyDescent="0.3">
      <c r="F12946" s="527">
        <v>521</v>
      </c>
      <c r="G12946" s="520" t="s">
        <v>4220</v>
      </c>
      <c r="J12946" s="595">
        <f t="shared" si="388"/>
        <v>0</v>
      </c>
    </row>
    <row r="12947" spans="5:10" ht="15.75" hidden="1" thickBot="1" x14ac:dyDescent="0.3">
      <c r="F12947" s="527">
        <v>522</v>
      </c>
      <c r="G12947" s="520" t="s">
        <v>4221</v>
      </c>
      <c r="J12947" s="595">
        <f t="shared" si="388"/>
        <v>0</v>
      </c>
    </row>
    <row r="12948" spans="5:10" ht="15.75" hidden="1" thickBot="1" x14ac:dyDescent="0.3">
      <c r="F12948" s="527">
        <v>523</v>
      </c>
      <c r="G12948" s="520" t="s">
        <v>3857</v>
      </c>
      <c r="J12948" s="595">
        <f t="shared" si="388"/>
        <v>0</v>
      </c>
    </row>
    <row r="12949" spans="5:10" ht="15.75" hidden="1" thickBot="1" x14ac:dyDescent="0.3">
      <c r="F12949" s="527">
        <v>531</v>
      </c>
      <c r="G12949" s="516" t="s">
        <v>4197</v>
      </c>
      <c r="J12949" s="595">
        <f t="shared" si="388"/>
        <v>0</v>
      </c>
    </row>
    <row r="12950" spans="5:10" ht="15.75" hidden="1" thickBot="1" x14ac:dyDescent="0.3">
      <c r="F12950" s="527">
        <v>541</v>
      </c>
      <c r="G12950" s="520" t="s">
        <v>4222</v>
      </c>
      <c r="J12950" s="595">
        <f t="shared" si="388"/>
        <v>0</v>
      </c>
    </row>
    <row r="12951" spans="5:10" ht="15.75" hidden="1" thickBot="1" x14ac:dyDescent="0.3">
      <c r="F12951" s="527">
        <v>542</v>
      </c>
      <c r="G12951" s="520" t="s">
        <v>4223</v>
      </c>
      <c r="J12951" s="595">
        <f t="shared" si="388"/>
        <v>0</v>
      </c>
    </row>
    <row r="12952" spans="5:10" ht="15.75" hidden="1" thickBot="1" x14ac:dyDescent="0.3">
      <c r="F12952" s="527">
        <v>543</v>
      </c>
      <c r="G12952" s="520" t="s">
        <v>3862</v>
      </c>
      <c r="J12952" s="595">
        <f t="shared" si="388"/>
        <v>0</v>
      </c>
    </row>
    <row r="12953" spans="5:10" ht="30.75" hidden="1" thickBot="1" x14ac:dyDescent="0.3">
      <c r="F12953" s="527">
        <v>551</v>
      </c>
      <c r="G12953" s="520" t="s">
        <v>4198</v>
      </c>
      <c r="J12953" s="595">
        <f t="shared" si="388"/>
        <v>0</v>
      </c>
    </row>
    <row r="12954" spans="5:10" ht="15.75" hidden="1" thickBot="1" x14ac:dyDescent="0.3">
      <c r="F12954" s="528">
        <v>611</v>
      </c>
      <c r="G12954" s="526" t="s">
        <v>3868</v>
      </c>
      <c r="J12954" s="595">
        <f t="shared" si="388"/>
        <v>0</v>
      </c>
    </row>
    <row r="12955" spans="5:10" ht="15.75" hidden="1" thickBot="1" x14ac:dyDescent="0.3">
      <c r="F12955" s="528">
        <v>620</v>
      </c>
      <c r="G12955" s="526" t="s">
        <v>88</v>
      </c>
      <c r="J12955" s="595">
        <f t="shared" si="388"/>
        <v>0</v>
      </c>
    </row>
    <row r="12956" spans="5:10" hidden="1" x14ac:dyDescent="0.25">
      <c r="E12956" s="517"/>
      <c r="F12956" s="528"/>
      <c r="G12956" s="326" t="s">
        <v>4459</v>
      </c>
      <c r="H12956" s="596"/>
      <c r="I12956" s="622"/>
      <c r="J12956" s="597"/>
    </row>
    <row r="12957" spans="5:10" hidden="1" x14ac:dyDescent="0.25">
      <c r="E12957" s="222"/>
      <c r="F12957" s="642" t="s">
        <v>234</v>
      </c>
      <c r="G12957" s="643" t="s">
        <v>235</v>
      </c>
      <c r="H12957" s="598">
        <f>SUM(H12896:H12955)</f>
        <v>0</v>
      </c>
      <c r="I12957" s="599"/>
      <c r="J12957" s="599">
        <f>SUM(H12957:I12957)</f>
        <v>0</v>
      </c>
    </row>
    <row r="12958" spans="5:10" hidden="1" x14ac:dyDescent="0.25">
      <c r="F12958" s="642" t="s">
        <v>236</v>
      </c>
      <c r="G12958" s="643" t="s">
        <v>237</v>
      </c>
      <c r="J12958" s="599">
        <f t="shared" ref="J12958:J12972" si="389">SUM(H12958:I12958)</f>
        <v>0</v>
      </c>
    </row>
    <row r="12959" spans="5:10" hidden="1" x14ac:dyDescent="0.25">
      <c r="F12959" s="642" t="s">
        <v>238</v>
      </c>
      <c r="G12959" s="643" t="s">
        <v>239</v>
      </c>
      <c r="J12959" s="599">
        <f t="shared" si="389"/>
        <v>0</v>
      </c>
    </row>
    <row r="12960" spans="5:10" ht="15.75" hidden="1" thickBot="1" x14ac:dyDescent="0.3">
      <c r="F12960" s="642" t="s">
        <v>240</v>
      </c>
      <c r="G12960" s="643" t="s">
        <v>241</v>
      </c>
      <c r="J12960" s="599">
        <f t="shared" si="389"/>
        <v>0</v>
      </c>
    </row>
    <row r="12961" spans="5:10" ht="15.75" hidden="1" thickBot="1" x14ac:dyDescent="0.3">
      <c r="F12961" s="642" t="s">
        <v>242</v>
      </c>
      <c r="G12961" s="643" t="s">
        <v>243</v>
      </c>
      <c r="J12961" s="599">
        <f t="shared" si="389"/>
        <v>0</v>
      </c>
    </row>
    <row r="12962" spans="5:10" ht="15.75" hidden="1" thickBot="1" x14ac:dyDescent="0.3">
      <c r="F12962" s="642" t="s">
        <v>244</v>
      </c>
      <c r="G12962" s="643" t="s">
        <v>245</v>
      </c>
      <c r="J12962" s="599">
        <f t="shared" si="389"/>
        <v>0</v>
      </c>
    </row>
    <row r="12963" spans="5:10" ht="15.75" hidden="1" thickBot="1" x14ac:dyDescent="0.3">
      <c r="F12963" s="642" t="s">
        <v>246</v>
      </c>
      <c r="G12963" s="643" t="s">
        <v>247</v>
      </c>
      <c r="J12963" s="599">
        <f t="shared" si="389"/>
        <v>0</v>
      </c>
    </row>
    <row r="12964" spans="5:10" ht="15.75" hidden="1" thickBot="1" x14ac:dyDescent="0.3">
      <c r="F12964" s="642" t="s">
        <v>248</v>
      </c>
      <c r="G12964" s="643" t="s">
        <v>249</v>
      </c>
      <c r="J12964" s="599">
        <f t="shared" si="389"/>
        <v>0</v>
      </c>
    </row>
    <row r="12965" spans="5:10" ht="15.75" hidden="1" thickBot="1" x14ac:dyDescent="0.3">
      <c r="F12965" s="642" t="s">
        <v>250</v>
      </c>
      <c r="G12965" s="643" t="s">
        <v>57</v>
      </c>
      <c r="J12965" s="599">
        <f t="shared" si="389"/>
        <v>0</v>
      </c>
    </row>
    <row r="12966" spans="5:10" ht="15.75" hidden="1" thickBot="1" x14ac:dyDescent="0.3">
      <c r="F12966" s="642" t="s">
        <v>251</v>
      </c>
      <c r="G12966" s="643" t="s">
        <v>252</v>
      </c>
      <c r="J12966" s="599">
        <f t="shared" si="389"/>
        <v>0</v>
      </c>
    </row>
    <row r="12967" spans="5:10" ht="15.75" hidden="1" thickBot="1" x14ac:dyDescent="0.3">
      <c r="F12967" s="642" t="s">
        <v>253</v>
      </c>
      <c r="G12967" s="643" t="s">
        <v>254</v>
      </c>
      <c r="J12967" s="599">
        <f t="shared" si="389"/>
        <v>0</v>
      </c>
    </row>
    <row r="12968" spans="5:10" ht="30.75" hidden="1" thickBot="1" x14ac:dyDescent="0.3">
      <c r="F12968" s="642" t="s">
        <v>255</v>
      </c>
      <c r="G12968" s="643" t="s">
        <v>256</v>
      </c>
      <c r="J12968" s="599">
        <f t="shared" si="389"/>
        <v>0</v>
      </c>
    </row>
    <row r="12969" spans="5:10" ht="15.75" hidden="1" thickBot="1" x14ac:dyDescent="0.3">
      <c r="F12969" s="642" t="s">
        <v>257</v>
      </c>
      <c r="G12969" s="643" t="s">
        <v>258</v>
      </c>
      <c r="J12969" s="599">
        <f t="shared" si="389"/>
        <v>0</v>
      </c>
    </row>
    <row r="12970" spans="5:10" ht="30.75" hidden="1" thickBot="1" x14ac:dyDescent="0.3">
      <c r="F12970" s="642" t="s">
        <v>259</v>
      </c>
      <c r="G12970" s="643" t="s">
        <v>260</v>
      </c>
      <c r="J12970" s="599">
        <f t="shared" si="389"/>
        <v>0</v>
      </c>
    </row>
    <row r="12971" spans="5:10" ht="15.75" hidden="1" thickBot="1" x14ac:dyDescent="0.3">
      <c r="F12971" s="642" t="s">
        <v>261</v>
      </c>
      <c r="G12971" s="643" t="s">
        <v>262</v>
      </c>
      <c r="J12971" s="599">
        <f t="shared" si="389"/>
        <v>0</v>
      </c>
    </row>
    <row r="12972" spans="5:10" ht="15.75" hidden="1" thickBot="1" x14ac:dyDescent="0.3">
      <c r="F12972" s="642" t="s">
        <v>263</v>
      </c>
      <c r="G12972" s="643" t="s">
        <v>264</v>
      </c>
      <c r="H12972" s="598"/>
      <c r="I12972" s="599"/>
      <c r="J12972" s="599">
        <f t="shared" si="389"/>
        <v>0</v>
      </c>
    </row>
    <row r="12973" spans="5:10" ht="15.75" hidden="1" thickBot="1" x14ac:dyDescent="0.3">
      <c r="G12973" s="229" t="s">
        <v>4460</v>
      </c>
      <c r="H12973" s="600">
        <f>SUM(H12957:H12972)</f>
        <v>0</v>
      </c>
      <c r="I12973" s="601">
        <f>SUM(I12958:I12972)</f>
        <v>0</v>
      </c>
      <c r="J12973" s="601">
        <f>SUM(J12957:J12972)</f>
        <v>0</v>
      </c>
    </row>
    <row r="12974" spans="5:10" hidden="1" collapsed="1" x14ac:dyDescent="0.25">
      <c r="E12974" s="517"/>
      <c r="F12974" s="528"/>
      <c r="G12974" s="231" t="s">
        <v>5134</v>
      </c>
      <c r="H12974" s="602"/>
      <c r="I12974" s="623"/>
      <c r="J12974" s="603"/>
    </row>
    <row r="12975" spans="5:10" hidden="1" x14ac:dyDescent="0.25">
      <c r="E12975" s="222"/>
      <c r="F12975" s="642" t="s">
        <v>234</v>
      </c>
      <c r="G12975" s="643" t="s">
        <v>235</v>
      </c>
      <c r="H12975" s="598">
        <f>SUM(H12896:H12955)</f>
        <v>0</v>
      </c>
      <c r="I12975" s="599"/>
      <c r="J12975" s="599">
        <f>SUM(H12975:I12975)</f>
        <v>0</v>
      </c>
    </row>
    <row r="12976" spans="5:10" hidden="1" x14ac:dyDescent="0.25">
      <c r="F12976" s="642" t="s">
        <v>236</v>
      </c>
      <c r="G12976" s="643" t="s">
        <v>237</v>
      </c>
      <c r="J12976" s="599">
        <f t="shared" ref="J12976:J12990" si="390">SUM(H12976:I12976)</f>
        <v>0</v>
      </c>
    </row>
    <row r="12977" spans="6:10" hidden="1" x14ac:dyDescent="0.25">
      <c r="F12977" s="642" t="s">
        <v>238</v>
      </c>
      <c r="G12977" s="643" t="s">
        <v>239</v>
      </c>
      <c r="J12977" s="599">
        <f t="shared" si="390"/>
        <v>0</v>
      </c>
    </row>
    <row r="12978" spans="6:10" ht="15.75" hidden="1" thickBot="1" x14ac:dyDescent="0.3">
      <c r="F12978" s="642" t="s">
        <v>240</v>
      </c>
      <c r="G12978" s="643" t="s">
        <v>241</v>
      </c>
      <c r="J12978" s="599">
        <f t="shared" si="390"/>
        <v>0</v>
      </c>
    </row>
    <row r="12979" spans="6:10" ht="15.75" hidden="1" thickBot="1" x14ac:dyDescent="0.3">
      <c r="F12979" s="642" t="s">
        <v>242</v>
      </c>
      <c r="G12979" s="643" t="s">
        <v>243</v>
      </c>
      <c r="J12979" s="599">
        <f t="shared" si="390"/>
        <v>0</v>
      </c>
    </row>
    <row r="12980" spans="6:10" ht="15.75" hidden="1" thickBot="1" x14ac:dyDescent="0.3">
      <c r="F12980" s="642" t="s">
        <v>244</v>
      </c>
      <c r="G12980" s="643" t="s">
        <v>245</v>
      </c>
      <c r="J12980" s="599">
        <f t="shared" si="390"/>
        <v>0</v>
      </c>
    </row>
    <row r="12981" spans="6:10" ht="15.75" hidden="1" thickBot="1" x14ac:dyDescent="0.3">
      <c r="F12981" s="642" t="s">
        <v>246</v>
      </c>
      <c r="G12981" s="643" t="s">
        <v>247</v>
      </c>
      <c r="J12981" s="599">
        <f t="shared" si="390"/>
        <v>0</v>
      </c>
    </row>
    <row r="12982" spans="6:10" ht="15.75" hidden="1" thickBot="1" x14ac:dyDescent="0.3">
      <c r="F12982" s="642" t="s">
        <v>248</v>
      </c>
      <c r="G12982" s="643" t="s">
        <v>249</v>
      </c>
      <c r="J12982" s="599">
        <f t="shared" si="390"/>
        <v>0</v>
      </c>
    </row>
    <row r="12983" spans="6:10" ht="15.75" hidden="1" thickBot="1" x14ac:dyDescent="0.3">
      <c r="F12983" s="642" t="s">
        <v>250</v>
      </c>
      <c r="G12983" s="643" t="s">
        <v>57</v>
      </c>
      <c r="J12983" s="599">
        <f t="shared" si="390"/>
        <v>0</v>
      </c>
    </row>
    <row r="12984" spans="6:10" ht="15.75" hidden="1" thickBot="1" x14ac:dyDescent="0.3">
      <c r="F12984" s="642" t="s">
        <v>251</v>
      </c>
      <c r="G12984" s="643" t="s">
        <v>252</v>
      </c>
      <c r="J12984" s="599">
        <f t="shared" si="390"/>
        <v>0</v>
      </c>
    </row>
    <row r="12985" spans="6:10" ht="15.75" hidden="1" thickBot="1" x14ac:dyDescent="0.3">
      <c r="F12985" s="642" t="s">
        <v>253</v>
      </c>
      <c r="G12985" s="643" t="s">
        <v>254</v>
      </c>
      <c r="J12985" s="599">
        <f t="shared" si="390"/>
        <v>0</v>
      </c>
    </row>
    <row r="12986" spans="6:10" ht="30.75" hidden="1" thickBot="1" x14ac:dyDescent="0.3">
      <c r="F12986" s="642" t="s">
        <v>255</v>
      </c>
      <c r="G12986" s="643" t="s">
        <v>256</v>
      </c>
      <c r="J12986" s="599">
        <f t="shared" si="390"/>
        <v>0</v>
      </c>
    </row>
    <row r="12987" spans="6:10" ht="15.75" hidden="1" thickBot="1" x14ac:dyDescent="0.3">
      <c r="F12987" s="642" t="s">
        <v>257</v>
      </c>
      <c r="G12987" s="643" t="s">
        <v>258</v>
      </c>
      <c r="J12987" s="599">
        <f t="shared" si="390"/>
        <v>0</v>
      </c>
    </row>
    <row r="12988" spans="6:10" ht="30.75" hidden="1" thickBot="1" x14ac:dyDescent="0.3">
      <c r="F12988" s="642" t="s">
        <v>259</v>
      </c>
      <c r="G12988" s="643" t="s">
        <v>260</v>
      </c>
      <c r="J12988" s="599">
        <f t="shared" si="390"/>
        <v>0</v>
      </c>
    </row>
    <row r="12989" spans="6:10" ht="15.75" hidden="1" thickBot="1" x14ac:dyDescent="0.3">
      <c r="F12989" s="642" t="s">
        <v>261</v>
      </c>
      <c r="G12989" s="643" t="s">
        <v>262</v>
      </c>
      <c r="J12989" s="599">
        <f t="shared" si="390"/>
        <v>0</v>
      </c>
    </row>
    <row r="12990" spans="6:10" ht="15.75" hidden="1" thickBot="1" x14ac:dyDescent="0.3">
      <c r="F12990" s="642" t="s">
        <v>263</v>
      </c>
      <c r="G12990" s="643" t="s">
        <v>264</v>
      </c>
      <c r="H12990" s="598"/>
      <c r="I12990" s="599"/>
      <c r="J12990" s="599">
        <f t="shared" si="390"/>
        <v>0</v>
      </c>
    </row>
    <row r="12991" spans="6:10" ht="15.75" hidden="1" thickBot="1" x14ac:dyDescent="0.3">
      <c r="G12991" s="229" t="s">
        <v>5135</v>
      </c>
      <c r="H12991" s="600">
        <f>SUM(H12975:H12990)</f>
        <v>0</v>
      </c>
      <c r="I12991" s="601">
        <f>SUM(I12976:I12990)</f>
        <v>0</v>
      </c>
      <c r="J12991" s="601">
        <f>SUM(J12975:J12990)</f>
        <v>0</v>
      </c>
    </row>
    <row r="12992" spans="6:10" hidden="1" x14ac:dyDescent="0.25">
      <c r="G12992" s="286"/>
      <c r="H12992" s="604"/>
      <c r="I12992" s="605"/>
      <c r="J12992" s="605"/>
    </row>
    <row r="12993" spans="5:10" hidden="1" x14ac:dyDescent="0.25">
      <c r="G12993" s="286"/>
      <c r="H12993" s="604"/>
      <c r="I12993" s="605"/>
      <c r="J12993" s="605"/>
    </row>
    <row r="12994" spans="5:10" hidden="1" x14ac:dyDescent="0.25">
      <c r="E12994" s="474"/>
      <c r="F12994" s="486"/>
      <c r="G12994" s="250" t="s">
        <v>4346</v>
      </c>
      <c r="H12994" s="606"/>
      <c r="I12994" s="624"/>
      <c r="J12994" s="607"/>
    </row>
    <row r="12995" spans="5:10" hidden="1" x14ac:dyDescent="0.25">
      <c r="E12995" s="222"/>
      <c r="F12995" s="249" t="s">
        <v>234</v>
      </c>
      <c r="G12995" s="252" t="s">
        <v>235</v>
      </c>
      <c r="H12995" s="598">
        <f>SUM(H12282,H12183,H12363,H12480,H12579,H12678,H12777,H12876,H12975)</f>
        <v>0</v>
      </c>
      <c r="I12995" s="599"/>
      <c r="J12995" s="599">
        <f>SUM(H12995:I12995)</f>
        <v>0</v>
      </c>
    </row>
    <row r="12996" spans="5:10" hidden="1" x14ac:dyDescent="0.25">
      <c r="F12996" s="249" t="s">
        <v>236</v>
      </c>
      <c r="G12996" s="252" t="s">
        <v>237</v>
      </c>
      <c r="J12996" s="599">
        <f t="shared" ref="J12996:J13010" si="391">SUM(H12996:I12996)</f>
        <v>0</v>
      </c>
    </row>
    <row r="12997" spans="5:10" hidden="1" x14ac:dyDescent="0.25">
      <c r="F12997" s="249" t="s">
        <v>238</v>
      </c>
      <c r="G12997" s="252" t="s">
        <v>239</v>
      </c>
      <c r="J12997" s="599">
        <f t="shared" si="391"/>
        <v>0</v>
      </c>
    </row>
    <row r="12998" spans="5:10" ht="15.75" hidden="1" thickBot="1" x14ac:dyDescent="0.3">
      <c r="F12998" s="249" t="s">
        <v>240</v>
      </c>
      <c r="G12998" s="252" t="s">
        <v>241</v>
      </c>
      <c r="J12998" s="599">
        <f t="shared" si="391"/>
        <v>0</v>
      </c>
    </row>
    <row r="12999" spans="5:10" hidden="1" x14ac:dyDescent="0.25">
      <c r="F12999" s="249" t="s">
        <v>242</v>
      </c>
      <c r="G12999" s="252" t="s">
        <v>243</v>
      </c>
      <c r="J12999" s="599">
        <f t="shared" si="391"/>
        <v>0</v>
      </c>
    </row>
    <row r="13000" spans="5:10" hidden="1" x14ac:dyDescent="0.25">
      <c r="F13000" s="249" t="s">
        <v>244</v>
      </c>
      <c r="G13000" s="252" t="s">
        <v>245</v>
      </c>
      <c r="J13000" s="599">
        <f t="shared" si="391"/>
        <v>0</v>
      </c>
    </row>
    <row r="13001" spans="5:10" hidden="1" x14ac:dyDescent="0.25">
      <c r="F13001" s="249" t="s">
        <v>246</v>
      </c>
      <c r="G13001" s="252" t="s">
        <v>247</v>
      </c>
      <c r="J13001" s="599">
        <f t="shared" si="391"/>
        <v>0</v>
      </c>
    </row>
    <row r="13002" spans="5:10" hidden="1" x14ac:dyDescent="0.25">
      <c r="F13002" s="249" t="s">
        <v>248</v>
      </c>
      <c r="G13002" s="252" t="s">
        <v>249</v>
      </c>
      <c r="J13002" s="599">
        <f t="shared" si="391"/>
        <v>0</v>
      </c>
    </row>
    <row r="13003" spans="5:10" hidden="1" x14ac:dyDescent="0.25">
      <c r="F13003" s="249" t="s">
        <v>250</v>
      </c>
      <c r="G13003" s="252" t="s">
        <v>57</v>
      </c>
      <c r="J13003" s="599">
        <f t="shared" si="391"/>
        <v>0</v>
      </c>
    </row>
    <row r="13004" spans="5:10" hidden="1" x14ac:dyDescent="0.25">
      <c r="F13004" s="249" t="s">
        <v>251</v>
      </c>
      <c r="G13004" s="252" t="s">
        <v>252</v>
      </c>
      <c r="J13004" s="599">
        <f t="shared" si="391"/>
        <v>0</v>
      </c>
    </row>
    <row r="13005" spans="5:10" hidden="1" x14ac:dyDescent="0.25">
      <c r="F13005" s="249" t="s">
        <v>253</v>
      </c>
      <c r="G13005" s="252" t="s">
        <v>254</v>
      </c>
      <c r="J13005" s="599">
        <f t="shared" si="391"/>
        <v>0</v>
      </c>
    </row>
    <row r="13006" spans="5:10" ht="30" hidden="1" x14ac:dyDescent="0.25">
      <c r="F13006" s="249" t="s">
        <v>255</v>
      </c>
      <c r="G13006" s="252" t="s">
        <v>256</v>
      </c>
      <c r="J13006" s="599">
        <f t="shared" si="391"/>
        <v>0</v>
      </c>
    </row>
    <row r="13007" spans="5:10" hidden="1" x14ac:dyDescent="0.25">
      <c r="F13007" s="249" t="s">
        <v>257</v>
      </c>
      <c r="G13007" s="252" t="s">
        <v>258</v>
      </c>
      <c r="J13007" s="599">
        <f t="shared" si="391"/>
        <v>0</v>
      </c>
    </row>
    <row r="13008" spans="5:10" ht="30" hidden="1" x14ac:dyDescent="0.25">
      <c r="F13008" s="249" t="s">
        <v>259</v>
      </c>
      <c r="G13008" s="252" t="s">
        <v>260</v>
      </c>
      <c r="J13008" s="599">
        <f t="shared" si="391"/>
        <v>0</v>
      </c>
    </row>
    <row r="13009" spans="5:10" hidden="1" x14ac:dyDescent="0.25">
      <c r="F13009" s="249" t="s">
        <v>261</v>
      </c>
      <c r="G13009" s="252" t="s">
        <v>262</v>
      </c>
      <c r="J13009" s="599">
        <f t="shared" si="391"/>
        <v>0</v>
      </c>
    </row>
    <row r="13010" spans="5:10" ht="15.75" hidden="1" thickBot="1" x14ac:dyDescent="0.3">
      <c r="F13010" s="249" t="s">
        <v>263</v>
      </c>
      <c r="G13010" s="252" t="s">
        <v>264</v>
      </c>
      <c r="H13010" s="598"/>
      <c r="I13010" s="599"/>
      <c r="J13010" s="599">
        <f t="shared" si="391"/>
        <v>0</v>
      </c>
    </row>
    <row r="13011" spans="5:10" ht="15.75" hidden="1" thickBot="1" x14ac:dyDescent="0.3">
      <c r="G13011" s="229" t="s">
        <v>4347</v>
      </c>
      <c r="H13011" s="600">
        <f>SUM(H12995:H13010)</f>
        <v>0</v>
      </c>
      <c r="I13011" s="601">
        <f>SUM(I12996:I13010)</f>
        <v>0</v>
      </c>
      <c r="J13011" s="601">
        <f>SUM(J12995:J13010)</f>
        <v>0</v>
      </c>
    </row>
    <row r="13012" spans="5:10" hidden="1" x14ac:dyDescent="0.25"/>
    <row r="13013" spans="5:10" hidden="1" x14ac:dyDescent="0.25">
      <c r="E13013" s="474"/>
      <c r="F13013" s="486"/>
      <c r="G13013" s="250" t="s">
        <v>5089</v>
      </c>
      <c r="H13013" s="606"/>
      <c r="I13013" s="624"/>
      <c r="J13013" s="607"/>
    </row>
    <row r="13014" spans="5:10" hidden="1" x14ac:dyDescent="0.25">
      <c r="E13014" s="222"/>
      <c r="F13014" s="249" t="s">
        <v>234</v>
      </c>
      <c r="G13014" s="252" t="s">
        <v>235</v>
      </c>
      <c r="H13014" s="598">
        <f>SUM(H12995)</f>
        <v>0</v>
      </c>
      <c r="I13014" s="599"/>
      <c r="J13014" s="599">
        <f>SUM(H13014:I13014)</f>
        <v>0</v>
      </c>
    </row>
    <row r="13015" spans="5:10" hidden="1" x14ac:dyDescent="0.25">
      <c r="F13015" s="249" t="s">
        <v>236</v>
      </c>
      <c r="G13015" s="252" t="s">
        <v>237</v>
      </c>
      <c r="J13015" s="599">
        <f t="shared" ref="J13015:J13029" si="392">SUM(H13015:I13015)</f>
        <v>0</v>
      </c>
    </row>
    <row r="13016" spans="5:10" hidden="1" x14ac:dyDescent="0.25">
      <c r="F13016" s="249" t="s">
        <v>238</v>
      </c>
      <c r="G13016" s="252" t="s">
        <v>239</v>
      </c>
      <c r="J13016" s="599">
        <f t="shared" si="392"/>
        <v>0</v>
      </c>
    </row>
    <row r="13017" spans="5:10" ht="15.75" hidden="1" thickBot="1" x14ac:dyDescent="0.3">
      <c r="F13017" s="249" t="s">
        <v>240</v>
      </c>
      <c r="G13017" s="252" t="s">
        <v>241</v>
      </c>
      <c r="J13017" s="599">
        <f t="shared" si="392"/>
        <v>0</v>
      </c>
    </row>
    <row r="13018" spans="5:10" hidden="1" x14ac:dyDescent="0.25">
      <c r="F13018" s="249" t="s">
        <v>242</v>
      </c>
      <c r="G13018" s="252" t="s">
        <v>243</v>
      </c>
      <c r="J13018" s="599">
        <f t="shared" si="392"/>
        <v>0</v>
      </c>
    </row>
    <row r="13019" spans="5:10" hidden="1" x14ac:dyDescent="0.25">
      <c r="F13019" s="249" t="s">
        <v>244</v>
      </c>
      <c r="G13019" s="252" t="s">
        <v>245</v>
      </c>
      <c r="J13019" s="599">
        <f t="shared" si="392"/>
        <v>0</v>
      </c>
    </row>
    <row r="13020" spans="5:10" hidden="1" x14ac:dyDescent="0.25">
      <c r="F13020" s="249" t="s">
        <v>246</v>
      </c>
      <c r="G13020" s="252" t="s">
        <v>247</v>
      </c>
      <c r="J13020" s="599">
        <f t="shared" si="392"/>
        <v>0</v>
      </c>
    </row>
    <row r="13021" spans="5:10" hidden="1" x14ac:dyDescent="0.25">
      <c r="F13021" s="249" t="s">
        <v>248</v>
      </c>
      <c r="G13021" s="252" t="s">
        <v>249</v>
      </c>
      <c r="J13021" s="599">
        <f t="shared" si="392"/>
        <v>0</v>
      </c>
    </row>
    <row r="13022" spans="5:10" hidden="1" x14ac:dyDescent="0.25">
      <c r="F13022" s="249" t="s">
        <v>250</v>
      </c>
      <c r="G13022" s="252" t="s">
        <v>57</v>
      </c>
      <c r="J13022" s="599">
        <f t="shared" si="392"/>
        <v>0</v>
      </c>
    </row>
    <row r="13023" spans="5:10" hidden="1" x14ac:dyDescent="0.25">
      <c r="F13023" s="249" t="s">
        <v>251</v>
      </c>
      <c r="G13023" s="252" t="s">
        <v>252</v>
      </c>
      <c r="J13023" s="599">
        <f t="shared" si="392"/>
        <v>0</v>
      </c>
    </row>
    <row r="13024" spans="5:10" hidden="1" x14ac:dyDescent="0.25">
      <c r="F13024" s="249" t="s">
        <v>253</v>
      </c>
      <c r="G13024" s="252" t="s">
        <v>254</v>
      </c>
      <c r="J13024" s="599">
        <f t="shared" si="392"/>
        <v>0</v>
      </c>
    </row>
    <row r="13025" spans="1:10" ht="30" hidden="1" x14ac:dyDescent="0.25">
      <c r="F13025" s="249" t="s">
        <v>255</v>
      </c>
      <c r="G13025" s="252" t="s">
        <v>256</v>
      </c>
      <c r="J13025" s="599">
        <f t="shared" si="392"/>
        <v>0</v>
      </c>
    </row>
    <row r="13026" spans="1:10" hidden="1" x14ac:dyDescent="0.25">
      <c r="F13026" s="249" t="s">
        <v>257</v>
      </c>
      <c r="G13026" s="252" t="s">
        <v>258</v>
      </c>
      <c r="J13026" s="599">
        <f t="shared" si="392"/>
        <v>0</v>
      </c>
    </row>
    <row r="13027" spans="1:10" ht="30" hidden="1" x14ac:dyDescent="0.25">
      <c r="F13027" s="249" t="s">
        <v>259</v>
      </c>
      <c r="G13027" s="252" t="s">
        <v>260</v>
      </c>
      <c r="J13027" s="599">
        <f t="shared" si="392"/>
        <v>0</v>
      </c>
    </row>
    <row r="13028" spans="1:10" hidden="1" x14ac:dyDescent="0.25">
      <c r="F13028" s="249" t="s">
        <v>261</v>
      </c>
      <c r="G13028" s="252" t="s">
        <v>262</v>
      </c>
      <c r="J13028" s="599">
        <f t="shared" si="392"/>
        <v>0</v>
      </c>
    </row>
    <row r="13029" spans="1:10" ht="15.75" hidden="1" thickBot="1" x14ac:dyDescent="0.3">
      <c r="F13029" s="249" t="s">
        <v>263</v>
      </c>
      <c r="G13029" s="252" t="s">
        <v>264</v>
      </c>
      <c r="H13029" s="598"/>
      <c r="I13029" s="599"/>
      <c r="J13029" s="599">
        <f t="shared" si="392"/>
        <v>0</v>
      </c>
    </row>
    <row r="13030" spans="1:10" ht="15.75" hidden="1" thickBot="1" x14ac:dyDescent="0.3">
      <c r="G13030" s="229" t="s">
        <v>5090</v>
      </c>
      <c r="H13030" s="600">
        <f>SUM(H13014:H13029)</f>
        <v>0</v>
      </c>
      <c r="I13030" s="601">
        <f>SUM(I13015:I13029)</f>
        <v>0</v>
      </c>
      <c r="J13030" s="601">
        <f>SUM(J13014:J13029)</f>
        <v>0</v>
      </c>
    </row>
    <row r="13031" spans="1:10" hidden="1" x14ac:dyDescent="0.25"/>
    <row r="13032" spans="1:10" hidden="1" x14ac:dyDescent="0.25">
      <c r="A13032" s="468">
        <v>4</v>
      </c>
      <c r="B13032" s="469" t="s">
        <v>4364</v>
      </c>
      <c r="C13032" s="468"/>
      <c r="D13032" s="470"/>
      <c r="E13032" s="471"/>
      <c r="F13032" s="471"/>
      <c r="G13032" s="472" t="s">
        <v>4344</v>
      </c>
      <c r="H13032" s="632"/>
      <c r="I13032" s="633"/>
      <c r="J13032" s="618"/>
    </row>
    <row r="13033" spans="1:10" ht="16.5" hidden="1" customHeight="1" x14ac:dyDescent="0.25">
      <c r="C13033" s="228" t="s">
        <v>3602</v>
      </c>
      <c r="G13033" s="475" t="s">
        <v>4338</v>
      </c>
    </row>
    <row r="13034" spans="1:10" hidden="1" x14ac:dyDescent="0.25">
      <c r="C13034" s="228" t="s">
        <v>4145</v>
      </c>
      <c r="D13034" s="219"/>
      <c r="G13034" s="475" t="s">
        <v>4339</v>
      </c>
    </row>
    <row r="13035" spans="1:10" hidden="1" x14ac:dyDescent="0.25">
      <c r="C13035" s="228"/>
      <c r="D13035" s="312">
        <v>820</v>
      </c>
      <c r="E13035" s="312"/>
      <c r="F13035" s="312"/>
      <c r="G13035" s="313" t="s">
        <v>207</v>
      </c>
    </row>
    <row r="13036" spans="1:10" hidden="1" x14ac:dyDescent="0.25">
      <c r="F13036" s="485">
        <v>411</v>
      </c>
      <c r="G13036" s="476" t="s">
        <v>4189</v>
      </c>
      <c r="J13036" s="595">
        <f>SUM(H13036:I13036)</f>
        <v>0</v>
      </c>
    </row>
    <row r="13037" spans="1:10" hidden="1" x14ac:dyDescent="0.25">
      <c r="F13037" s="485">
        <v>412</v>
      </c>
      <c r="G13037" s="473" t="s">
        <v>3784</v>
      </c>
      <c r="J13037" s="595">
        <f t="shared" ref="J13037:J13095" si="393">SUM(H13037:I13037)</f>
        <v>0</v>
      </c>
    </row>
    <row r="13038" spans="1:10" hidden="1" x14ac:dyDescent="0.25">
      <c r="F13038" s="485">
        <v>413</v>
      </c>
      <c r="G13038" s="476" t="s">
        <v>4190</v>
      </c>
      <c r="J13038" s="595">
        <f t="shared" si="393"/>
        <v>0</v>
      </c>
    </row>
    <row r="13039" spans="1:10" hidden="1" x14ac:dyDescent="0.25">
      <c r="F13039" s="485">
        <v>414</v>
      </c>
      <c r="G13039" s="476" t="s">
        <v>3787</v>
      </c>
      <c r="J13039" s="595">
        <f t="shared" si="393"/>
        <v>0</v>
      </c>
    </row>
    <row r="13040" spans="1:10" hidden="1" x14ac:dyDescent="0.25">
      <c r="F13040" s="485">
        <v>415</v>
      </c>
      <c r="G13040" s="476" t="s">
        <v>4199</v>
      </c>
      <c r="J13040" s="595">
        <f t="shared" si="393"/>
        <v>0</v>
      </c>
    </row>
    <row r="13041" spans="6:10" hidden="1" x14ac:dyDescent="0.25">
      <c r="F13041" s="485">
        <v>416</v>
      </c>
      <c r="G13041" s="476" t="s">
        <v>4200</v>
      </c>
      <c r="J13041" s="595">
        <f t="shared" si="393"/>
        <v>0</v>
      </c>
    </row>
    <row r="13042" spans="6:10" hidden="1" x14ac:dyDescent="0.25">
      <c r="F13042" s="485">
        <v>417</v>
      </c>
      <c r="G13042" s="476" t="s">
        <v>4201</v>
      </c>
      <c r="J13042" s="595">
        <f t="shared" si="393"/>
        <v>0</v>
      </c>
    </row>
    <row r="13043" spans="6:10" hidden="1" x14ac:dyDescent="0.25">
      <c r="F13043" s="485">
        <v>418</v>
      </c>
      <c r="G13043" s="476" t="s">
        <v>3793</v>
      </c>
      <c r="J13043" s="595">
        <f t="shared" si="393"/>
        <v>0</v>
      </c>
    </row>
    <row r="13044" spans="6:10" hidden="1" x14ac:dyDescent="0.25">
      <c r="F13044" s="485">
        <v>421</v>
      </c>
      <c r="G13044" s="476" t="s">
        <v>3797</v>
      </c>
      <c r="J13044" s="595">
        <f t="shared" si="393"/>
        <v>0</v>
      </c>
    </row>
    <row r="13045" spans="6:10" hidden="1" x14ac:dyDescent="0.25">
      <c r="F13045" s="485">
        <v>422</v>
      </c>
      <c r="G13045" s="476" t="s">
        <v>3798</v>
      </c>
      <c r="J13045" s="595">
        <f t="shared" si="393"/>
        <v>0</v>
      </c>
    </row>
    <row r="13046" spans="6:10" hidden="1" x14ac:dyDescent="0.25">
      <c r="F13046" s="485">
        <v>423</v>
      </c>
      <c r="G13046" s="476" t="s">
        <v>3799</v>
      </c>
      <c r="J13046" s="595">
        <f t="shared" si="393"/>
        <v>0</v>
      </c>
    </row>
    <row r="13047" spans="6:10" hidden="1" x14ac:dyDescent="0.25">
      <c r="F13047" s="485">
        <v>424</v>
      </c>
      <c r="G13047" s="476" t="s">
        <v>3801</v>
      </c>
      <c r="J13047" s="595">
        <f t="shared" si="393"/>
        <v>0</v>
      </c>
    </row>
    <row r="13048" spans="6:10" hidden="1" x14ac:dyDescent="0.25">
      <c r="F13048" s="485">
        <v>425</v>
      </c>
      <c r="G13048" s="476" t="s">
        <v>4202</v>
      </c>
      <c r="J13048" s="595">
        <f t="shared" si="393"/>
        <v>0</v>
      </c>
    </row>
    <row r="13049" spans="6:10" hidden="1" x14ac:dyDescent="0.25">
      <c r="F13049" s="485">
        <v>426</v>
      </c>
      <c r="G13049" s="476" t="s">
        <v>3805</v>
      </c>
      <c r="J13049" s="595">
        <f t="shared" si="393"/>
        <v>0</v>
      </c>
    </row>
    <row r="13050" spans="6:10" hidden="1" x14ac:dyDescent="0.25">
      <c r="F13050" s="485">
        <v>431</v>
      </c>
      <c r="G13050" s="476" t="s">
        <v>4203</v>
      </c>
      <c r="J13050" s="595">
        <f t="shared" si="393"/>
        <v>0</v>
      </c>
    </row>
    <row r="13051" spans="6:10" hidden="1" x14ac:dyDescent="0.25">
      <c r="F13051" s="485">
        <v>432</v>
      </c>
      <c r="G13051" s="476" t="s">
        <v>4204</v>
      </c>
      <c r="J13051" s="595">
        <f t="shared" si="393"/>
        <v>0</v>
      </c>
    </row>
    <row r="13052" spans="6:10" hidden="1" x14ac:dyDescent="0.25">
      <c r="F13052" s="485">
        <v>433</v>
      </c>
      <c r="G13052" s="476" t="s">
        <v>4205</v>
      </c>
      <c r="J13052" s="595">
        <f t="shared" si="393"/>
        <v>0</v>
      </c>
    </row>
    <row r="13053" spans="6:10" hidden="1" x14ac:dyDescent="0.25">
      <c r="F13053" s="485">
        <v>434</v>
      </c>
      <c r="G13053" s="476" t="s">
        <v>4206</v>
      </c>
      <c r="J13053" s="595">
        <f t="shared" si="393"/>
        <v>0</v>
      </c>
    </row>
    <row r="13054" spans="6:10" hidden="1" x14ac:dyDescent="0.25">
      <c r="F13054" s="485">
        <v>435</v>
      </c>
      <c r="G13054" s="476" t="s">
        <v>3812</v>
      </c>
      <c r="J13054" s="595">
        <f t="shared" si="393"/>
        <v>0</v>
      </c>
    </row>
    <row r="13055" spans="6:10" hidden="1" x14ac:dyDescent="0.25">
      <c r="F13055" s="485">
        <v>441</v>
      </c>
      <c r="G13055" s="476" t="s">
        <v>4207</v>
      </c>
      <c r="J13055" s="595">
        <f t="shared" si="393"/>
        <v>0</v>
      </c>
    </row>
    <row r="13056" spans="6:10" hidden="1" x14ac:dyDescent="0.25">
      <c r="F13056" s="485">
        <v>442</v>
      </c>
      <c r="G13056" s="476" t="s">
        <v>4208</v>
      </c>
      <c r="J13056" s="595">
        <f t="shared" si="393"/>
        <v>0</v>
      </c>
    </row>
    <row r="13057" spans="6:10" hidden="1" x14ac:dyDescent="0.25">
      <c r="F13057" s="485">
        <v>443</v>
      </c>
      <c r="G13057" s="476" t="s">
        <v>3817</v>
      </c>
      <c r="J13057" s="595">
        <f t="shared" si="393"/>
        <v>0</v>
      </c>
    </row>
    <row r="13058" spans="6:10" hidden="1" x14ac:dyDescent="0.25">
      <c r="F13058" s="485">
        <v>444</v>
      </c>
      <c r="G13058" s="476" t="s">
        <v>3818</v>
      </c>
      <c r="J13058" s="595">
        <f t="shared" si="393"/>
        <v>0</v>
      </c>
    </row>
    <row r="13059" spans="6:10" ht="30" hidden="1" x14ac:dyDescent="0.25">
      <c r="F13059" s="485">
        <v>4511</v>
      </c>
      <c r="G13059" s="223" t="s">
        <v>1692</v>
      </c>
      <c r="J13059" s="595">
        <f t="shared" si="393"/>
        <v>0</v>
      </c>
    </row>
    <row r="13060" spans="6:10" ht="19.5" hidden="1" customHeight="1" x14ac:dyDescent="0.25">
      <c r="F13060" s="485">
        <v>4512</v>
      </c>
      <c r="G13060" s="223" t="s">
        <v>1701</v>
      </c>
      <c r="J13060" s="595">
        <f t="shared" si="393"/>
        <v>0</v>
      </c>
    </row>
    <row r="13061" spans="6:10" hidden="1" x14ac:dyDescent="0.25">
      <c r="F13061" s="485">
        <v>452</v>
      </c>
      <c r="G13061" s="476" t="s">
        <v>4209</v>
      </c>
      <c r="J13061" s="595">
        <f t="shared" si="393"/>
        <v>0</v>
      </c>
    </row>
    <row r="13062" spans="6:10" hidden="1" x14ac:dyDescent="0.25">
      <c r="F13062" s="485">
        <v>453</v>
      </c>
      <c r="G13062" s="476" t="s">
        <v>4210</v>
      </c>
      <c r="J13062" s="595">
        <f t="shared" si="393"/>
        <v>0</v>
      </c>
    </row>
    <row r="13063" spans="6:10" hidden="1" x14ac:dyDescent="0.25">
      <c r="F13063" s="485">
        <v>454</v>
      </c>
      <c r="G13063" s="476" t="s">
        <v>3823</v>
      </c>
      <c r="J13063" s="595">
        <f t="shared" si="393"/>
        <v>0</v>
      </c>
    </row>
    <row r="13064" spans="6:10" hidden="1" x14ac:dyDescent="0.25">
      <c r="F13064" s="485">
        <v>461</v>
      </c>
      <c r="G13064" s="476" t="s">
        <v>4191</v>
      </c>
      <c r="J13064" s="595">
        <f t="shared" si="393"/>
        <v>0</v>
      </c>
    </row>
    <row r="13065" spans="6:10" hidden="1" x14ac:dyDescent="0.25">
      <c r="F13065" s="485">
        <v>462</v>
      </c>
      <c r="G13065" s="476" t="s">
        <v>3826</v>
      </c>
      <c r="J13065" s="595">
        <f t="shared" si="393"/>
        <v>0</v>
      </c>
    </row>
    <row r="13066" spans="6:10" hidden="1" x14ac:dyDescent="0.25">
      <c r="F13066" s="485">
        <v>4631</v>
      </c>
      <c r="G13066" s="476" t="s">
        <v>3827</v>
      </c>
      <c r="J13066" s="595">
        <f t="shared" si="393"/>
        <v>0</v>
      </c>
    </row>
    <row r="13067" spans="6:10" hidden="1" x14ac:dyDescent="0.25">
      <c r="F13067" s="485">
        <v>4632</v>
      </c>
      <c r="G13067" s="476" t="s">
        <v>3828</v>
      </c>
      <c r="J13067" s="595">
        <f t="shared" si="393"/>
        <v>0</v>
      </c>
    </row>
    <row r="13068" spans="6:10" hidden="1" x14ac:dyDescent="0.25">
      <c r="F13068" s="485">
        <v>464</v>
      </c>
      <c r="G13068" s="476" t="s">
        <v>3829</v>
      </c>
      <c r="J13068" s="595">
        <f t="shared" si="393"/>
        <v>0</v>
      </c>
    </row>
    <row r="13069" spans="6:10" hidden="1" x14ac:dyDescent="0.25">
      <c r="F13069" s="485">
        <v>465</v>
      </c>
      <c r="G13069" s="476" t="s">
        <v>4192</v>
      </c>
      <c r="J13069" s="595">
        <f t="shared" si="393"/>
        <v>0</v>
      </c>
    </row>
    <row r="13070" spans="6:10" hidden="1" x14ac:dyDescent="0.25">
      <c r="F13070" s="485">
        <v>472</v>
      </c>
      <c r="G13070" s="476" t="s">
        <v>3833</v>
      </c>
      <c r="J13070" s="595">
        <f t="shared" si="393"/>
        <v>0</v>
      </c>
    </row>
    <row r="13071" spans="6:10" hidden="1" x14ac:dyDescent="0.25">
      <c r="F13071" s="485">
        <v>481</v>
      </c>
      <c r="G13071" s="476" t="s">
        <v>4211</v>
      </c>
      <c r="J13071" s="595">
        <f t="shared" si="393"/>
        <v>0</v>
      </c>
    </row>
    <row r="13072" spans="6:10" hidden="1" x14ac:dyDescent="0.25">
      <c r="F13072" s="485">
        <v>482</v>
      </c>
      <c r="G13072" s="476" t="s">
        <v>4212</v>
      </c>
      <c r="J13072" s="595">
        <f t="shared" si="393"/>
        <v>0</v>
      </c>
    </row>
    <row r="13073" spans="6:10" hidden="1" x14ac:dyDescent="0.25">
      <c r="F13073" s="485">
        <v>483</v>
      </c>
      <c r="G13073" s="478" t="s">
        <v>4213</v>
      </c>
      <c r="J13073" s="595">
        <f t="shared" si="393"/>
        <v>0</v>
      </c>
    </row>
    <row r="13074" spans="6:10" ht="30" hidden="1" x14ac:dyDescent="0.25">
      <c r="F13074" s="485">
        <v>484</v>
      </c>
      <c r="G13074" s="476" t="s">
        <v>4214</v>
      </c>
      <c r="J13074" s="595">
        <f t="shared" si="393"/>
        <v>0</v>
      </c>
    </row>
    <row r="13075" spans="6:10" ht="30" hidden="1" x14ac:dyDescent="0.25">
      <c r="F13075" s="485">
        <v>485</v>
      </c>
      <c r="G13075" s="476" t="s">
        <v>4215</v>
      </c>
      <c r="J13075" s="595">
        <f t="shared" si="393"/>
        <v>0</v>
      </c>
    </row>
    <row r="13076" spans="6:10" ht="30" hidden="1" x14ac:dyDescent="0.25">
      <c r="F13076" s="485">
        <v>489</v>
      </c>
      <c r="G13076" s="476" t="s">
        <v>3841</v>
      </c>
      <c r="J13076" s="595">
        <f t="shared" si="393"/>
        <v>0</v>
      </c>
    </row>
    <row r="13077" spans="6:10" hidden="1" x14ac:dyDescent="0.25">
      <c r="F13077" s="485">
        <v>494</v>
      </c>
      <c r="G13077" s="476" t="s">
        <v>4193</v>
      </c>
      <c r="J13077" s="595">
        <f t="shared" si="393"/>
        <v>0</v>
      </c>
    </row>
    <row r="13078" spans="6:10" ht="30" hidden="1" x14ac:dyDescent="0.25">
      <c r="F13078" s="485">
        <v>495</v>
      </c>
      <c r="G13078" s="476" t="s">
        <v>4194</v>
      </c>
      <c r="J13078" s="595">
        <f t="shared" si="393"/>
        <v>0</v>
      </c>
    </row>
    <row r="13079" spans="6:10" ht="30" hidden="1" x14ac:dyDescent="0.25">
      <c r="F13079" s="485">
        <v>496</v>
      </c>
      <c r="G13079" s="476" t="s">
        <v>4195</v>
      </c>
      <c r="J13079" s="595">
        <f t="shared" si="393"/>
        <v>0</v>
      </c>
    </row>
    <row r="13080" spans="6:10" hidden="1" x14ac:dyDescent="0.25">
      <c r="F13080" s="485">
        <v>499</v>
      </c>
      <c r="G13080" s="476" t="s">
        <v>4196</v>
      </c>
      <c r="J13080" s="595">
        <f t="shared" si="393"/>
        <v>0</v>
      </c>
    </row>
    <row r="13081" spans="6:10" hidden="1" x14ac:dyDescent="0.25">
      <c r="F13081" s="485">
        <v>511</v>
      </c>
      <c r="G13081" s="478" t="s">
        <v>4216</v>
      </c>
      <c r="J13081" s="595">
        <f t="shared" si="393"/>
        <v>0</v>
      </c>
    </row>
    <row r="13082" spans="6:10" ht="15.75" hidden="1" thickBot="1" x14ac:dyDescent="0.3">
      <c r="F13082" s="485">
        <v>512</v>
      </c>
      <c r="G13082" s="478" t="s">
        <v>4217</v>
      </c>
      <c r="J13082" s="595">
        <f t="shared" si="393"/>
        <v>0</v>
      </c>
    </row>
    <row r="13083" spans="6:10" hidden="1" x14ac:dyDescent="0.25">
      <c r="F13083" s="485">
        <v>513</v>
      </c>
      <c r="G13083" s="478" t="s">
        <v>4218</v>
      </c>
      <c r="J13083" s="595">
        <f t="shared" si="393"/>
        <v>0</v>
      </c>
    </row>
    <row r="13084" spans="6:10" hidden="1" x14ac:dyDescent="0.25">
      <c r="F13084" s="485">
        <v>514</v>
      </c>
      <c r="G13084" s="476" t="s">
        <v>4219</v>
      </c>
      <c r="J13084" s="595">
        <f t="shared" si="393"/>
        <v>0</v>
      </c>
    </row>
    <row r="13085" spans="6:10" hidden="1" x14ac:dyDescent="0.25">
      <c r="F13085" s="485">
        <v>515</v>
      </c>
      <c r="G13085" s="476" t="s">
        <v>3852</v>
      </c>
      <c r="J13085" s="595">
        <f t="shared" si="393"/>
        <v>0</v>
      </c>
    </row>
    <row r="13086" spans="6:10" hidden="1" x14ac:dyDescent="0.25">
      <c r="F13086" s="485">
        <v>521</v>
      </c>
      <c r="G13086" s="476" t="s">
        <v>4220</v>
      </c>
      <c r="J13086" s="595">
        <f t="shared" si="393"/>
        <v>0</v>
      </c>
    </row>
    <row r="13087" spans="6:10" hidden="1" x14ac:dyDescent="0.25">
      <c r="F13087" s="485">
        <v>522</v>
      </c>
      <c r="G13087" s="476" t="s">
        <v>4221</v>
      </c>
      <c r="J13087" s="595">
        <f t="shared" si="393"/>
        <v>0</v>
      </c>
    </row>
    <row r="13088" spans="6:10" hidden="1" x14ac:dyDescent="0.25">
      <c r="F13088" s="485">
        <v>523</v>
      </c>
      <c r="G13088" s="476" t="s">
        <v>3857</v>
      </c>
      <c r="J13088" s="595">
        <f t="shared" si="393"/>
        <v>0</v>
      </c>
    </row>
    <row r="13089" spans="5:10" hidden="1" x14ac:dyDescent="0.25">
      <c r="F13089" s="485">
        <v>531</v>
      </c>
      <c r="G13089" s="473" t="s">
        <v>4197</v>
      </c>
      <c r="J13089" s="595">
        <f t="shared" si="393"/>
        <v>0</v>
      </c>
    </row>
    <row r="13090" spans="5:10" hidden="1" x14ac:dyDescent="0.25">
      <c r="F13090" s="485">
        <v>541</v>
      </c>
      <c r="G13090" s="476" t="s">
        <v>4222</v>
      </c>
      <c r="J13090" s="595">
        <f t="shared" si="393"/>
        <v>0</v>
      </c>
    </row>
    <row r="13091" spans="5:10" hidden="1" x14ac:dyDescent="0.25">
      <c r="F13091" s="485">
        <v>542</v>
      </c>
      <c r="G13091" s="476" t="s">
        <v>4223</v>
      </c>
      <c r="J13091" s="595">
        <f t="shared" si="393"/>
        <v>0</v>
      </c>
    </row>
    <row r="13092" spans="5:10" hidden="1" x14ac:dyDescent="0.25">
      <c r="F13092" s="485">
        <v>543</v>
      </c>
      <c r="G13092" s="476" t="s">
        <v>3862</v>
      </c>
      <c r="J13092" s="595">
        <f t="shared" si="393"/>
        <v>0</v>
      </c>
    </row>
    <row r="13093" spans="5:10" ht="30" hidden="1" x14ac:dyDescent="0.25">
      <c r="F13093" s="485">
        <v>551</v>
      </c>
      <c r="G13093" s="476" t="s">
        <v>4198</v>
      </c>
      <c r="J13093" s="595">
        <f t="shared" si="393"/>
        <v>0</v>
      </c>
    </row>
    <row r="13094" spans="5:10" hidden="1" x14ac:dyDescent="0.25">
      <c r="F13094" s="486">
        <v>611</v>
      </c>
      <c r="G13094" s="484" t="s">
        <v>3868</v>
      </c>
      <c r="J13094" s="595">
        <f t="shared" si="393"/>
        <v>0</v>
      </c>
    </row>
    <row r="13095" spans="5:10" ht="15.75" hidden="1" thickBot="1" x14ac:dyDescent="0.3">
      <c r="F13095" s="486">
        <v>620</v>
      </c>
      <c r="G13095" s="484" t="s">
        <v>88</v>
      </c>
      <c r="J13095" s="595">
        <f t="shared" si="393"/>
        <v>0</v>
      </c>
    </row>
    <row r="13096" spans="5:10" hidden="1" x14ac:dyDescent="0.25">
      <c r="E13096" s="474"/>
      <c r="F13096" s="486"/>
      <c r="G13096" s="327" t="s">
        <v>4459</v>
      </c>
      <c r="H13096" s="596"/>
      <c r="I13096" s="622"/>
      <c r="J13096" s="597"/>
    </row>
    <row r="13097" spans="5:10" hidden="1" x14ac:dyDescent="0.25">
      <c r="E13097" s="222"/>
      <c r="F13097" s="249" t="s">
        <v>234</v>
      </c>
      <c r="G13097" s="252" t="s">
        <v>235</v>
      </c>
      <c r="H13097" s="598">
        <f>SUM(H13036:H13095)</f>
        <v>0</v>
      </c>
      <c r="I13097" s="599"/>
      <c r="J13097" s="599">
        <f t="shared" ref="J13097:J13112" si="394">SUM(H13097:I13097)</f>
        <v>0</v>
      </c>
    </row>
    <row r="13098" spans="5:10" hidden="1" x14ac:dyDescent="0.25">
      <c r="F13098" s="249" t="s">
        <v>236</v>
      </c>
      <c r="G13098" s="252" t="s">
        <v>237</v>
      </c>
      <c r="J13098" s="599">
        <f t="shared" si="394"/>
        <v>0</v>
      </c>
    </row>
    <row r="13099" spans="5:10" hidden="1" x14ac:dyDescent="0.25">
      <c r="F13099" s="249" t="s">
        <v>238</v>
      </c>
      <c r="G13099" s="252" t="s">
        <v>239</v>
      </c>
      <c r="J13099" s="599">
        <f t="shared" si="394"/>
        <v>0</v>
      </c>
    </row>
    <row r="13100" spans="5:10" ht="15.75" hidden="1" thickBot="1" x14ac:dyDescent="0.3">
      <c r="F13100" s="249" t="s">
        <v>240</v>
      </c>
      <c r="G13100" s="252" t="s">
        <v>241</v>
      </c>
      <c r="J13100" s="599">
        <f t="shared" si="394"/>
        <v>0</v>
      </c>
    </row>
    <row r="13101" spans="5:10" hidden="1" x14ac:dyDescent="0.25">
      <c r="F13101" s="249" t="s">
        <v>242</v>
      </c>
      <c r="G13101" s="252" t="s">
        <v>243</v>
      </c>
      <c r="J13101" s="599">
        <f t="shared" si="394"/>
        <v>0</v>
      </c>
    </row>
    <row r="13102" spans="5:10" hidden="1" x14ac:dyDescent="0.25">
      <c r="F13102" s="249" t="s">
        <v>244</v>
      </c>
      <c r="G13102" s="252" t="s">
        <v>245</v>
      </c>
      <c r="J13102" s="599">
        <f t="shared" si="394"/>
        <v>0</v>
      </c>
    </row>
    <row r="13103" spans="5:10" hidden="1" x14ac:dyDescent="0.25">
      <c r="F13103" s="249" t="s">
        <v>246</v>
      </c>
      <c r="G13103" s="252" t="s">
        <v>247</v>
      </c>
      <c r="J13103" s="599">
        <f t="shared" si="394"/>
        <v>0</v>
      </c>
    </row>
    <row r="13104" spans="5:10" hidden="1" x14ac:dyDescent="0.25">
      <c r="F13104" s="249" t="s">
        <v>248</v>
      </c>
      <c r="G13104" s="252" t="s">
        <v>249</v>
      </c>
      <c r="J13104" s="599">
        <f t="shared" si="394"/>
        <v>0</v>
      </c>
    </row>
    <row r="13105" spans="5:10" hidden="1" x14ac:dyDescent="0.25">
      <c r="F13105" s="249" t="s">
        <v>250</v>
      </c>
      <c r="G13105" s="252" t="s">
        <v>57</v>
      </c>
      <c r="J13105" s="599">
        <f t="shared" si="394"/>
        <v>0</v>
      </c>
    </row>
    <row r="13106" spans="5:10" hidden="1" x14ac:dyDescent="0.25">
      <c r="F13106" s="249" t="s">
        <v>251</v>
      </c>
      <c r="G13106" s="252" t="s">
        <v>252</v>
      </c>
      <c r="J13106" s="599">
        <f t="shared" si="394"/>
        <v>0</v>
      </c>
    </row>
    <row r="13107" spans="5:10" hidden="1" x14ac:dyDescent="0.25">
      <c r="F13107" s="249" t="s">
        <v>253</v>
      </c>
      <c r="G13107" s="252" t="s">
        <v>254</v>
      </c>
      <c r="J13107" s="599">
        <f t="shared" si="394"/>
        <v>0</v>
      </c>
    </row>
    <row r="13108" spans="5:10" ht="30" hidden="1" x14ac:dyDescent="0.25">
      <c r="F13108" s="249" t="s">
        <v>255</v>
      </c>
      <c r="G13108" s="252" t="s">
        <v>256</v>
      </c>
      <c r="J13108" s="599">
        <f t="shared" si="394"/>
        <v>0</v>
      </c>
    </row>
    <row r="13109" spans="5:10" hidden="1" x14ac:dyDescent="0.25">
      <c r="F13109" s="249" t="s">
        <v>257</v>
      </c>
      <c r="G13109" s="252" t="s">
        <v>258</v>
      </c>
      <c r="J13109" s="599">
        <f t="shared" si="394"/>
        <v>0</v>
      </c>
    </row>
    <row r="13110" spans="5:10" ht="30" hidden="1" x14ac:dyDescent="0.25">
      <c r="F13110" s="249" t="s">
        <v>259</v>
      </c>
      <c r="G13110" s="252" t="s">
        <v>260</v>
      </c>
      <c r="J13110" s="599">
        <f t="shared" si="394"/>
        <v>0</v>
      </c>
    </row>
    <row r="13111" spans="5:10" hidden="1" x14ac:dyDescent="0.25">
      <c r="F13111" s="249" t="s">
        <v>261</v>
      </c>
      <c r="G13111" s="252" t="s">
        <v>262</v>
      </c>
      <c r="J13111" s="599">
        <f t="shared" si="394"/>
        <v>0</v>
      </c>
    </row>
    <row r="13112" spans="5:10" ht="15.75" hidden="1" thickBot="1" x14ac:dyDescent="0.3">
      <c r="F13112" s="249" t="s">
        <v>263</v>
      </c>
      <c r="G13112" s="252" t="s">
        <v>264</v>
      </c>
      <c r="H13112" s="598"/>
      <c r="I13112" s="599"/>
      <c r="J13112" s="599">
        <f t="shared" si="394"/>
        <v>0</v>
      </c>
    </row>
    <row r="13113" spans="5:10" ht="15.75" hidden="1" thickBot="1" x14ac:dyDescent="0.3">
      <c r="G13113" s="229" t="s">
        <v>4460</v>
      </c>
      <c r="H13113" s="600">
        <f>SUM(H13097:H13112)</f>
        <v>0</v>
      </c>
      <c r="I13113" s="601">
        <f>SUM(I13098:I13112)</f>
        <v>0</v>
      </c>
      <c r="J13113" s="601">
        <f>SUM(J13097:J13112)</f>
        <v>0</v>
      </c>
    </row>
    <row r="13114" spans="5:10" ht="28.5" hidden="1" collapsed="1" x14ac:dyDescent="0.25">
      <c r="E13114" s="474"/>
      <c r="F13114" s="486"/>
      <c r="G13114" s="231" t="s">
        <v>4461</v>
      </c>
      <c r="H13114" s="602"/>
      <c r="I13114" s="623"/>
      <c r="J13114" s="603"/>
    </row>
    <row r="13115" spans="5:10" hidden="1" x14ac:dyDescent="0.25">
      <c r="E13115" s="222"/>
      <c r="F13115" s="249" t="s">
        <v>234</v>
      </c>
      <c r="G13115" s="252" t="s">
        <v>235</v>
      </c>
      <c r="H13115" s="598">
        <f>SUM(H13036:H13095)</f>
        <v>0</v>
      </c>
      <c r="I13115" s="599"/>
      <c r="J13115" s="599">
        <f>SUM(H13115:I13115)</f>
        <v>0</v>
      </c>
    </row>
    <row r="13116" spans="5:10" hidden="1" x14ac:dyDescent="0.25">
      <c r="F13116" s="249" t="s">
        <v>236</v>
      </c>
      <c r="G13116" s="252" t="s">
        <v>237</v>
      </c>
      <c r="J13116" s="599">
        <f t="shared" ref="J13116:J13130" si="395">SUM(H13116:I13116)</f>
        <v>0</v>
      </c>
    </row>
    <row r="13117" spans="5:10" hidden="1" x14ac:dyDescent="0.25">
      <c r="F13117" s="249" t="s">
        <v>238</v>
      </c>
      <c r="G13117" s="252" t="s">
        <v>239</v>
      </c>
      <c r="J13117" s="599">
        <f t="shared" si="395"/>
        <v>0</v>
      </c>
    </row>
    <row r="13118" spans="5:10" ht="15.75" hidden="1" thickBot="1" x14ac:dyDescent="0.3">
      <c r="F13118" s="249" t="s">
        <v>240</v>
      </c>
      <c r="G13118" s="252" t="s">
        <v>241</v>
      </c>
      <c r="J13118" s="599">
        <f t="shared" si="395"/>
        <v>0</v>
      </c>
    </row>
    <row r="13119" spans="5:10" hidden="1" x14ac:dyDescent="0.25">
      <c r="F13119" s="249" t="s">
        <v>242</v>
      </c>
      <c r="G13119" s="252" t="s">
        <v>243</v>
      </c>
      <c r="J13119" s="599">
        <f t="shared" si="395"/>
        <v>0</v>
      </c>
    </row>
    <row r="13120" spans="5:10" hidden="1" x14ac:dyDescent="0.25">
      <c r="F13120" s="249" t="s">
        <v>244</v>
      </c>
      <c r="G13120" s="252" t="s">
        <v>245</v>
      </c>
      <c r="J13120" s="599">
        <f t="shared" si="395"/>
        <v>0</v>
      </c>
    </row>
    <row r="13121" spans="3:10" hidden="1" x14ac:dyDescent="0.25">
      <c r="F13121" s="249" t="s">
        <v>246</v>
      </c>
      <c r="G13121" s="252" t="s">
        <v>247</v>
      </c>
      <c r="J13121" s="599">
        <f t="shared" si="395"/>
        <v>0</v>
      </c>
    </row>
    <row r="13122" spans="3:10" hidden="1" x14ac:dyDescent="0.25">
      <c r="F13122" s="249" t="s">
        <v>248</v>
      </c>
      <c r="G13122" s="252" t="s">
        <v>249</v>
      </c>
      <c r="J13122" s="599">
        <f t="shared" si="395"/>
        <v>0</v>
      </c>
    </row>
    <row r="13123" spans="3:10" hidden="1" x14ac:dyDescent="0.25">
      <c r="F13123" s="249" t="s">
        <v>250</v>
      </c>
      <c r="G13123" s="252" t="s">
        <v>57</v>
      </c>
      <c r="J13123" s="599">
        <f t="shared" si="395"/>
        <v>0</v>
      </c>
    </row>
    <row r="13124" spans="3:10" hidden="1" x14ac:dyDescent="0.25">
      <c r="F13124" s="249" t="s">
        <v>251</v>
      </c>
      <c r="G13124" s="252" t="s">
        <v>252</v>
      </c>
      <c r="J13124" s="599">
        <f t="shared" si="395"/>
        <v>0</v>
      </c>
    </row>
    <row r="13125" spans="3:10" hidden="1" x14ac:dyDescent="0.25">
      <c r="F13125" s="249" t="s">
        <v>253</v>
      </c>
      <c r="G13125" s="252" t="s">
        <v>254</v>
      </c>
      <c r="J13125" s="599">
        <f t="shared" si="395"/>
        <v>0</v>
      </c>
    </row>
    <row r="13126" spans="3:10" ht="30" hidden="1" x14ac:dyDescent="0.25">
      <c r="F13126" s="249" t="s">
        <v>255</v>
      </c>
      <c r="G13126" s="252" t="s">
        <v>256</v>
      </c>
      <c r="J13126" s="599">
        <f t="shared" si="395"/>
        <v>0</v>
      </c>
    </row>
    <row r="13127" spans="3:10" hidden="1" x14ac:dyDescent="0.25">
      <c r="F13127" s="249" t="s">
        <v>257</v>
      </c>
      <c r="G13127" s="252" t="s">
        <v>258</v>
      </c>
      <c r="J13127" s="599">
        <f t="shared" si="395"/>
        <v>0</v>
      </c>
    </row>
    <row r="13128" spans="3:10" ht="30" hidden="1" x14ac:dyDescent="0.25">
      <c r="F13128" s="249" t="s">
        <v>259</v>
      </c>
      <c r="G13128" s="252" t="s">
        <v>260</v>
      </c>
      <c r="J13128" s="599">
        <f t="shared" si="395"/>
        <v>0</v>
      </c>
    </row>
    <row r="13129" spans="3:10" hidden="1" x14ac:dyDescent="0.25">
      <c r="F13129" s="249" t="s">
        <v>261</v>
      </c>
      <c r="G13129" s="252" t="s">
        <v>262</v>
      </c>
      <c r="J13129" s="599">
        <f t="shared" si="395"/>
        <v>0</v>
      </c>
    </row>
    <row r="13130" spans="3:10" ht="15.75" hidden="1" thickBot="1" x14ac:dyDescent="0.3">
      <c r="F13130" s="249" t="s">
        <v>263</v>
      </c>
      <c r="G13130" s="252" t="s">
        <v>264</v>
      </c>
      <c r="H13130" s="598"/>
      <c r="I13130" s="599"/>
      <c r="J13130" s="599">
        <f t="shared" si="395"/>
        <v>0</v>
      </c>
    </row>
    <row r="13131" spans="3:10" ht="15.75" hidden="1" collapsed="1" thickBot="1" x14ac:dyDescent="0.3">
      <c r="G13131" s="229" t="s">
        <v>4462</v>
      </c>
      <c r="H13131" s="600">
        <f>SUM(H13115:H13130)</f>
        <v>0</v>
      </c>
      <c r="I13131" s="601">
        <f>SUM(I13116:I13130)</f>
        <v>0</v>
      </c>
      <c r="J13131" s="601">
        <f>SUM(J13115:J13130)</f>
        <v>0</v>
      </c>
    </row>
    <row r="13132" spans="3:10" hidden="1" x14ac:dyDescent="0.25"/>
    <row r="13133" spans="3:10" hidden="1" x14ac:dyDescent="0.25">
      <c r="C13133" s="228" t="s">
        <v>4866</v>
      </c>
      <c r="D13133" s="219"/>
      <c r="G13133" s="477" t="s">
        <v>4254</v>
      </c>
    </row>
    <row r="13134" spans="3:10" hidden="1" x14ac:dyDescent="0.25">
      <c r="C13134" s="228"/>
      <c r="D13134" s="312">
        <v>820</v>
      </c>
      <c r="E13134" s="312"/>
      <c r="F13134" s="312"/>
      <c r="G13134" s="313" t="s">
        <v>207</v>
      </c>
    </row>
    <row r="13135" spans="3:10" hidden="1" x14ac:dyDescent="0.25">
      <c r="F13135" s="485">
        <v>411</v>
      </c>
      <c r="G13135" s="476" t="s">
        <v>4189</v>
      </c>
      <c r="J13135" s="595">
        <f>SUM(H13135:I13135)</f>
        <v>0</v>
      </c>
    </row>
    <row r="13136" spans="3:10" hidden="1" x14ac:dyDescent="0.25">
      <c r="F13136" s="485">
        <v>412</v>
      </c>
      <c r="G13136" s="473" t="s">
        <v>3784</v>
      </c>
      <c r="J13136" s="595">
        <f t="shared" ref="J13136:J13194" si="396">SUM(H13136:I13136)</f>
        <v>0</v>
      </c>
    </row>
    <row r="13137" spans="6:10" hidden="1" x14ac:dyDescent="0.25">
      <c r="F13137" s="485">
        <v>413</v>
      </c>
      <c r="G13137" s="476" t="s">
        <v>4190</v>
      </c>
      <c r="J13137" s="595">
        <f t="shared" si="396"/>
        <v>0</v>
      </c>
    </row>
    <row r="13138" spans="6:10" hidden="1" x14ac:dyDescent="0.25">
      <c r="F13138" s="485">
        <v>414</v>
      </c>
      <c r="G13138" s="476" t="s">
        <v>3787</v>
      </c>
      <c r="J13138" s="595">
        <f t="shared" si="396"/>
        <v>0</v>
      </c>
    </row>
    <row r="13139" spans="6:10" hidden="1" x14ac:dyDescent="0.25">
      <c r="F13139" s="485">
        <v>415</v>
      </c>
      <c r="G13139" s="476" t="s">
        <v>4199</v>
      </c>
      <c r="J13139" s="595">
        <f t="shared" si="396"/>
        <v>0</v>
      </c>
    </row>
    <row r="13140" spans="6:10" hidden="1" x14ac:dyDescent="0.25">
      <c r="F13140" s="485">
        <v>416</v>
      </c>
      <c r="G13140" s="476" t="s">
        <v>4200</v>
      </c>
      <c r="J13140" s="595">
        <f t="shared" si="396"/>
        <v>0</v>
      </c>
    </row>
    <row r="13141" spans="6:10" hidden="1" x14ac:dyDescent="0.25">
      <c r="F13141" s="485">
        <v>417</v>
      </c>
      <c r="G13141" s="476" t="s">
        <v>4201</v>
      </c>
      <c r="J13141" s="595">
        <f t="shared" si="396"/>
        <v>0</v>
      </c>
    </row>
    <row r="13142" spans="6:10" hidden="1" x14ac:dyDescent="0.25">
      <c r="F13142" s="485">
        <v>418</v>
      </c>
      <c r="G13142" s="476" t="s">
        <v>3793</v>
      </c>
      <c r="J13142" s="595">
        <f t="shared" si="396"/>
        <v>0</v>
      </c>
    </row>
    <row r="13143" spans="6:10" hidden="1" x14ac:dyDescent="0.25">
      <c r="F13143" s="485">
        <v>421</v>
      </c>
      <c r="G13143" s="476" t="s">
        <v>3797</v>
      </c>
      <c r="J13143" s="595">
        <f t="shared" si="396"/>
        <v>0</v>
      </c>
    </row>
    <row r="13144" spans="6:10" hidden="1" x14ac:dyDescent="0.25">
      <c r="F13144" s="485">
        <v>422</v>
      </c>
      <c r="G13144" s="476" t="s">
        <v>3798</v>
      </c>
      <c r="J13144" s="595">
        <f t="shared" si="396"/>
        <v>0</v>
      </c>
    </row>
    <row r="13145" spans="6:10" hidden="1" x14ac:dyDescent="0.25">
      <c r="F13145" s="485">
        <v>423</v>
      </c>
      <c r="G13145" s="476" t="s">
        <v>3799</v>
      </c>
      <c r="J13145" s="595">
        <f t="shared" si="396"/>
        <v>0</v>
      </c>
    </row>
    <row r="13146" spans="6:10" hidden="1" x14ac:dyDescent="0.25">
      <c r="F13146" s="485">
        <v>424</v>
      </c>
      <c r="G13146" s="476" t="s">
        <v>3801</v>
      </c>
      <c r="J13146" s="595">
        <f t="shared" si="396"/>
        <v>0</v>
      </c>
    </row>
    <row r="13147" spans="6:10" hidden="1" x14ac:dyDescent="0.25">
      <c r="F13147" s="485">
        <v>425</v>
      </c>
      <c r="G13147" s="476" t="s">
        <v>4202</v>
      </c>
      <c r="J13147" s="595">
        <f t="shared" si="396"/>
        <v>0</v>
      </c>
    </row>
    <row r="13148" spans="6:10" ht="15.75" hidden="1" thickBot="1" x14ac:dyDescent="0.3">
      <c r="F13148" s="485">
        <v>426</v>
      </c>
      <c r="G13148" s="476" t="s">
        <v>3805</v>
      </c>
      <c r="J13148" s="595">
        <f t="shared" si="396"/>
        <v>0</v>
      </c>
    </row>
    <row r="13149" spans="6:10" hidden="1" x14ac:dyDescent="0.25">
      <c r="F13149" s="485">
        <v>431</v>
      </c>
      <c r="G13149" s="476" t="s">
        <v>4203</v>
      </c>
      <c r="J13149" s="595">
        <f t="shared" si="396"/>
        <v>0</v>
      </c>
    </row>
    <row r="13150" spans="6:10" hidden="1" x14ac:dyDescent="0.25">
      <c r="F13150" s="485">
        <v>432</v>
      </c>
      <c r="G13150" s="476" t="s">
        <v>4204</v>
      </c>
      <c r="J13150" s="595">
        <f t="shared" si="396"/>
        <v>0</v>
      </c>
    </row>
    <row r="13151" spans="6:10" hidden="1" x14ac:dyDescent="0.25">
      <c r="F13151" s="485">
        <v>433</v>
      </c>
      <c r="G13151" s="476" t="s">
        <v>4205</v>
      </c>
      <c r="J13151" s="595">
        <f t="shared" si="396"/>
        <v>0</v>
      </c>
    </row>
    <row r="13152" spans="6:10" hidden="1" x14ac:dyDescent="0.25">
      <c r="F13152" s="485">
        <v>434</v>
      </c>
      <c r="G13152" s="476" t="s">
        <v>4206</v>
      </c>
      <c r="J13152" s="595">
        <f t="shared" si="396"/>
        <v>0</v>
      </c>
    </row>
    <row r="13153" spans="6:10" hidden="1" x14ac:dyDescent="0.25">
      <c r="F13153" s="485">
        <v>435</v>
      </c>
      <c r="G13153" s="476" t="s">
        <v>3812</v>
      </c>
      <c r="J13153" s="595">
        <f t="shared" si="396"/>
        <v>0</v>
      </c>
    </row>
    <row r="13154" spans="6:10" hidden="1" x14ac:dyDescent="0.25">
      <c r="F13154" s="485">
        <v>441</v>
      </c>
      <c r="G13154" s="476" t="s">
        <v>4207</v>
      </c>
      <c r="J13154" s="595">
        <f t="shared" si="396"/>
        <v>0</v>
      </c>
    </row>
    <row r="13155" spans="6:10" hidden="1" x14ac:dyDescent="0.25">
      <c r="F13155" s="485">
        <v>442</v>
      </c>
      <c r="G13155" s="476" t="s">
        <v>4208</v>
      </c>
      <c r="J13155" s="595">
        <f t="shared" si="396"/>
        <v>0</v>
      </c>
    </row>
    <row r="13156" spans="6:10" hidden="1" x14ac:dyDescent="0.25">
      <c r="F13156" s="485">
        <v>443</v>
      </c>
      <c r="G13156" s="476" t="s">
        <v>3817</v>
      </c>
      <c r="J13156" s="595">
        <f t="shared" si="396"/>
        <v>0</v>
      </c>
    </row>
    <row r="13157" spans="6:10" hidden="1" x14ac:dyDescent="0.25">
      <c r="F13157" s="485">
        <v>444</v>
      </c>
      <c r="G13157" s="476" t="s">
        <v>3818</v>
      </c>
      <c r="J13157" s="595">
        <f t="shared" si="396"/>
        <v>0</v>
      </c>
    </row>
    <row r="13158" spans="6:10" ht="30" hidden="1" x14ac:dyDescent="0.25">
      <c r="F13158" s="485">
        <v>4511</v>
      </c>
      <c r="G13158" s="223" t="s">
        <v>1692</v>
      </c>
      <c r="J13158" s="595">
        <f t="shared" si="396"/>
        <v>0</v>
      </c>
    </row>
    <row r="13159" spans="6:10" ht="30" hidden="1" x14ac:dyDescent="0.25">
      <c r="F13159" s="485">
        <v>4512</v>
      </c>
      <c r="G13159" s="223" t="s">
        <v>1701</v>
      </c>
      <c r="J13159" s="595">
        <f t="shared" si="396"/>
        <v>0</v>
      </c>
    </row>
    <row r="13160" spans="6:10" hidden="1" x14ac:dyDescent="0.25">
      <c r="F13160" s="485">
        <v>452</v>
      </c>
      <c r="G13160" s="476" t="s">
        <v>4209</v>
      </c>
      <c r="J13160" s="595">
        <f t="shared" si="396"/>
        <v>0</v>
      </c>
    </row>
    <row r="13161" spans="6:10" hidden="1" x14ac:dyDescent="0.25">
      <c r="F13161" s="485">
        <v>453</v>
      </c>
      <c r="G13161" s="476" t="s">
        <v>4210</v>
      </c>
      <c r="J13161" s="595">
        <f t="shared" si="396"/>
        <v>0</v>
      </c>
    </row>
    <row r="13162" spans="6:10" hidden="1" x14ac:dyDescent="0.25">
      <c r="F13162" s="485">
        <v>454</v>
      </c>
      <c r="G13162" s="476" t="s">
        <v>3823</v>
      </c>
      <c r="J13162" s="595">
        <f t="shared" si="396"/>
        <v>0</v>
      </c>
    </row>
    <row r="13163" spans="6:10" hidden="1" x14ac:dyDescent="0.25">
      <c r="F13163" s="485">
        <v>461</v>
      </c>
      <c r="G13163" s="476" t="s">
        <v>4191</v>
      </c>
      <c r="J13163" s="595">
        <f t="shared" si="396"/>
        <v>0</v>
      </c>
    </row>
    <row r="13164" spans="6:10" hidden="1" x14ac:dyDescent="0.25">
      <c r="F13164" s="485">
        <v>462</v>
      </c>
      <c r="G13164" s="476" t="s">
        <v>3826</v>
      </c>
      <c r="J13164" s="595">
        <f t="shared" si="396"/>
        <v>0</v>
      </c>
    </row>
    <row r="13165" spans="6:10" hidden="1" x14ac:dyDescent="0.25">
      <c r="F13165" s="485">
        <v>4631</v>
      </c>
      <c r="G13165" s="476" t="s">
        <v>3827</v>
      </c>
      <c r="J13165" s="595">
        <f t="shared" si="396"/>
        <v>0</v>
      </c>
    </row>
    <row r="13166" spans="6:10" hidden="1" x14ac:dyDescent="0.25">
      <c r="F13166" s="485">
        <v>4632</v>
      </c>
      <c r="G13166" s="476" t="s">
        <v>3828</v>
      </c>
      <c r="J13166" s="595">
        <f t="shared" si="396"/>
        <v>0</v>
      </c>
    </row>
    <row r="13167" spans="6:10" hidden="1" x14ac:dyDescent="0.25">
      <c r="F13167" s="485">
        <v>464</v>
      </c>
      <c r="G13167" s="476" t="s">
        <v>3829</v>
      </c>
      <c r="J13167" s="595">
        <f t="shared" si="396"/>
        <v>0</v>
      </c>
    </row>
    <row r="13168" spans="6:10" hidden="1" x14ac:dyDescent="0.25">
      <c r="F13168" s="485">
        <v>465</v>
      </c>
      <c r="G13168" s="476" t="s">
        <v>4192</v>
      </c>
      <c r="J13168" s="595">
        <f t="shared" si="396"/>
        <v>0</v>
      </c>
    </row>
    <row r="13169" spans="6:10" hidden="1" x14ac:dyDescent="0.25">
      <c r="F13169" s="485">
        <v>472</v>
      </c>
      <c r="G13169" s="476" t="s">
        <v>3833</v>
      </c>
      <c r="J13169" s="595">
        <f t="shared" si="396"/>
        <v>0</v>
      </c>
    </row>
    <row r="13170" spans="6:10" hidden="1" x14ac:dyDescent="0.25">
      <c r="F13170" s="485">
        <v>481</v>
      </c>
      <c r="G13170" s="476" t="s">
        <v>4211</v>
      </c>
      <c r="J13170" s="595">
        <f t="shared" si="396"/>
        <v>0</v>
      </c>
    </row>
    <row r="13171" spans="6:10" hidden="1" x14ac:dyDescent="0.25">
      <c r="F13171" s="485">
        <v>482</v>
      </c>
      <c r="G13171" s="476" t="s">
        <v>4212</v>
      </c>
      <c r="J13171" s="595">
        <f t="shared" si="396"/>
        <v>0</v>
      </c>
    </row>
    <row r="13172" spans="6:10" hidden="1" x14ac:dyDescent="0.25">
      <c r="F13172" s="485">
        <v>483</v>
      </c>
      <c r="G13172" s="478" t="s">
        <v>4213</v>
      </c>
      <c r="J13172" s="595">
        <f t="shared" si="396"/>
        <v>0</v>
      </c>
    </row>
    <row r="13173" spans="6:10" ht="30" hidden="1" x14ac:dyDescent="0.25">
      <c r="F13173" s="485">
        <v>484</v>
      </c>
      <c r="G13173" s="476" t="s">
        <v>4214</v>
      </c>
      <c r="J13173" s="595">
        <f t="shared" si="396"/>
        <v>0</v>
      </c>
    </row>
    <row r="13174" spans="6:10" ht="30" hidden="1" x14ac:dyDescent="0.25">
      <c r="F13174" s="485">
        <v>485</v>
      </c>
      <c r="G13174" s="476" t="s">
        <v>4215</v>
      </c>
      <c r="J13174" s="595">
        <f t="shared" si="396"/>
        <v>0</v>
      </c>
    </row>
    <row r="13175" spans="6:10" ht="30" hidden="1" x14ac:dyDescent="0.25">
      <c r="F13175" s="485">
        <v>489</v>
      </c>
      <c r="G13175" s="476" t="s">
        <v>3841</v>
      </c>
      <c r="J13175" s="595">
        <f t="shared" si="396"/>
        <v>0</v>
      </c>
    </row>
    <row r="13176" spans="6:10" hidden="1" x14ac:dyDescent="0.25">
      <c r="F13176" s="485">
        <v>494</v>
      </c>
      <c r="G13176" s="476" t="s">
        <v>4193</v>
      </c>
      <c r="J13176" s="595">
        <f t="shared" si="396"/>
        <v>0</v>
      </c>
    </row>
    <row r="13177" spans="6:10" ht="30" hidden="1" x14ac:dyDescent="0.25">
      <c r="F13177" s="485">
        <v>495</v>
      </c>
      <c r="G13177" s="476" t="s">
        <v>4194</v>
      </c>
      <c r="J13177" s="595">
        <f t="shared" si="396"/>
        <v>0</v>
      </c>
    </row>
    <row r="13178" spans="6:10" ht="30" hidden="1" x14ac:dyDescent="0.25">
      <c r="F13178" s="485">
        <v>496</v>
      </c>
      <c r="G13178" s="476" t="s">
        <v>4195</v>
      </c>
      <c r="J13178" s="595">
        <f t="shared" si="396"/>
        <v>0</v>
      </c>
    </row>
    <row r="13179" spans="6:10" hidden="1" x14ac:dyDescent="0.25">
      <c r="F13179" s="485">
        <v>499</v>
      </c>
      <c r="G13179" s="476" t="s">
        <v>4196</v>
      </c>
      <c r="J13179" s="595">
        <f t="shared" si="396"/>
        <v>0</v>
      </c>
    </row>
    <row r="13180" spans="6:10" hidden="1" x14ac:dyDescent="0.25">
      <c r="F13180" s="485">
        <v>511</v>
      </c>
      <c r="G13180" s="478" t="s">
        <v>4216</v>
      </c>
      <c r="J13180" s="595">
        <f t="shared" si="396"/>
        <v>0</v>
      </c>
    </row>
    <row r="13181" spans="6:10" hidden="1" x14ac:dyDescent="0.25">
      <c r="F13181" s="485">
        <v>512</v>
      </c>
      <c r="G13181" s="478" t="s">
        <v>4217</v>
      </c>
      <c r="J13181" s="595">
        <f t="shared" si="396"/>
        <v>0</v>
      </c>
    </row>
    <row r="13182" spans="6:10" hidden="1" x14ac:dyDescent="0.25">
      <c r="F13182" s="485">
        <v>513</v>
      </c>
      <c r="G13182" s="478" t="s">
        <v>4218</v>
      </c>
      <c r="J13182" s="595">
        <f t="shared" si="396"/>
        <v>0</v>
      </c>
    </row>
    <row r="13183" spans="6:10" hidden="1" x14ac:dyDescent="0.25">
      <c r="F13183" s="485">
        <v>514</v>
      </c>
      <c r="G13183" s="476" t="s">
        <v>4219</v>
      </c>
      <c r="J13183" s="595">
        <f t="shared" si="396"/>
        <v>0</v>
      </c>
    </row>
    <row r="13184" spans="6:10" hidden="1" x14ac:dyDescent="0.25">
      <c r="F13184" s="485">
        <v>515</v>
      </c>
      <c r="G13184" s="476" t="s">
        <v>3852</v>
      </c>
      <c r="J13184" s="595">
        <f t="shared" si="396"/>
        <v>0</v>
      </c>
    </row>
    <row r="13185" spans="5:10" hidden="1" x14ac:dyDescent="0.25">
      <c r="F13185" s="485">
        <v>521</v>
      </c>
      <c r="G13185" s="476" t="s">
        <v>4220</v>
      </c>
      <c r="J13185" s="595">
        <f t="shared" si="396"/>
        <v>0</v>
      </c>
    </row>
    <row r="13186" spans="5:10" hidden="1" x14ac:dyDescent="0.25">
      <c r="F13186" s="485">
        <v>522</v>
      </c>
      <c r="G13186" s="476" t="s">
        <v>4221</v>
      </c>
      <c r="J13186" s="595">
        <f t="shared" si="396"/>
        <v>0</v>
      </c>
    </row>
    <row r="13187" spans="5:10" hidden="1" x14ac:dyDescent="0.25">
      <c r="F13187" s="485">
        <v>523</v>
      </c>
      <c r="G13187" s="476" t="s">
        <v>3857</v>
      </c>
      <c r="J13187" s="595">
        <f t="shared" si="396"/>
        <v>0</v>
      </c>
    </row>
    <row r="13188" spans="5:10" hidden="1" x14ac:dyDescent="0.25">
      <c r="F13188" s="485">
        <v>531</v>
      </c>
      <c r="G13188" s="473" t="s">
        <v>4197</v>
      </c>
      <c r="J13188" s="595">
        <f t="shared" si="396"/>
        <v>0</v>
      </c>
    </row>
    <row r="13189" spans="5:10" hidden="1" x14ac:dyDescent="0.25">
      <c r="F13189" s="485">
        <v>541</v>
      </c>
      <c r="G13189" s="476" t="s">
        <v>4222</v>
      </c>
      <c r="J13189" s="595">
        <f t="shared" si="396"/>
        <v>0</v>
      </c>
    </row>
    <row r="13190" spans="5:10" hidden="1" x14ac:dyDescent="0.25">
      <c r="F13190" s="485">
        <v>542</v>
      </c>
      <c r="G13190" s="476" t="s">
        <v>4223</v>
      </c>
      <c r="J13190" s="595">
        <f t="shared" si="396"/>
        <v>0</v>
      </c>
    </row>
    <row r="13191" spans="5:10" hidden="1" x14ac:dyDescent="0.25">
      <c r="F13191" s="485">
        <v>543</v>
      </c>
      <c r="G13191" s="476" t="s">
        <v>3862</v>
      </c>
      <c r="J13191" s="595">
        <f t="shared" si="396"/>
        <v>0</v>
      </c>
    </row>
    <row r="13192" spans="5:10" ht="30" hidden="1" x14ac:dyDescent="0.25">
      <c r="F13192" s="485">
        <v>551</v>
      </c>
      <c r="G13192" s="476" t="s">
        <v>4198</v>
      </c>
      <c r="J13192" s="595">
        <f t="shared" si="396"/>
        <v>0</v>
      </c>
    </row>
    <row r="13193" spans="5:10" hidden="1" x14ac:dyDescent="0.25">
      <c r="F13193" s="486">
        <v>611</v>
      </c>
      <c r="G13193" s="484" t="s">
        <v>3868</v>
      </c>
      <c r="J13193" s="595">
        <f t="shared" si="396"/>
        <v>0</v>
      </c>
    </row>
    <row r="13194" spans="5:10" ht="15.75" hidden="1" thickBot="1" x14ac:dyDescent="0.3">
      <c r="F13194" s="486">
        <v>620</v>
      </c>
      <c r="G13194" s="484" t="s">
        <v>88</v>
      </c>
      <c r="J13194" s="595">
        <f t="shared" si="396"/>
        <v>0</v>
      </c>
    </row>
    <row r="13195" spans="5:10" hidden="1" x14ac:dyDescent="0.25">
      <c r="E13195" s="474"/>
      <c r="F13195" s="486"/>
      <c r="G13195" s="326" t="s">
        <v>4459</v>
      </c>
      <c r="H13195" s="596"/>
      <c r="I13195" s="622"/>
      <c r="J13195" s="597"/>
    </row>
    <row r="13196" spans="5:10" hidden="1" x14ac:dyDescent="0.25">
      <c r="E13196" s="222"/>
      <c r="F13196" s="249" t="s">
        <v>234</v>
      </c>
      <c r="G13196" s="252" t="s">
        <v>235</v>
      </c>
      <c r="H13196" s="598">
        <f>SUM(H13135:H13194)</f>
        <v>0</v>
      </c>
      <c r="I13196" s="599"/>
      <c r="J13196" s="599">
        <f>SUM(H13196:I13196)</f>
        <v>0</v>
      </c>
    </row>
    <row r="13197" spans="5:10" hidden="1" x14ac:dyDescent="0.25">
      <c r="F13197" s="249" t="s">
        <v>236</v>
      </c>
      <c r="G13197" s="252" t="s">
        <v>237</v>
      </c>
      <c r="J13197" s="599">
        <f t="shared" ref="J13197:J13211" si="397">SUM(H13197:I13197)</f>
        <v>0</v>
      </c>
    </row>
    <row r="13198" spans="5:10" hidden="1" x14ac:dyDescent="0.25">
      <c r="F13198" s="249" t="s">
        <v>238</v>
      </c>
      <c r="G13198" s="252" t="s">
        <v>239</v>
      </c>
      <c r="J13198" s="599">
        <f t="shared" si="397"/>
        <v>0</v>
      </c>
    </row>
    <row r="13199" spans="5:10" ht="15.75" hidden="1" thickBot="1" x14ac:dyDescent="0.3">
      <c r="F13199" s="249" t="s">
        <v>240</v>
      </c>
      <c r="G13199" s="252" t="s">
        <v>241</v>
      </c>
      <c r="J13199" s="599">
        <f t="shared" si="397"/>
        <v>0</v>
      </c>
    </row>
    <row r="13200" spans="5:10" hidden="1" x14ac:dyDescent="0.25">
      <c r="F13200" s="249" t="s">
        <v>242</v>
      </c>
      <c r="G13200" s="252" t="s">
        <v>243</v>
      </c>
      <c r="J13200" s="599">
        <f t="shared" si="397"/>
        <v>0</v>
      </c>
    </row>
    <row r="13201" spans="5:10" hidden="1" x14ac:dyDescent="0.25">
      <c r="F13201" s="249" t="s">
        <v>244</v>
      </c>
      <c r="G13201" s="252" t="s">
        <v>245</v>
      </c>
      <c r="J13201" s="599">
        <f t="shared" si="397"/>
        <v>0</v>
      </c>
    </row>
    <row r="13202" spans="5:10" hidden="1" x14ac:dyDescent="0.25">
      <c r="F13202" s="249" t="s">
        <v>246</v>
      </c>
      <c r="G13202" s="252" t="s">
        <v>247</v>
      </c>
      <c r="J13202" s="599">
        <f t="shared" si="397"/>
        <v>0</v>
      </c>
    </row>
    <row r="13203" spans="5:10" hidden="1" x14ac:dyDescent="0.25">
      <c r="F13203" s="249" t="s">
        <v>248</v>
      </c>
      <c r="G13203" s="252" t="s">
        <v>249</v>
      </c>
      <c r="J13203" s="599">
        <f t="shared" si="397"/>
        <v>0</v>
      </c>
    </row>
    <row r="13204" spans="5:10" hidden="1" x14ac:dyDescent="0.25">
      <c r="F13204" s="249" t="s">
        <v>250</v>
      </c>
      <c r="G13204" s="252" t="s">
        <v>57</v>
      </c>
      <c r="J13204" s="599">
        <f t="shared" si="397"/>
        <v>0</v>
      </c>
    </row>
    <row r="13205" spans="5:10" hidden="1" x14ac:dyDescent="0.25">
      <c r="F13205" s="249" t="s">
        <v>251</v>
      </c>
      <c r="G13205" s="252" t="s">
        <v>252</v>
      </c>
      <c r="J13205" s="599">
        <f t="shared" si="397"/>
        <v>0</v>
      </c>
    </row>
    <row r="13206" spans="5:10" hidden="1" x14ac:dyDescent="0.25">
      <c r="F13206" s="249" t="s">
        <v>253</v>
      </c>
      <c r="G13206" s="252" t="s">
        <v>254</v>
      </c>
      <c r="J13206" s="599">
        <f t="shared" si="397"/>
        <v>0</v>
      </c>
    </row>
    <row r="13207" spans="5:10" ht="30" hidden="1" x14ac:dyDescent="0.25">
      <c r="F13207" s="249" t="s">
        <v>255</v>
      </c>
      <c r="G13207" s="252" t="s">
        <v>256</v>
      </c>
      <c r="J13207" s="599">
        <f t="shared" si="397"/>
        <v>0</v>
      </c>
    </row>
    <row r="13208" spans="5:10" hidden="1" x14ac:dyDescent="0.25">
      <c r="F13208" s="249" t="s">
        <v>257</v>
      </c>
      <c r="G13208" s="252" t="s">
        <v>258</v>
      </c>
      <c r="J13208" s="599">
        <f t="shared" si="397"/>
        <v>0</v>
      </c>
    </row>
    <row r="13209" spans="5:10" ht="30" hidden="1" x14ac:dyDescent="0.25">
      <c r="F13209" s="249" t="s">
        <v>259</v>
      </c>
      <c r="G13209" s="252" t="s">
        <v>260</v>
      </c>
      <c r="J13209" s="599">
        <f t="shared" si="397"/>
        <v>0</v>
      </c>
    </row>
    <row r="13210" spans="5:10" hidden="1" x14ac:dyDescent="0.25">
      <c r="F13210" s="249" t="s">
        <v>261</v>
      </c>
      <c r="G13210" s="252" t="s">
        <v>262</v>
      </c>
      <c r="J13210" s="599">
        <f t="shared" si="397"/>
        <v>0</v>
      </c>
    </row>
    <row r="13211" spans="5:10" ht="15.75" hidden="1" thickBot="1" x14ac:dyDescent="0.3">
      <c r="F13211" s="249" t="s">
        <v>263</v>
      </c>
      <c r="G13211" s="252" t="s">
        <v>264</v>
      </c>
      <c r="H13211" s="598"/>
      <c r="I13211" s="599"/>
      <c r="J13211" s="599">
        <f t="shared" si="397"/>
        <v>0</v>
      </c>
    </row>
    <row r="13212" spans="5:10" ht="15.75" hidden="1" thickBot="1" x14ac:dyDescent="0.3">
      <c r="G13212" s="229" t="s">
        <v>4460</v>
      </c>
      <c r="H13212" s="600">
        <f>SUM(H13196:H13211)</f>
        <v>0</v>
      </c>
      <c r="I13212" s="601">
        <f>SUM(I13197:I13211)</f>
        <v>0</v>
      </c>
      <c r="J13212" s="601">
        <f>SUM(J13196:J13211)</f>
        <v>0</v>
      </c>
    </row>
    <row r="13213" spans="5:10" hidden="1" collapsed="1" x14ac:dyDescent="0.25">
      <c r="E13213" s="474"/>
      <c r="F13213" s="486"/>
      <c r="G13213" s="231" t="s">
        <v>5062</v>
      </c>
      <c r="H13213" s="602"/>
      <c r="I13213" s="623"/>
      <c r="J13213" s="603"/>
    </row>
    <row r="13214" spans="5:10" hidden="1" x14ac:dyDescent="0.25">
      <c r="E13214" s="222"/>
      <c r="F13214" s="249" t="s">
        <v>234</v>
      </c>
      <c r="G13214" s="252" t="s">
        <v>235</v>
      </c>
      <c r="H13214" s="598">
        <f>SUM(H13135:H13194)</f>
        <v>0</v>
      </c>
      <c r="I13214" s="599"/>
      <c r="J13214" s="599">
        <f>SUM(H13214:I13214)</f>
        <v>0</v>
      </c>
    </row>
    <row r="13215" spans="5:10" hidden="1" x14ac:dyDescent="0.25">
      <c r="F13215" s="249" t="s">
        <v>236</v>
      </c>
      <c r="G13215" s="252" t="s">
        <v>237</v>
      </c>
      <c r="J13215" s="599">
        <f t="shared" ref="J13215:J13229" si="398">SUM(H13215:I13215)</f>
        <v>0</v>
      </c>
    </row>
    <row r="13216" spans="5:10" hidden="1" x14ac:dyDescent="0.25">
      <c r="F13216" s="249" t="s">
        <v>238</v>
      </c>
      <c r="G13216" s="252" t="s">
        <v>239</v>
      </c>
      <c r="J13216" s="599">
        <f t="shared" si="398"/>
        <v>0</v>
      </c>
    </row>
    <row r="13217" spans="5:10" ht="15.75" hidden="1" thickBot="1" x14ac:dyDescent="0.3">
      <c r="F13217" s="249" t="s">
        <v>240</v>
      </c>
      <c r="G13217" s="252" t="s">
        <v>241</v>
      </c>
      <c r="J13217" s="599">
        <f t="shared" si="398"/>
        <v>0</v>
      </c>
    </row>
    <row r="13218" spans="5:10" hidden="1" x14ac:dyDescent="0.25">
      <c r="F13218" s="249" t="s">
        <v>242</v>
      </c>
      <c r="G13218" s="252" t="s">
        <v>243</v>
      </c>
      <c r="J13218" s="599">
        <f t="shared" si="398"/>
        <v>0</v>
      </c>
    </row>
    <row r="13219" spans="5:10" hidden="1" x14ac:dyDescent="0.25">
      <c r="F13219" s="249" t="s">
        <v>244</v>
      </c>
      <c r="G13219" s="252" t="s">
        <v>245</v>
      </c>
      <c r="J13219" s="599">
        <f t="shared" si="398"/>
        <v>0</v>
      </c>
    </row>
    <row r="13220" spans="5:10" hidden="1" x14ac:dyDescent="0.25">
      <c r="F13220" s="249" t="s">
        <v>246</v>
      </c>
      <c r="G13220" s="252" t="s">
        <v>247</v>
      </c>
      <c r="J13220" s="599">
        <f t="shared" si="398"/>
        <v>0</v>
      </c>
    </row>
    <row r="13221" spans="5:10" hidden="1" x14ac:dyDescent="0.25">
      <c r="F13221" s="249" t="s">
        <v>248</v>
      </c>
      <c r="G13221" s="252" t="s">
        <v>249</v>
      </c>
      <c r="J13221" s="599">
        <f t="shared" si="398"/>
        <v>0</v>
      </c>
    </row>
    <row r="13222" spans="5:10" hidden="1" x14ac:dyDescent="0.25">
      <c r="F13222" s="249" t="s">
        <v>250</v>
      </c>
      <c r="G13222" s="252" t="s">
        <v>57</v>
      </c>
      <c r="J13222" s="599">
        <f t="shared" si="398"/>
        <v>0</v>
      </c>
    </row>
    <row r="13223" spans="5:10" hidden="1" x14ac:dyDescent="0.25">
      <c r="F13223" s="249" t="s">
        <v>251</v>
      </c>
      <c r="G13223" s="252" t="s">
        <v>252</v>
      </c>
      <c r="J13223" s="599">
        <f t="shared" si="398"/>
        <v>0</v>
      </c>
    </row>
    <row r="13224" spans="5:10" hidden="1" x14ac:dyDescent="0.25">
      <c r="F13224" s="249" t="s">
        <v>253</v>
      </c>
      <c r="G13224" s="252" t="s">
        <v>254</v>
      </c>
      <c r="J13224" s="599">
        <f t="shared" si="398"/>
        <v>0</v>
      </c>
    </row>
    <row r="13225" spans="5:10" ht="30" hidden="1" x14ac:dyDescent="0.25">
      <c r="F13225" s="249" t="s">
        <v>255</v>
      </c>
      <c r="G13225" s="252" t="s">
        <v>256</v>
      </c>
      <c r="J13225" s="599">
        <f t="shared" si="398"/>
        <v>0</v>
      </c>
    </row>
    <row r="13226" spans="5:10" hidden="1" x14ac:dyDescent="0.25">
      <c r="F13226" s="249" t="s">
        <v>257</v>
      </c>
      <c r="G13226" s="252" t="s">
        <v>258</v>
      </c>
      <c r="J13226" s="599">
        <f t="shared" si="398"/>
        <v>0</v>
      </c>
    </row>
    <row r="13227" spans="5:10" ht="30" hidden="1" x14ac:dyDescent="0.25">
      <c r="F13227" s="249" t="s">
        <v>259</v>
      </c>
      <c r="G13227" s="252" t="s">
        <v>260</v>
      </c>
      <c r="J13227" s="599">
        <f t="shared" si="398"/>
        <v>0</v>
      </c>
    </row>
    <row r="13228" spans="5:10" hidden="1" x14ac:dyDescent="0.25">
      <c r="F13228" s="249" t="s">
        <v>261</v>
      </c>
      <c r="G13228" s="252" t="s">
        <v>262</v>
      </c>
      <c r="J13228" s="599">
        <f t="shared" si="398"/>
        <v>0</v>
      </c>
    </row>
    <row r="13229" spans="5:10" ht="15.75" hidden="1" thickBot="1" x14ac:dyDescent="0.3">
      <c r="F13229" s="249" t="s">
        <v>263</v>
      </c>
      <c r="G13229" s="252" t="s">
        <v>264</v>
      </c>
      <c r="H13229" s="598"/>
      <c r="I13229" s="599"/>
      <c r="J13229" s="599">
        <f t="shared" si="398"/>
        <v>0</v>
      </c>
    </row>
    <row r="13230" spans="5:10" ht="15.75" hidden="1" thickBot="1" x14ac:dyDescent="0.3">
      <c r="G13230" s="229" t="s">
        <v>5049</v>
      </c>
      <c r="H13230" s="600">
        <f>SUM(H13214:H13229)</f>
        <v>0</v>
      </c>
      <c r="I13230" s="601">
        <f>SUM(I13215:I13229)</f>
        <v>0</v>
      </c>
      <c r="J13230" s="601">
        <f>SUM(J13214:J13229)</f>
        <v>0</v>
      </c>
    </row>
    <row r="13231" spans="5:10" hidden="1" x14ac:dyDescent="0.25"/>
    <row r="13232" spans="5:10" hidden="1" x14ac:dyDescent="0.25">
      <c r="E13232" s="474"/>
      <c r="F13232" s="486"/>
      <c r="G13232" s="250" t="s">
        <v>4346</v>
      </c>
      <c r="H13232" s="606"/>
      <c r="I13232" s="624"/>
      <c r="J13232" s="607"/>
    </row>
    <row r="13233" spans="5:10" hidden="1" x14ac:dyDescent="0.25">
      <c r="E13233" s="222"/>
      <c r="F13233" s="249" t="s">
        <v>234</v>
      </c>
      <c r="G13233" s="252" t="s">
        <v>235</v>
      </c>
      <c r="H13233" s="598">
        <f>SUM(H13214,H13115)</f>
        <v>0</v>
      </c>
      <c r="I13233" s="599"/>
      <c r="J13233" s="599">
        <f>SUM(H13233:I13233)</f>
        <v>0</v>
      </c>
    </row>
    <row r="13234" spans="5:10" hidden="1" x14ac:dyDescent="0.25">
      <c r="F13234" s="249" t="s">
        <v>236</v>
      </c>
      <c r="G13234" s="252" t="s">
        <v>237</v>
      </c>
      <c r="J13234" s="599">
        <f t="shared" ref="J13234:J13248" si="399">SUM(H13234:I13234)</f>
        <v>0</v>
      </c>
    </row>
    <row r="13235" spans="5:10" hidden="1" x14ac:dyDescent="0.25">
      <c r="F13235" s="249" t="s">
        <v>238</v>
      </c>
      <c r="G13235" s="252" t="s">
        <v>239</v>
      </c>
      <c r="J13235" s="599">
        <f t="shared" si="399"/>
        <v>0</v>
      </c>
    </row>
    <row r="13236" spans="5:10" ht="15.75" hidden="1" thickBot="1" x14ac:dyDescent="0.3">
      <c r="F13236" s="249" t="s">
        <v>240</v>
      </c>
      <c r="G13236" s="252" t="s">
        <v>241</v>
      </c>
      <c r="J13236" s="599">
        <f t="shared" si="399"/>
        <v>0</v>
      </c>
    </row>
    <row r="13237" spans="5:10" hidden="1" x14ac:dyDescent="0.25">
      <c r="F13237" s="249" t="s">
        <v>242</v>
      </c>
      <c r="G13237" s="252" t="s">
        <v>243</v>
      </c>
      <c r="J13237" s="599">
        <f t="shared" si="399"/>
        <v>0</v>
      </c>
    </row>
    <row r="13238" spans="5:10" hidden="1" x14ac:dyDescent="0.25">
      <c r="F13238" s="249" t="s">
        <v>244</v>
      </c>
      <c r="G13238" s="252" t="s">
        <v>245</v>
      </c>
      <c r="J13238" s="599">
        <f t="shared" si="399"/>
        <v>0</v>
      </c>
    </row>
    <row r="13239" spans="5:10" hidden="1" x14ac:dyDescent="0.25">
      <c r="F13239" s="249" t="s">
        <v>246</v>
      </c>
      <c r="G13239" s="252" t="s">
        <v>247</v>
      </c>
      <c r="J13239" s="599">
        <f t="shared" si="399"/>
        <v>0</v>
      </c>
    </row>
    <row r="13240" spans="5:10" hidden="1" x14ac:dyDescent="0.25">
      <c r="F13240" s="249" t="s">
        <v>248</v>
      </c>
      <c r="G13240" s="252" t="s">
        <v>249</v>
      </c>
      <c r="J13240" s="599">
        <f t="shared" si="399"/>
        <v>0</v>
      </c>
    </row>
    <row r="13241" spans="5:10" hidden="1" x14ac:dyDescent="0.25">
      <c r="F13241" s="249" t="s">
        <v>250</v>
      </c>
      <c r="G13241" s="252" t="s">
        <v>57</v>
      </c>
      <c r="J13241" s="599">
        <f t="shared" si="399"/>
        <v>0</v>
      </c>
    </row>
    <row r="13242" spans="5:10" hidden="1" x14ac:dyDescent="0.25">
      <c r="F13242" s="249" t="s">
        <v>251</v>
      </c>
      <c r="G13242" s="252" t="s">
        <v>252</v>
      </c>
      <c r="J13242" s="599">
        <f t="shared" si="399"/>
        <v>0</v>
      </c>
    </row>
    <row r="13243" spans="5:10" hidden="1" x14ac:dyDescent="0.25">
      <c r="F13243" s="249" t="s">
        <v>253</v>
      </c>
      <c r="G13243" s="252" t="s">
        <v>254</v>
      </c>
      <c r="J13243" s="599">
        <f t="shared" si="399"/>
        <v>0</v>
      </c>
    </row>
    <row r="13244" spans="5:10" ht="30" hidden="1" x14ac:dyDescent="0.25">
      <c r="F13244" s="249" t="s">
        <v>255</v>
      </c>
      <c r="G13244" s="252" t="s">
        <v>256</v>
      </c>
      <c r="J13244" s="599">
        <f t="shared" si="399"/>
        <v>0</v>
      </c>
    </row>
    <row r="13245" spans="5:10" hidden="1" x14ac:dyDescent="0.25">
      <c r="F13245" s="249" t="s">
        <v>257</v>
      </c>
      <c r="G13245" s="252" t="s">
        <v>258</v>
      </c>
      <c r="J13245" s="599">
        <f t="shared" si="399"/>
        <v>0</v>
      </c>
    </row>
    <row r="13246" spans="5:10" ht="30" hidden="1" x14ac:dyDescent="0.25">
      <c r="F13246" s="249" t="s">
        <v>259</v>
      </c>
      <c r="G13246" s="252" t="s">
        <v>260</v>
      </c>
      <c r="J13246" s="599">
        <f t="shared" si="399"/>
        <v>0</v>
      </c>
    </row>
    <row r="13247" spans="5:10" hidden="1" x14ac:dyDescent="0.25">
      <c r="F13247" s="249" t="s">
        <v>261</v>
      </c>
      <c r="G13247" s="252" t="s">
        <v>262</v>
      </c>
      <c r="J13247" s="599">
        <f t="shared" si="399"/>
        <v>0</v>
      </c>
    </row>
    <row r="13248" spans="5:10" ht="15.75" hidden="1" thickBot="1" x14ac:dyDescent="0.3">
      <c r="F13248" s="249" t="s">
        <v>263</v>
      </c>
      <c r="G13248" s="252" t="s">
        <v>264</v>
      </c>
      <c r="H13248" s="598"/>
      <c r="I13248" s="599"/>
      <c r="J13248" s="599">
        <f t="shared" si="399"/>
        <v>0</v>
      </c>
    </row>
    <row r="13249" spans="5:10" ht="15.75" hidden="1" thickBot="1" x14ac:dyDescent="0.3">
      <c r="G13249" s="229" t="s">
        <v>4347</v>
      </c>
      <c r="H13249" s="600">
        <f>SUM(H13233:H13248)</f>
        <v>0</v>
      </c>
      <c r="I13249" s="601">
        <f>SUM(I13234:I13248)</f>
        <v>0</v>
      </c>
      <c r="J13249" s="601">
        <f>SUM(J13233:J13248)</f>
        <v>0</v>
      </c>
    </row>
    <row r="13250" spans="5:10" hidden="1" x14ac:dyDescent="0.25"/>
    <row r="13251" spans="5:10" hidden="1" x14ac:dyDescent="0.25">
      <c r="E13251" s="474"/>
      <c r="F13251" s="486"/>
      <c r="G13251" s="250" t="s">
        <v>5091</v>
      </c>
      <c r="H13251" s="606"/>
      <c r="I13251" s="624"/>
      <c r="J13251" s="607"/>
    </row>
    <row r="13252" spans="5:10" hidden="1" x14ac:dyDescent="0.25">
      <c r="E13252" s="222"/>
      <c r="F13252" s="249" t="s">
        <v>234</v>
      </c>
      <c r="G13252" s="252" t="s">
        <v>235</v>
      </c>
      <c r="H13252" s="598">
        <f>SUM(H13233)</f>
        <v>0</v>
      </c>
      <c r="I13252" s="599"/>
      <c r="J13252" s="599">
        <f>SUM(H13252:I13252)</f>
        <v>0</v>
      </c>
    </row>
    <row r="13253" spans="5:10" hidden="1" x14ac:dyDescent="0.25">
      <c r="F13253" s="249" t="s">
        <v>236</v>
      </c>
      <c r="G13253" s="252" t="s">
        <v>237</v>
      </c>
      <c r="J13253" s="599">
        <f t="shared" ref="J13253:J13267" si="400">SUM(H13253:I13253)</f>
        <v>0</v>
      </c>
    </row>
    <row r="13254" spans="5:10" hidden="1" x14ac:dyDescent="0.25">
      <c r="F13254" s="249" t="s">
        <v>238</v>
      </c>
      <c r="G13254" s="252" t="s">
        <v>239</v>
      </c>
      <c r="J13254" s="599">
        <f t="shared" si="400"/>
        <v>0</v>
      </c>
    </row>
    <row r="13255" spans="5:10" ht="15.75" hidden="1" thickBot="1" x14ac:dyDescent="0.3">
      <c r="F13255" s="249" t="s">
        <v>240</v>
      </c>
      <c r="G13255" s="252" t="s">
        <v>241</v>
      </c>
      <c r="J13255" s="599">
        <f t="shared" si="400"/>
        <v>0</v>
      </c>
    </row>
    <row r="13256" spans="5:10" hidden="1" x14ac:dyDescent="0.25">
      <c r="F13256" s="249" t="s">
        <v>242</v>
      </c>
      <c r="G13256" s="252" t="s">
        <v>243</v>
      </c>
      <c r="J13256" s="599">
        <f t="shared" si="400"/>
        <v>0</v>
      </c>
    </row>
    <row r="13257" spans="5:10" hidden="1" x14ac:dyDescent="0.25">
      <c r="F13257" s="249" t="s">
        <v>244</v>
      </c>
      <c r="G13257" s="252" t="s">
        <v>245</v>
      </c>
      <c r="J13257" s="599">
        <f t="shared" si="400"/>
        <v>0</v>
      </c>
    </row>
    <row r="13258" spans="5:10" hidden="1" x14ac:dyDescent="0.25">
      <c r="F13258" s="249" t="s">
        <v>246</v>
      </c>
      <c r="G13258" s="252" t="s">
        <v>247</v>
      </c>
      <c r="J13258" s="599">
        <f t="shared" si="400"/>
        <v>0</v>
      </c>
    </row>
    <row r="13259" spans="5:10" hidden="1" x14ac:dyDescent="0.25">
      <c r="F13259" s="249" t="s">
        <v>248</v>
      </c>
      <c r="G13259" s="252" t="s">
        <v>249</v>
      </c>
      <c r="J13259" s="599">
        <f t="shared" si="400"/>
        <v>0</v>
      </c>
    </row>
    <row r="13260" spans="5:10" hidden="1" x14ac:dyDescent="0.25">
      <c r="F13260" s="249" t="s">
        <v>250</v>
      </c>
      <c r="G13260" s="252" t="s">
        <v>57</v>
      </c>
      <c r="J13260" s="599">
        <f t="shared" si="400"/>
        <v>0</v>
      </c>
    </row>
    <row r="13261" spans="5:10" hidden="1" x14ac:dyDescent="0.25">
      <c r="F13261" s="249" t="s">
        <v>251</v>
      </c>
      <c r="G13261" s="252" t="s">
        <v>252</v>
      </c>
      <c r="J13261" s="599">
        <f t="shared" si="400"/>
        <v>0</v>
      </c>
    </row>
    <row r="13262" spans="5:10" hidden="1" x14ac:dyDescent="0.25">
      <c r="F13262" s="249" t="s">
        <v>253</v>
      </c>
      <c r="G13262" s="252" t="s">
        <v>254</v>
      </c>
      <c r="J13262" s="599">
        <f t="shared" si="400"/>
        <v>0</v>
      </c>
    </row>
    <row r="13263" spans="5:10" ht="30" hidden="1" x14ac:dyDescent="0.25">
      <c r="F13263" s="249" t="s">
        <v>255</v>
      </c>
      <c r="G13263" s="252" t="s">
        <v>256</v>
      </c>
      <c r="J13263" s="599">
        <f t="shared" si="400"/>
        <v>0</v>
      </c>
    </row>
    <row r="13264" spans="5:10" hidden="1" x14ac:dyDescent="0.25">
      <c r="F13264" s="249" t="s">
        <v>257</v>
      </c>
      <c r="G13264" s="252" t="s">
        <v>258</v>
      </c>
      <c r="J13264" s="599">
        <f t="shared" si="400"/>
        <v>0</v>
      </c>
    </row>
    <row r="13265" spans="1:13" ht="30" hidden="1" x14ac:dyDescent="0.25">
      <c r="F13265" s="249" t="s">
        <v>259</v>
      </c>
      <c r="G13265" s="252" t="s">
        <v>260</v>
      </c>
      <c r="J13265" s="599">
        <f t="shared" si="400"/>
        <v>0</v>
      </c>
    </row>
    <row r="13266" spans="1:13" hidden="1" x14ac:dyDescent="0.25">
      <c r="F13266" s="249" t="s">
        <v>261</v>
      </c>
      <c r="G13266" s="252" t="s">
        <v>262</v>
      </c>
      <c r="J13266" s="599">
        <f t="shared" si="400"/>
        <v>0</v>
      </c>
    </row>
    <row r="13267" spans="1:13" ht="15.75" hidden="1" thickBot="1" x14ac:dyDescent="0.3">
      <c r="F13267" s="249" t="s">
        <v>263</v>
      </c>
      <c r="G13267" s="252" t="s">
        <v>264</v>
      </c>
      <c r="H13267" s="598"/>
      <c r="I13267" s="599"/>
      <c r="J13267" s="599">
        <f t="shared" si="400"/>
        <v>0</v>
      </c>
    </row>
    <row r="13268" spans="1:13" ht="15.75" hidden="1" thickBot="1" x14ac:dyDescent="0.3">
      <c r="G13268" s="229" t="s">
        <v>5092</v>
      </c>
      <c r="H13268" s="600">
        <f>SUM(H13252:H13267)</f>
        <v>0</v>
      </c>
      <c r="I13268" s="601">
        <f>SUM(I13253:I13267)</f>
        <v>0</v>
      </c>
      <c r="J13268" s="601">
        <f>SUM(J13252:J13267)</f>
        <v>0</v>
      </c>
    </row>
    <row r="13269" spans="1:13" hidden="1" x14ac:dyDescent="0.25"/>
    <row r="13270" spans="1:13" hidden="1" x14ac:dyDescent="0.25">
      <c r="A13270" s="479">
        <v>4</v>
      </c>
      <c r="B13270" s="480" t="s">
        <v>4365</v>
      </c>
      <c r="C13270" s="479" t="s">
        <v>4031</v>
      </c>
      <c r="D13270" s="481"/>
      <c r="E13270" s="482"/>
      <c r="F13270" s="482"/>
      <c r="G13270" s="483" t="s">
        <v>4345</v>
      </c>
      <c r="H13270" s="632"/>
      <c r="I13270" s="633"/>
      <c r="J13270" s="618"/>
      <c r="K13270" s="519"/>
      <c r="L13270" s="519"/>
      <c r="M13270" s="519"/>
    </row>
    <row r="13271" spans="1:13" ht="16.5" hidden="1" customHeight="1" x14ac:dyDescent="0.25">
      <c r="C13271" s="228" t="s">
        <v>3602</v>
      </c>
      <c r="G13271" s="475" t="s">
        <v>4338</v>
      </c>
    </row>
    <row r="13272" spans="1:13" hidden="1" x14ac:dyDescent="0.25">
      <c r="C13272" s="228" t="s">
        <v>4145</v>
      </c>
      <c r="D13272" s="219"/>
      <c r="G13272" s="475" t="s">
        <v>4339</v>
      </c>
    </row>
    <row r="13273" spans="1:13" hidden="1" x14ac:dyDescent="0.25">
      <c r="C13273" s="228"/>
      <c r="D13273" s="312">
        <v>820</v>
      </c>
      <c r="E13273" s="312"/>
      <c r="F13273" s="312"/>
      <c r="G13273" s="313" t="s">
        <v>207</v>
      </c>
    </row>
    <row r="13274" spans="1:13" hidden="1" x14ac:dyDescent="0.25">
      <c r="F13274" s="485">
        <v>411</v>
      </c>
      <c r="G13274" s="476" t="s">
        <v>4189</v>
      </c>
      <c r="J13274" s="595">
        <f>SUM(H13274:I13274)</f>
        <v>0</v>
      </c>
    </row>
    <row r="13275" spans="1:13" hidden="1" x14ac:dyDescent="0.25">
      <c r="F13275" s="485">
        <v>412</v>
      </c>
      <c r="G13275" s="473" t="s">
        <v>3784</v>
      </c>
      <c r="J13275" s="595">
        <f t="shared" ref="J13275:J13333" si="401">SUM(H13275:I13275)</f>
        <v>0</v>
      </c>
    </row>
    <row r="13276" spans="1:13" hidden="1" x14ac:dyDescent="0.25">
      <c r="F13276" s="485">
        <v>413</v>
      </c>
      <c r="G13276" s="476" t="s">
        <v>4190</v>
      </c>
      <c r="J13276" s="595">
        <f t="shared" si="401"/>
        <v>0</v>
      </c>
    </row>
    <row r="13277" spans="1:13" hidden="1" x14ac:dyDescent="0.25">
      <c r="F13277" s="485">
        <v>414</v>
      </c>
      <c r="G13277" s="476" t="s">
        <v>3787</v>
      </c>
      <c r="J13277" s="595">
        <f t="shared" si="401"/>
        <v>0</v>
      </c>
    </row>
    <row r="13278" spans="1:13" hidden="1" x14ac:dyDescent="0.25">
      <c r="F13278" s="485">
        <v>415</v>
      </c>
      <c r="G13278" s="476" t="s">
        <v>4199</v>
      </c>
      <c r="J13278" s="595">
        <f t="shared" si="401"/>
        <v>0</v>
      </c>
    </row>
    <row r="13279" spans="1:13" hidden="1" x14ac:dyDescent="0.25">
      <c r="F13279" s="485">
        <v>416</v>
      </c>
      <c r="G13279" s="476" t="s">
        <v>4200</v>
      </c>
      <c r="J13279" s="595">
        <f t="shared" si="401"/>
        <v>0</v>
      </c>
    </row>
    <row r="13280" spans="1:13" hidden="1" x14ac:dyDescent="0.25">
      <c r="F13280" s="485">
        <v>417</v>
      </c>
      <c r="G13280" s="476" t="s">
        <v>4201</v>
      </c>
      <c r="J13280" s="595">
        <f t="shared" si="401"/>
        <v>0</v>
      </c>
    </row>
    <row r="13281" spans="6:10" hidden="1" x14ac:dyDescent="0.25">
      <c r="F13281" s="485">
        <v>418</v>
      </c>
      <c r="G13281" s="476" t="s">
        <v>3793</v>
      </c>
      <c r="J13281" s="595">
        <f t="shared" si="401"/>
        <v>0</v>
      </c>
    </row>
    <row r="13282" spans="6:10" hidden="1" x14ac:dyDescent="0.25">
      <c r="F13282" s="485">
        <v>421</v>
      </c>
      <c r="G13282" s="476" t="s">
        <v>3797</v>
      </c>
      <c r="J13282" s="595">
        <f t="shared" si="401"/>
        <v>0</v>
      </c>
    </row>
    <row r="13283" spans="6:10" hidden="1" x14ac:dyDescent="0.25">
      <c r="F13283" s="485">
        <v>422</v>
      </c>
      <c r="G13283" s="476" t="s">
        <v>3798</v>
      </c>
      <c r="J13283" s="595">
        <f t="shared" si="401"/>
        <v>0</v>
      </c>
    </row>
    <row r="13284" spans="6:10" hidden="1" x14ac:dyDescent="0.25">
      <c r="F13284" s="485">
        <v>423</v>
      </c>
      <c r="G13284" s="476" t="s">
        <v>3799</v>
      </c>
      <c r="J13284" s="595">
        <f t="shared" si="401"/>
        <v>0</v>
      </c>
    </row>
    <row r="13285" spans="6:10" hidden="1" x14ac:dyDescent="0.25">
      <c r="F13285" s="485">
        <v>424</v>
      </c>
      <c r="G13285" s="476" t="s">
        <v>3801</v>
      </c>
      <c r="J13285" s="595">
        <f t="shared" si="401"/>
        <v>0</v>
      </c>
    </row>
    <row r="13286" spans="6:10" hidden="1" x14ac:dyDescent="0.25">
      <c r="F13286" s="485">
        <v>425</v>
      </c>
      <c r="G13286" s="476" t="s">
        <v>4202</v>
      </c>
      <c r="J13286" s="595">
        <f t="shared" si="401"/>
        <v>0</v>
      </c>
    </row>
    <row r="13287" spans="6:10" ht="15.75" hidden="1" thickBot="1" x14ac:dyDescent="0.3">
      <c r="F13287" s="485">
        <v>426</v>
      </c>
      <c r="G13287" s="476" t="s">
        <v>3805</v>
      </c>
      <c r="J13287" s="595">
        <f t="shared" si="401"/>
        <v>0</v>
      </c>
    </row>
    <row r="13288" spans="6:10" hidden="1" x14ac:dyDescent="0.25">
      <c r="F13288" s="485">
        <v>431</v>
      </c>
      <c r="G13288" s="476" t="s">
        <v>4203</v>
      </c>
      <c r="J13288" s="595">
        <f t="shared" si="401"/>
        <v>0</v>
      </c>
    </row>
    <row r="13289" spans="6:10" hidden="1" x14ac:dyDescent="0.25">
      <c r="F13289" s="485">
        <v>432</v>
      </c>
      <c r="G13289" s="476" t="s">
        <v>4204</v>
      </c>
      <c r="J13289" s="595">
        <f t="shared" si="401"/>
        <v>0</v>
      </c>
    </row>
    <row r="13290" spans="6:10" hidden="1" x14ac:dyDescent="0.25">
      <c r="F13290" s="485">
        <v>433</v>
      </c>
      <c r="G13290" s="476" t="s">
        <v>4205</v>
      </c>
      <c r="J13290" s="595">
        <f t="shared" si="401"/>
        <v>0</v>
      </c>
    </row>
    <row r="13291" spans="6:10" hidden="1" x14ac:dyDescent="0.25">
      <c r="F13291" s="485">
        <v>434</v>
      </c>
      <c r="G13291" s="476" t="s">
        <v>4206</v>
      </c>
      <c r="J13291" s="595">
        <f t="shared" si="401"/>
        <v>0</v>
      </c>
    </row>
    <row r="13292" spans="6:10" hidden="1" x14ac:dyDescent="0.25">
      <c r="F13292" s="485">
        <v>435</v>
      </c>
      <c r="G13292" s="476" t="s">
        <v>3812</v>
      </c>
      <c r="J13292" s="595">
        <f t="shared" si="401"/>
        <v>0</v>
      </c>
    </row>
    <row r="13293" spans="6:10" hidden="1" x14ac:dyDescent="0.25">
      <c r="F13293" s="485">
        <v>441</v>
      </c>
      <c r="G13293" s="476" t="s">
        <v>4207</v>
      </c>
      <c r="J13293" s="595">
        <f t="shared" si="401"/>
        <v>0</v>
      </c>
    </row>
    <row r="13294" spans="6:10" hidden="1" x14ac:dyDescent="0.25">
      <c r="F13294" s="485">
        <v>442</v>
      </c>
      <c r="G13294" s="476" t="s">
        <v>4208</v>
      </c>
      <c r="J13294" s="595">
        <f t="shared" si="401"/>
        <v>0</v>
      </c>
    </row>
    <row r="13295" spans="6:10" hidden="1" x14ac:dyDescent="0.25">
      <c r="F13295" s="485">
        <v>443</v>
      </c>
      <c r="G13295" s="476" t="s">
        <v>3817</v>
      </c>
      <c r="J13295" s="595">
        <f t="shared" si="401"/>
        <v>0</v>
      </c>
    </row>
    <row r="13296" spans="6:10" hidden="1" x14ac:dyDescent="0.25">
      <c r="F13296" s="485">
        <v>444</v>
      </c>
      <c r="G13296" s="476" t="s">
        <v>3818</v>
      </c>
      <c r="J13296" s="595">
        <f t="shared" si="401"/>
        <v>0</v>
      </c>
    </row>
    <row r="13297" spans="6:10" ht="30" hidden="1" x14ac:dyDescent="0.25">
      <c r="F13297" s="485">
        <v>4511</v>
      </c>
      <c r="G13297" s="223" t="s">
        <v>1692</v>
      </c>
      <c r="J13297" s="595">
        <f t="shared" si="401"/>
        <v>0</v>
      </c>
    </row>
    <row r="13298" spans="6:10" ht="19.5" hidden="1" customHeight="1" x14ac:dyDescent="0.25">
      <c r="F13298" s="485">
        <v>4512</v>
      </c>
      <c r="G13298" s="223" t="s">
        <v>1701</v>
      </c>
      <c r="J13298" s="595">
        <f t="shared" si="401"/>
        <v>0</v>
      </c>
    </row>
    <row r="13299" spans="6:10" hidden="1" x14ac:dyDescent="0.25">
      <c r="F13299" s="485">
        <v>452</v>
      </c>
      <c r="G13299" s="476" t="s">
        <v>4209</v>
      </c>
      <c r="J13299" s="595">
        <f t="shared" si="401"/>
        <v>0</v>
      </c>
    </row>
    <row r="13300" spans="6:10" hidden="1" x14ac:dyDescent="0.25">
      <c r="F13300" s="485">
        <v>453</v>
      </c>
      <c r="G13300" s="476" t="s">
        <v>4210</v>
      </c>
      <c r="J13300" s="595">
        <f t="shared" si="401"/>
        <v>0</v>
      </c>
    </row>
    <row r="13301" spans="6:10" hidden="1" x14ac:dyDescent="0.25">
      <c r="F13301" s="485">
        <v>454</v>
      </c>
      <c r="G13301" s="476" t="s">
        <v>3823</v>
      </c>
      <c r="J13301" s="595">
        <f t="shared" si="401"/>
        <v>0</v>
      </c>
    </row>
    <row r="13302" spans="6:10" hidden="1" x14ac:dyDescent="0.25">
      <c r="F13302" s="485">
        <v>461</v>
      </c>
      <c r="G13302" s="476" t="s">
        <v>4191</v>
      </c>
      <c r="J13302" s="595">
        <f t="shared" si="401"/>
        <v>0</v>
      </c>
    </row>
    <row r="13303" spans="6:10" hidden="1" x14ac:dyDescent="0.25">
      <c r="F13303" s="485">
        <v>462</v>
      </c>
      <c r="G13303" s="476" t="s">
        <v>3826</v>
      </c>
      <c r="J13303" s="595">
        <f t="shared" si="401"/>
        <v>0</v>
      </c>
    </row>
    <row r="13304" spans="6:10" hidden="1" x14ac:dyDescent="0.25">
      <c r="F13304" s="485">
        <v>4631</v>
      </c>
      <c r="G13304" s="476" t="s">
        <v>3827</v>
      </c>
      <c r="J13304" s="595">
        <f t="shared" si="401"/>
        <v>0</v>
      </c>
    </row>
    <row r="13305" spans="6:10" hidden="1" x14ac:dyDescent="0.25">
      <c r="F13305" s="485">
        <v>4632</v>
      </c>
      <c r="G13305" s="476" t="s">
        <v>3828</v>
      </c>
      <c r="J13305" s="595">
        <f t="shared" si="401"/>
        <v>0</v>
      </c>
    </row>
    <row r="13306" spans="6:10" hidden="1" x14ac:dyDescent="0.25">
      <c r="F13306" s="485">
        <v>464</v>
      </c>
      <c r="G13306" s="476" t="s">
        <v>3829</v>
      </c>
      <c r="J13306" s="595">
        <f t="shared" si="401"/>
        <v>0</v>
      </c>
    </row>
    <row r="13307" spans="6:10" hidden="1" x14ac:dyDescent="0.25">
      <c r="F13307" s="485">
        <v>465</v>
      </c>
      <c r="G13307" s="476" t="s">
        <v>4192</v>
      </c>
      <c r="J13307" s="595">
        <f t="shared" si="401"/>
        <v>0</v>
      </c>
    </row>
    <row r="13308" spans="6:10" hidden="1" x14ac:dyDescent="0.25">
      <c r="F13308" s="485">
        <v>472</v>
      </c>
      <c r="G13308" s="476" t="s">
        <v>3833</v>
      </c>
      <c r="J13308" s="595">
        <f t="shared" si="401"/>
        <v>0</v>
      </c>
    </row>
    <row r="13309" spans="6:10" hidden="1" x14ac:dyDescent="0.25">
      <c r="F13309" s="485">
        <v>481</v>
      </c>
      <c r="G13309" s="476" t="s">
        <v>4211</v>
      </c>
      <c r="J13309" s="595">
        <f t="shared" si="401"/>
        <v>0</v>
      </c>
    </row>
    <row r="13310" spans="6:10" hidden="1" x14ac:dyDescent="0.25">
      <c r="F13310" s="485">
        <v>482</v>
      </c>
      <c r="G13310" s="476" t="s">
        <v>4212</v>
      </c>
      <c r="J13310" s="595">
        <f t="shared" si="401"/>
        <v>0</v>
      </c>
    </row>
    <row r="13311" spans="6:10" hidden="1" x14ac:dyDescent="0.25">
      <c r="F13311" s="485">
        <v>483</v>
      </c>
      <c r="G13311" s="478" t="s">
        <v>4213</v>
      </c>
      <c r="J13311" s="595">
        <f t="shared" si="401"/>
        <v>0</v>
      </c>
    </row>
    <row r="13312" spans="6:10" ht="30" hidden="1" x14ac:dyDescent="0.25">
      <c r="F13312" s="485">
        <v>484</v>
      </c>
      <c r="G13312" s="476" t="s">
        <v>4214</v>
      </c>
      <c r="J13312" s="595">
        <f t="shared" si="401"/>
        <v>0</v>
      </c>
    </row>
    <row r="13313" spans="6:10" ht="30" hidden="1" x14ac:dyDescent="0.25">
      <c r="F13313" s="485">
        <v>485</v>
      </c>
      <c r="G13313" s="476" t="s">
        <v>4215</v>
      </c>
      <c r="J13313" s="595">
        <f t="shared" si="401"/>
        <v>0</v>
      </c>
    </row>
    <row r="13314" spans="6:10" ht="30" hidden="1" x14ac:dyDescent="0.25">
      <c r="F13314" s="485">
        <v>489</v>
      </c>
      <c r="G13314" s="476" t="s">
        <v>3841</v>
      </c>
      <c r="J13314" s="595">
        <f t="shared" si="401"/>
        <v>0</v>
      </c>
    </row>
    <row r="13315" spans="6:10" hidden="1" x14ac:dyDescent="0.25">
      <c r="F13315" s="485">
        <v>494</v>
      </c>
      <c r="G13315" s="476" t="s">
        <v>4193</v>
      </c>
      <c r="J13315" s="595">
        <f t="shared" si="401"/>
        <v>0</v>
      </c>
    </row>
    <row r="13316" spans="6:10" ht="30" hidden="1" x14ac:dyDescent="0.25">
      <c r="F13316" s="485">
        <v>495</v>
      </c>
      <c r="G13316" s="476" t="s">
        <v>4194</v>
      </c>
      <c r="J13316" s="595">
        <f t="shared" si="401"/>
        <v>0</v>
      </c>
    </row>
    <row r="13317" spans="6:10" ht="30" hidden="1" x14ac:dyDescent="0.25">
      <c r="F13317" s="485">
        <v>496</v>
      </c>
      <c r="G13317" s="476" t="s">
        <v>4195</v>
      </c>
      <c r="J13317" s="595">
        <f t="shared" si="401"/>
        <v>0</v>
      </c>
    </row>
    <row r="13318" spans="6:10" hidden="1" x14ac:dyDescent="0.25">
      <c r="F13318" s="485">
        <v>499</v>
      </c>
      <c r="G13318" s="476" t="s">
        <v>4196</v>
      </c>
      <c r="J13318" s="595">
        <f t="shared" si="401"/>
        <v>0</v>
      </c>
    </row>
    <row r="13319" spans="6:10" hidden="1" x14ac:dyDescent="0.25">
      <c r="F13319" s="485">
        <v>511</v>
      </c>
      <c r="G13319" s="478" t="s">
        <v>4216</v>
      </c>
      <c r="J13319" s="595">
        <f t="shared" si="401"/>
        <v>0</v>
      </c>
    </row>
    <row r="13320" spans="6:10" hidden="1" x14ac:dyDescent="0.25">
      <c r="F13320" s="485">
        <v>512</v>
      </c>
      <c r="G13320" s="478" t="s">
        <v>4217</v>
      </c>
      <c r="J13320" s="595">
        <f t="shared" si="401"/>
        <v>0</v>
      </c>
    </row>
    <row r="13321" spans="6:10" hidden="1" x14ac:dyDescent="0.25">
      <c r="F13321" s="485">
        <v>513</v>
      </c>
      <c r="G13321" s="478" t="s">
        <v>4218</v>
      </c>
      <c r="J13321" s="595">
        <f t="shared" si="401"/>
        <v>0</v>
      </c>
    </row>
    <row r="13322" spans="6:10" hidden="1" x14ac:dyDescent="0.25">
      <c r="F13322" s="485">
        <v>514</v>
      </c>
      <c r="G13322" s="476" t="s">
        <v>4219</v>
      </c>
      <c r="J13322" s="595">
        <f t="shared" si="401"/>
        <v>0</v>
      </c>
    </row>
    <row r="13323" spans="6:10" hidden="1" x14ac:dyDescent="0.25">
      <c r="F13323" s="485">
        <v>515</v>
      </c>
      <c r="G13323" s="476" t="s">
        <v>3852</v>
      </c>
      <c r="J13323" s="595">
        <f t="shared" si="401"/>
        <v>0</v>
      </c>
    </row>
    <row r="13324" spans="6:10" hidden="1" x14ac:dyDescent="0.25">
      <c r="F13324" s="485">
        <v>521</v>
      </c>
      <c r="G13324" s="476" t="s">
        <v>4220</v>
      </c>
      <c r="J13324" s="595">
        <f t="shared" si="401"/>
        <v>0</v>
      </c>
    </row>
    <row r="13325" spans="6:10" hidden="1" x14ac:dyDescent="0.25">
      <c r="F13325" s="485">
        <v>522</v>
      </c>
      <c r="G13325" s="476" t="s">
        <v>4221</v>
      </c>
      <c r="J13325" s="595">
        <f t="shared" si="401"/>
        <v>0</v>
      </c>
    </row>
    <row r="13326" spans="6:10" hidden="1" x14ac:dyDescent="0.25">
      <c r="F13326" s="485">
        <v>523</v>
      </c>
      <c r="G13326" s="476" t="s">
        <v>3857</v>
      </c>
      <c r="J13326" s="595">
        <f t="shared" si="401"/>
        <v>0</v>
      </c>
    </row>
    <row r="13327" spans="6:10" hidden="1" x14ac:dyDescent="0.25">
      <c r="F13327" s="485">
        <v>531</v>
      </c>
      <c r="G13327" s="473" t="s">
        <v>4197</v>
      </c>
      <c r="J13327" s="595">
        <f t="shared" si="401"/>
        <v>0</v>
      </c>
    </row>
    <row r="13328" spans="6:10" hidden="1" x14ac:dyDescent="0.25">
      <c r="F13328" s="485">
        <v>541</v>
      </c>
      <c r="G13328" s="476" t="s">
        <v>4222</v>
      </c>
      <c r="J13328" s="595">
        <f t="shared" si="401"/>
        <v>0</v>
      </c>
    </row>
    <row r="13329" spans="5:10" hidden="1" x14ac:dyDescent="0.25">
      <c r="F13329" s="485">
        <v>542</v>
      </c>
      <c r="G13329" s="476" t="s">
        <v>4223</v>
      </c>
      <c r="J13329" s="595">
        <f t="shared" si="401"/>
        <v>0</v>
      </c>
    </row>
    <row r="13330" spans="5:10" hidden="1" x14ac:dyDescent="0.25">
      <c r="F13330" s="485">
        <v>543</v>
      </c>
      <c r="G13330" s="476" t="s">
        <v>3862</v>
      </c>
      <c r="J13330" s="595">
        <f t="shared" si="401"/>
        <v>0</v>
      </c>
    </row>
    <row r="13331" spans="5:10" ht="30" hidden="1" x14ac:dyDescent="0.25">
      <c r="F13331" s="485">
        <v>551</v>
      </c>
      <c r="G13331" s="476" t="s">
        <v>4198</v>
      </c>
      <c r="J13331" s="595">
        <f t="shared" si="401"/>
        <v>0</v>
      </c>
    </row>
    <row r="13332" spans="5:10" hidden="1" x14ac:dyDescent="0.25">
      <c r="F13332" s="486">
        <v>611</v>
      </c>
      <c r="G13332" s="484" t="s">
        <v>3868</v>
      </c>
      <c r="J13332" s="595">
        <f t="shared" si="401"/>
        <v>0</v>
      </c>
    </row>
    <row r="13333" spans="5:10" ht="15.75" hidden="1" thickBot="1" x14ac:dyDescent="0.3">
      <c r="F13333" s="486">
        <v>620</v>
      </c>
      <c r="G13333" s="484" t="s">
        <v>88</v>
      </c>
      <c r="J13333" s="595">
        <f t="shared" si="401"/>
        <v>0</v>
      </c>
    </row>
    <row r="13334" spans="5:10" hidden="1" x14ac:dyDescent="0.25">
      <c r="E13334" s="474"/>
      <c r="F13334" s="486"/>
      <c r="G13334" s="327" t="s">
        <v>4459</v>
      </c>
      <c r="H13334" s="596"/>
      <c r="I13334" s="622"/>
      <c r="J13334" s="597"/>
    </row>
    <row r="13335" spans="5:10" hidden="1" x14ac:dyDescent="0.25">
      <c r="E13335" s="222"/>
      <c r="F13335" s="249" t="s">
        <v>234</v>
      </c>
      <c r="G13335" s="252" t="s">
        <v>235</v>
      </c>
      <c r="H13335" s="598">
        <f>SUM(H13274:H13333)</f>
        <v>0</v>
      </c>
      <c r="I13335" s="599"/>
      <c r="J13335" s="599">
        <f t="shared" ref="J13335:J13350" si="402">SUM(H13335:I13335)</f>
        <v>0</v>
      </c>
    </row>
    <row r="13336" spans="5:10" hidden="1" x14ac:dyDescent="0.25">
      <c r="F13336" s="249" t="s">
        <v>236</v>
      </c>
      <c r="G13336" s="252" t="s">
        <v>237</v>
      </c>
      <c r="J13336" s="599">
        <f t="shared" si="402"/>
        <v>0</v>
      </c>
    </row>
    <row r="13337" spans="5:10" hidden="1" x14ac:dyDescent="0.25">
      <c r="F13337" s="249" t="s">
        <v>238</v>
      </c>
      <c r="G13337" s="252" t="s">
        <v>239</v>
      </c>
      <c r="J13337" s="599">
        <f t="shared" si="402"/>
        <v>0</v>
      </c>
    </row>
    <row r="13338" spans="5:10" ht="15.75" hidden="1" thickBot="1" x14ac:dyDescent="0.3">
      <c r="F13338" s="249" t="s">
        <v>240</v>
      </c>
      <c r="G13338" s="252" t="s">
        <v>241</v>
      </c>
      <c r="J13338" s="599">
        <f t="shared" si="402"/>
        <v>0</v>
      </c>
    </row>
    <row r="13339" spans="5:10" hidden="1" x14ac:dyDescent="0.25">
      <c r="F13339" s="249" t="s">
        <v>242</v>
      </c>
      <c r="G13339" s="252" t="s">
        <v>243</v>
      </c>
      <c r="J13339" s="599">
        <f t="shared" si="402"/>
        <v>0</v>
      </c>
    </row>
    <row r="13340" spans="5:10" hidden="1" x14ac:dyDescent="0.25">
      <c r="F13340" s="249" t="s">
        <v>244</v>
      </c>
      <c r="G13340" s="252" t="s">
        <v>245</v>
      </c>
      <c r="J13340" s="599">
        <f t="shared" si="402"/>
        <v>0</v>
      </c>
    </row>
    <row r="13341" spans="5:10" hidden="1" x14ac:dyDescent="0.25">
      <c r="F13341" s="249" t="s">
        <v>246</v>
      </c>
      <c r="G13341" s="252" t="s">
        <v>247</v>
      </c>
      <c r="J13341" s="599">
        <f t="shared" si="402"/>
        <v>0</v>
      </c>
    </row>
    <row r="13342" spans="5:10" hidden="1" x14ac:dyDescent="0.25">
      <c r="F13342" s="249" t="s">
        <v>248</v>
      </c>
      <c r="G13342" s="252" t="s">
        <v>249</v>
      </c>
      <c r="J13342" s="599">
        <f t="shared" si="402"/>
        <v>0</v>
      </c>
    </row>
    <row r="13343" spans="5:10" hidden="1" x14ac:dyDescent="0.25">
      <c r="F13343" s="249" t="s">
        <v>250</v>
      </c>
      <c r="G13343" s="252" t="s">
        <v>57</v>
      </c>
      <c r="J13343" s="599">
        <f t="shared" si="402"/>
        <v>0</v>
      </c>
    </row>
    <row r="13344" spans="5:10" hidden="1" x14ac:dyDescent="0.25">
      <c r="F13344" s="249" t="s">
        <v>251</v>
      </c>
      <c r="G13344" s="252" t="s">
        <v>252</v>
      </c>
      <c r="J13344" s="599">
        <f t="shared" si="402"/>
        <v>0</v>
      </c>
    </row>
    <row r="13345" spans="5:10" hidden="1" x14ac:dyDescent="0.25">
      <c r="F13345" s="249" t="s">
        <v>253</v>
      </c>
      <c r="G13345" s="252" t="s">
        <v>254</v>
      </c>
      <c r="J13345" s="599">
        <f t="shared" si="402"/>
        <v>0</v>
      </c>
    </row>
    <row r="13346" spans="5:10" ht="30" hidden="1" x14ac:dyDescent="0.25">
      <c r="F13346" s="249" t="s">
        <v>255</v>
      </c>
      <c r="G13346" s="252" t="s">
        <v>256</v>
      </c>
      <c r="J13346" s="599">
        <f t="shared" si="402"/>
        <v>0</v>
      </c>
    </row>
    <row r="13347" spans="5:10" hidden="1" x14ac:dyDescent="0.25">
      <c r="F13347" s="249" t="s">
        <v>257</v>
      </c>
      <c r="G13347" s="252" t="s">
        <v>258</v>
      </c>
      <c r="J13347" s="599">
        <f t="shared" si="402"/>
        <v>0</v>
      </c>
    </row>
    <row r="13348" spans="5:10" ht="30" hidden="1" x14ac:dyDescent="0.25">
      <c r="F13348" s="249" t="s">
        <v>259</v>
      </c>
      <c r="G13348" s="252" t="s">
        <v>260</v>
      </c>
      <c r="J13348" s="599">
        <f t="shared" si="402"/>
        <v>0</v>
      </c>
    </row>
    <row r="13349" spans="5:10" hidden="1" x14ac:dyDescent="0.25">
      <c r="F13349" s="249" t="s">
        <v>261</v>
      </c>
      <c r="G13349" s="252" t="s">
        <v>262</v>
      </c>
      <c r="J13349" s="599">
        <f t="shared" si="402"/>
        <v>0</v>
      </c>
    </row>
    <row r="13350" spans="5:10" ht="15.75" hidden="1" thickBot="1" x14ac:dyDescent="0.3">
      <c r="F13350" s="249" t="s">
        <v>263</v>
      </c>
      <c r="G13350" s="252" t="s">
        <v>264</v>
      </c>
      <c r="H13350" s="598"/>
      <c r="I13350" s="599"/>
      <c r="J13350" s="599">
        <f t="shared" si="402"/>
        <v>0</v>
      </c>
    </row>
    <row r="13351" spans="5:10" ht="15.75" hidden="1" thickBot="1" x14ac:dyDescent="0.3">
      <c r="G13351" s="229" t="s">
        <v>4460</v>
      </c>
      <c r="H13351" s="600">
        <f>SUM(H13335:H13350)</f>
        <v>0</v>
      </c>
      <c r="I13351" s="601">
        <f>SUM(I13336:I13350)</f>
        <v>0</v>
      </c>
      <c r="J13351" s="601">
        <f>SUM(J13335:J13350)</f>
        <v>0</v>
      </c>
    </row>
    <row r="13352" spans="5:10" ht="28.5" hidden="1" collapsed="1" x14ac:dyDescent="0.25">
      <c r="E13352" s="474"/>
      <c r="F13352" s="486"/>
      <c r="G13352" s="231" t="s">
        <v>4461</v>
      </c>
      <c r="H13352" s="602"/>
      <c r="I13352" s="623"/>
      <c r="J13352" s="603"/>
    </row>
    <row r="13353" spans="5:10" hidden="1" x14ac:dyDescent="0.25">
      <c r="E13353" s="222"/>
      <c r="F13353" s="249" t="s">
        <v>234</v>
      </c>
      <c r="G13353" s="252" t="s">
        <v>235</v>
      </c>
      <c r="H13353" s="598">
        <f>SUM(H13274:H13333)</f>
        <v>0</v>
      </c>
      <c r="I13353" s="599"/>
      <c r="J13353" s="599">
        <f>SUM(H13353:I13353)</f>
        <v>0</v>
      </c>
    </row>
    <row r="13354" spans="5:10" hidden="1" x14ac:dyDescent="0.25">
      <c r="F13354" s="249" t="s">
        <v>236</v>
      </c>
      <c r="G13354" s="252" t="s">
        <v>237</v>
      </c>
      <c r="J13354" s="599">
        <f t="shared" ref="J13354:J13368" si="403">SUM(H13354:I13354)</f>
        <v>0</v>
      </c>
    </row>
    <row r="13355" spans="5:10" hidden="1" x14ac:dyDescent="0.25">
      <c r="F13355" s="249" t="s">
        <v>238</v>
      </c>
      <c r="G13355" s="252" t="s">
        <v>239</v>
      </c>
      <c r="J13355" s="599">
        <f t="shared" si="403"/>
        <v>0</v>
      </c>
    </row>
    <row r="13356" spans="5:10" ht="15.75" hidden="1" thickBot="1" x14ac:dyDescent="0.3">
      <c r="F13356" s="249" t="s">
        <v>240</v>
      </c>
      <c r="G13356" s="252" t="s">
        <v>241</v>
      </c>
      <c r="J13356" s="599">
        <f t="shared" si="403"/>
        <v>0</v>
      </c>
    </row>
    <row r="13357" spans="5:10" hidden="1" x14ac:dyDescent="0.25">
      <c r="F13357" s="249" t="s">
        <v>242</v>
      </c>
      <c r="G13357" s="252" t="s">
        <v>243</v>
      </c>
      <c r="J13357" s="599">
        <f t="shared" si="403"/>
        <v>0</v>
      </c>
    </row>
    <row r="13358" spans="5:10" hidden="1" x14ac:dyDescent="0.25">
      <c r="F13358" s="249" t="s">
        <v>244</v>
      </c>
      <c r="G13358" s="252" t="s">
        <v>245</v>
      </c>
      <c r="J13358" s="599">
        <f t="shared" si="403"/>
        <v>0</v>
      </c>
    </row>
    <row r="13359" spans="5:10" hidden="1" x14ac:dyDescent="0.25">
      <c r="F13359" s="249" t="s">
        <v>246</v>
      </c>
      <c r="G13359" s="252" t="s">
        <v>247</v>
      </c>
      <c r="J13359" s="599">
        <f t="shared" si="403"/>
        <v>0</v>
      </c>
    </row>
    <row r="13360" spans="5:10" hidden="1" x14ac:dyDescent="0.25">
      <c r="F13360" s="249" t="s">
        <v>248</v>
      </c>
      <c r="G13360" s="252" t="s">
        <v>249</v>
      </c>
      <c r="J13360" s="599">
        <f t="shared" si="403"/>
        <v>0</v>
      </c>
    </row>
    <row r="13361" spans="3:10" hidden="1" x14ac:dyDescent="0.25">
      <c r="F13361" s="249" t="s">
        <v>250</v>
      </c>
      <c r="G13361" s="252" t="s">
        <v>57</v>
      </c>
      <c r="J13361" s="599">
        <f t="shared" si="403"/>
        <v>0</v>
      </c>
    </row>
    <row r="13362" spans="3:10" hidden="1" x14ac:dyDescent="0.25">
      <c r="F13362" s="249" t="s">
        <v>251</v>
      </c>
      <c r="G13362" s="252" t="s">
        <v>252</v>
      </c>
      <c r="J13362" s="599">
        <f t="shared" si="403"/>
        <v>0</v>
      </c>
    </row>
    <row r="13363" spans="3:10" hidden="1" x14ac:dyDescent="0.25">
      <c r="F13363" s="249" t="s">
        <v>253</v>
      </c>
      <c r="G13363" s="252" t="s">
        <v>254</v>
      </c>
      <c r="J13363" s="599">
        <f t="shared" si="403"/>
        <v>0</v>
      </c>
    </row>
    <row r="13364" spans="3:10" ht="30" hidden="1" x14ac:dyDescent="0.25">
      <c r="F13364" s="249" t="s">
        <v>255</v>
      </c>
      <c r="G13364" s="252" t="s">
        <v>256</v>
      </c>
      <c r="J13364" s="599">
        <f t="shared" si="403"/>
        <v>0</v>
      </c>
    </row>
    <row r="13365" spans="3:10" hidden="1" x14ac:dyDescent="0.25">
      <c r="F13365" s="249" t="s">
        <v>257</v>
      </c>
      <c r="G13365" s="252" t="s">
        <v>258</v>
      </c>
      <c r="J13365" s="599">
        <f t="shared" si="403"/>
        <v>0</v>
      </c>
    </row>
    <row r="13366" spans="3:10" ht="30" hidden="1" x14ac:dyDescent="0.25">
      <c r="F13366" s="249" t="s">
        <v>259</v>
      </c>
      <c r="G13366" s="252" t="s">
        <v>260</v>
      </c>
      <c r="J13366" s="599">
        <f t="shared" si="403"/>
        <v>0</v>
      </c>
    </row>
    <row r="13367" spans="3:10" hidden="1" x14ac:dyDescent="0.25">
      <c r="F13367" s="249" t="s">
        <v>261</v>
      </c>
      <c r="G13367" s="252" t="s">
        <v>262</v>
      </c>
      <c r="J13367" s="599">
        <f t="shared" si="403"/>
        <v>0</v>
      </c>
    </row>
    <row r="13368" spans="3:10" ht="15.75" hidden="1" thickBot="1" x14ac:dyDescent="0.3">
      <c r="F13368" s="249" t="s">
        <v>263</v>
      </c>
      <c r="G13368" s="252" t="s">
        <v>264</v>
      </c>
      <c r="H13368" s="598"/>
      <c r="I13368" s="599"/>
      <c r="J13368" s="599">
        <f t="shared" si="403"/>
        <v>0</v>
      </c>
    </row>
    <row r="13369" spans="3:10" ht="15.75" hidden="1" collapsed="1" thickBot="1" x14ac:dyDescent="0.3">
      <c r="G13369" s="229" t="s">
        <v>4462</v>
      </c>
      <c r="H13369" s="600">
        <f>SUM(H13353:H13368)</f>
        <v>0</v>
      </c>
      <c r="I13369" s="601">
        <f>SUM(I13354:I13368)</f>
        <v>0</v>
      </c>
      <c r="J13369" s="601">
        <f>SUM(J13353:J13368)</f>
        <v>0</v>
      </c>
    </row>
    <row r="13370" spans="3:10" hidden="1" x14ac:dyDescent="0.25"/>
    <row r="13371" spans="3:10" hidden="1" x14ac:dyDescent="0.25">
      <c r="C13371" s="228" t="s">
        <v>4867</v>
      </c>
      <c r="D13371" s="219"/>
      <c r="G13371" s="477" t="s">
        <v>4254</v>
      </c>
    </row>
    <row r="13372" spans="3:10" hidden="1" x14ac:dyDescent="0.25">
      <c r="C13372" s="228"/>
      <c r="D13372" s="312">
        <v>820</v>
      </c>
      <c r="E13372" s="312"/>
      <c r="F13372" s="312"/>
      <c r="G13372" s="313" t="s">
        <v>207</v>
      </c>
    </row>
    <row r="13373" spans="3:10" hidden="1" x14ac:dyDescent="0.25">
      <c r="F13373" s="485">
        <v>411</v>
      </c>
      <c r="G13373" s="476" t="s">
        <v>4189</v>
      </c>
      <c r="J13373" s="595">
        <f>SUM(H13373:I13373)</f>
        <v>0</v>
      </c>
    </row>
    <row r="13374" spans="3:10" hidden="1" x14ac:dyDescent="0.25">
      <c r="F13374" s="485">
        <v>412</v>
      </c>
      <c r="G13374" s="473" t="s">
        <v>3784</v>
      </c>
      <c r="J13374" s="595">
        <f t="shared" ref="J13374:J13432" si="404">SUM(H13374:I13374)</f>
        <v>0</v>
      </c>
    </row>
    <row r="13375" spans="3:10" hidden="1" x14ac:dyDescent="0.25">
      <c r="F13375" s="485">
        <v>413</v>
      </c>
      <c r="G13375" s="476" t="s">
        <v>4190</v>
      </c>
      <c r="J13375" s="595">
        <f t="shared" si="404"/>
        <v>0</v>
      </c>
    </row>
    <row r="13376" spans="3:10" hidden="1" x14ac:dyDescent="0.25">
      <c r="F13376" s="485">
        <v>414</v>
      </c>
      <c r="G13376" s="476" t="s">
        <v>3787</v>
      </c>
      <c r="J13376" s="595">
        <f t="shared" si="404"/>
        <v>0</v>
      </c>
    </row>
    <row r="13377" spans="6:10" hidden="1" x14ac:dyDescent="0.25">
      <c r="F13377" s="485">
        <v>415</v>
      </c>
      <c r="G13377" s="476" t="s">
        <v>4199</v>
      </c>
      <c r="J13377" s="595">
        <f t="shared" si="404"/>
        <v>0</v>
      </c>
    </row>
    <row r="13378" spans="6:10" hidden="1" x14ac:dyDescent="0.25">
      <c r="F13378" s="485">
        <v>416</v>
      </c>
      <c r="G13378" s="476" t="s">
        <v>4200</v>
      </c>
      <c r="J13378" s="595">
        <f t="shared" si="404"/>
        <v>0</v>
      </c>
    </row>
    <row r="13379" spans="6:10" hidden="1" x14ac:dyDescent="0.25">
      <c r="F13379" s="485">
        <v>417</v>
      </c>
      <c r="G13379" s="476" t="s">
        <v>4201</v>
      </c>
      <c r="J13379" s="595">
        <f t="shared" si="404"/>
        <v>0</v>
      </c>
    </row>
    <row r="13380" spans="6:10" hidden="1" x14ac:dyDescent="0.25">
      <c r="F13380" s="485">
        <v>418</v>
      </c>
      <c r="G13380" s="476" t="s">
        <v>3793</v>
      </c>
      <c r="J13380" s="595">
        <f t="shared" si="404"/>
        <v>0</v>
      </c>
    </row>
    <row r="13381" spans="6:10" hidden="1" x14ac:dyDescent="0.25">
      <c r="F13381" s="485">
        <v>421</v>
      </c>
      <c r="G13381" s="476" t="s">
        <v>3797</v>
      </c>
      <c r="J13381" s="595">
        <f t="shared" si="404"/>
        <v>0</v>
      </c>
    </row>
    <row r="13382" spans="6:10" hidden="1" x14ac:dyDescent="0.25">
      <c r="F13382" s="485">
        <v>422</v>
      </c>
      <c r="G13382" s="476" t="s">
        <v>3798</v>
      </c>
      <c r="J13382" s="595">
        <f t="shared" si="404"/>
        <v>0</v>
      </c>
    </row>
    <row r="13383" spans="6:10" ht="15.75" hidden="1" thickBot="1" x14ac:dyDescent="0.3">
      <c r="F13383" s="485">
        <v>423</v>
      </c>
      <c r="G13383" s="476" t="s">
        <v>3799</v>
      </c>
      <c r="J13383" s="595">
        <f t="shared" si="404"/>
        <v>0</v>
      </c>
    </row>
    <row r="13384" spans="6:10" hidden="1" x14ac:dyDescent="0.25">
      <c r="F13384" s="485">
        <v>424</v>
      </c>
      <c r="G13384" s="476" t="s">
        <v>3801</v>
      </c>
      <c r="J13384" s="595">
        <f t="shared" si="404"/>
        <v>0</v>
      </c>
    </row>
    <row r="13385" spans="6:10" hidden="1" x14ac:dyDescent="0.25">
      <c r="F13385" s="485">
        <v>425</v>
      </c>
      <c r="G13385" s="476" t="s">
        <v>4202</v>
      </c>
      <c r="J13385" s="595">
        <f t="shared" si="404"/>
        <v>0</v>
      </c>
    </row>
    <row r="13386" spans="6:10" hidden="1" x14ac:dyDescent="0.25">
      <c r="F13386" s="485">
        <v>426</v>
      </c>
      <c r="G13386" s="476" t="s">
        <v>3805</v>
      </c>
      <c r="J13386" s="595">
        <f t="shared" si="404"/>
        <v>0</v>
      </c>
    </row>
    <row r="13387" spans="6:10" hidden="1" x14ac:dyDescent="0.25">
      <c r="F13387" s="485">
        <v>431</v>
      </c>
      <c r="G13387" s="476" t="s">
        <v>4203</v>
      </c>
      <c r="J13387" s="595">
        <f t="shared" si="404"/>
        <v>0</v>
      </c>
    </row>
    <row r="13388" spans="6:10" hidden="1" x14ac:dyDescent="0.25">
      <c r="F13388" s="485">
        <v>432</v>
      </c>
      <c r="G13388" s="476" t="s">
        <v>4204</v>
      </c>
      <c r="J13388" s="595">
        <f t="shared" si="404"/>
        <v>0</v>
      </c>
    </row>
    <row r="13389" spans="6:10" hidden="1" x14ac:dyDescent="0.25">
      <c r="F13389" s="485">
        <v>433</v>
      </c>
      <c r="G13389" s="476" t="s">
        <v>4205</v>
      </c>
      <c r="J13389" s="595">
        <f t="shared" si="404"/>
        <v>0</v>
      </c>
    </row>
    <row r="13390" spans="6:10" hidden="1" x14ac:dyDescent="0.25">
      <c r="F13390" s="485">
        <v>434</v>
      </c>
      <c r="G13390" s="476" t="s">
        <v>4206</v>
      </c>
      <c r="J13390" s="595">
        <f t="shared" si="404"/>
        <v>0</v>
      </c>
    </row>
    <row r="13391" spans="6:10" hidden="1" x14ac:dyDescent="0.25">
      <c r="F13391" s="485">
        <v>435</v>
      </c>
      <c r="G13391" s="476" t="s">
        <v>3812</v>
      </c>
      <c r="J13391" s="595">
        <f t="shared" si="404"/>
        <v>0</v>
      </c>
    </row>
    <row r="13392" spans="6:10" hidden="1" x14ac:dyDescent="0.25">
      <c r="F13392" s="485">
        <v>441</v>
      </c>
      <c r="G13392" s="476" t="s">
        <v>4207</v>
      </c>
      <c r="J13392" s="595">
        <f t="shared" si="404"/>
        <v>0</v>
      </c>
    </row>
    <row r="13393" spans="6:10" hidden="1" x14ac:dyDescent="0.25">
      <c r="F13393" s="485">
        <v>442</v>
      </c>
      <c r="G13393" s="476" t="s">
        <v>4208</v>
      </c>
      <c r="J13393" s="595">
        <f t="shared" si="404"/>
        <v>0</v>
      </c>
    </row>
    <row r="13394" spans="6:10" hidden="1" x14ac:dyDescent="0.25">
      <c r="F13394" s="485">
        <v>443</v>
      </c>
      <c r="G13394" s="476" t="s">
        <v>3817</v>
      </c>
      <c r="J13394" s="595">
        <f t="shared" si="404"/>
        <v>0</v>
      </c>
    </row>
    <row r="13395" spans="6:10" hidden="1" x14ac:dyDescent="0.25">
      <c r="F13395" s="485">
        <v>444</v>
      </c>
      <c r="G13395" s="476" t="s">
        <v>3818</v>
      </c>
      <c r="J13395" s="595">
        <f t="shared" si="404"/>
        <v>0</v>
      </c>
    </row>
    <row r="13396" spans="6:10" ht="30" hidden="1" x14ac:dyDescent="0.25">
      <c r="F13396" s="485">
        <v>4511</v>
      </c>
      <c r="G13396" s="223" t="s">
        <v>1692</v>
      </c>
      <c r="J13396" s="595">
        <f t="shared" si="404"/>
        <v>0</v>
      </c>
    </row>
    <row r="13397" spans="6:10" ht="30" hidden="1" x14ac:dyDescent="0.25">
      <c r="F13397" s="485">
        <v>4512</v>
      </c>
      <c r="G13397" s="223" t="s">
        <v>1701</v>
      </c>
      <c r="J13397" s="595">
        <f t="shared" si="404"/>
        <v>0</v>
      </c>
    </row>
    <row r="13398" spans="6:10" hidden="1" x14ac:dyDescent="0.25">
      <c r="F13398" s="485">
        <v>452</v>
      </c>
      <c r="G13398" s="476" t="s">
        <v>4209</v>
      </c>
      <c r="J13398" s="595">
        <f t="shared" si="404"/>
        <v>0</v>
      </c>
    </row>
    <row r="13399" spans="6:10" hidden="1" x14ac:dyDescent="0.25">
      <c r="F13399" s="485">
        <v>453</v>
      </c>
      <c r="G13399" s="476" t="s">
        <v>4210</v>
      </c>
      <c r="J13399" s="595">
        <f t="shared" si="404"/>
        <v>0</v>
      </c>
    </row>
    <row r="13400" spans="6:10" hidden="1" x14ac:dyDescent="0.25">
      <c r="F13400" s="485">
        <v>454</v>
      </c>
      <c r="G13400" s="476" t="s">
        <v>3823</v>
      </c>
      <c r="J13400" s="595">
        <f t="shared" si="404"/>
        <v>0</v>
      </c>
    </row>
    <row r="13401" spans="6:10" hidden="1" x14ac:dyDescent="0.25">
      <c r="F13401" s="485">
        <v>461</v>
      </c>
      <c r="G13401" s="476" t="s">
        <v>4191</v>
      </c>
      <c r="J13401" s="595">
        <f t="shared" si="404"/>
        <v>0</v>
      </c>
    </row>
    <row r="13402" spans="6:10" hidden="1" x14ac:dyDescent="0.25">
      <c r="F13402" s="485">
        <v>462</v>
      </c>
      <c r="G13402" s="476" t="s">
        <v>3826</v>
      </c>
      <c r="J13402" s="595">
        <f t="shared" si="404"/>
        <v>0</v>
      </c>
    </row>
    <row r="13403" spans="6:10" hidden="1" x14ac:dyDescent="0.25">
      <c r="F13403" s="485">
        <v>4631</v>
      </c>
      <c r="G13403" s="476" t="s">
        <v>3827</v>
      </c>
      <c r="J13403" s="595">
        <f t="shared" si="404"/>
        <v>0</v>
      </c>
    </row>
    <row r="13404" spans="6:10" hidden="1" x14ac:dyDescent="0.25">
      <c r="F13404" s="485">
        <v>4632</v>
      </c>
      <c r="G13404" s="476" t="s">
        <v>3828</v>
      </c>
      <c r="J13404" s="595">
        <f t="shared" si="404"/>
        <v>0</v>
      </c>
    </row>
    <row r="13405" spans="6:10" hidden="1" x14ac:dyDescent="0.25">
      <c r="F13405" s="485">
        <v>464</v>
      </c>
      <c r="G13405" s="476" t="s">
        <v>3829</v>
      </c>
      <c r="J13405" s="595">
        <f t="shared" si="404"/>
        <v>0</v>
      </c>
    </row>
    <row r="13406" spans="6:10" hidden="1" x14ac:dyDescent="0.25">
      <c r="F13406" s="485">
        <v>465</v>
      </c>
      <c r="G13406" s="476" t="s">
        <v>4192</v>
      </c>
      <c r="J13406" s="595">
        <f t="shared" si="404"/>
        <v>0</v>
      </c>
    </row>
    <row r="13407" spans="6:10" hidden="1" x14ac:dyDescent="0.25">
      <c r="F13407" s="485">
        <v>472</v>
      </c>
      <c r="G13407" s="476" t="s">
        <v>3833</v>
      </c>
      <c r="J13407" s="595">
        <f t="shared" si="404"/>
        <v>0</v>
      </c>
    </row>
    <row r="13408" spans="6:10" hidden="1" x14ac:dyDescent="0.25">
      <c r="F13408" s="485">
        <v>481</v>
      </c>
      <c r="G13408" s="476" t="s">
        <v>4211</v>
      </c>
      <c r="J13408" s="595">
        <f t="shared" si="404"/>
        <v>0</v>
      </c>
    </row>
    <row r="13409" spans="6:10" hidden="1" x14ac:dyDescent="0.25">
      <c r="F13409" s="485">
        <v>482</v>
      </c>
      <c r="G13409" s="476" t="s">
        <v>4212</v>
      </c>
      <c r="J13409" s="595">
        <f t="shared" si="404"/>
        <v>0</v>
      </c>
    </row>
    <row r="13410" spans="6:10" hidden="1" x14ac:dyDescent="0.25">
      <c r="F13410" s="485">
        <v>483</v>
      </c>
      <c r="G13410" s="478" t="s">
        <v>4213</v>
      </c>
      <c r="J13410" s="595">
        <f t="shared" si="404"/>
        <v>0</v>
      </c>
    </row>
    <row r="13411" spans="6:10" ht="30" hidden="1" x14ac:dyDescent="0.25">
      <c r="F13411" s="485">
        <v>484</v>
      </c>
      <c r="G13411" s="476" t="s">
        <v>4214</v>
      </c>
      <c r="J13411" s="595">
        <f t="shared" si="404"/>
        <v>0</v>
      </c>
    </row>
    <row r="13412" spans="6:10" ht="30" hidden="1" x14ac:dyDescent="0.25">
      <c r="F13412" s="485">
        <v>485</v>
      </c>
      <c r="G13412" s="476" t="s">
        <v>4215</v>
      </c>
      <c r="J13412" s="595">
        <f t="shared" si="404"/>
        <v>0</v>
      </c>
    </row>
    <row r="13413" spans="6:10" ht="30" hidden="1" x14ac:dyDescent="0.25">
      <c r="F13413" s="485">
        <v>489</v>
      </c>
      <c r="G13413" s="476" t="s">
        <v>3841</v>
      </c>
      <c r="J13413" s="595">
        <f t="shared" si="404"/>
        <v>0</v>
      </c>
    </row>
    <row r="13414" spans="6:10" hidden="1" x14ac:dyDescent="0.25">
      <c r="F13414" s="485">
        <v>494</v>
      </c>
      <c r="G13414" s="476" t="s">
        <v>4193</v>
      </c>
      <c r="J13414" s="595">
        <f t="shared" si="404"/>
        <v>0</v>
      </c>
    </row>
    <row r="13415" spans="6:10" ht="30" hidden="1" x14ac:dyDescent="0.25">
      <c r="F13415" s="485">
        <v>495</v>
      </c>
      <c r="G13415" s="476" t="s">
        <v>4194</v>
      </c>
      <c r="J13415" s="595">
        <f t="shared" si="404"/>
        <v>0</v>
      </c>
    </row>
    <row r="13416" spans="6:10" ht="30" hidden="1" x14ac:dyDescent="0.25">
      <c r="F13416" s="485">
        <v>496</v>
      </c>
      <c r="G13416" s="476" t="s">
        <v>4195</v>
      </c>
      <c r="J13416" s="595">
        <f t="shared" si="404"/>
        <v>0</v>
      </c>
    </row>
    <row r="13417" spans="6:10" hidden="1" x14ac:dyDescent="0.25">
      <c r="F13417" s="485">
        <v>499</v>
      </c>
      <c r="G13417" s="476" t="s">
        <v>4196</v>
      </c>
      <c r="J13417" s="595">
        <f t="shared" si="404"/>
        <v>0</v>
      </c>
    </row>
    <row r="13418" spans="6:10" hidden="1" x14ac:dyDescent="0.25">
      <c r="F13418" s="485">
        <v>511</v>
      </c>
      <c r="G13418" s="478" t="s">
        <v>4216</v>
      </c>
      <c r="J13418" s="595">
        <f t="shared" si="404"/>
        <v>0</v>
      </c>
    </row>
    <row r="13419" spans="6:10" hidden="1" x14ac:dyDescent="0.25">
      <c r="F13419" s="485">
        <v>512</v>
      </c>
      <c r="G13419" s="478" t="s">
        <v>4217</v>
      </c>
      <c r="J13419" s="595">
        <f t="shared" si="404"/>
        <v>0</v>
      </c>
    </row>
    <row r="13420" spans="6:10" hidden="1" x14ac:dyDescent="0.25">
      <c r="F13420" s="485">
        <v>513</v>
      </c>
      <c r="G13420" s="478" t="s">
        <v>4218</v>
      </c>
      <c r="J13420" s="595">
        <f t="shared" si="404"/>
        <v>0</v>
      </c>
    </row>
    <row r="13421" spans="6:10" hidden="1" x14ac:dyDescent="0.25">
      <c r="F13421" s="485">
        <v>514</v>
      </c>
      <c r="G13421" s="476" t="s">
        <v>4219</v>
      </c>
      <c r="J13421" s="595">
        <f t="shared" si="404"/>
        <v>0</v>
      </c>
    </row>
    <row r="13422" spans="6:10" hidden="1" x14ac:dyDescent="0.25">
      <c r="F13422" s="485">
        <v>515</v>
      </c>
      <c r="G13422" s="476" t="s">
        <v>3852</v>
      </c>
      <c r="J13422" s="595">
        <f t="shared" si="404"/>
        <v>0</v>
      </c>
    </row>
    <row r="13423" spans="6:10" hidden="1" x14ac:dyDescent="0.25">
      <c r="F13423" s="485">
        <v>521</v>
      </c>
      <c r="G13423" s="476" t="s">
        <v>4220</v>
      </c>
      <c r="J13423" s="595">
        <f t="shared" si="404"/>
        <v>0</v>
      </c>
    </row>
    <row r="13424" spans="6:10" hidden="1" x14ac:dyDescent="0.25">
      <c r="F13424" s="485">
        <v>522</v>
      </c>
      <c r="G13424" s="476" t="s">
        <v>4221</v>
      </c>
      <c r="J13424" s="595">
        <f t="shared" si="404"/>
        <v>0</v>
      </c>
    </row>
    <row r="13425" spans="5:10" hidden="1" x14ac:dyDescent="0.25">
      <c r="F13425" s="485">
        <v>523</v>
      </c>
      <c r="G13425" s="476" t="s">
        <v>3857</v>
      </c>
      <c r="J13425" s="595">
        <f t="shared" si="404"/>
        <v>0</v>
      </c>
    </row>
    <row r="13426" spans="5:10" hidden="1" x14ac:dyDescent="0.25">
      <c r="F13426" s="485">
        <v>531</v>
      </c>
      <c r="G13426" s="473" t="s">
        <v>4197</v>
      </c>
      <c r="J13426" s="595">
        <f t="shared" si="404"/>
        <v>0</v>
      </c>
    </row>
    <row r="13427" spans="5:10" hidden="1" x14ac:dyDescent="0.25">
      <c r="F13427" s="485">
        <v>541</v>
      </c>
      <c r="G13427" s="476" t="s">
        <v>4222</v>
      </c>
      <c r="J13427" s="595">
        <f t="shared" si="404"/>
        <v>0</v>
      </c>
    </row>
    <row r="13428" spans="5:10" hidden="1" x14ac:dyDescent="0.25">
      <c r="F13428" s="485">
        <v>542</v>
      </c>
      <c r="G13428" s="476" t="s">
        <v>4223</v>
      </c>
      <c r="J13428" s="595">
        <f t="shared" si="404"/>
        <v>0</v>
      </c>
    </row>
    <row r="13429" spans="5:10" hidden="1" x14ac:dyDescent="0.25">
      <c r="F13429" s="485">
        <v>543</v>
      </c>
      <c r="G13429" s="476" t="s">
        <v>3862</v>
      </c>
      <c r="J13429" s="595">
        <f t="shared" si="404"/>
        <v>0</v>
      </c>
    </row>
    <row r="13430" spans="5:10" ht="30" hidden="1" x14ac:dyDescent="0.25">
      <c r="F13430" s="485">
        <v>551</v>
      </c>
      <c r="G13430" s="476" t="s">
        <v>4198</v>
      </c>
      <c r="J13430" s="595">
        <f t="shared" si="404"/>
        <v>0</v>
      </c>
    </row>
    <row r="13431" spans="5:10" hidden="1" x14ac:dyDescent="0.25">
      <c r="F13431" s="486">
        <v>611</v>
      </c>
      <c r="G13431" s="484" t="s">
        <v>3868</v>
      </c>
      <c r="J13431" s="595">
        <f t="shared" si="404"/>
        <v>0</v>
      </c>
    </row>
    <row r="13432" spans="5:10" ht="15.75" hidden="1" thickBot="1" x14ac:dyDescent="0.3">
      <c r="F13432" s="486">
        <v>620</v>
      </c>
      <c r="G13432" s="484" t="s">
        <v>88</v>
      </c>
      <c r="J13432" s="595">
        <f t="shared" si="404"/>
        <v>0</v>
      </c>
    </row>
    <row r="13433" spans="5:10" hidden="1" x14ac:dyDescent="0.25">
      <c r="E13433" s="474"/>
      <c r="F13433" s="486"/>
      <c r="G13433" s="326" t="s">
        <v>4459</v>
      </c>
      <c r="H13433" s="596"/>
      <c r="I13433" s="622"/>
      <c r="J13433" s="597"/>
    </row>
    <row r="13434" spans="5:10" hidden="1" x14ac:dyDescent="0.25">
      <c r="E13434" s="222"/>
      <c r="F13434" s="249" t="s">
        <v>234</v>
      </c>
      <c r="G13434" s="252" t="s">
        <v>235</v>
      </c>
      <c r="H13434" s="598">
        <f>SUM(H13373:H13432)</f>
        <v>0</v>
      </c>
      <c r="I13434" s="599"/>
      <c r="J13434" s="599">
        <f>SUM(H13434:I13434)</f>
        <v>0</v>
      </c>
    </row>
    <row r="13435" spans="5:10" hidden="1" x14ac:dyDescent="0.25">
      <c r="F13435" s="249" t="s">
        <v>236</v>
      </c>
      <c r="G13435" s="252" t="s">
        <v>237</v>
      </c>
      <c r="J13435" s="599">
        <f t="shared" ref="J13435:J13449" si="405">SUM(H13435:I13435)</f>
        <v>0</v>
      </c>
    </row>
    <row r="13436" spans="5:10" hidden="1" x14ac:dyDescent="0.25">
      <c r="F13436" s="249" t="s">
        <v>238</v>
      </c>
      <c r="G13436" s="252" t="s">
        <v>239</v>
      </c>
      <c r="J13436" s="599">
        <f t="shared" si="405"/>
        <v>0</v>
      </c>
    </row>
    <row r="13437" spans="5:10" ht="15.75" hidden="1" thickBot="1" x14ac:dyDescent="0.3">
      <c r="F13437" s="249" t="s">
        <v>240</v>
      </c>
      <c r="G13437" s="252" t="s">
        <v>241</v>
      </c>
      <c r="J13437" s="599">
        <f t="shared" si="405"/>
        <v>0</v>
      </c>
    </row>
    <row r="13438" spans="5:10" hidden="1" x14ac:dyDescent="0.25">
      <c r="F13438" s="249" t="s">
        <v>242</v>
      </c>
      <c r="G13438" s="252" t="s">
        <v>243</v>
      </c>
      <c r="J13438" s="599">
        <f t="shared" si="405"/>
        <v>0</v>
      </c>
    </row>
    <row r="13439" spans="5:10" hidden="1" x14ac:dyDescent="0.25">
      <c r="F13439" s="249" t="s">
        <v>244</v>
      </c>
      <c r="G13439" s="252" t="s">
        <v>245</v>
      </c>
      <c r="J13439" s="599">
        <f t="shared" si="405"/>
        <v>0</v>
      </c>
    </row>
    <row r="13440" spans="5:10" hidden="1" x14ac:dyDescent="0.25">
      <c r="F13440" s="249" t="s">
        <v>246</v>
      </c>
      <c r="G13440" s="252" t="s">
        <v>247</v>
      </c>
      <c r="J13440" s="599">
        <f t="shared" si="405"/>
        <v>0</v>
      </c>
    </row>
    <row r="13441" spans="5:10" hidden="1" x14ac:dyDescent="0.25">
      <c r="F13441" s="249" t="s">
        <v>248</v>
      </c>
      <c r="G13441" s="252" t="s">
        <v>249</v>
      </c>
      <c r="J13441" s="599">
        <f t="shared" si="405"/>
        <v>0</v>
      </c>
    </row>
    <row r="13442" spans="5:10" hidden="1" x14ac:dyDescent="0.25">
      <c r="F13442" s="249" t="s">
        <v>250</v>
      </c>
      <c r="G13442" s="252" t="s">
        <v>57</v>
      </c>
      <c r="J13442" s="599">
        <f t="shared" si="405"/>
        <v>0</v>
      </c>
    </row>
    <row r="13443" spans="5:10" hidden="1" x14ac:dyDescent="0.25">
      <c r="F13443" s="249" t="s">
        <v>251</v>
      </c>
      <c r="G13443" s="252" t="s">
        <v>252</v>
      </c>
      <c r="J13443" s="599">
        <f t="shared" si="405"/>
        <v>0</v>
      </c>
    </row>
    <row r="13444" spans="5:10" hidden="1" x14ac:dyDescent="0.25">
      <c r="F13444" s="249" t="s">
        <v>253</v>
      </c>
      <c r="G13444" s="252" t="s">
        <v>254</v>
      </c>
      <c r="J13444" s="599">
        <f t="shared" si="405"/>
        <v>0</v>
      </c>
    </row>
    <row r="13445" spans="5:10" ht="30" hidden="1" x14ac:dyDescent="0.25">
      <c r="F13445" s="249" t="s">
        <v>255</v>
      </c>
      <c r="G13445" s="252" t="s">
        <v>256</v>
      </c>
      <c r="J13445" s="599">
        <f t="shared" si="405"/>
        <v>0</v>
      </c>
    </row>
    <row r="13446" spans="5:10" hidden="1" x14ac:dyDescent="0.25">
      <c r="F13446" s="249" t="s">
        <v>257</v>
      </c>
      <c r="G13446" s="252" t="s">
        <v>258</v>
      </c>
      <c r="J13446" s="599">
        <f t="shared" si="405"/>
        <v>0</v>
      </c>
    </row>
    <row r="13447" spans="5:10" ht="30" hidden="1" x14ac:dyDescent="0.25">
      <c r="F13447" s="249" t="s">
        <v>259</v>
      </c>
      <c r="G13447" s="252" t="s">
        <v>260</v>
      </c>
      <c r="J13447" s="599">
        <f t="shared" si="405"/>
        <v>0</v>
      </c>
    </row>
    <row r="13448" spans="5:10" hidden="1" x14ac:dyDescent="0.25">
      <c r="F13448" s="249" t="s">
        <v>261</v>
      </c>
      <c r="G13448" s="252" t="s">
        <v>262</v>
      </c>
      <c r="J13448" s="599">
        <f t="shared" si="405"/>
        <v>0</v>
      </c>
    </row>
    <row r="13449" spans="5:10" ht="15.75" hidden="1" thickBot="1" x14ac:dyDescent="0.3">
      <c r="F13449" s="249" t="s">
        <v>263</v>
      </c>
      <c r="G13449" s="252" t="s">
        <v>264</v>
      </c>
      <c r="H13449" s="598"/>
      <c r="I13449" s="599"/>
      <c r="J13449" s="599">
        <f t="shared" si="405"/>
        <v>0</v>
      </c>
    </row>
    <row r="13450" spans="5:10" ht="15.75" hidden="1" thickBot="1" x14ac:dyDescent="0.3">
      <c r="G13450" s="229" t="s">
        <v>4460</v>
      </c>
      <c r="H13450" s="600">
        <f>SUM(H13434:H13449)</f>
        <v>0</v>
      </c>
      <c r="I13450" s="601">
        <f>SUM(I13435:I13449)</f>
        <v>0</v>
      </c>
      <c r="J13450" s="601">
        <f>SUM(J13434:J13449)</f>
        <v>0</v>
      </c>
    </row>
    <row r="13451" spans="5:10" hidden="1" collapsed="1" x14ac:dyDescent="0.25">
      <c r="E13451" s="474"/>
      <c r="F13451" s="486"/>
      <c r="G13451" s="231" t="s">
        <v>5063</v>
      </c>
      <c r="H13451" s="602"/>
      <c r="I13451" s="623"/>
      <c r="J13451" s="603"/>
    </row>
    <row r="13452" spans="5:10" hidden="1" x14ac:dyDescent="0.25">
      <c r="E13452" s="222"/>
      <c r="F13452" s="249" t="s">
        <v>234</v>
      </c>
      <c r="G13452" s="252" t="s">
        <v>235</v>
      </c>
      <c r="H13452" s="598">
        <f>SUM(H13373:H13432)</f>
        <v>0</v>
      </c>
      <c r="I13452" s="599"/>
      <c r="J13452" s="599">
        <f>SUM(H13452:I13452)</f>
        <v>0</v>
      </c>
    </row>
    <row r="13453" spans="5:10" hidden="1" x14ac:dyDescent="0.25">
      <c r="F13453" s="249" t="s">
        <v>236</v>
      </c>
      <c r="G13453" s="252" t="s">
        <v>237</v>
      </c>
      <c r="J13453" s="599">
        <f t="shared" ref="J13453:J13467" si="406">SUM(H13453:I13453)</f>
        <v>0</v>
      </c>
    </row>
    <row r="13454" spans="5:10" hidden="1" x14ac:dyDescent="0.25">
      <c r="F13454" s="249" t="s">
        <v>238</v>
      </c>
      <c r="G13454" s="252" t="s">
        <v>239</v>
      </c>
      <c r="J13454" s="599">
        <f t="shared" si="406"/>
        <v>0</v>
      </c>
    </row>
    <row r="13455" spans="5:10" ht="15.75" hidden="1" thickBot="1" x14ac:dyDescent="0.3">
      <c r="F13455" s="249" t="s">
        <v>240</v>
      </c>
      <c r="G13455" s="252" t="s">
        <v>241</v>
      </c>
      <c r="J13455" s="599">
        <f t="shared" si="406"/>
        <v>0</v>
      </c>
    </row>
    <row r="13456" spans="5:10" hidden="1" x14ac:dyDescent="0.25">
      <c r="F13456" s="249" t="s">
        <v>242</v>
      </c>
      <c r="G13456" s="252" t="s">
        <v>243</v>
      </c>
      <c r="J13456" s="599">
        <f t="shared" si="406"/>
        <v>0</v>
      </c>
    </row>
    <row r="13457" spans="5:10" hidden="1" x14ac:dyDescent="0.25">
      <c r="F13457" s="249" t="s">
        <v>244</v>
      </c>
      <c r="G13457" s="252" t="s">
        <v>245</v>
      </c>
      <c r="J13457" s="599">
        <f t="shared" si="406"/>
        <v>0</v>
      </c>
    </row>
    <row r="13458" spans="5:10" hidden="1" x14ac:dyDescent="0.25">
      <c r="F13458" s="249" t="s">
        <v>246</v>
      </c>
      <c r="G13458" s="252" t="s">
        <v>247</v>
      </c>
      <c r="J13458" s="599">
        <f t="shared" si="406"/>
        <v>0</v>
      </c>
    </row>
    <row r="13459" spans="5:10" hidden="1" x14ac:dyDescent="0.25">
      <c r="F13459" s="249" t="s">
        <v>248</v>
      </c>
      <c r="G13459" s="252" t="s">
        <v>249</v>
      </c>
      <c r="J13459" s="599">
        <f t="shared" si="406"/>
        <v>0</v>
      </c>
    </row>
    <row r="13460" spans="5:10" hidden="1" x14ac:dyDescent="0.25">
      <c r="F13460" s="249" t="s">
        <v>250</v>
      </c>
      <c r="G13460" s="252" t="s">
        <v>57</v>
      </c>
      <c r="J13460" s="599">
        <f t="shared" si="406"/>
        <v>0</v>
      </c>
    </row>
    <row r="13461" spans="5:10" hidden="1" x14ac:dyDescent="0.25">
      <c r="F13461" s="249" t="s">
        <v>251</v>
      </c>
      <c r="G13461" s="252" t="s">
        <v>252</v>
      </c>
      <c r="J13461" s="599">
        <f t="shared" si="406"/>
        <v>0</v>
      </c>
    </row>
    <row r="13462" spans="5:10" hidden="1" x14ac:dyDescent="0.25">
      <c r="F13462" s="249" t="s">
        <v>253</v>
      </c>
      <c r="G13462" s="252" t="s">
        <v>254</v>
      </c>
      <c r="J13462" s="599">
        <f t="shared" si="406"/>
        <v>0</v>
      </c>
    </row>
    <row r="13463" spans="5:10" ht="30" hidden="1" x14ac:dyDescent="0.25">
      <c r="F13463" s="249" t="s">
        <v>255</v>
      </c>
      <c r="G13463" s="252" t="s">
        <v>256</v>
      </c>
      <c r="J13463" s="599">
        <f t="shared" si="406"/>
        <v>0</v>
      </c>
    </row>
    <row r="13464" spans="5:10" hidden="1" x14ac:dyDescent="0.25">
      <c r="F13464" s="249" t="s">
        <v>257</v>
      </c>
      <c r="G13464" s="252" t="s">
        <v>258</v>
      </c>
      <c r="J13464" s="599">
        <f t="shared" si="406"/>
        <v>0</v>
      </c>
    </row>
    <row r="13465" spans="5:10" ht="30" hidden="1" x14ac:dyDescent="0.25">
      <c r="F13465" s="249" t="s">
        <v>259</v>
      </c>
      <c r="G13465" s="252" t="s">
        <v>260</v>
      </c>
      <c r="J13465" s="599">
        <f t="shared" si="406"/>
        <v>0</v>
      </c>
    </row>
    <row r="13466" spans="5:10" hidden="1" x14ac:dyDescent="0.25">
      <c r="F13466" s="249" t="s">
        <v>261</v>
      </c>
      <c r="G13466" s="252" t="s">
        <v>262</v>
      </c>
      <c r="J13466" s="599">
        <f t="shared" si="406"/>
        <v>0</v>
      </c>
    </row>
    <row r="13467" spans="5:10" ht="15.75" hidden="1" thickBot="1" x14ac:dyDescent="0.3">
      <c r="F13467" s="249" t="s">
        <v>263</v>
      </c>
      <c r="G13467" s="252" t="s">
        <v>264</v>
      </c>
      <c r="H13467" s="598"/>
      <c r="I13467" s="599"/>
      <c r="J13467" s="599">
        <f t="shared" si="406"/>
        <v>0</v>
      </c>
    </row>
    <row r="13468" spans="5:10" ht="15.75" hidden="1" thickBot="1" x14ac:dyDescent="0.3">
      <c r="G13468" s="229" t="s">
        <v>5050</v>
      </c>
      <c r="H13468" s="600">
        <f>SUM(H13452:H13467)</f>
        <v>0</v>
      </c>
      <c r="I13468" s="601">
        <f>SUM(I13453:I13467)</f>
        <v>0</v>
      </c>
      <c r="J13468" s="601">
        <f>SUM(J13452:J13467)</f>
        <v>0</v>
      </c>
    </row>
    <row r="13469" spans="5:10" hidden="1" x14ac:dyDescent="0.25"/>
    <row r="13470" spans="5:10" hidden="1" x14ac:dyDescent="0.25">
      <c r="E13470" s="474"/>
      <c r="F13470" s="486"/>
      <c r="G13470" s="250" t="s">
        <v>4346</v>
      </c>
      <c r="H13470" s="606"/>
      <c r="I13470" s="624"/>
      <c r="J13470" s="607"/>
    </row>
    <row r="13471" spans="5:10" hidden="1" x14ac:dyDescent="0.25">
      <c r="E13471" s="222"/>
      <c r="F13471" s="249" t="s">
        <v>234</v>
      </c>
      <c r="G13471" s="252" t="s">
        <v>235</v>
      </c>
      <c r="H13471" s="598">
        <f>SUM(H13452,H13353)</f>
        <v>0</v>
      </c>
      <c r="I13471" s="599"/>
      <c r="J13471" s="599">
        <f>SUM(H13471:I13471)</f>
        <v>0</v>
      </c>
    </row>
    <row r="13472" spans="5:10" hidden="1" x14ac:dyDescent="0.25">
      <c r="F13472" s="249" t="s">
        <v>236</v>
      </c>
      <c r="G13472" s="252" t="s">
        <v>237</v>
      </c>
      <c r="J13472" s="599">
        <f t="shared" ref="J13472:J13486" si="407">SUM(H13472:I13472)</f>
        <v>0</v>
      </c>
    </row>
    <row r="13473" spans="6:10" hidden="1" x14ac:dyDescent="0.25">
      <c r="F13473" s="249" t="s">
        <v>238</v>
      </c>
      <c r="G13473" s="252" t="s">
        <v>239</v>
      </c>
      <c r="J13473" s="599">
        <f t="shared" si="407"/>
        <v>0</v>
      </c>
    </row>
    <row r="13474" spans="6:10" ht="15.75" hidden="1" thickBot="1" x14ac:dyDescent="0.3">
      <c r="F13474" s="249" t="s">
        <v>240</v>
      </c>
      <c r="G13474" s="252" t="s">
        <v>241</v>
      </c>
      <c r="J13474" s="599">
        <f t="shared" si="407"/>
        <v>0</v>
      </c>
    </row>
    <row r="13475" spans="6:10" hidden="1" x14ac:dyDescent="0.25">
      <c r="F13475" s="249" t="s">
        <v>242</v>
      </c>
      <c r="G13475" s="252" t="s">
        <v>243</v>
      </c>
      <c r="J13475" s="599">
        <f t="shared" si="407"/>
        <v>0</v>
      </c>
    </row>
    <row r="13476" spans="6:10" hidden="1" x14ac:dyDescent="0.25">
      <c r="F13476" s="249" t="s">
        <v>244</v>
      </c>
      <c r="G13476" s="252" t="s">
        <v>245</v>
      </c>
      <c r="J13476" s="599">
        <f t="shared" si="407"/>
        <v>0</v>
      </c>
    </row>
    <row r="13477" spans="6:10" hidden="1" x14ac:dyDescent="0.25">
      <c r="F13477" s="249" t="s">
        <v>246</v>
      </c>
      <c r="G13477" s="252" t="s">
        <v>247</v>
      </c>
      <c r="J13477" s="599">
        <f t="shared" si="407"/>
        <v>0</v>
      </c>
    </row>
    <row r="13478" spans="6:10" hidden="1" x14ac:dyDescent="0.25">
      <c r="F13478" s="249" t="s">
        <v>248</v>
      </c>
      <c r="G13478" s="252" t="s">
        <v>249</v>
      </c>
      <c r="J13478" s="599">
        <f t="shared" si="407"/>
        <v>0</v>
      </c>
    </row>
    <row r="13479" spans="6:10" hidden="1" x14ac:dyDescent="0.25">
      <c r="F13479" s="249" t="s">
        <v>250</v>
      </c>
      <c r="G13479" s="252" t="s">
        <v>57</v>
      </c>
      <c r="J13479" s="599">
        <f t="shared" si="407"/>
        <v>0</v>
      </c>
    </row>
    <row r="13480" spans="6:10" hidden="1" x14ac:dyDescent="0.25">
      <c r="F13480" s="249" t="s">
        <v>251</v>
      </c>
      <c r="G13480" s="252" t="s">
        <v>252</v>
      </c>
      <c r="J13480" s="599">
        <f t="shared" si="407"/>
        <v>0</v>
      </c>
    </row>
    <row r="13481" spans="6:10" hidden="1" x14ac:dyDescent="0.25">
      <c r="F13481" s="249" t="s">
        <v>253</v>
      </c>
      <c r="G13481" s="252" t="s">
        <v>254</v>
      </c>
      <c r="J13481" s="599">
        <f t="shared" si="407"/>
        <v>0</v>
      </c>
    </row>
    <row r="13482" spans="6:10" ht="30" hidden="1" x14ac:dyDescent="0.25">
      <c r="F13482" s="249" t="s">
        <v>255</v>
      </c>
      <c r="G13482" s="252" t="s">
        <v>256</v>
      </c>
      <c r="J13482" s="599">
        <f t="shared" si="407"/>
        <v>0</v>
      </c>
    </row>
    <row r="13483" spans="6:10" hidden="1" x14ac:dyDescent="0.25">
      <c r="F13483" s="249" t="s">
        <v>257</v>
      </c>
      <c r="G13483" s="252" t="s">
        <v>258</v>
      </c>
      <c r="J13483" s="599">
        <f t="shared" si="407"/>
        <v>0</v>
      </c>
    </row>
    <row r="13484" spans="6:10" ht="30" hidden="1" x14ac:dyDescent="0.25">
      <c r="F13484" s="249" t="s">
        <v>259</v>
      </c>
      <c r="G13484" s="252" t="s">
        <v>260</v>
      </c>
      <c r="J13484" s="599">
        <f t="shared" si="407"/>
        <v>0</v>
      </c>
    </row>
    <row r="13485" spans="6:10" hidden="1" x14ac:dyDescent="0.25">
      <c r="F13485" s="249" t="s">
        <v>261</v>
      </c>
      <c r="G13485" s="252" t="s">
        <v>262</v>
      </c>
      <c r="J13485" s="599">
        <f t="shared" si="407"/>
        <v>0</v>
      </c>
    </row>
    <row r="13486" spans="6:10" ht="15.75" hidden="1" thickBot="1" x14ac:dyDescent="0.3">
      <c r="F13486" s="249" t="s">
        <v>263</v>
      </c>
      <c r="G13486" s="252" t="s">
        <v>264</v>
      </c>
      <c r="H13486" s="598"/>
      <c r="I13486" s="599"/>
      <c r="J13486" s="599">
        <f t="shared" si="407"/>
        <v>0</v>
      </c>
    </row>
    <row r="13487" spans="6:10" ht="15.75" hidden="1" thickBot="1" x14ac:dyDescent="0.3">
      <c r="G13487" s="229" t="s">
        <v>4347</v>
      </c>
      <c r="H13487" s="600">
        <f>SUM(H13471:H13486)</f>
        <v>0</v>
      </c>
      <c r="I13487" s="601">
        <f>SUM(I13472:I13486)</f>
        <v>0</v>
      </c>
      <c r="J13487" s="601">
        <f>SUM(J13471:J13486)</f>
        <v>0</v>
      </c>
    </row>
    <row r="13488" spans="6:10" hidden="1" x14ac:dyDescent="0.25"/>
    <row r="13489" spans="5:10" hidden="1" x14ac:dyDescent="0.25">
      <c r="E13489" s="474"/>
      <c r="F13489" s="486"/>
      <c r="G13489" s="250" t="s">
        <v>5093</v>
      </c>
      <c r="H13489" s="606"/>
      <c r="I13489" s="624"/>
      <c r="J13489" s="607"/>
    </row>
    <row r="13490" spans="5:10" hidden="1" x14ac:dyDescent="0.25">
      <c r="E13490" s="222"/>
      <c r="F13490" s="249" t="s">
        <v>234</v>
      </c>
      <c r="G13490" s="252" t="s">
        <v>235</v>
      </c>
      <c r="H13490" s="598">
        <f>SUM(H13471)</f>
        <v>0</v>
      </c>
      <c r="I13490" s="599"/>
      <c r="J13490" s="599">
        <f>SUM(H13490:I13490)</f>
        <v>0</v>
      </c>
    </row>
    <row r="13491" spans="5:10" hidden="1" x14ac:dyDescent="0.25">
      <c r="F13491" s="249" t="s">
        <v>236</v>
      </c>
      <c r="G13491" s="252" t="s">
        <v>237</v>
      </c>
      <c r="J13491" s="599">
        <f t="shared" ref="J13491:J13505" si="408">SUM(H13491:I13491)</f>
        <v>0</v>
      </c>
    </row>
    <row r="13492" spans="5:10" hidden="1" x14ac:dyDescent="0.25">
      <c r="F13492" s="249" t="s">
        <v>238</v>
      </c>
      <c r="G13492" s="252" t="s">
        <v>239</v>
      </c>
      <c r="J13492" s="599">
        <f t="shared" si="408"/>
        <v>0</v>
      </c>
    </row>
    <row r="13493" spans="5:10" ht="15.75" hidden="1" thickBot="1" x14ac:dyDescent="0.3">
      <c r="F13493" s="249" t="s">
        <v>240</v>
      </c>
      <c r="G13493" s="252" t="s">
        <v>241</v>
      </c>
      <c r="J13493" s="599">
        <f t="shared" si="408"/>
        <v>0</v>
      </c>
    </row>
    <row r="13494" spans="5:10" hidden="1" x14ac:dyDescent="0.25">
      <c r="F13494" s="249" t="s">
        <v>242</v>
      </c>
      <c r="G13494" s="252" t="s">
        <v>243</v>
      </c>
      <c r="J13494" s="599">
        <f t="shared" si="408"/>
        <v>0</v>
      </c>
    </row>
    <row r="13495" spans="5:10" hidden="1" x14ac:dyDescent="0.25">
      <c r="F13495" s="249" t="s">
        <v>244</v>
      </c>
      <c r="G13495" s="252" t="s">
        <v>245</v>
      </c>
      <c r="J13495" s="599">
        <f t="shared" si="408"/>
        <v>0</v>
      </c>
    </row>
    <row r="13496" spans="5:10" hidden="1" x14ac:dyDescent="0.25">
      <c r="F13496" s="249" t="s">
        <v>246</v>
      </c>
      <c r="G13496" s="252" t="s">
        <v>247</v>
      </c>
      <c r="J13496" s="599">
        <f t="shared" si="408"/>
        <v>0</v>
      </c>
    </row>
    <row r="13497" spans="5:10" hidden="1" x14ac:dyDescent="0.25">
      <c r="F13497" s="249" t="s">
        <v>248</v>
      </c>
      <c r="G13497" s="252" t="s">
        <v>249</v>
      </c>
      <c r="J13497" s="599">
        <f t="shared" si="408"/>
        <v>0</v>
      </c>
    </row>
    <row r="13498" spans="5:10" hidden="1" x14ac:dyDescent="0.25">
      <c r="F13498" s="249" t="s">
        <v>250</v>
      </c>
      <c r="G13498" s="252" t="s">
        <v>57</v>
      </c>
      <c r="J13498" s="599">
        <f t="shared" si="408"/>
        <v>0</v>
      </c>
    </row>
    <row r="13499" spans="5:10" hidden="1" x14ac:dyDescent="0.25">
      <c r="F13499" s="249" t="s">
        <v>251</v>
      </c>
      <c r="G13499" s="252" t="s">
        <v>252</v>
      </c>
      <c r="J13499" s="599">
        <f t="shared" si="408"/>
        <v>0</v>
      </c>
    </row>
    <row r="13500" spans="5:10" hidden="1" x14ac:dyDescent="0.25">
      <c r="F13500" s="249" t="s">
        <v>253</v>
      </c>
      <c r="G13500" s="252" t="s">
        <v>254</v>
      </c>
      <c r="J13500" s="599">
        <f t="shared" si="408"/>
        <v>0</v>
      </c>
    </row>
    <row r="13501" spans="5:10" ht="30" hidden="1" x14ac:dyDescent="0.25">
      <c r="F13501" s="249" t="s">
        <v>255</v>
      </c>
      <c r="G13501" s="252" t="s">
        <v>256</v>
      </c>
      <c r="J13501" s="599">
        <f t="shared" si="408"/>
        <v>0</v>
      </c>
    </row>
    <row r="13502" spans="5:10" hidden="1" x14ac:dyDescent="0.25">
      <c r="F13502" s="249" t="s">
        <v>257</v>
      </c>
      <c r="G13502" s="252" t="s">
        <v>258</v>
      </c>
      <c r="J13502" s="599">
        <f t="shared" si="408"/>
        <v>0</v>
      </c>
    </row>
    <row r="13503" spans="5:10" ht="30" hidden="1" x14ac:dyDescent="0.25">
      <c r="F13503" s="249" t="s">
        <v>259</v>
      </c>
      <c r="G13503" s="252" t="s">
        <v>260</v>
      </c>
      <c r="J13503" s="599">
        <f t="shared" si="408"/>
        <v>0</v>
      </c>
    </row>
    <row r="13504" spans="5:10" hidden="1" x14ac:dyDescent="0.25">
      <c r="F13504" s="249" t="s">
        <v>261</v>
      </c>
      <c r="G13504" s="252" t="s">
        <v>262</v>
      </c>
      <c r="J13504" s="599">
        <f t="shared" si="408"/>
        <v>0</v>
      </c>
    </row>
    <row r="13505" spans="1:10" ht="15.75" hidden="1" thickBot="1" x14ac:dyDescent="0.3">
      <c r="F13505" s="249" t="s">
        <v>263</v>
      </c>
      <c r="G13505" s="252" t="s">
        <v>264</v>
      </c>
      <c r="H13505" s="598"/>
      <c r="I13505" s="599"/>
      <c r="J13505" s="599">
        <f t="shared" si="408"/>
        <v>0</v>
      </c>
    </row>
    <row r="13506" spans="1:10" ht="15.75" hidden="1" thickBot="1" x14ac:dyDescent="0.3">
      <c r="G13506" s="229" t="s">
        <v>5094</v>
      </c>
      <c r="H13506" s="600">
        <f>SUM(H13490:H13505)</f>
        <v>0</v>
      </c>
      <c r="I13506" s="601">
        <f>SUM(I13491:I13505)</f>
        <v>0</v>
      </c>
      <c r="J13506" s="601">
        <f>SUM(J13490:J13505)</f>
        <v>0</v>
      </c>
    </row>
    <row r="13507" spans="1:10" hidden="1" x14ac:dyDescent="0.25"/>
    <row r="13508" spans="1:10" hidden="1" x14ac:dyDescent="0.25"/>
    <row r="13509" spans="1:10" ht="28.5" x14ac:dyDescent="0.25">
      <c r="A13509" s="244"/>
      <c r="B13509" s="244">
        <v>11</v>
      </c>
      <c r="C13509" s="220"/>
      <c r="D13509" s="216"/>
      <c r="E13509" s="216"/>
      <c r="F13509" s="216"/>
      <c r="G13509" s="284" t="s">
        <v>5472</v>
      </c>
      <c r="H13509" s="592"/>
      <c r="I13509" s="593"/>
      <c r="J13509" s="593"/>
    </row>
    <row r="13510" spans="1:10" ht="16.5" customHeight="1" x14ac:dyDescent="0.25">
      <c r="C13510" s="228" t="s">
        <v>3587</v>
      </c>
      <c r="G13510" s="518" t="s">
        <v>4353</v>
      </c>
    </row>
    <row r="13511" spans="1:10" x14ac:dyDescent="0.25">
      <c r="C13511" s="228" t="s">
        <v>4354</v>
      </c>
      <c r="D13511" s="219"/>
      <c r="G13511" s="518" t="s">
        <v>4355</v>
      </c>
    </row>
    <row r="13512" spans="1:10" x14ac:dyDescent="0.25">
      <c r="C13512" s="228"/>
      <c r="D13512" s="312">
        <v>911</v>
      </c>
      <c r="E13512" s="312"/>
      <c r="F13512" s="312"/>
      <c r="G13512" s="313" t="s">
        <v>214</v>
      </c>
    </row>
    <row r="13513" spans="1:10" x14ac:dyDescent="0.25">
      <c r="E13513" s="218">
        <v>126</v>
      </c>
      <c r="F13513" s="527">
        <v>411</v>
      </c>
      <c r="G13513" s="520" t="s">
        <v>4189</v>
      </c>
      <c r="H13513" s="594">
        <v>13088260</v>
      </c>
      <c r="J13513" s="595">
        <f>SUM(H13513:I13513)</f>
        <v>13088260</v>
      </c>
    </row>
    <row r="13514" spans="1:10" x14ac:dyDescent="0.25">
      <c r="E13514" s="218">
        <v>127</v>
      </c>
      <c r="F13514" s="527">
        <v>412</v>
      </c>
      <c r="G13514" s="516" t="s">
        <v>3784</v>
      </c>
      <c r="H13514" s="594">
        <v>2342788</v>
      </c>
      <c r="J13514" s="595">
        <f t="shared" ref="J13514:J13572" si="409">SUM(H13514:I13514)</f>
        <v>2342788</v>
      </c>
    </row>
    <row r="13515" spans="1:10" hidden="1" x14ac:dyDescent="0.25">
      <c r="F13515" s="527">
        <v>413</v>
      </c>
      <c r="G13515" s="520" t="s">
        <v>4190</v>
      </c>
      <c r="J13515" s="595">
        <f t="shared" si="409"/>
        <v>0</v>
      </c>
    </row>
    <row r="13516" spans="1:10" x14ac:dyDescent="0.25">
      <c r="E13516" s="218">
        <v>128</v>
      </c>
      <c r="F13516" s="527">
        <v>414</v>
      </c>
      <c r="G13516" s="520" t="s">
        <v>3787</v>
      </c>
      <c r="H13516" s="594">
        <v>516688</v>
      </c>
      <c r="I13516" s="595">
        <v>750000</v>
      </c>
      <c r="J13516" s="595">
        <f t="shared" si="409"/>
        <v>1266688</v>
      </c>
    </row>
    <row r="13517" spans="1:10" x14ac:dyDescent="0.25">
      <c r="F13517" s="527">
        <v>415</v>
      </c>
      <c r="G13517" s="520" t="s">
        <v>4199</v>
      </c>
      <c r="I13517" s="595">
        <v>260000</v>
      </c>
      <c r="J13517" s="595">
        <f t="shared" si="409"/>
        <v>260000</v>
      </c>
    </row>
    <row r="13518" spans="1:10" x14ac:dyDescent="0.25">
      <c r="E13518" s="218">
        <v>129</v>
      </c>
      <c r="F13518" s="527">
        <v>416</v>
      </c>
      <c r="G13518" s="520" t="s">
        <v>4200</v>
      </c>
      <c r="H13518" s="594">
        <v>136264</v>
      </c>
      <c r="J13518" s="595">
        <f t="shared" si="409"/>
        <v>136264</v>
      </c>
    </row>
    <row r="13519" spans="1:10" hidden="1" x14ac:dyDescent="0.25">
      <c r="F13519" s="527">
        <v>417</v>
      </c>
      <c r="G13519" s="520" t="s">
        <v>4201</v>
      </c>
      <c r="J13519" s="595">
        <f t="shared" si="409"/>
        <v>0</v>
      </c>
    </row>
    <row r="13520" spans="1:10" hidden="1" x14ac:dyDescent="0.25">
      <c r="F13520" s="527">
        <v>418</v>
      </c>
      <c r="G13520" s="520" t="s">
        <v>3793</v>
      </c>
      <c r="J13520" s="595">
        <f t="shared" si="409"/>
        <v>0</v>
      </c>
    </row>
    <row r="13521" spans="6:10" x14ac:dyDescent="0.25">
      <c r="F13521" s="527">
        <v>421</v>
      </c>
      <c r="G13521" s="520" t="s">
        <v>3797</v>
      </c>
      <c r="I13521" s="595">
        <v>2156000</v>
      </c>
      <c r="J13521" s="595">
        <f t="shared" si="409"/>
        <v>2156000</v>
      </c>
    </row>
    <row r="13522" spans="6:10" x14ac:dyDescent="0.25">
      <c r="F13522" s="527">
        <v>422</v>
      </c>
      <c r="G13522" s="520" t="s">
        <v>3798</v>
      </c>
      <c r="I13522" s="595">
        <v>315000</v>
      </c>
      <c r="J13522" s="595">
        <f t="shared" si="409"/>
        <v>315000</v>
      </c>
    </row>
    <row r="13523" spans="6:10" x14ac:dyDescent="0.25">
      <c r="F13523" s="527">
        <v>423</v>
      </c>
      <c r="G13523" s="520" t="s">
        <v>3799</v>
      </c>
      <c r="I13523" s="595">
        <v>703000</v>
      </c>
      <c r="J13523" s="595">
        <f t="shared" si="409"/>
        <v>703000</v>
      </c>
    </row>
    <row r="13524" spans="6:10" x14ac:dyDescent="0.25">
      <c r="F13524" s="527">
        <v>424</v>
      </c>
      <c r="G13524" s="520" t="s">
        <v>3801</v>
      </c>
      <c r="I13524" s="595">
        <v>255620</v>
      </c>
      <c r="J13524" s="595">
        <f t="shared" si="409"/>
        <v>255620</v>
      </c>
    </row>
    <row r="13525" spans="6:10" x14ac:dyDescent="0.25">
      <c r="F13525" s="527">
        <v>425</v>
      </c>
      <c r="G13525" s="520" t="s">
        <v>4202</v>
      </c>
      <c r="I13525" s="595">
        <v>885000</v>
      </c>
      <c r="J13525" s="595">
        <f t="shared" si="409"/>
        <v>885000</v>
      </c>
    </row>
    <row r="13526" spans="6:10" x14ac:dyDescent="0.25">
      <c r="F13526" s="527">
        <v>426</v>
      </c>
      <c r="G13526" s="520" t="s">
        <v>3805</v>
      </c>
      <c r="I13526" s="595">
        <v>3451480</v>
      </c>
      <c r="J13526" s="595">
        <f t="shared" si="409"/>
        <v>3451480</v>
      </c>
    </row>
    <row r="13527" spans="6:10" ht="18" hidden="1" customHeight="1" x14ac:dyDescent="0.25">
      <c r="F13527" s="527">
        <v>431</v>
      </c>
      <c r="G13527" s="520" t="s">
        <v>4203</v>
      </c>
      <c r="J13527" s="595">
        <f t="shared" si="409"/>
        <v>0</v>
      </c>
    </row>
    <row r="13528" spans="6:10" hidden="1" x14ac:dyDescent="0.25">
      <c r="F13528" s="527">
        <v>432</v>
      </c>
      <c r="G13528" s="520" t="s">
        <v>4204</v>
      </c>
      <c r="J13528" s="595">
        <f t="shared" si="409"/>
        <v>0</v>
      </c>
    </row>
    <row r="13529" spans="6:10" hidden="1" x14ac:dyDescent="0.25">
      <c r="F13529" s="527">
        <v>433</v>
      </c>
      <c r="G13529" s="520" t="s">
        <v>4205</v>
      </c>
      <c r="J13529" s="595">
        <f t="shared" si="409"/>
        <v>0</v>
      </c>
    </row>
    <row r="13530" spans="6:10" hidden="1" x14ac:dyDescent="0.25">
      <c r="F13530" s="527">
        <v>434</v>
      </c>
      <c r="G13530" s="520" t="s">
        <v>4206</v>
      </c>
      <c r="J13530" s="595">
        <f t="shared" si="409"/>
        <v>0</v>
      </c>
    </row>
    <row r="13531" spans="6:10" hidden="1" x14ac:dyDescent="0.25">
      <c r="F13531" s="527">
        <v>435</v>
      </c>
      <c r="G13531" s="520" t="s">
        <v>3812</v>
      </c>
      <c r="J13531" s="595">
        <f t="shared" si="409"/>
        <v>0</v>
      </c>
    </row>
    <row r="13532" spans="6:10" hidden="1" x14ac:dyDescent="0.25">
      <c r="F13532" s="527">
        <v>441</v>
      </c>
      <c r="G13532" s="520" t="s">
        <v>4207</v>
      </c>
      <c r="J13532" s="595">
        <f t="shared" si="409"/>
        <v>0</v>
      </c>
    </row>
    <row r="13533" spans="6:10" hidden="1" x14ac:dyDescent="0.25">
      <c r="F13533" s="527">
        <v>442</v>
      </c>
      <c r="G13533" s="520" t="s">
        <v>4208</v>
      </c>
      <c r="J13533" s="595">
        <f t="shared" si="409"/>
        <v>0</v>
      </c>
    </row>
    <row r="13534" spans="6:10" hidden="1" x14ac:dyDescent="0.25">
      <c r="F13534" s="527">
        <v>443</v>
      </c>
      <c r="G13534" s="520" t="s">
        <v>3817</v>
      </c>
      <c r="J13534" s="595">
        <f t="shared" si="409"/>
        <v>0</v>
      </c>
    </row>
    <row r="13535" spans="6:10" hidden="1" x14ac:dyDescent="0.25">
      <c r="F13535" s="527">
        <v>444</v>
      </c>
      <c r="G13535" s="520" t="s">
        <v>3818</v>
      </c>
      <c r="J13535" s="595">
        <f t="shared" si="409"/>
        <v>0</v>
      </c>
    </row>
    <row r="13536" spans="6:10" ht="30" hidden="1" x14ac:dyDescent="0.25">
      <c r="F13536" s="527">
        <v>4511</v>
      </c>
      <c r="G13536" s="223" t="s">
        <v>1692</v>
      </c>
      <c r="J13536" s="595">
        <f t="shared" si="409"/>
        <v>0</v>
      </c>
    </row>
    <row r="13537" spans="5:10" ht="19.5" hidden="1" customHeight="1" x14ac:dyDescent="0.25">
      <c r="F13537" s="527">
        <v>4512</v>
      </c>
      <c r="G13537" s="223" t="s">
        <v>1701</v>
      </c>
      <c r="J13537" s="595">
        <f t="shared" si="409"/>
        <v>0</v>
      </c>
    </row>
    <row r="13538" spans="5:10" hidden="1" x14ac:dyDescent="0.25">
      <c r="F13538" s="527">
        <v>452</v>
      </c>
      <c r="G13538" s="520" t="s">
        <v>4209</v>
      </c>
      <c r="J13538" s="595">
        <f t="shared" si="409"/>
        <v>0</v>
      </c>
    </row>
    <row r="13539" spans="5:10" hidden="1" x14ac:dyDescent="0.25">
      <c r="F13539" s="527">
        <v>453</v>
      </c>
      <c r="G13539" s="520" t="s">
        <v>4210</v>
      </c>
      <c r="J13539" s="595">
        <f t="shared" si="409"/>
        <v>0</v>
      </c>
    </row>
    <row r="13540" spans="5:10" hidden="1" x14ac:dyDescent="0.25">
      <c r="F13540" s="527">
        <v>454</v>
      </c>
      <c r="G13540" s="520" t="s">
        <v>3823</v>
      </c>
      <c r="J13540" s="595">
        <f t="shared" si="409"/>
        <v>0</v>
      </c>
    </row>
    <row r="13541" spans="5:10" hidden="1" x14ac:dyDescent="0.25">
      <c r="F13541" s="527">
        <v>461</v>
      </c>
      <c r="G13541" s="520" t="s">
        <v>4191</v>
      </c>
      <c r="J13541" s="595">
        <f t="shared" si="409"/>
        <v>0</v>
      </c>
    </row>
    <row r="13542" spans="5:10" hidden="1" x14ac:dyDescent="0.25">
      <c r="F13542" s="527">
        <v>462</v>
      </c>
      <c r="G13542" s="520" t="s">
        <v>3826</v>
      </c>
      <c r="J13542" s="595">
        <f t="shared" si="409"/>
        <v>0</v>
      </c>
    </row>
    <row r="13543" spans="5:10" hidden="1" x14ac:dyDescent="0.25">
      <c r="F13543" s="527">
        <v>4631</v>
      </c>
      <c r="G13543" s="520" t="s">
        <v>3827</v>
      </c>
      <c r="J13543" s="595">
        <f t="shared" si="409"/>
        <v>0</v>
      </c>
    </row>
    <row r="13544" spans="5:10" hidden="1" x14ac:dyDescent="0.25">
      <c r="F13544" s="527">
        <v>4632</v>
      </c>
      <c r="G13544" s="520" t="s">
        <v>3828</v>
      </c>
      <c r="J13544" s="595">
        <f t="shared" si="409"/>
        <v>0</v>
      </c>
    </row>
    <row r="13545" spans="5:10" hidden="1" x14ac:dyDescent="0.25">
      <c r="F13545" s="527">
        <v>464</v>
      </c>
      <c r="G13545" s="520" t="s">
        <v>3829</v>
      </c>
      <c r="J13545" s="595">
        <f t="shared" si="409"/>
        <v>0</v>
      </c>
    </row>
    <row r="13546" spans="5:10" x14ac:dyDescent="0.25">
      <c r="E13546" s="218">
        <v>130</v>
      </c>
      <c r="F13546" s="527">
        <v>465</v>
      </c>
      <c r="G13546" s="520" t="s">
        <v>4192</v>
      </c>
      <c r="H13546" s="594">
        <v>1530000</v>
      </c>
      <c r="J13546" s="595">
        <f t="shared" si="409"/>
        <v>1530000</v>
      </c>
    </row>
    <row r="13547" spans="5:10" hidden="1" x14ac:dyDescent="0.25">
      <c r="F13547" s="527">
        <v>472</v>
      </c>
      <c r="G13547" s="520" t="s">
        <v>3833</v>
      </c>
      <c r="J13547" s="595">
        <f t="shared" si="409"/>
        <v>0</v>
      </c>
    </row>
    <row r="13548" spans="5:10" hidden="1" x14ac:dyDescent="0.25">
      <c r="F13548" s="527">
        <v>481</v>
      </c>
      <c r="G13548" s="520" t="s">
        <v>4211</v>
      </c>
      <c r="J13548" s="595">
        <f t="shared" si="409"/>
        <v>0</v>
      </c>
    </row>
    <row r="13549" spans="5:10" hidden="1" x14ac:dyDescent="0.25">
      <c r="F13549" s="527">
        <v>482</v>
      </c>
      <c r="G13549" s="520" t="s">
        <v>4212</v>
      </c>
      <c r="J13549" s="595">
        <f t="shared" si="409"/>
        <v>0</v>
      </c>
    </row>
    <row r="13550" spans="5:10" x14ac:dyDescent="0.25">
      <c r="E13550" s="218">
        <v>131</v>
      </c>
      <c r="F13550" s="527">
        <v>483</v>
      </c>
      <c r="G13550" s="524" t="s">
        <v>4213</v>
      </c>
      <c r="H13550" s="594">
        <v>250000</v>
      </c>
      <c r="J13550" s="595">
        <f t="shared" si="409"/>
        <v>250000</v>
      </c>
    </row>
    <row r="13551" spans="5:10" ht="30" hidden="1" x14ac:dyDescent="0.25">
      <c r="F13551" s="527">
        <v>484</v>
      </c>
      <c r="G13551" s="520" t="s">
        <v>4214</v>
      </c>
      <c r="J13551" s="595">
        <f t="shared" si="409"/>
        <v>0</v>
      </c>
    </row>
    <row r="13552" spans="5:10" ht="30" hidden="1" x14ac:dyDescent="0.25">
      <c r="F13552" s="527">
        <v>485</v>
      </c>
      <c r="G13552" s="520" t="s">
        <v>4215</v>
      </c>
      <c r="J13552" s="595">
        <f t="shared" si="409"/>
        <v>0</v>
      </c>
    </row>
    <row r="13553" spans="6:10" ht="30" hidden="1" x14ac:dyDescent="0.25">
      <c r="F13553" s="527">
        <v>489</v>
      </c>
      <c r="G13553" s="520" t="s">
        <v>3841</v>
      </c>
      <c r="J13553" s="595">
        <f t="shared" si="409"/>
        <v>0</v>
      </c>
    </row>
    <row r="13554" spans="6:10" hidden="1" x14ac:dyDescent="0.25">
      <c r="F13554" s="527">
        <v>494</v>
      </c>
      <c r="G13554" s="520" t="s">
        <v>4193</v>
      </c>
      <c r="J13554" s="595">
        <f t="shared" si="409"/>
        <v>0</v>
      </c>
    </row>
    <row r="13555" spans="6:10" ht="30" hidden="1" x14ac:dyDescent="0.25">
      <c r="F13555" s="527">
        <v>495</v>
      </c>
      <c r="G13555" s="520" t="s">
        <v>4194</v>
      </c>
      <c r="J13555" s="595">
        <f t="shared" si="409"/>
        <v>0</v>
      </c>
    </row>
    <row r="13556" spans="6:10" ht="30" hidden="1" x14ac:dyDescent="0.25">
      <c r="F13556" s="527">
        <v>496</v>
      </c>
      <c r="G13556" s="520" t="s">
        <v>4195</v>
      </c>
      <c r="J13556" s="595">
        <f t="shared" si="409"/>
        <v>0</v>
      </c>
    </row>
    <row r="13557" spans="6:10" hidden="1" x14ac:dyDescent="0.25">
      <c r="F13557" s="527">
        <v>499</v>
      </c>
      <c r="G13557" s="520" t="s">
        <v>4196</v>
      </c>
      <c r="J13557" s="595">
        <f t="shared" si="409"/>
        <v>0</v>
      </c>
    </row>
    <row r="13558" spans="6:10" hidden="1" x14ac:dyDescent="0.25">
      <c r="F13558" s="527">
        <v>511</v>
      </c>
      <c r="G13558" s="524" t="s">
        <v>4216</v>
      </c>
      <c r="J13558" s="595">
        <f t="shared" si="409"/>
        <v>0</v>
      </c>
    </row>
    <row r="13559" spans="6:10" ht="15.75" thickBot="1" x14ac:dyDescent="0.3">
      <c r="F13559" s="527">
        <v>512</v>
      </c>
      <c r="G13559" s="524" t="s">
        <v>4217</v>
      </c>
      <c r="I13559" s="595">
        <v>1630000</v>
      </c>
      <c r="J13559" s="595">
        <f t="shared" si="409"/>
        <v>1630000</v>
      </c>
    </row>
    <row r="13560" spans="6:10" hidden="1" x14ac:dyDescent="0.25">
      <c r="F13560" s="527">
        <v>513</v>
      </c>
      <c r="G13560" s="524" t="s">
        <v>4218</v>
      </c>
      <c r="J13560" s="595">
        <f t="shared" si="409"/>
        <v>0</v>
      </c>
    </row>
    <row r="13561" spans="6:10" hidden="1" x14ac:dyDescent="0.25">
      <c r="F13561" s="527">
        <v>514</v>
      </c>
      <c r="G13561" s="520" t="s">
        <v>4219</v>
      </c>
      <c r="J13561" s="595">
        <f t="shared" si="409"/>
        <v>0</v>
      </c>
    </row>
    <row r="13562" spans="6:10" hidden="1" x14ac:dyDescent="0.25">
      <c r="F13562" s="527">
        <v>515</v>
      </c>
      <c r="G13562" s="520" t="s">
        <v>3852</v>
      </c>
      <c r="J13562" s="595">
        <f t="shared" si="409"/>
        <v>0</v>
      </c>
    </row>
    <row r="13563" spans="6:10" hidden="1" x14ac:dyDescent="0.25">
      <c r="F13563" s="527">
        <v>521</v>
      </c>
      <c r="G13563" s="520" t="s">
        <v>4220</v>
      </c>
      <c r="J13563" s="595">
        <f t="shared" si="409"/>
        <v>0</v>
      </c>
    </row>
    <row r="13564" spans="6:10" hidden="1" x14ac:dyDescent="0.25">
      <c r="F13564" s="527">
        <v>522</v>
      </c>
      <c r="G13564" s="520" t="s">
        <v>4221</v>
      </c>
      <c r="J13564" s="595">
        <f t="shared" si="409"/>
        <v>0</v>
      </c>
    </row>
    <row r="13565" spans="6:10" hidden="1" x14ac:dyDescent="0.25">
      <c r="F13565" s="527">
        <v>523</v>
      </c>
      <c r="G13565" s="520" t="s">
        <v>3857</v>
      </c>
      <c r="J13565" s="595">
        <f t="shared" si="409"/>
        <v>0</v>
      </c>
    </row>
    <row r="13566" spans="6:10" hidden="1" x14ac:dyDescent="0.25">
      <c r="F13566" s="527">
        <v>531</v>
      </c>
      <c r="G13566" s="516" t="s">
        <v>4197</v>
      </c>
      <c r="J13566" s="595">
        <f t="shared" si="409"/>
        <v>0</v>
      </c>
    </row>
    <row r="13567" spans="6:10" hidden="1" x14ac:dyDescent="0.25">
      <c r="F13567" s="527">
        <v>541</v>
      </c>
      <c r="G13567" s="520" t="s">
        <v>4222</v>
      </c>
      <c r="J13567" s="595">
        <f t="shared" si="409"/>
        <v>0</v>
      </c>
    </row>
    <row r="13568" spans="6:10" hidden="1" x14ac:dyDescent="0.25">
      <c r="F13568" s="527">
        <v>542</v>
      </c>
      <c r="G13568" s="520" t="s">
        <v>4223</v>
      </c>
      <c r="J13568" s="595">
        <f t="shared" si="409"/>
        <v>0</v>
      </c>
    </row>
    <row r="13569" spans="5:10" hidden="1" x14ac:dyDescent="0.25">
      <c r="F13569" s="527">
        <v>543</v>
      </c>
      <c r="G13569" s="520" t="s">
        <v>3862</v>
      </c>
      <c r="J13569" s="595">
        <f t="shared" si="409"/>
        <v>0</v>
      </c>
    </row>
    <row r="13570" spans="5:10" ht="30" hidden="1" x14ac:dyDescent="0.25">
      <c r="F13570" s="527">
        <v>551</v>
      </c>
      <c r="G13570" s="520" t="s">
        <v>4198</v>
      </c>
      <c r="J13570" s="595">
        <f t="shared" si="409"/>
        <v>0</v>
      </c>
    </row>
    <row r="13571" spans="5:10" hidden="1" x14ac:dyDescent="0.25">
      <c r="F13571" s="528">
        <v>611</v>
      </c>
      <c r="G13571" s="526" t="s">
        <v>3868</v>
      </c>
      <c r="J13571" s="595">
        <f t="shared" si="409"/>
        <v>0</v>
      </c>
    </row>
    <row r="13572" spans="5:10" ht="15.75" hidden="1" thickBot="1" x14ac:dyDescent="0.3">
      <c r="F13572" s="528">
        <v>620</v>
      </c>
      <c r="G13572" s="526" t="s">
        <v>88</v>
      </c>
      <c r="J13572" s="595">
        <f t="shared" si="409"/>
        <v>0</v>
      </c>
    </row>
    <row r="13573" spans="5:10" x14ac:dyDescent="0.25">
      <c r="E13573" s="517"/>
      <c r="F13573" s="528"/>
      <c r="G13573" s="327" t="s">
        <v>4468</v>
      </c>
      <c r="H13573" s="596"/>
      <c r="I13573" s="622"/>
      <c r="J13573" s="597"/>
    </row>
    <row r="13574" spans="5:10" hidden="1" x14ac:dyDescent="0.25">
      <c r="E13574" s="517"/>
      <c r="F13574" s="528"/>
      <c r="G13574" s="787"/>
      <c r="H13574" s="606"/>
      <c r="I13574" s="624"/>
      <c r="J13574" s="607"/>
    </row>
    <row r="13575" spans="5:10" hidden="1" x14ac:dyDescent="0.25">
      <c r="E13575" s="517"/>
      <c r="F13575" s="528"/>
      <c r="G13575" s="787"/>
      <c r="H13575" s="606"/>
      <c r="I13575" s="624"/>
      <c r="J13575" s="607"/>
    </row>
    <row r="13576" spans="5:10" hidden="1" x14ac:dyDescent="0.25">
      <c r="E13576" s="517"/>
      <c r="F13576" s="528"/>
      <c r="G13576" s="787"/>
      <c r="H13576" s="606"/>
      <c r="I13576" s="624"/>
      <c r="J13576" s="607"/>
    </row>
    <row r="13577" spans="5:10" hidden="1" x14ac:dyDescent="0.25">
      <c r="E13577" s="517"/>
      <c r="F13577" s="528"/>
      <c r="G13577" s="787"/>
      <c r="H13577" s="606"/>
      <c r="I13577" s="624"/>
      <c r="J13577" s="607"/>
    </row>
    <row r="13578" spans="5:10" hidden="1" x14ac:dyDescent="0.25">
      <c r="E13578" s="517"/>
      <c r="F13578" s="528"/>
      <c r="G13578" s="787"/>
      <c r="H13578" s="606"/>
      <c r="I13578" s="624"/>
      <c r="J13578" s="607"/>
    </row>
    <row r="13579" spans="5:10" hidden="1" x14ac:dyDescent="0.25">
      <c r="E13579" s="517"/>
      <c r="F13579" s="528"/>
      <c r="G13579" s="787"/>
      <c r="H13579" s="606"/>
      <c r="I13579" s="624"/>
      <c r="J13579" s="607"/>
    </row>
    <row r="13580" spans="5:10" hidden="1" x14ac:dyDescent="0.25">
      <c r="E13580" s="517"/>
      <c r="F13580" s="528"/>
      <c r="G13580" s="787"/>
      <c r="H13580" s="606"/>
      <c r="I13580" s="624"/>
      <c r="J13580" s="607"/>
    </row>
    <row r="13581" spans="5:10" hidden="1" x14ac:dyDescent="0.25">
      <c r="E13581" s="517"/>
      <c r="F13581" s="528"/>
      <c r="G13581" s="787"/>
      <c r="H13581" s="606"/>
      <c r="I13581" s="624"/>
      <c r="J13581" s="607"/>
    </row>
    <row r="13582" spans="5:10" hidden="1" x14ac:dyDescent="0.25">
      <c r="E13582" s="517"/>
      <c r="F13582" s="528"/>
      <c r="G13582" s="787"/>
      <c r="H13582" s="606"/>
      <c r="I13582" s="624"/>
      <c r="J13582" s="607"/>
    </row>
    <row r="13583" spans="5:10" hidden="1" x14ac:dyDescent="0.25">
      <c r="E13583" s="517"/>
      <c r="F13583" s="528"/>
      <c r="G13583" s="787"/>
      <c r="H13583" s="606"/>
      <c r="I13583" s="624"/>
      <c r="J13583" s="607"/>
    </row>
    <row r="13584" spans="5:10" hidden="1" x14ac:dyDescent="0.25">
      <c r="E13584" s="517"/>
      <c r="F13584" s="528"/>
      <c r="G13584" s="787"/>
      <c r="H13584" s="606"/>
      <c r="I13584" s="624"/>
      <c r="J13584" s="607"/>
    </row>
    <row r="13585" spans="5:10" hidden="1" x14ac:dyDescent="0.25">
      <c r="E13585" s="517"/>
      <c r="F13585" s="528"/>
      <c r="G13585" s="787"/>
      <c r="H13585" s="606"/>
      <c r="I13585" s="624"/>
      <c r="J13585" s="607"/>
    </row>
    <row r="13586" spans="5:10" hidden="1" x14ac:dyDescent="0.25">
      <c r="E13586" s="517"/>
      <c r="F13586" s="528"/>
      <c r="G13586" s="787"/>
      <c r="H13586" s="606"/>
      <c r="I13586" s="624"/>
      <c r="J13586" s="607"/>
    </row>
    <row r="13587" spans="5:10" hidden="1" x14ac:dyDescent="0.25">
      <c r="E13587" s="517"/>
      <c r="F13587" s="528"/>
      <c r="G13587" s="787"/>
      <c r="H13587" s="606"/>
      <c r="I13587" s="624"/>
      <c r="J13587" s="607"/>
    </row>
    <row r="13588" spans="5:10" hidden="1" x14ac:dyDescent="0.25">
      <c r="E13588" s="517"/>
      <c r="F13588" s="528"/>
      <c r="G13588" s="787"/>
      <c r="H13588" s="606"/>
      <c r="I13588" s="624"/>
      <c r="J13588" s="607"/>
    </row>
    <row r="13589" spans="5:10" hidden="1" x14ac:dyDescent="0.25">
      <c r="E13589" s="517"/>
      <c r="F13589" s="528"/>
      <c r="G13589" s="787"/>
      <c r="H13589" s="606"/>
      <c r="I13589" s="624"/>
      <c r="J13589" s="607"/>
    </row>
    <row r="13590" spans="5:10" hidden="1" x14ac:dyDescent="0.25">
      <c r="E13590" s="517"/>
      <c r="F13590" s="528"/>
      <c r="G13590" s="787"/>
      <c r="H13590" s="606"/>
      <c r="I13590" s="624"/>
      <c r="J13590" s="607"/>
    </row>
    <row r="13591" spans="5:10" x14ac:dyDescent="0.25">
      <c r="E13591" s="222"/>
      <c r="F13591" s="249" t="s">
        <v>234</v>
      </c>
      <c r="G13591" s="252" t="s">
        <v>235</v>
      </c>
      <c r="H13591" s="598">
        <f>SUM(H13513:H13572)</f>
        <v>17864000</v>
      </c>
      <c r="I13591" s="599"/>
      <c r="J13591" s="599">
        <f t="shared" ref="J13591:J13606" si="410">SUM(H13591:I13591)</f>
        <v>17864000</v>
      </c>
    </row>
    <row r="13592" spans="5:10" hidden="1" x14ac:dyDescent="0.25">
      <c r="F13592" s="249" t="s">
        <v>236</v>
      </c>
      <c r="G13592" s="252" t="s">
        <v>237</v>
      </c>
      <c r="J13592" s="599">
        <f t="shared" si="410"/>
        <v>0</v>
      </c>
    </row>
    <row r="13593" spans="5:10" hidden="1" x14ac:dyDescent="0.25">
      <c r="F13593" s="249" t="s">
        <v>238</v>
      </c>
      <c r="G13593" s="252" t="s">
        <v>239</v>
      </c>
      <c r="J13593" s="599">
        <f t="shared" si="410"/>
        <v>0</v>
      </c>
    </row>
    <row r="13594" spans="5:10" x14ac:dyDescent="0.25">
      <c r="F13594" s="249" t="s">
        <v>240</v>
      </c>
      <c r="G13594" s="252" t="s">
        <v>241</v>
      </c>
      <c r="I13594" s="595">
        <v>4706100</v>
      </c>
      <c r="J13594" s="599">
        <f t="shared" si="410"/>
        <v>4706100</v>
      </c>
    </row>
    <row r="13595" spans="5:10" hidden="1" x14ac:dyDescent="0.25">
      <c r="F13595" s="249" t="s">
        <v>242</v>
      </c>
      <c r="G13595" s="252" t="s">
        <v>243</v>
      </c>
      <c r="J13595" s="599">
        <f t="shared" si="410"/>
        <v>0</v>
      </c>
    </row>
    <row r="13596" spans="5:10" hidden="1" x14ac:dyDescent="0.25">
      <c r="F13596" s="249" t="s">
        <v>244</v>
      </c>
      <c r="G13596" s="252" t="s">
        <v>245</v>
      </c>
      <c r="J13596" s="599">
        <f t="shared" si="410"/>
        <v>0</v>
      </c>
    </row>
    <row r="13597" spans="5:10" ht="15.75" thickBot="1" x14ac:dyDescent="0.3">
      <c r="F13597" s="249" t="s">
        <v>246</v>
      </c>
      <c r="G13597" s="252" t="s">
        <v>247</v>
      </c>
      <c r="I13597" s="595">
        <v>5700000</v>
      </c>
      <c r="J13597" s="599">
        <f t="shared" si="410"/>
        <v>5700000</v>
      </c>
    </row>
    <row r="13598" spans="5:10" hidden="1" x14ac:dyDescent="0.25">
      <c r="F13598" s="249" t="s">
        <v>248</v>
      </c>
      <c r="G13598" s="252" t="s">
        <v>249</v>
      </c>
      <c r="J13598" s="599">
        <f t="shared" si="410"/>
        <v>0</v>
      </c>
    </row>
    <row r="13599" spans="5:10" hidden="1" x14ac:dyDescent="0.25">
      <c r="F13599" s="249" t="s">
        <v>250</v>
      </c>
      <c r="G13599" s="252" t="s">
        <v>57</v>
      </c>
      <c r="J13599" s="599">
        <f t="shared" si="410"/>
        <v>0</v>
      </c>
    </row>
    <row r="13600" spans="5:10" hidden="1" x14ac:dyDescent="0.25">
      <c r="F13600" s="249" t="s">
        <v>251</v>
      </c>
      <c r="G13600" s="252" t="s">
        <v>252</v>
      </c>
      <c r="J13600" s="599">
        <f t="shared" si="410"/>
        <v>0</v>
      </c>
    </row>
    <row r="13601" spans="5:10" hidden="1" x14ac:dyDescent="0.25">
      <c r="F13601" s="249" t="s">
        <v>253</v>
      </c>
      <c r="G13601" s="252" t="s">
        <v>254</v>
      </c>
      <c r="J13601" s="599">
        <f t="shared" si="410"/>
        <v>0</v>
      </c>
    </row>
    <row r="13602" spans="5:10" ht="30" hidden="1" x14ac:dyDescent="0.25">
      <c r="F13602" s="249" t="s">
        <v>255</v>
      </c>
      <c r="G13602" s="252" t="s">
        <v>256</v>
      </c>
      <c r="J13602" s="599">
        <f t="shared" si="410"/>
        <v>0</v>
      </c>
    </row>
    <row r="13603" spans="5:10" hidden="1" x14ac:dyDescent="0.25">
      <c r="F13603" s="249" t="s">
        <v>257</v>
      </c>
      <c r="G13603" s="252" t="s">
        <v>258</v>
      </c>
      <c r="J13603" s="599">
        <f t="shared" si="410"/>
        <v>0</v>
      </c>
    </row>
    <row r="13604" spans="5:10" ht="30" hidden="1" x14ac:dyDescent="0.25">
      <c r="F13604" s="249" t="s">
        <v>259</v>
      </c>
      <c r="G13604" s="252" t="s">
        <v>260</v>
      </c>
      <c r="J13604" s="599">
        <f t="shared" si="410"/>
        <v>0</v>
      </c>
    </row>
    <row r="13605" spans="5:10" hidden="1" x14ac:dyDescent="0.25">
      <c r="F13605" s="249" t="s">
        <v>261</v>
      </c>
      <c r="G13605" s="252" t="s">
        <v>262</v>
      </c>
      <c r="J13605" s="599">
        <f t="shared" si="410"/>
        <v>0</v>
      </c>
    </row>
    <row r="13606" spans="5:10" ht="15.75" hidden="1" thickBot="1" x14ac:dyDescent="0.3">
      <c r="F13606" s="249" t="s">
        <v>263</v>
      </c>
      <c r="G13606" s="252" t="s">
        <v>264</v>
      </c>
      <c r="H13606" s="598"/>
      <c r="I13606" s="599"/>
      <c r="J13606" s="599">
        <f t="shared" si="410"/>
        <v>0</v>
      </c>
    </row>
    <row r="13607" spans="5:10" ht="15.75" thickBot="1" x14ac:dyDescent="0.3">
      <c r="G13607" s="229" t="s">
        <v>4469</v>
      </c>
      <c r="H13607" s="600">
        <f>SUM(H13591:H13606)</f>
        <v>17864000</v>
      </c>
      <c r="I13607" s="601">
        <f>SUM(I13594:I13597)</f>
        <v>10406100</v>
      </c>
      <c r="J13607" s="601">
        <f>SUM(J13591:J13606)</f>
        <v>28270100</v>
      </c>
    </row>
    <row r="13608" spans="5:10" ht="18.75" customHeight="1" collapsed="1" x14ac:dyDescent="0.25">
      <c r="E13608" s="517"/>
      <c r="F13608" s="528"/>
      <c r="G13608" s="231" t="s">
        <v>4492</v>
      </c>
      <c r="H13608" s="602"/>
      <c r="I13608" s="623"/>
      <c r="J13608" s="603"/>
    </row>
    <row r="13609" spans="5:10" ht="14.25" customHeight="1" x14ac:dyDescent="0.25">
      <c r="E13609" s="222"/>
      <c r="F13609" s="249" t="s">
        <v>234</v>
      </c>
      <c r="G13609" s="252" t="s">
        <v>235</v>
      </c>
      <c r="H13609" s="598">
        <f>SUM(H13513:H13572)</f>
        <v>17864000</v>
      </c>
      <c r="I13609" s="599"/>
      <c r="J13609" s="599">
        <f>SUM(H13609:I13609)</f>
        <v>17864000</v>
      </c>
    </row>
    <row r="13610" spans="5:10" hidden="1" x14ac:dyDescent="0.25">
      <c r="F13610" s="249" t="s">
        <v>236</v>
      </c>
      <c r="G13610" s="252" t="s">
        <v>237</v>
      </c>
      <c r="J13610" s="599">
        <f t="shared" ref="J13610:J13624" si="411">SUM(H13610:I13610)</f>
        <v>0</v>
      </c>
    </row>
    <row r="13611" spans="5:10" hidden="1" x14ac:dyDescent="0.25">
      <c r="F13611" s="249" t="s">
        <v>238</v>
      </c>
      <c r="G13611" s="252" t="s">
        <v>239</v>
      </c>
      <c r="J13611" s="599">
        <f t="shared" si="411"/>
        <v>0</v>
      </c>
    </row>
    <row r="13612" spans="5:10" x14ac:dyDescent="0.25">
      <c r="F13612" s="249" t="s">
        <v>240</v>
      </c>
      <c r="G13612" s="252" t="s">
        <v>241</v>
      </c>
      <c r="I13612" s="595">
        <v>5711884</v>
      </c>
      <c r="J13612" s="599">
        <f t="shared" si="411"/>
        <v>5711884</v>
      </c>
    </row>
    <row r="13613" spans="5:10" hidden="1" x14ac:dyDescent="0.25">
      <c r="F13613" s="249" t="s">
        <v>242</v>
      </c>
      <c r="G13613" s="252" t="s">
        <v>243</v>
      </c>
      <c r="J13613" s="599">
        <f t="shared" si="411"/>
        <v>0</v>
      </c>
    </row>
    <row r="13614" spans="5:10" hidden="1" x14ac:dyDescent="0.25">
      <c r="F13614" s="249" t="s">
        <v>244</v>
      </c>
      <c r="G13614" s="252" t="s">
        <v>245</v>
      </c>
      <c r="J13614" s="599">
        <f t="shared" si="411"/>
        <v>0</v>
      </c>
    </row>
    <row r="13615" spans="5:10" ht="15.75" thickBot="1" x14ac:dyDescent="0.3">
      <c r="F13615" s="249" t="s">
        <v>246</v>
      </c>
      <c r="G13615" s="252" t="s">
        <v>247</v>
      </c>
      <c r="I13615" s="595">
        <v>4694216</v>
      </c>
      <c r="J13615" s="599">
        <f t="shared" si="411"/>
        <v>4694216</v>
      </c>
    </row>
    <row r="13616" spans="5:10" hidden="1" x14ac:dyDescent="0.25">
      <c r="F13616" s="249" t="s">
        <v>248</v>
      </c>
      <c r="G13616" s="252" t="s">
        <v>249</v>
      </c>
      <c r="J13616" s="599">
        <f t="shared" si="411"/>
        <v>0</v>
      </c>
    </row>
    <row r="13617" spans="1:10" hidden="1" x14ac:dyDescent="0.25">
      <c r="F13617" s="249" t="s">
        <v>250</v>
      </c>
      <c r="G13617" s="252" t="s">
        <v>57</v>
      </c>
      <c r="J13617" s="599">
        <f t="shared" si="411"/>
        <v>0</v>
      </c>
    </row>
    <row r="13618" spans="1:10" hidden="1" x14ac:dyDescent="0.25">
      <c r="F13618" s="249" t="s">
        <v>251</v>
      </c>
      <c r="G13618" s="252" t="s">
        <v>252</v>
      </c>
      <c r="J13618" s="599">
        <f t="shared" si="411"/>
        <v>0</v>
      </c>
    </row>
    <row r="13619" spans="1:10" hidden="1" x14ac:dyDescent="0.25">
      <c r="F13619" s="249" t="s">
        <v>253</v>
      </c>
      <c r="G13619" s="252" t="s">
        <v>254</v>
      </c>
      <c r="J13619" s="599">
        <f t="shared" si="411"/>
        <v>0</v>
      </c>
    </row>
    <row r="13620" spans="1:10" ht="30" hidden="1" x14ac:dyDescent="0.25">
      <c r="F13620" s="249" t="s">
        <v>255</v>
      </c>
      <c r="G13620" s="252" t="s">
        <v>256</v>
      </c>
      <c r="J13620" s="599">
        <f t="shared" si="411"/>
        <v>0</v>
      </c>
    </row>
    <row r="13621" spans="1:10" hidden="1" x14ac:dyDescent="0.25">
      <c r="F13621" s="249" t="s">
        <v>257</v>
      </c>
      <c r="G13621" s="252" t="s">
        <v>258</v>
      </c>
      <c r="J13621" s="599">
        <f t="shared" si="411"/>
        <v>0</v>
      </c>
    </row>
    <row r="13622" spans="1:10" ht="30" hidden="1" x14ac:dyDescent="0.25">
      <c r="F13622" s="249" t="s">
        <v>259</v>
      </c>
      <c r="G13622" s="252" t="s">
        <v>260</v>
      </c>
      <c r="J13622" s="599">
        <f t="shared" si="411"/>
        <v>0</v>
      </c>
    </row>
    <row r="13623" spans="1:10" hidden="1" x14ac:dyDescent="0.25">
      <c r="F13623" s="249" t="s">
        <v>261</v>
      </c>
      <c r="G13623" s="252" t="s">
        <v>262</v>
      </c>
      <c r="J13623" s="599">
        <f t="shared" si="411"/>
        <v>0</v>
      </c>
    </row>
    <row r="13624" spans="1:10" ht="15.75" hidden="1" customHeight="1" thickBot="1" x14ac:dyDescent="0.3">
      <c r="F13624" s="249" t="s">
        <v>263</v>
      </c>
      <c r="G13624" s="252" t="s">
        <v>264</v>
      </c>
      <c r="H13624" s="598"/>
      <c r="I13624" s="599"/>
      <c r="J13624" s="599">
        <f t="shared" si="411"/>
        <v>0</v>
      </c>
    </row>
    <row r="13625" spans="1:10" ht="15.75" collapsed="1" thickBot="1" x14ac:dyDescent="0.3">
      <c r="G13625" s="229" t="s">
        <v>4493</v>
      </c>
      <c r="H13625" s="600">
        <f>SUM(H13609:H13624)</f>
        <v>17864000</v>
      </c>
      <c r="I13625" s="601">
        <f>SUM(I13610:I13624)</f>
        <v>10406100</v>
      </c>
      <c r="J13625" s="601">
        <f>SUM(J13609:J13624)</f>
        <v>28270100</v>
      </c>
    </row>
    <row r="13626" spans="1:10" x14ac:dyDescent="0.25">
      <c r="A13626" s="266"/>
      <c r="B13626" s="266"/>
      <c r="C13626" s="515"/>
      <c r="D13626" s="266"/>
      <c r="E13626" s="266"/>
      <c r="F13626" s="266"/>
      <c r="G13626" s="525"/>
      <c r="H13626" s="619"/>
      <c r="I13626" s="610"/>
      <c r="J13626" s="610"/>
    </row>
    <row r="13627" spans="1:10" x14ac:dyDescent="0.25">
      <c r="C13627" s="228" t="s">
        <v>5205</v>
      </c>
      <c r="D13627" s="219"/>
      <c r="G13627" s="521" t="s">
        <v>5167</v>
      </c>
    </row>
    <row r="13628" spans="1:10" x14ac:dyDescent="0.25">
      <c r="C13628" s="228"/>
      <c r="D13628" s="312">
        <v>911</v>
      </c>
      <c r="E13628" s="312"/>
      <c r="F13628" s="312"/>
      <c r="G13628" s="313" t="s">
        <v>4357</v>
      </c>
    </row>
    <row r="13629" spans="1:10" hidden="1" x14ac:dyDescent="0.25">
      <c r="F13629" s="527">
        <v>411</v>
      </c>
      <c r="G13629" s="520" t="s">
        <v>4189</v>
      </c>
    </row>
    <row r="13630" spans="1:10" hidden="1" x14ac:dyDescent="0.25">
      <c r="F13630" s="527">
        <v>412</v>
      </c>
      <c r="G13630" s="516" t="s">
        <v>3784</v>
      </c>
      <c r="J13630" s="595">
        <f t="shared" ref="J13630:J13687" si="412">SUM(H13630:I13630)</f>
        <v>0</v>
      </c>
    </row>
    <row r="13631" spans="1:10" hidden="1" x14ac:dyDescent="0.25">
      <c r="F13631" s="527">
        <v>413</v>
      </c>
      <c r="G13631" s="520" t="s">
        <v>4190</v>
      </c>
      <c r="J13631" s="595">
        <f t="shared" si="412"/>
        <v>0</v>
      </c>
    </row>
    <row r="13632" spans="1:10" hidden="1" x14ac:dyDescent="0.25">
      <c r="F13632" s="527">
        <v>414</v>
      </c>
      <c r="G13632" s="520" t="s">
        <v>3787</v>
      </c>
      <c r="J13632" s="595">
        <f t="shared" si="412"/>
        <v>0</v>
      </c>
    </row>
    <row r="13633" spans="6:10" hidden="1" x14ac:dyDescent="0.25">
      <c r="F13633" s="527">
        <v>415</v>
      </c>
      <c r="G13633" s="520" t="s">
        <v>4199</v>
      </c>
      <c r="J13633" s="595">
        <f t="shared" si="412"/>
        <v>0</v>
      </c>
    </row>
    <row r="13634" spans="6:10" hidden="1" x14ac:dyDescent="0.25">
      <c r="F13634" s="527">
        <v>416</v>
      </c>
      <c r="G13634" s="520" t="s">
        <v>4200</v>
      </c>
      <c r="J13634" s="595">
        <f t="shared" si="412"/>
        <v>0</v>
      </c>
    </row>
    <row r="13635" spans="6:10" hidden="1" x14ac:dyDescent="0.25">
      <c r="F13635" s="527">
        <v>417</v>
      </c>
      <c r="G13635" s="520" t="s">
        <v>4201</v>
      </c>
      <c r="J13635" s="595">
        <f t="shared" si="412"/>
        <v>0</v>
      </c>
    </row>
    <row r="13636" spans="6:10" hidden="1" x14ac:dyDescent="0.25">
      <c r="F13636" s="527">
        <v>418</v>
      </c>
      <c r="G13636" s="520" t="s">
        <v>3793</v>
      </c>
      <c r="J13636" s="595">
        <f t="shared" si="412"/>
        <v>0</v>
      </c>
    </row>
    <row r="13637" spans="6:10" hidden="1" x14ac:dyDescent="0.25">
      <c r="F13637" s="527">
        <v>421</v>
      </c>
      <c r="G13637" s="520" t="s">
        <v>3797</v>
      </c>
      <c r="J13637" s="595">
        <f t="shared" si="412"/>
        <v>0</v>
      </c>
    </row>
    <row r="13638" spans="6:10" hidden="1" x14ac:dyDescent="0.25">
      <c r="F13638" s="527">
        <v>422</v>
      </c>
      <c r="G13638" s="520" t="s">
        <v>3798</v>
      </c>
      <c r="J13638" s="595">
        <f t="shared" si="412"/>
        <v>0</v>
      </c>
    </row>
    <row r="13639" spans="6:10" hidden="1" x14ac:dyDescent="0.25">
      <c r="F13639" s="527">
        <v>423</v>
      </c>
      <c r="G13639" s="520" t="s">
        <v>3799</v>
      </c>
      <c r="J13639" s="595">
        <f t="shared" si="412"/>
        <v>0</v>
      </c>
    </row>
    <row r="13640" spans="6:10" hidden="1" x14ac:dyDescent="0.25">
      <c r="F13640" s="527">
        <v>424</v>
      </c>
      <c r="G13640" s="520" t="s">
        <v>3801</v>
      </c>
      <c r="J13640" s="595">
        <f t="shared" si="412"/>
        <v>0</v>
      </c>
    </row>
    <row r="13641" spans="6:10" hidden="1" x14ac:dyDescent="0.25">
      <c r="F13641" s="527">
        <v>425</v>
      </c>
      <c r="G13641" s="520" t="s">
        <v>4202</v>
      </c>
      <c r="J13641" s="595">
        <f t="shared" si="412"/>
        <v>0</v>
      </c>
    </row>
    <row r="13642" spans="6:10" hidden="1" x14ac:dyDescent="0.25">
      <c r="F13642" s="527">
        <v>426</v>
      </c>
      <c r="G13642" s="520" t="s">
        <v>3805</v>
      </c>
      <c r="J13642" s="595">
        <f t="shared" si="412"/>
        <v>0</v>
      </c>
    </row>
    <row r="13643" spans="6:10" hidden="1" x14ac:dyDescent="0.25">
      <c r="F13643" s="527">
        <v>431</v>
      </c>
      <c r="G13643" s="520" t="s">
        <v>4203</v>
      </c>
      <c r="J13643" s="595">
        <f t="shared" si="412"/>
        <v>0</v>
      </c>
    </row>
    <row r="13644" spans="6:10" hidden="1" x14ac:dyDescent="0.25">
      <c r="F13644" s="527">
        <v>432</v>
      </c>
      <c r="G13644" s="520" t="s">
        <v>4204</v>
      </c>
      <c r="J13644" s="595">
        <f t="shared" si="412"/>
        <v>0</v>
      </c>
    </row>
    <row r="13645" spans="6:10" hidden="1" x14ac:dyDescent="0.25">
      <c r="F13645" s="527">
        <v>433</v>
      </c>
      <c r="G13645" s="520" t="s">
        <v>4205</v>
      </c>
      <c r="J13645" s="595">
        <f t="shared" si="412"/>
        <v>0</v>
      </c>
    </row>
    <row r="13646" spans="6:10" hidden="1" x14ac:dyDescent="0.25">
      <c r="F13646" s="527">
        <v>434</v>
      </c>
      <c r="G13646" s="520" t="s">
        <v>4206</v>
      </c>
      <c r="J13646" s="595">
        <f t="shared" si="412"/>
        <v>0</v>
      </c>
    </row>
    <row r="13647" spans="6:10" hidden="1" x14ac:dyDescent="0.25">
      <c r="F13647" s="527">
        <v>435</v>
      </c>
      <c r="G13647" s="520" t="s">
        <v>3812</v>
      </c>
      <c r="J13647" s="595">
        <f t="shared" si="412"/>
        <v>0</v>
      </c>
    </row>
    <row r="13648" spans="6:10" hidden="1" x14ac:dyDescent="0.25">
      <c r="F13648" s="527">
        <v>441</v>
      </c>
      <c r="G13648" s="520" t="s">
        <v>4207</v>
      </c>
      <c r="J13648" s="595">
        <f t="shared" si="412"/>
        <v>0</v>
      </c>
    </row>
    <row r="13649" spans="6:10" hidden="1" x14ac:dyDescent="0.25">
      <c r="F13649" s="527">
        <v>442</v>
      </c>
      <c r="G13649" s="520" t="s">
        <v>4208</v>
      </c>
      <c r="J13649" s="595">
        <f t="shared" si="412"/>
        <v>0</v>
      </c>
    </row>
    <row r="13650" spans="6:10" hidden="1" x14ac:dyDescent="0.25">
      <c r="F13650" s="527">
        <v>443</v>
      </c>
      <c r="G13650" s="520" t="s">
        <v>3817</v>
      </c>
      <c r="J13650" s="595">
        <f t="shared" si="412"/>
        <v>0</v>
      </c>
    </row>
    <row r="13651" spans="6:10" hidden="1" x14ac:dyDescent="0.25">
      <c r="F13651" s="527">
        <v>444</v>
      </c>
      <c r="G13651" s="520" t="s">
        <v>3818</v>
      </c>
      <c r="J13651" s="595">
        <f t="shared" si="412"/>
        <v>0</v>
      </c>
    </row>
    <row r="13652" spans="6:10" ht="30" hidden="1" x14ac:dyDescent="0.25">
      <c r="F13652" s="527">
        <v>4511</v>
      </c>
      <c r="G13652" s="223" t="s">
        <v>1692</v>
      </c>
      <c r="J13652" s="595">
        <f t="shared" si="412"/>
        <v>0</v>
      </c>
    </row>
    <row r="13653" spans="6:10" ht="30" hidden="1" x14ac:dyDescent="0.25">
      <c r="F13653" s="527">
        <v>4512</v>
      </c>
      <c r="G13653" s="223" t="s">
        <v>1701</v>
      </c>
      <c r="J13653" s="595">
        <f t="shared" si="412"/>
        <v>0</v>
      </c>
    </row>
    <row r="13654" spans="6:10" hidden="1" x14ac:dyDescent="0.25">
      <c r="F13654" s="527">
        <v>452</v>
      </c>
      <c r="G13654" s="520" t="s">
        <v>4209</v>
      </c>
      <c r="J13654" s="595">
        <f t="shared" si="412"/>
        <v>0</v>
      </c>
    </row>
    <row r="13655" spans="6:10" hidden="1" x14ac:dyDescent="0.25">
      <c r="F13655" s="527">
        <v>453</v>
      </c>
      <c r="G13655" s="520" t="s">
        <v>4210</v>
      </c>
      <c r="J13655" s="595">
        <f t="shared" si="412"/>
        <v>0</v>
      </c>
    </row>
    <row r="13656" spans="6:10" hidden="1" x14ac:dyDescent="0.25">
      <c r="F13656" s="527">
        <v>454</v>
      </c>
      <c r="G13656" s="520" t="s">
        <v>3823</v>
      </c>
      <c r="J13656" s="595">
        <f t="shared" si="412"/>
        <v>0</v>
      </c>
    </row>
    <row r="13657" spans="6:10" hidden="1" x14ac:dyDescent="0.25">
      <c r="F13657" s="527">
        <v>461</v>
      </c>
      <c r="G13657" s="520" t="s">
        <v>4191</v>
      </c>
      <c r="J13657" s="595">
        <f t="shared" si="412"/>
        <v>0</v>
      </c>
    </row>
    <row r="13658" spans="6:10" hidden="1" x14ac:dyDescent="0.25">
      <c r="F13658" s="527">
        <v>462</v>
      </c>
      <c r="G13658" s="520" t="s">
        <v>3826</v>
      </c>
      <c r="J13658" s="595">
        <f t="shared" si="412"/>
        <v>0</v>
      </c>
    </row>
    <row r="13659" spans="6:10" hidden="1" x14ac:dyDescent="0.25">
      <c r="F13659" s="527">
        <v>4631</v>
      </c>
      <c r="G13659" s="520" t="s">
        <v>3827</v>
      </c>
      <c r="J13659" s="595">
        <f t="shared" si="412"/>
        <v>0</v>
      </c>
    </row>
    <row r="13660" spans="6:10" hidden="1" x14ac:dyDescent="0.25">
      <c r="F13660" s="527">
        <v>4632</v>
      </c>
      <c r="G13660" s="520" t="s">
        <v>3828</v>
      </c>
      <c r="J13660" s="595">
        <f t="shared" si="412"/>
        <v>0</v>
      </c>
    </row>
    <row r="13661" spans="6:10" hidden="1" x14ac:dyDescent="0.25">
      <c r="F13661" s="527">
        <v>464</v>
      </c>
      <c r="G13661" s="520" t="s">
        <v>3829</v>
      </c>
      <c r="J13661" s="595">
        <f t="shared" si="412"/>
        <v>0</v>
      </c>
    </row>
    <row r="13662" spans="6:10" hidden="1" x14ac:dyDescent="0.25">
      <c r="F13662" s="527">
        <v>465</v>
      </c>
      <c r="G13662" s="520" t="s">
        <v>4192</v>
      </c>
      <c r="J13662" s="595">
        <f t="shared" si="412"/>
        <v>0</v>
      </c>
    </row>
    <row r="13663" spans="6:10" hidden="1" x14ac:dyDescent="0.25">
      <c r="F13663" s="527">
        <v>472</v>
      </c>
      <c r="G13663" s="520" t="s">
        <v>3833</v>
      </c>
      <c r="J13663" s="595">
        <f t="shared" si="412"/>
        <v>0</v>
      </c>
    </row>
    <row r="13664" spans="6:10" hidden="1" x14ac:dyDescent="0.25">
      <c r="F13664" s="527">
        <v>481</v>
      </c>
      <c r="G13664" s="520" t="s">
        <v>4211</v>
      </c>
      <c r="J13664" s="595">
        <f t="shared" si="412"/>
        <v>0</v>
      </c>
    </row>
    <row r="13665" spans="5:10" hidden="1" x14ac:dyDescent="0.25">
      <c r="F13665" s="527">
        <v>482</v>
      </c>
      <c r="G13665" s="520" t="s">
        <v>4212</v>
      </c>
      <c r="J13665" s="595">
        <f t="shared" si="412"/>
        <v>0</v>
      </c>
    </row>
    <row r="13666" spans="5:10" hidden="1" x14ac:dyDescent="0.25">
      <c r="F13666" s="527">
        <v>483</v>
      </c>
      <c r="G13666" s="524" t="s">
        <v>4213</v>
      </c>
      <c r="J13666" s="595">
        <f t="shared" si="412"/>
        <v>0</v>
      </c>
    </row>
    <row r="13667" spans="5:10" ht="30" hidden="1" x14ac:dyDescent="0.25">
      <c r="F13667" s="527">
        <v>484</v>
      </c>
      <c r="G13667" s="520" t="s">
        <v>4214</v>
      </c>
      <c r="J13667" s="595">
        <f t="shared" si="412"/>
        <v>0</v>
      </c>
    </row>
    <row r="13668" spans="5:10" ht="30" hidden="1" x14ac:dyDescent="0.25">
      <c r="F13668" s="527">
        <v>485</v>
      </c>
      <c r="G13668" s="520" t="s">
        <v>4215</v>
      </c>
      <c r="J13668" s="595">
        <f t="shared" si="412"/>
        <v>0</v>
      </c>
    </row>
    <row r="13669" spans="5:10" ht="30" hidden="1" x14ac:dyDescent="0.25">
      <c r="F13669" s="527">
        <v>489</v>
      </c>
      <c r="G13669" s="520" t="s">
        <v>3841</v>
      </c>
      <c r="J13669" s="595">
        <f t="shared" si="412"/>
        <v>0</v>
      </c>
    </row>
    <row r="13670" spans="5:10" hidden="1" x14ac:dyDescent="0.25">
      <c r="F13670" s="527">
        <v>494</v>
      </c>
      <c r="G13670" s="520" t="s">
        <v>4193</v>
      </c>
      <c r="J13670" s="595">
        <f t="shared" si="412"/>
        <v>0</v>
      </c>
    </row>
    <row r="13671" spans="5:10" ht="30" hidden="1" x14ac:dyDescent="0.25">
      <c r="F13671" s="527">
        <v>495</v>
      </c>
      <c r="G13671" s="520" t="s">
        <v>4194</v>
      </c>
      <c r="J13671" s="595">
        <f t="shared" si="412"/>
        <v>0</v>
      </c>
    </row>
    <row r="13672" spans="5:10" ht="30" hidden="1" x14ac:dyDescent="0.25">
      <c r="F13672" s="527">
        <v>496</v>
      </c>
      <c r="G13672" s="520" t="s">
        <v>4195</v>
      </c>
      <c r="J13672" s="595">
        <f t="shared" si="412"/>
        <v>0</v>
      </c>
    </row>
    <row r="13673" spans="5:10" hidden="1" x14ac:dyDescent="0.25">
      <c r="F13673" s="527">
        <v>499</v>
      </c>
      <c r="G13673" s="520" t="s">
        <v>4196</v>
      </c>
      <c r="J13673" s="595">
        <f t="shared" si="412"/>
        <v>0</v>
      </c>
    </row>
    <row r="13674" spans="5:10" ht="17.25" customHeight="1" thickBot="1" x14ac:dyDescent="0.3">
      <c r="E13674" s="218">
        <v>132</v>
      </c>
      <c r="F13674" s="527">
        <v>511</v>
      </c>
      <c r="G13674" s="524" t="s">
        <v>4216</v>
      </c>
      <c r="H13674" s="594">
        <v>3635000</v>
      </c>
      <c r="I13674" s="595">
        <v>3965000</v>
      </c>
      <c r="J13674" s="595">
        <f>SUM(H13674:I13674)</f>
        <v>7600000</v>
      </c>
    </row>
    <row r="13675" spans="5:10" hidden="1" x14ac:dyDescent="0.25">
      <c r="F13675" s="527">
        <v>512</v>
      </c>
      <c r="G13675" s="524" t="s">
        <v>4217</v>
      </c>
      <c r="J13675" s="595">
        <f t="shared" si="412"/>
        <v>0</v>
      </c>
    </row>
    <row r="13676" spans="5:10" hidden="1" x14ac:dyDescent="0.25">
      <c r="F13676" s="527">
        <v>513</v>
      </c>
      <c r="G13676" s="524" t="s">
        <v>4218</v>
      </c>
      <c r="J13676" s="595">
        <f t="shared" si="412"/>
        <v>0</v>
      </c>
    </row>
    <row r="13677" spans="5:10" hidden="1" x14ac:dyDescent="0.25">
      <c r="F13677" s="527">
        <v>514</v>
      </c>
      <c r="G13677" s="520" t="s">
        <v>4219</v>
      </c>
      <c r="J13677" s="595">
        <f t="shared" si="412"/>
        <v>0</v>
      </c>
    </row>
    <row r="13678" spans="5:10" hidden="1" x14ac:dyDescent="0.25">
      <c r="F13678" s="527">
        <v>515</v>
      </c>
      <c r="G13678" s="520" t="s">
        <v>3852</v>
      </c>
      <c r="J13678" s="595">
        <f t="shared" si="412"/>
        <v>0</v>
      </c>
    </row>
    <row r="13679" spans="5:10" hidden="1" x14ac:dyDescent="0.25">
      <c r="F13679" s="527">
        <v>521</v>
      </c>
      <c r="G13679" s="520" t="s">
        <v>4220</v>
      </c>
      <c r="J13679" s="595">
        <f t="shared" si="412"/>
        <v>0</v>
      </c>
    </row>
    <row r="13680" spans="5:10" hidden="1" x14ac:dyDescent="0.25">
      <c r="F13680" s="527">
        <v>522</v>
      </c>
      <c r="G13680" s="520" t="s">
        <v>4221</v>
      </c>
      <c r="J13680" s="595">
        <f t="shared" si="412"/>
        <v>0</v>
      </c>
    </row>
    <row r="13681" spans="5:10" hidden="1" x14ac:dyDescent="0.25">
      <c r="F13681" s="527">
        <v>523</v>
      </c>
      <c r="G13681" s="520" t="s">
        <v>3857</v>
      </c>
      <c r="J13681" s="595">
        <f t="shared" si="412"/>
        <v>0</v>
      </c>
    </row>
    <row r="13682" spans="5:10" hidden="1" x14ac:dyDescent="0.25">
      <c r="F13682" s="527">
        <v>531</v>
      </c>
      <c r="G13682" s="516" t="s">
        <v>4197</v>
      </c>
      <c r="J13682" s="595">
        <f t="shared" si="412"/>
        <v>0</v>
      </c>
    </row>
    <row r="13683" spans="5:10" hidden="1" x14ac:dyDescent="0.25">
      <c r="F13683" s="527">
        <v>541</v>
      </c>
      <c r="G13683" s="520" t="s">
        <v>4222</v>
      </c>
      <c r="J13683" s="595">
        <f t="shared" si="412"/>
        <v>0</v>
      </c>
    </row>
    <row r="13684" spans="5:10" hidden="1" x14ac:dyDescent="0.25">
      <c r="F13684" s="527">
        <v>542</v>
      </c>
      <c r="G13684" s="520" t="s">
        <v>4223</v>
      </c>
      <c r="J13684" s="595">
        <f t="shared" si="412"/>
        <v>0</v>
      </c>
    </row>
    <row r="13685" spans="5:10" hidden="1" x14ac:dyDescent="0.25">
      <c r="F13685" s="527">
        <v>543</v>
      </c>
      <c r="G13685" s="520" t="s">
        <v>3862</v>
      </c>
      <c r="J13685" s="595">
        <f t="shared" si="412"/>
        <v>0</v>
      </c>
    </row>
    <row r="13686" spans="5:10" ht="30" hidden="1" x14ac:dyDescent="0.25">
      <c r="F13686" s="527">
        <v>551</v>
      </c>
      <c r="G13686" s="520" t="s">
        <v>4198</v>
      </c>
      <c r="J13686" s="595">
        <f t="shared" si="412"/>
        <v>0</v>
      </c>
    </row>
    <row r="13687" spans="5:10" hidden="1" x14ac:dyDescent="0.25">
      <c r="F13687" s="528">
        <v>611</v>
      </c>
      <c r="G13687" s="526" t="s">
        <v>3868</v>
      </c>
      <c r="J13687" s="595">
        <f t="shared" si="412"/>
        <v>0</v>
      </c>
    </row>
    <row r="13688" spans="5:10" ht="15.75" hidden="1" thickBot="1" x14ac:dyDescent="0.3">
      <c r="F13688" s="528">
        <v>620</v>
      </c>
      <c r="G13688" s="526" t="s">
        <v>88</v>
      </c>
      <c r="J13688" s="595">
        <f>SUM(H13688:I13688)</f>
        <v>0</v>
      </c>
    </row>
    <row r="13689" spans="5:10" x14ac:dyDescent="0.25">
      <c r="E13689" s="517"/>
      <c r="F13689" s="528"/>
      <c r="G13689" s="326" t="s">
        <v>4468</v>
      </c>
      <c r="H13689" s="596"/>
      <c r="I13689" s="622"/>
      <c r="J13689" s="597"/>
    </row>
    <row r="13690" spans="5:10" x14ac:dyDescent="0.25">
      <c r="E13690" s="222"/>
      <c r="F13690" s="249" t="s">
        <v>234</v>
      </c>
      <c r="G13690" s="252" t="s">
        <v>235</v>
      </c>
      <c r="H13690" s="598">
        <f>SUM(H13674)</f>
        <v>3635000</v>
      </c>
      <c r="I13690" s="599"/>
      <c r="J13690" s="599">
        <f>SUM(H13690:I13690)</f>
        <v>3635000</v>
      </c>
    </row>
    <row r="13691" spans="5:10" hidden="1" x14ac:dyDescent="0.25">
      <c r="F13691" s="249" t="s">
        <v>236</v>
      </c>
      <c r="G13691" s="252" t="s">
        <v>237</v>
      </c>
      <c r="J13691" s="599">
        <f t="shared" ref="J13691:J13705" si="413">SUM(H13691:I13691)</f>
        <v>0</v>
      </c>
    </row>
    <row r="13692" spans="5:10" hidden="1" x14ac:dyDescent="0.25">
      <c r="F13692" s="249" t="s">
        <v>238</v>
      </c>
      <c r="G13692" s="252" t="s">
        <v>239</v>
      </c>
      <c r="J13692" s="599">
        <f t="shared" si="413"/>
        <v>0</v>
      </c>
    </row>
    <row r="13693" spans="5:10" hidden="1" x14ac:dyDescent="0.25">
      <c r="F13693" s="249" t="s">
        <v>240</v>
      </c>
      <c r="G13693" s="252" t="s">
        <v>241</v>
      </c>
      <c r="J13693" s="599">
        <f t="shared" si="413"/>
        <v>0</v>
      </c>
    </row>
    <row r="13694" spans="5:10" hidden="1" x14ac:dyDescent="0.25">
      <c r="F13694" s="249" t="s">
        <v>242</v>
      </c>
      <c r="G13694" s="252" t="s">
        <v>243</v>
      </c>
      <c r="J13694" s="599">
        <f t="shared" si="413"/>
        <v>0</v>
      </c>
    </row>
    <row r="13695" spans="5:10" hidden="1" x14ac:dyDescent="0.25">
      <c r="F13695" s="249" t="s">
        <v>244</v>
      </c>
      <c r="G13695" s="252" t="s">
        <v>245</v>
      </c>
      <c r="J13695" s="599">
        <f t="shared" si="413"/>
        <v>0</v>
      </c>
    </row>
    <row r="13696" spans="5:10" ht="15.75" thickBot="1" x14ac:dyDescent="0.3">
      <c r="F13696" s="249" t="s">
        <v>246</v>
      </c>
      <c r="G13696" s="252" t="s">
        <v>247</v>
      </c>
      <c r="I13696" s="595">
        <f>SUM(I13674)</f>
        <v>3965000</v>
      </c>
      <c r="J13696" s="599">
        <f t="shared" si="413"/>
        <v>3965000</v>
      </c>
    </row>
    <row r="13697" spans="5:10" hidden="1" x14ac:dyDescent="0.25">
      <c r="F13697" s="249" t="s">
        <v>248</v>
      </c>
      <c r="G13697" s="252" t="s">
        <v>249</v>
      </c>
      <c r="J13697" s="599">
        <f t="shared" si="413"/>
        <v>0</v>
      </c>
    </row>
    <row r="13698" spans="5:10" hidden="1" x14ac:dyDescent="0.25">
      <c r="F13698" s="249" t="s">
        <v>250</v>
      </c>
      <c r="G13698" s="252" t="s">
        <v>57</v>
      </c>
      <c r="J13698" s="599">
        <f t="shared" si="413"/>
        <v>0</v>
      </c>
    </row>
    <row r="13699" spans="5:10" hidden="1" x14ac:dyDescent="0.25">
      <c r="F13699" s="249" t="s">
        <v>251</v>
      </c>
      <c r="G13699" s="252" t="s">
        <v>252</v>
      </c>
      <c r="J13699" s="599">
        <f t="shared" si="413"/>
        <v>0</v>
      </c>
    </row>
    <row r="13700" spans="5:10" hidden="1" x14ac:dyDescent="0.25">
      <c r="F13700" s="249" t="s">
        <v>253</v>
      </c>
      <c r="G13700" s="252" t="s">
        <v>254</v>
      </c>
      <c r="J13700" s="599">
        <f t="shared" si="413"/>
        <v>0</v>
      </c>
    </row>
    <row r="13701" spans="5:10" ht="30" hidden="1" x14ac:dyDescent="0.25">
      <c r="F13701" s="249" t="s">
        <v>255</v>
      </c>
      <c r="G13701" s="252" t="s">
        <v>256</v>
      </c>
      <c r="J13701" s="599">
        <f t="shared" si="413"/>
        <v>0</v>
      </c>
    </row>
    <row r="13702" spans="5:10" hidden="1" x14ac:dyDescent="0.25">
      <c r="F13702" s="249" t="s">
        <v>257</v>
      </c>
      <c r="G13702" s="252" t="s">
        <v>258</v>
      </c>
      <c r="J13702" s="599">
        <f t="shared" si="413"/>
        <v>0</v>
      </c>
    </row>
    <row r="13703" spans="5:10" ht="30" hidden="1" x14ac:dyDescent="0.25">
      <c r="F13703" s="249" t="s">
        <v>259</v>
      </c>
      <c r="G13703" s="252" t="s">
        <v>260</v>
      </c>
      <c r="J13703" s="599">
        <f t="shared" si="413"/>
        <v>0</v>
      </c>
    </row>
    <row r="13704" spans="5:10" hidden="1" x14ac:dyDescent="0.25">
      <c r="F13704" s="249" t="s">
        <v>261</v>
      </c>
      <c r="G13704" s="252" t="s">
        <v>262</v>
      </c>
      <c r="J13704" s="599">
        <f t="shared" si="413"/>
        <v>0</v>
      </c>
    </row>
    <row r="13705" spans="5:10" ht="15.75" hidden="1" thickBot="1" x14ac:dyDescent="0.3">
      <c r="F13705" s="249" t="s">
        <v>263</v>
      </c>
      <c r="G13705" s="252" t="s">
        <v>264</v>
      </c>
      <c r="H13705" s="598"/>
      <c r="I13705" s="599"/>
      <c r="J13705" s="599">
        <f t="shared" si="413"/>
        <v>0</v>
      </c>
    </row>
    <row r="13706" spans="5:10" ht="15.75" thickBot="1" x14ac:dyDescent="0.3">
      <c r="G13706" s="229" t="s">
        <v>4469</v>
      </c>
      <c r="H13706" s="600">
        <f>SUM(H13690:H13705)</f>
        <v>3635000</v>
      </c>
      <c r="I13706" s="601">
        <f>SUM(I13691:I13705)</f>
        <v>3965000</v>
      </c>
      <c r="J13706" s="601">
        <f>SUM(J13690:J13705)</f>
        <v>7600000</v>
      </c>
    </row>
    <row r="13707" spans="5:10" collapsed="1" x14ac:dyDescent="0.25">
      <c r="E13707" s="517"/>
      <c r="F13707" s="528"/>
      <c r="G13707" s="231" t="s">
        <v>5064</v>
      </c>
      <c r="H13707" s="602"/>
      <c r="I13707" s="623"/>
      <c r="J13707" s="603"/>
    </row>
    <row r="13708" spans="5:10" ht="15.75" thickBot="1" x14ac:dyDescent="0.3">
      <c r="E13708" s="222"/>
      <c r="F13708" s="249" t="s">
        <v>234</v>
      </c>
      <c r="G13708" s="252" t="s">
        <v>235</v>
      </c>
      <c r="H13708" s="598">
        <f>SUM(H13630:H13688)</f>
        <v>3635000</v>
      </c>
      <c r="I13708" s="599"/>
      <c r="J13708" s="599">
        <f>SUM(H13708:I13708)</f>
        <v>3635000</v>
      </c>
    </row>
    <row r="13709" spans="5:10" hidden="1" x14ac:dyDescent="0.25">
      <c r="F13709" s="249" t="s">
        <v>236</v>
      </c>
      <c r="G13709" s="252" t="s">
        <v>237</v>
      </c>
      <c r="J13709" s="599">
        <f t="shared" ref="J13709:J13723" si="414">SUM(H13709:I13709)</f>
        <v>0</v>
      </c>
    </row>
    <row r="13710" spans="5:10" hidden="1" x14ac:dyDescent="0.25">
      <c r="F13710" s="249" t="s">
        <v>238</v>
      </c>
      <c r="G13710" s="252" t="s">
        <v>239</v>
      </c>
      <c r="J13710" s="599">
        <f t="shared" si="414"/>
        <v>0</v>
      </c>
    </row>
    <row r="13711" spans="5:10" hidden="1" x14ac:dyDescent="0.25">
      <c r="F13711" s="249" t="s">
        <v>240</v>
      </c>
      <c r="G13711" s="252" t="s">
        <v>241</v>
      </c>
      <c r="J13711" s="599">
        <f t="shared" si="414"/>
        <v>0</v>
      </c>
    </row>
    <row r="13712" spans="5:10" hidden="1" x14ac:dyDescent="0.25">
      <c r="F13712" s="249" t="s">
        <v>242</v>
      </c>
      <c r="G13712" s="252" t="s">
        <v>243</v>
      </c>
      <c r="J13712" s="599">
        <f t="shared" si="414"/>
        <v>0</v>
      </c>
    </row>
    <row r="13713" spans="1:10" hidden="1" x14ac:dyDescent="0.25">
      <c r="F13713" s="249" t="s">
        <v>244</v>
      </c>
      <c r="G13713" s="252" t="s">
        <v>245</v>
      </c>
      <c r="J13713" s="599">
        <f t="shared" si="414"/>
        <v>0</v>
      </c>
    </row>
    <row r="13714" spans="1:10" hidden="1" x14ac:dyDescent="0.25">
      <c r="F13714" s="249" t="s">
        <v>246</v>
      </c>
      <c r="G13714" s="252" t="s">
        <v>247</v>
      </c>
      <c r="J13714" s="599">
        <f t="shared" si="414"/>
        <v>0</v>
      </c>
    </row>
    <row r="13715" spans="1:10" hidden="1" x14ac:dyDescent="0.25">
      <c r="F13715" s="249" t="s">
        <v>248</v>
      </c>
      <c r="G13715" s="252" t="s">
        <v>249</v>
      </c>
      <c r="J13715" s="599">
        <f t="shared" si="414"/>
        <v>0</v>
      </c>
    </row>
    <row r="13716" spans="1:10" hidden="1" x14ac:dyDescent="0.25">
      <c r="F13716" s="249" t="s">
        <v>250</v>
      </c>
      <c r="G13716" s="252" t="s">
        <v>57</v>
      </c>
      <c r="J13716" s="599">
        <f t="shared" si="414"/>
        <v>0</v>
      </c>
    </row>
    <row r="13717" spans="1:10" hidden="1" x14ac:dyDescent="0.25">
      <c r="F13717" s="249" t="s">
        <v>251</v>
      </c>
      <c r="G13717" s="252" t="s">
        <v>252</v>
      </c>
      <c r="J13717" s="599">
        <f t="shared" si="414"/>
        <v>0</v>
      </c>
    </row>
    <row r="13718" spans="1:10" hidden="1" x14ac:dyDescent="0.25">
      <c r="F13718" s="249" t="s">
        <v>253</v>
      </c>
      <c r="G13718" s="252" t="s">
        <v>254</v>
      </c>
      <c r="J13718" s="599">
        <f t="shared" si="414"/>
        <v>0</v>
      </c>
    </row>
    <row r="13719" spans="1:10" ht="30" hidden="1" x14ac:dyDescent="0.25">
      <c r="F13719" s="249" t="s">
        <v>255</v>
      </c>
      <c r="G13719" s="252" t="s">
        <v>256</v>
      </c>
      <c r="J13719" s="599">
        <f t="shared" si="414"/>
        <v>0</v>
      </c>
    </row>
    <row r="13720" spans="1:10" hidden="1" x14ac:dyDescent="0.25">
      <c r="F13720" s="249" t="s">
        <v>257</v>
      </c>
      <c r="G13720" s="252" t="s">
        <v>258</v>
      </c>
      <c r="J13720" s="599">
        <f t="shared" si="414"/>
        <v>0</v>
      </c>
    </row>
    <row r="13721" spans="1:10" ht="30" hidden="1" x14ac:dyDescent="0.25">
      <c r="F13721" s="249" t="s">
        <v>259</v>
      </c>
      <c r="G13721" s="252" t="s">
        <v>260</v>
      </c>
      <c r="J13721" s="599">
        <f t="shared" si="414"/>
        <v>0</v>
      </c>
    </row>
    <row r="13722" spans="1:10" hidden="1" x14ac:dyDescent="0.25">
      <c r="F13722" s="249" t="s">
        <v>261</v>
      </c>
      <c r="G13722" s="252" t="s">
        <v>262</v>
      </c>
      <c r="J13722" s="599">
        <f t="shared" si="414"/>
        <v>0</v>
      </c>
    </row>
    <row r="13723" spans="1:10" ht="15.75" hidden="1" thickBot="1" x14ac:dyDescent="0.3">
      <c r="F13723" s="249" t="s">
        <v>263</v>
      </c>
      <c r="G13723" s="252" t="s">
        <v>264</v>
      </c>
      <c r="H13723" s="598"/>
      <c r="I13723" s="599"/>
      <c r="J13723" s="599">
        <f t="shared" si="414"/>
        <v>0</v>
      </c>
    </row>
    <row r="13724" spans="1:10" ht="15.75" thickBot="1" x14ac:dyDescent="0.3">
      <c r="G13724" s="229" t="s">
        <v>5206</v>
      </c>
      <c r="H13724" s="600">
        <f>SUM(H13708:H13723)</f>
        <v>3635000</v>
      </c>
      <c r="I13724" s="601">
        <f>SUM(I13696)</f>
        <v>3965000</v>
      </c>
      <c r="J13724" s="601">
        <f>SUM(J13708:J13723)</f>
        <v>3635000</v>
      </c>
    </row>
    <row r="13725" spans="1:10" x14ac:dyDescent="0.25">
      <c r="A13725" s="266"/>
      <c r="B13725" s="266"/>
      <c r="C13725" s="515"/>
      <c r="D13725" s="266"/>
      <c r="E13725" s="266"/>
      <c r="F13725" s="266"/>
      <c r="G13725" s="525"/>
      <c r="H13725" s="619"/>
      <c r="I13725" s="610"/>
      <c r="J13725" s="610"/>
    </row>
    <row r="13726" spans="1:10" hidden="1" x14ac:dyDescent="0.25">
      <c r="E13726" s="517"/>
      <c r="F13726" s="528"/>
      <c r="G13726" s="250" t="s">
        <v>5210</v>
      </c>
      <c r="H13726" s="606"/>
      <c r="I13726" s="624"/>
      <c r="J13726" s="607"/>
    </row>
    <row r="13727" spans="1:10" ht="15.75" hidden="1" thickBot="1" x14ac:dyDescent="0.3">
      <c r="E13727" s="222"/>
      <c r="F13727" s="249" t="s">
        <v>234</v>
      </c>
      <c r="G13727" s="252" t="s">
        <v>235</v>
      </c>
      <c r="H13727" s="598"/>
      <c r="I13727" s="599"/>
      <c r="J13727" s="599">
        <f>SUM(H13727:I13727)</f>
        <v>0</v>
      </c>
    </row>
    <row r="13728" spans="1:10" hidden="1" x14ac:dyDescent="0.25">
      <c r="F13728" s="249" t="s">
        <v>236</v>
      </c>
      <c r="G13728" s="252" t="s">
        <v>237</v>
      </c>
      <c r="J13728" s="599">
        <f t="shared" ref="J13728:J13742" si="415">SUM(H13728:I13728)</f>
        <v>0</v>
      </c>
    </row>
    <row r="13729" spans="6:10" hidden="1" x14ac:dyDescent="0.25">
      <c r="F13729" s="249" t="s">
        <v>238</v>
      </c>
      <c r="G13729" s="252" t="s">
        <v>239</v>
      </c>
      <c r="J13729" s="599">
        <f t="shared" si="415"/>
        <v>0</v>
      </c>
    </row>
    <row r="13730" spans="6:10" hidden="1" x14ac:dyDescent="0.25">
      <c r="F13730" s="249" t="s">
        <v>240</v>
      </c>
      <c r="G13730" s="252" t="s">
        <v>241</v>
      </c>
      <c r="J13730" s="599">
        <f t="shared" si="415"/>
        <v>0</v>
      </c>
    </row>
    <row r="13731" spans="6:10" hidden="1" x14ac:dyDescent="0.25">
      <c r="F13731" s="249" t="s">
        <v>242</v>
      </c>
      <c r="G13731" s="252" t="s">
        <v>243</v>
      </c>
      <c r="J13731" s="599">
        <f t="shared" si="415"/>
        <v>0</v>
      </c>
    </row>
    <row r="13732" spans="6:10" hidden="1" x14ac:dyDescent="0.25">
      <c r="F13732" s="249" t="s">
        <v>244</v>
      </c>
      <c r="G13732" s="252" t="s">
        <v>245</v>
      </c>
      <c r="J13732" s="599">
        <f t="shared" si="415"/>
        <v>0</v>
      </c>
    </row>
    <row r="13733" spans="6:10" hidden="1" x14ac:dyDescent="0.25">
      <c r="F13733" s="249" t="s">
        <v>246</v>
      </c>
      <c r="G13733" s="252" t="s">
        <v>247</v>
      </c>
      <c r="J13733" s="599">
        <f t="shared" si="415"/>
        <v>0</v>
      </c>
    </row>
    <row r="13734" spans="6:10" hidden="1" x14ac:dyDescent="0.25">
      <c r="F13734" s="249" t="s">
        <v>248</v>
      </c>
      <c r="G13734" s="252" t="s">
        <v>249</v>
      </c>
      <c r="J13734" s="599">
        <f t="shared" si="415"/>
        <v>0</v>
      </c>
    </row>
    <row r="13735" spans="6:10" hidden="1" x14ac:dyDescent="0.25">
      <c r="F13735" s="249" t="s">
        <v>250</v>
      </c>
      <c r="G13735" s="252" t="s">
        <v>57</v>
      </c>
      <c r="J13735" s="599">
        <f t="shared" si="415"/>
        <v>0</v>
      </c>
    </row>
    <row r="13736" spans="6:10" hidden="1" x14ac:dyDescent="0.25">
      <c r="F13736" s="249" t="s">
        <v>251</v>
      </c>
      <c r="G13736" s="252" t="s">
        <v>252</v>
      </c>
      <c r="J13736" s="599">
        <f t="shared" si="415"/>
        <v>0</v>
      </c>
    </row>
    <row r="13737" spans="6:10" hidden="1" x14ac:dyDescent="0.25">
      <c r="F13737" s="249" t="s">
        <v>253</v>
      </c>
      <c r="G13737" s="252" t="s">
        <v>254</v>
      </c>
      <c r="J13737" s="599">
        <f t="shared" si="415"/>
        <v>0</v>
      </c>
    </row>
    <row r="13738" spans="6:10" ht="30" hidden="1" x14ac:dyDescent="0.25">
      <c r="F13738" s="249" t="s">
        <v>255</v>
      </c>
      <c r="G13738" s="252" t="s">
        <v>256</v>
      </c>
      <c r="J13738" s="599">
        <f t="shared" si="415"/>
        <v>0</v>
      </c>
    </row>
    <row r="13739" spans="6:10" hidden="1" x14ac:dyDescent="0.25">
      <c r="F13739" s="249" t="s">
        <v>257</v>
      </c>
      <c r="G13739" s="252" t="s">
        <v>258</v>
      </c>
      <c r="J13739" s="599">
        <f t="shared" si="415"/>
        <v>0</v>
      </c>
    </row>
    <row r="13740" spans="6:10" ht="30" hidden="1" x14ac:dyDescent="0.25">
      <c r="F13740" s="249" t="s">
        <v>259</v>
      </c>
      <c r="G13740" s="252" t="s">
        <v>260</v>
      </c>
      <c r="J13740" s="599">
        <f t="shared" si="415"/>
        <v>0</v>
      </c>
    </row>
    <row r="13741" spans="6:10" hidden="1" x14ac:dyDescent="0.25">
      <c r="F13741" s="249" t="s">
        <v>261</v>
      </c>
      <c r="G13741" s="252" t="s">
        <v>262</v>
      </c>
      <c r="J13741" s="599">
        <f t="shared" si="415"/>
        <v>0</v>
      </c>
    </row>
    <row r="13742" spans="6:10" ht="15.75" hidden="1" thickBot="1" x14ac:dyDescent="0.3">
      <c r="F13742" s="249" t="s">
        <v>263</v>
      </c>
      <c r="G13742" s="252" t="s">
        <v>264</v>
      </c>
      <c r="H13742" s="598"/>
      <c r="I13742" s="599"/>
      <c r="J13742" s="599">
        <f t="shared" si="415"/>
        <v>0</v>
      </c>
    </row>
    <row r="13743" spans="6:10" ht="15.75" hidden="1" thickBot="1" x14ac:dyDescent="0.3">
      <c r="G13743" s="229" t="s">
        <v>5211</v>
      </c>
      <c r="H13743" s="600">
        <f>SUM(H13727:H13742)</f>
        <v>0</v>
      </c>
      <c r="I13743" s="601">
        <f>SUM(I13728:I13742)</f>
        <v>0</v>
      </c>
      <c r="J13743" s="601">
        <f>SUM(J13727:J13742)</f>
        <v>0</v>
      </c>
    </row>
    <row r="13744" spans="6:10" hidden="1" x14ac:dyDescent="0.25"/>
    <row r="13745" spans="5:10" hidden="1" x14ac:dyDescent="0.25">
      <c r="E13745" s="517"/>
      <c r="F13745" s="528"/>
      <c r="G13745" s="250" t="s">
        <v>4472</v>
      </c>
      <c r="H13745" s="606"/>
      <c r="I13745" s="624"/>
      <c r="J13745" s="607"/>
    </row>
    <row r="13746" spans="5:10" ht="15.75" hidden="1" thickBot="1" x14ac:dyDescent="0.3">
      <c r="E13746" s="222"/>
      <c r="F13746" s="249" t="s">
        <v>234</v>
      </c>
      <c r="G13746" s="252" t="s">
        <v>235</v>
      </c>
      <c r="H13746" s="598">
        <f>SUM(H13727)</f>
        <v>0</v>
      </c>
      <c r="I13746" s="599"/>
      <c r="J13746" s="599">
        <f>SUM(H13746:I13746)</f>
        <v>0</v>
      </c>
    </row>
    <row r="13747" spans="5:10" hidden="1" x14ac:dyDescent="0.25">
      <c r="F13747" s="249" t="s">
        <v>236</v>
      </c>
      <c r="G13747" s="252" t="s">
        <v>237</v>
      </c>
      <c r="J13747" s="599">
        <f t="shared" ref="J13747:J13761" si="416">SUM(H13747:I13747)</f>
        <v>0</v>
      </c>
    </row>
    <row r="13748" spans="5:10" hidden="1" x14ac:dyDescent="0.25">
      <c r="F13748" s="249" t="s">
        <v>238</v>
      </c>
      <c r="G13748" s="252" t="s">
        <v>239</v>
      </c>
      <c r="J13748" s="599">
        <f t="shared" si="416"/>
        <v>0</v>
      </c>
    </row>
    <row r="13749" spans="5:10" hidden="1" x14ac:dyDescent="0.25">
      <c r="F13749" s="249" t="s">
        <v>240</v>
      </c>
      <c r="G13749" s="252" t="s">
        <v>241</v>
      </c>
      <c r="J13749" s="599">
        <f t="shared" si="416"/>
        <v>0</v>
      </c>
    </row>
    <row r="13750" spans="5:10" hidden="1" x14ac:dyDescent="0.25">
      <c r="F13750" s="249" t="s">
        <v>242</v>
      </c>
      <c r="G13750" s="252" t="s">
        <v>243</v>
      </c>
      <c r="J13750" s="599">
        <f t="shared" si="416"/>
        <v>0</v>
      </c>
    </row>
    <row r="13751" spans="5:10" hidden="1" x14ac:dyDescent="0.25">
      <c r="F13751" s="249" t="s">
        <v>244</v>
      </c>
      <c r="G13751" s="252" t="s">
        <v>245</v>
      </c>
      <c r="J13751" s="599">
        <f t="shared" si="416"/>
        <v>0</v>
      </c>
    </row>
    <row r="13752" spans="5:10" hidden="1" x14ac:dyDescent="0.25">
      <c r="F13752" s="249" t="s">
        <v>246</v>
      </c>
      <c r="G13752" s="252" t="s">
        <v>247</v>
      </c>
      <c r="J13752" s="599">
        <f t="shared" si="416"/>
        <v>0</v>
      </c>
    </row>
    <row r="13753" spans="5:10" hidden="1" x14ac:dyDescent="0.25">
      <c r="F13753" s="249" t="s">
        <v>248</v>
      </c>
      <c r="G13753" s="252" t="s">
        <v>249</v>
      </c>
      <c r="J13753" s="599">
        <f t="shared" si="416"/>
        <v>0</v>
      </c>
    </row>
    <row r="13754" spans="5:10" hidden="1" x14ac:dyDescent="0.25">
      <c r="F13754" s="249" t="s">
        <v>250</v>
      </c>
      <c r="G13754" s="252" t="s">
        <v>57</v>
      </c>
      <c r="J13754" s="599">
        <f t="shared" si="416"/>
        <v>0</v>
      </c>
    </row>
    <row r="13755" spans="5:10" hidden="1" x14ac:dyDescent="0.25">
      <c r="F13755" s="249" t="s">
        <v>251</v>
      </c>
      <c r="G13755" s="252" t="s">
        <v>252</v>
      </c>
      <c r="J13755" s="599">
        <f t="shared" si="416"/>
        <v>0</v>
      </c>
    </row>
    <row r="13756" spans="5:10" hidden="1" x14ac:dyDescent="0.25">
      <c r="F13756" s="249" t="s">
        <v>253</v>
      </c>
      <c r="G13756" s="252" t="s">
        <v>254</v>
      </c>
      <c r="J13756" s="599">
        <f t="shared" si="416"/>
        <v>0</v>
      </c>
    </row>
    <row r="13757" spans="5:10" ht="30" hidden="1" x14ac:dyDescent="0.25">
      <c r="F13757" s="249" t="s">
        <v>255</v>
      </c>
      <c r="G13757" s="252" t="s">
        <v>256</v>
      </c>
      <c r="J13757" s="599">
        <f t="shared" si="416"/>
        <v>0</v>
      </c>
    </row>
    <row r="13758" spans="5:10" hidden="1" x14ac:dyDescent="0.25">
      <c r="F13758" s="249" t="s">
        <v>257</v>
      </c>
      <c r="G13758" s="252" t="s">
        <v>258</v>
      </c>
      <c r="J13758" s="599">
        <f t="shared" si="416"/>
        <v>0</v>
      </c>
    </row>
    <row r="13759" spans="5:10" ht="30" hidden="1" x14ac:dyDescent="0.25">
      <c r="F13759" s="249" t="s">
        <v>259</v>
      </c>
      <c r="G13759" s="252" t="s">
        <v>260</v>
      </c>
      <c r="J13759" s="599">
        <f t="shared" si="416"/>
        <v>0</v>
      </c>
    </row>
    <row r="13760" spans="5:10" hidden="1" x14ac:dyDescent="0.25">
      <c r="F13760" s="249" t="s">
        <v>261</v>
      </c>
      <c r="G13760" s="252" t="s">
        <v>262</v>
      </c>
      <c r="J13760" s="599">
        <f t="shared" si="416"/>
        <v>0</v>
      </c>
    </row>
    <row r="13761" spans="3:10" ht="15.75" hidden="1" thickBot="1" x14ac:dyDescent="0.3">
      <c r="F13761" s="249" t="s">
        <v>263</v>
      </c>
      <c r="G13761" s="252" t="s">
        <v>264</v>
      </c>
      <c r="H13761" s="598"/>
      <c r="I13761" s="599"/>
      <c r="J13761" s="599">
        <f t="shared" si="416"/>
        <v>0</v>
      </c>
    </row>
    <row r="13762" spans="3:10" ht="15.75" hidden="1" thickBot="1" x14ac:dyDescent="0.3">
      <c r="G13762" s="229" t="s">
        <v>4473</v>
      </c>
      <c r="H13762" s="600">
        <f>SUM(H13746:H13761)</f>
        <v>0</v>
      </c>
      <c r="I13762" s="601">
        <f>SUM(I13747:I13761)</f>
        <v>0</v>
      </c>
      <c r="J13762" s="601">
        <f>SUM(J13746:J13761)</f>
        <v>0</v>
      </c>
    </row>
    <row r="13763" spans="3:10" x14ac:dyDescent="0.25">
      <c r="G13763" s="286"/>
      <c r="H13763" s="604"/>
      <c r="I13763" s="605"/>
      <c r="J13763" s="605"/>
    </row>
    <row r="13764" spans="3:10" x14ac:dyDescent="0.25">
      <c r="C13764" s="228" t="s">
        <v>5207</v>
      </c>
      <c r="D13764" s="219"/>
      <c r="G13764" s="521" t="s">
        <v>5168</v>
      </c>
    </row>
    <row r="13765" spans="3:10" x14ac:dyDescent="0.25">
      <c r="C13765" s="228"/>
      <c r="D13765" s="312">
        <v>911</v>
      </c>
      <c r="E13765" s="312"/>
      <c r="F13765" s="312"/>
      <c r="G13765" s="313" t="s">
        <v>4357</v>
      </c>
    </row>
    <row r="13766" spans="3:10" hidden="1" x14ac:dyDescent="0.25">
      <c r="F13766" s="527">
        <v>411</v>
      </c>
      <c r="G13766" s="520" t="s">
        <v>4189</v>
      </c>
    </row>
    <row r="13767" spans="3:10" hidden="1" x14ac:dyDescent="0.25">
      <c r="F13767" s="527">
        <v>412</v>
      </c>
      <c r="G13767" s="516" t="s">
        <v>3784</v>
      </c>
      <c r="J13767" s="595">
        <f t="shared" ref="J13767:J13810" si="417">SUM(H13767:I13767)</f>
        <v>0</v>
      </c>
    </row>
    <row r="13768" spans="3:10" hidden="1" x14ac:dyDescent="0.25">
      <c r="F13768" s="527">
        <v>413</v>
      </c>
      <c r="G13768" s="520" t="s">
        <v>4190</v>
      </c>
      <c r="J13768" s="595">
        <f t="shared" si="417"/>
        <v>0</v>
      </c>
    </row>
    <row r="13769" spans="3:10" hidden="1" x14ac:dyDescent="0.25">
      <c r="F13769" s="527">
        <v>414</v>
      </c>
      <c r="G13769" s="520" t="s">
        <v>3787</v>
      </c>
      <c r="J13769" s="595">
        <f t="shared" si="417"/>
        <v>0</v>
      </c>
    </row>
    <row r="13770" spans="3:10" hidden="1" x14ac:dyDescent="0.25">
      <c r="F13770" s="527">
        <v>415</v>
      </c>
      <c r="G13770" s="520" t="s">
        <v>4199</v>
      </c>
      <c r="J13770" s="595">
        <f t="shared" si="417"/>
        <v>0</v>
      </c>
    </row>
    <row r="13771" spans="3:10" hidden="1" x14ac:dyDescent="0.25">
      <c r="F13771" s="527">
        <v>416</v>
      </c>
      <c r="G13771" s="520" t="s">
        <v>4200</v>
      </c>
      <c r="J13771" s="595">
        <f t="shared" si="417"/>
        <v>0</v>
      </c>
    </row>
    <row r="13772" spans="3:10" hidden="1" x14ac:dyDescent="0.25">
      <c r="F13772" s="527">
        <v>417</v>
      </c>
      <c r="G13772" s="520" t="s">
        <v>4201</v>
      </c>
      <c r="J13772" s="595">
        <f t="shared" si="417"/>
        <v>0</v>
      </c>
    </row>
    <row r="13773" spans="3:10" hidden="1" x14ac:dyDescent="0.25">
      <c r="F13773" s="527">
        <v>418</v>
      </c>
      <c r="G13773" s="520" t="s">
        <v>3793</v>
      </c>
      <c r="J13773" s="595">
        <f t="shared" si="417"/>
        <v>0</v>
      </c>
    </row>
    <row r="13774" spans="3:10" hidden="1" x14ac:dyDescent="0.25">
      <c r="F13774" s="527">
        <v>421</v>
      </c>
      <c r="G13774" s="520" t="s">
        <v>3797</v>
      </c>
      <c r="J13774" s="595">
        <f t="shared" si="417"/>
        <v>0</v>
      </c>
    </row>
    <row r="13775" spans="3:10" hidden="1" x14ac:dyDescent="0.25">
      <c r="F13775" s="527">
        <v>422</v>
      </c>
      <c r="G13775" s="520" t="s">
        <v>3798</v>
      </c>
      <c r="J13775" s="595">
        <f t="shared" si="417"/>
        <v>0</v>
      </c>
    </row>
    <row r="13776" spans="3:10" hidden="1" x14ac:dyDescent="0.25">
      <c r="F13776" s="527">
        <v>423</v>
      </c>
      <c r="G13776" s="520" t="s">
        <v>3799</v>
      </c>
      <c r="J13776" s="595">
        <f t="shared" si="417"/>
        <v>0</v>
      </c>
    </row>
    <row r="13777" spans="6:10" hidden="1" x14ac:dyDescent="0.25">
      <c r="F13777" s="527">
        <v>424</v>
      </c>
      <c r="G13777" s="520" t="s">
        <v>3801</v>
      </c>
      <c r="J13777" s="595">
        <f t="shared" si="417"/>
        <v>0</v>
      </c>
    </row>
    <row r="13778" spans="6:10" hidden="1" x14ac:dyDescent="0.25">
      <c r="F13778" s="527">
        <v>425</v>
      </c>
      <c r="G13778" s="520" t="s">
        <v>4202</v>
      </c>
      <c r="J13778" s="595">
        <f t="shared" si="417"/>
        <v>0</v>
      </c>
    </row>
    <row r="13779" spans="6:10" hidden="1" x14ac:dyDescent="0.25">
      <c r="F13779" s="527">
        <v>426</v>
      </c>
      <c r="G13779" s="520" t="s">
        <v>3805</v>
      </c>
      <c r="J13779" s="595">
        <f t="shared" si="417"/>
        <v>0</v>
      </c>
    </row>
    <row r="13780" spans="6:10" hidden="1" x14ac:dyDescent="0.25">
      <c r="F13780" s="527">
        <v>431</v>
      </c>
      <c r="G13780" s="520" t="s">
        <v>4203</v>
      </c>
      <c r="J13780" s="595">
        <f t="shared" si="417"/>
        <v>0</v>
      </c>
    </row>
    <row r="13781" spans="6:10" hidden="1" x14ac:dyDescent="0.25">
      <c r="F13781" s="527">
        <v>432</v>
      </c>
      <c r="G13781" s="520" t="s">
        <v>4204</v>
      </c>
      <c r="J13781" s="595">
        <f t="shared" si="417"/>
        <v>0</v>
      </c>
    </row>
    <row r="13782" spans="6:10" hidden="1" x14ac:dyDescent="0.25">
      <c r="F13782" s="527">
        <v>433</v>
      </c>
      <c r="G13782" s="520" t="s">
        <v>4205</v>
      </c>
      <c r="J13782" s="595">
        <f t="shared" si="417"/>
        <v>0</v>
      </c>
    </row>
    <row r="13783" spans="6:10" hidden="1" x14ac:dyDescent="0.25">
      <c r="F13783" s="527">
        <v>434</v>
      </c>
      <c r="G13783" s="520" t="s">
        <v>4206</v>
      </c>
      <c r="J13783" s="595">
        <f t="shared" si="417"/>
        <v>0</v>
      </c>
    </row>
    <row r="13784" spans="6:10" hidden="1" x14ac:dyDescent="0.25">
      <c r="F13784" s="527">
        <v>435</v>
      </c>
      <c r="G13784" s="520" t="s">
        <v>3812</v>
      </c>
      <c r="J13784" s="595">
        <f t="shared" si="417"/>
        <v>0</v>
      </c>
    </row>
    <row r="13785" spans="6:10" hidden="1" x14ac:dyDescent="0.25">
      <c r="F13785" s="527">
        <v>441</v>
      </c>
      <c r="G13785" s="520" t="s">
        <v>4207</v>
      </c>
      <c r="J13785" s="595">
        <f t="shared" si="417"/>
        <v>0</v>
      </c>
    </row>
    <row r="13786" spans="6:10" hidden="1" x14ac:dyDescent="0.25">
      <c r="F13786" s="527">
        <v>442</v>
      </c>
      <c r="G13786" s="520" t="s">
        <v>4208</v>
      </c>
      <c r="J13786" s="595">
        <f t="shared" si="417"/>
        <v>0</v>
      </c>
    </row>
    <row r="13787" spans="6:10" hidden="1" x14ac:dyDescent="0.25">
      <c r="F13787" s="527">
        <v>443</v>
      </c>
      <c r="G13787" s="520" t="s">
        <v>3817</v>
      </c>
      <c r="J13787" s="595">
        <f t="shared" si="417"/>
        <v>0</v>
      </c>
    </row>
    <row r="13788" spans="6:10" hidden="1" x14ac:dyDescent="0.25">
      <c r="F13788" s="527">
        <v>444</v>
      </c>
      <c r="G13788" s="520" t="s">
        <v>3818</v>
      </c>
      <c r="J13788" s="595">
        <f t="shared" si="417"/>
        <v>0</v>
      </c>
    </row>
    <row r="13789" spans="6:10" ht="30" hidden="1" x14ac:dyDescent="0.25">
      <c r="F13789" s="527">
        <v>4511</v>
      </c>
      <c r="G13789" s="223" t="s">
        <v>1692</v>
      </c>
      <c r="J13789" s="595">
        <f t="shared" si="417"/>
        <v>0</v>
      </c>
    </row>
    <row r="13790" spans="6:10" ht="30" hidden="1" x14ac:dyDescent="0.25">
      <c r="F13790" s="527">
        <v>4512</v>
      </c>
      <c r="G13790" s="223" t="s">
        <v>1701</v>
      </c>
      <c r="J13790" s="595">
        <f t="shared" si="417"/>
        <v>0</v>
      </c>
    </row>
    <row r="13791" spans="6:10" hidden="1" x14ac:dyDescent="0.25">
      <c r="F13791" s="527">
        <v>452</v>
      </c>
      <c r="G13791" s="520" t="s">
        <v>4209</v>
      </c>
      <c r="J13791" s="595">
        <f t="shared" si="417"/>
        <v>0</v>
      </c>
    </row>
    <row r="13792" spans="6:10" hidden="1" x14ac:dyDescent="0.25">
      <c r="F13792" s="527">
        <v>453</v>
      </c>
      <c r="G13792" s="520" t="s">
        <v>4210</v>
      </c>
      <c r="J13792" s="595">
        <f t="shared" si="417"/>
        <v>0</v>
      </c>
    </row>
    <row r="13793" spans="6:10" hidden="1" x14ac:dyDescent="0.25">
      <c r="F13793" s="527">
        <v>454</v>
      </c>
      <c r="G13793" s="520" t="s">
        <v>3823</v>
      </c>
      <c r="J13793" s="595">
        <f t="shared" si="417"/>
        <v>0</v>
      </c>
    </row>
    <row r="13794" spans="6:10" hidden="1" x14ac:dyDescent="0.25">
      <c r="F13794" s="527">
        <v>461</v>
      </c>
      <c r="G13794" s="520" t="s">
        <v>4191</v>
      </c>
      <c r="J13794" s="595">
        <f t="shared" si="417"/>
        <v>0</v>
      </c>
    </row>
    <row r="13795" spans="6:10" hidden="1" x14ac:dyDescent="0.25">
      <c r="F13795" s="527">
        <v>462</v>
      </c>
      <c r="G13795" s="520" t="s">
        <v>3826</v>
      </c>
      <c r="J13795" s="595">
        <f t="shared" si="417"/>
        <v>0</v>
      </c>
    </row>
    <row r="13796" spans="6:10" hidden="1" x14ac:dyDescent="0.25">
      <c r="F13796" s="527">
        <v>4631</v>
      </c>
      <c r="G13796" s="520" t="s">
        <v>3827</v>
      </c>
      <c r="J13796" s="595">
        <f t="shared" si="417"/>
        <v>0</v>
      </c>
    </row>
    <row r="13797" spans="6:10" hidden="1" x14ac:dyDescent="0.25">
      <c r="F13797" s="527">
        <v>4632</v>
      </c>
      <c r="G13797" s="520" t="s">
        <v>3828</v>
      </c>
      <c r="J13797" s="595">
        <f t="shared" si="417"/>
        <v>0</v>
      </c>
    </row>
    <row r="13798" spans="6:10" hidden="1" x14ac:dyDescent="0.25">
      <c r="F13798" s="527">
        <v>464</v>
      </c>
      <c r="G13798" s="520" t="s">
        <v>3829</v>
      </c>
      <c r="J13798" s="595">
        <f t="shared" si="417"/>
        <v>0</v>
      </c>
    </row>
    <row r="13799" spans="6:10" hidden="1" x14ac:dyDescent="0.25">
      <c r="F13799" s="527">
        <v>465</v>
      </c>
      <c r="G13799" s="520" t="s">
        <v>4192</v>
      </c>
      <c r="J13799" s="595">
        <f t="shared" si="417"/>
        <v>0</v>
      </c>
    </row>
    <row r="13800" spans="6:10" hidden="1" x14ac:dyDescent="0.25">
      <c r="F13800" s="527">
        <v>472</v>
      </c>
      <c r="G13800" s="520" t="s">
        <v>3833</v>
      </c>
      <c r="J13800" s="595">
        <f t="shared" si="417"/>
        <v>0</v>
      </c>
    </row>
    <row r="13801" spans="6:10" hidden="1" x14ac:dyDescent="0.25">
      <c r="F13801" s="527">
        <v>481</v>
      </c>
      <c r="G13801" s="520" t="s">
        <v>4211</v>
      </c>
      <c r="J13801" s="595">
        <f t="shared" si="417"/>
        <v>0</v>
      </c>
    </row>
    <row r="13802" spans="6:10" hidden="1" x14ac:dyDescent="0.25">
      <c r="F13802" s="527">
        <v>482</v>
      </c>
      <c r="G13802" s="520" t="s">
        <v>4212</v>
      </c>
      <c r="J13802" s="595">
        <f t="shared" si="417"/>
        <v>0</v>
      </c>
    </row>
    <row r="13803" spans="6:10" hidden="1" x14ac:dyDescent="0.25">
      <c r="F13803" s="527">
        <v>483</v>
      </c>
      <c r="G13803" s="524" t="s">
        <v>4213</v>
      </c>
      <c r="J13803" s="595">
        <f t="shared" si="417"/>
        <v>0</v>
      </c>
    </row>
    <row r="13804" spans="6:10" ht="30" hidden="1" x14ac:dyDescent="0.25">
      <c r="F13804" s="527">
        <v>484</v>
      </c>
      <c r="G13804" s="520" t="s">
        <v>4214</v>
      </c>
      <c r="J13804" s="595">
        <f t="shared" si="417"/>
        <v>0</v>
      </c>
    </row>
    <row r="13805" spans="6:10" ht="30" hidden="1" x14ac:dyDescent="0.25">
      <c r="F13805" s="527">
        <v>485</v>
      </c>
      <c r="G13805" s="520" t="s">
        <v>4215</v>
      </c>
      <c r="J13805" s="595">
        <f t="shared" si="417"/>
        <v>0</v>
      </c>
    </row>
    <row r="13806" spans="6:10" ht="30" hidden="1" x14ac:dyDescent="0.25">
      <c r="F13806" s="527">
        <v>489</v>
      </c>
      <c r="G13806" s="520" t="s">
        <v>3841</v>
      </c>
      <c r="J13806" s="595">
        <f t="shared" si="417"/>
        <v>0</v>
      </c>
    </row>
    <row r="13807" spans="6:10" hidden="1" x14ac:dyDescent="0.25">
      <c r="F13807" s="527">
        <v>494</v>
      </c>
      <c r="G13807" s="520" t="s">
        <v>4193</v>
      </c>
      <c r="J13807" s="595">
        <f t="shared" si="417"/>
        <v>0</v>
      </c>
    </row>
    <row r="13808" spans="6:10" ht="30" hidden="1" x14ac:dyDescent="0.25">
      <c r="F13808" s="527">
        <v>495</v>
      </c>
      <c r="G13808" s="520" t="s">
        <v>4194</v>
      </c>
      <c r="J13808" s="595">
        <f t="shared" si="417"/>
        <v>0</v>
      </c>
    </row>
    <row r="13809" spans="5:10" ht="30" hidden="1" x14ac:dyDescent="0.25">
      <c r="F13809" s="527">
        <v>496</v>
      </c>
      <c r="G13809" s="520" t="s">
        <v>4195</v>
      </c>
      <c r="J13809" s="595">
        <f t="shared" si="417"/>
        <v>0</v>
      </c>
    </row>
    <row r="13810" spans="5:10" hidden="1" x14ac:dyDescent="0.25">
      <c r="F13810" s="527">
        <v>499</v>
      </c>
      <c r="G13810" s="520" t="s">
        <v>4196</v>
      </c>
      <c r="J13810" s="595">
        <f t="shared" si="417"/>
        <v>0</v>
      </c>
    </row>
    <row r="13811" spans="5:10" ht="15.75" thickBot="1" x14ac:dyDescent="0.3">
      <c r="E13811" s="218">
        <v>133</v>
      </c>
      <c r="F13811" s="527">
        <v>511</v>
      </c>
      <c r="G13811" s="524" t="s">
        <v>4216</v>
      </c>
      <c r="I13811" s="595">
        <v>280000</v>
      </c>
      <c r="J13811" s="595">
        <f>SUM(H13811:I13811)</f>
        <v>280000</v>
      </c>
    </row>
    <row r="13812" spans="5:10" hidden="1" x14ac:dyDescent="0.25">
      <c r="F13812" s="527">
        <v>512</v>
      </c>
      <c r="G13812" s="524" t="s">
        <v>4217</v>
      </c>
      <c r="J13812" s="595">
        <f t="shared" ref="J13812:J13824" si="418">SUM(H13812:I13812)</f>
        <v>0</v>
      </c>
    </row>
    <row r="13813" spans="5:10" hidden="1" x14ac:dyDescent="0.25">
      <c r="F13813" s="527">
        <v>513</v>
      </c>
      <c r="G13813" s="524" t="s">
        <v>4218</v>
      </c>
      <c r="J13813" s="595">
        <f t="shared" si="418"/>
        <v>0</v>
      </c>
    </row>
    <row r="13814" spans="5:10" hidden="1" x14ac:dyDescent="0.25">
      <c r="F13814" s="527">
        <v>514</v>
      </c>
      <c r="G13814" s="520" t="s">
        <v>4219</v>
      </c>
      <c r="J13814" s="595">
        <f t="shared" si="418"/>
        <v>0</v>
      </c>
    </row>
    <row r="13815" spans="5:10" hidden="1" x14ac:dyDescent="0.25">
      <c r="F13815" s="527">
        <v>515</v>
      </c>
      <c r="G13815" s="520" t="s">
        <v>3852</v>
      </c>
      <c r="J13815" s="595">
        <f t="shared" si="418"/>
        <v>0</v>
      </c>
    </row>
    <row r="13816" spans="5:10" hidden="1" x14ac:dyDescent="0.25">
      <c r="F13816" s="527">
        <v>521</v>
      </c>
      <c r="G13816" s="520" t="s">
        <v>4220</v>
      </c>
      <c r="J13816" s="595">
        <f t="shared" si="418"/>
        <v>0</v>
      </c>
    </row>
    <row r="13817" spans="5:10" hidden="1" x14ac:dyDescent="0.25">
      <c r="F13817" s="527">
        <v>522</v>
      </c>
      <c r="G13817" s="520" t="s">
        <v>4221</v>
      </c>
      <c r="J13817" s="595">
        <f t="shared" si="418"/>
        <v>0</v>
      </c>
    </row>
    <row r="13818" spans="5:10" hidden="1" x14ac:dyDescent="0.25">
      <c r="F13818" s="527">
        <v>523</v>
      </c>
      <c r="G13818" s="520" t="s">
        <v>3857</v>
      </c>
      <c r="J13818" s="595">
        <f t="shared" si="418"/>
        <v>0</v>
      </c>
    </row>
    <row r="13819" spans="5:10" hidden="1" x14ac:dyDescent="0.25">
      <c r="F13819" s="527">
        <v>531</v>
      </c>
      <c r="G13819" s="516" t="s">
        <v>4197</v>
      </c>
      <c r="J13819" s="595">
        <f t="shared" si="418"/>
        <v>0</v>
      </c>
    </row>
    <row r="13820" spans="5:10" hidden="1" x14ac:dyDescent="0.25">
      <c r="F13820" s="527">
        <v>541</v>
      </c>
      <c r="G13820" s="520" t="s">
        <v>4222</v>
      </c>
      <c r="J13820" s="595">
        <f t="shared" si="418"/>
        <v>0</v>
      </c>
    </row>
    <row r="13821" spans="5:10" hidden="1" x14ac:dyDescent="0.25">
      <c r="F13821" s="527">
        <v>542</v>
      </c>
      <c r="G13821" s="520" t="s">
        <v>4223</v>
      </c>
      <c r="J13821" s="595">
        <f t="shared" si="418"/>
        <v>0</v>
      </c>
    </row>
    <row r="13822" spans="5:10" hidden="1" x14ac:dyDescent="0.25">
      <c r="F13822" s="527">
        <v>543</v>
      </c>
      <c r="G13822" s="520" t="s">
        <v>3862</v>
      </c>
      <c r="J13822" s="595">
        <f t="shared" si="418"/>
        <v>0</v>
      </c>
    </row>
    <row r="13823" spans="5:10" ht="30" hidden="1" x14ac:dyDescent="0.25">
      <c r="F13823" s="527">
        <v>551</v>
      </c>
      <c r="G13823" s="520" t="s">
        <v>4198</v>
      </c>
      <c r="J13823" s="595">
        <f t="shared" si="418"/>
        <v>0</v>
      </c>
    </row>
    <row r="13824" spans="5:10" hidden="1" x14ac:dyDescent="0.25">
      <c r="F13824" s="528">
        <v>611</v>
      </c>
      <c r="G13824" s="526" t="s">
        <v>3868</v>
      </c>
      <c r="J13824" s="595">
        <f t="shared" si="418"/>
        <v>0</v>
      </c>
    </row>
    <row r="13825" spans="5:10" ht="15.75" hidden="1" thickBot="1" x14ac:dyDescent="0.3">
      <c r="F13825" s="528">
        <v>620</v>
      </c>
      <c r="G13825" s="526" t="s">
        <v>88</v>
      </c>
      <c r="J13825" s="595">
        <f>SUM(H13825:I13825)</f>
        <v>0</v>
      </c>
    </row>
    <row r="13826" spans="5:10" x14ac:dyDescent="0.25">
      <c r="E13826" s="517"/>
      <c r="F13826" s="528"/>
      <c r="G13826" s="326" t="s">
        <v>4468</v>
      </c>
      <c r="H13826" s="596"/>
      <c r="I13826" s="622"/>
      <c r="J13826" s="597"/>
    </row>
    <row r="13827" spans="5:10" hidden="1" x14ac:dyDescent="0.25">
      <c r="E13827" s="222"/>
      <c r="F13827" s="642" t="s">
        <v>234</v>
      </c>
      <c r="G13827" s="643" t="s">
        <v>235</v>
      </c>
      <c r="H13827" s="598">
        <f>SUM(H13811)</f>
        <v>0</v>
      </c>
      <c r="I13827" s="599"/>
      <c r="J13827" s="599">
        <f>SUM(H13827:I13827)</f>
        <v>0</v>
      </c>
    </row>
    <row r="13828" spans="5:10" hidden="1" x14ac:dyDescent="0.25">
      <c r="F13828" s="642" t="s">
        <v>236</v>
      </c>
      <c r="G13828" s="643" t="s">
        <v>237</v>
      </c>
      <c r="J13828" s="599">
        <f t="shared" ref="J13828:J13842" si="419">SUM(H13828:I13828)</f>
        <v>0</v>
      </c>
    </row>
    <row r="13829" spans="5:10" hidden="1" x14ac:dyDescent="0.25">
      <c r="F13829" s="642" t="s">
        <v>238</v>
      </c>
      <c r="G13829" s="643" t="s">
        <v>239</v>
      </c>
      <c r="J13829" s="599">
        <f t="shared" si="419"/>
        <v>0</v>
      </c>
    </row>
    <row r="13830" spans="5:10" x14ac:dyDescent="0.25">
      <c r="F13830" s="642" t="s">
        <v>240</v>
      </c>
      <c r="G13830" s="643" t="s">
        <v>241</v>
      </c>
      <c r="I13830" s="595">
        <v>80000</v>
      </c>
      <c r="J13830" s="599">
        <f t="shared" si="419"/>
        <v>80000</v>
      </c>
    </row>
    <row r="13831" spans="5:10" hidden="1" x14ac:dyDescent="0.25">
      <c r="F13831" s="642" t="s">
        <v>242</v>
      </c>
      <c r="G13831" s="643" t="s">
        <v>243</v>
      </c>
      <c r="J13831" s="599">
        <f t="shared" si="419"/>
        <v>0</v>
      </c>
    </row>
    <row r="13832" spans="5:10" hidden="1" x14ac:dyDescent="0.25">
      <c r="F13832" s="642" t="s">
        <v>244</v>
      </c>
      <c r="G13832" s="643" t="s">
        <v>245</v>
      </c>
      <c r="J13832" s="599">
        <f t="shared" si="419"/>
        <v>0</v>
      </c>
    </row>
    <row r="13833" spans="5:10" ht="15.75" thickBot="1" x14ac:dyDescent="0.3">
      <c r="F13833" s="642" t="s">
        <v>246</v>
      </c>
      <c r="G13833" s="643" t="s">
        <v>247</v>
      </c>
      <c r="I13833" s="595">
        <v>200000</v>
      </c>
      <c r="J13833" s="599">
        <f t="shared" si="419"/>
        <v>200000</v>
      </c>
    </row>
    <row r="13834" spans="5:10" hidden="1" x14ac:dyDescent="0.25">
      <c r="F13834" s="642" t="s">
        <v>248</v>
      </c>
      <c r="G13834" s="643" t="s">
        <v>249</v>
      </c>
      <c r="J13834" s="599">
        <f t="shared" si="419"/>
        <v>0</v>
      </c>
    </row>
    <row r="13835" spans="5:10" hidden="1" x14ac:dyDescent="0.25">
      <c r="F13835" s="642" t="s">
        <v>250</v>
      </c>
      <c r="G13835" s="643" t="s">
        <v>57</v>
      </c>
      <c r="J13835" s="599">
        <f t="shared" si="419"/>
        <v>0</v>
      </c>
    </row>
    <row r="13836" spans="5:10" hidden="1" x14ac:dyDescent="0.25">
      <c r="F13836" s="642" t="s">
        <v>251</v>
      </c>
      <c r="G13836" s="643" t="s">
        <v>252</v>
      </c>
      <c r="J13836" s="599">
        <f t="shared" si="419"/>
        <v>0</v>
      </c>
    </row>
    <row r="13837" spans="5:10" hidden="1" x14ac:dyDescent="0.25">
      <c r="F13837" s="642" t="s">
        <v>253</v>
      </c>
      <c r="G13837" s="643" t="s">
        <v>254</v>
      </c>
      <c r="J13837" s="599">
        <f t="shared" si="419"/>
        <v>0</v>
      </c>
    </row>
    <row r="13838" spans="5:10" ht="30" hidden="1" x14ac:dyDescent="0.25">
      <c r="F13838" s="642" t="s">
        <v>255</v>
      </c>
      <c r="G13838" s="643" t="s">
        <v>256</v>
      </c>
      <c r="J13838" s="599">
        <f t="shared" si="419"/>
        <v>0</v>
      </c>
    </row>
    <row r="13839" spans="5:10" hidden="1" x14ac:dyDescent="0.25">
      <c r="F13839" s="642" t="s">
        <v>257</v>
      </c>
      <c r="G13839" s="643" t="s">
        <v>258</v>
      </c>
      <c r="J13839" s="599">
        <f t="shared" si="419"/>
        <v>0</v>
      </c>
    </row>
    <row r="13840" spans="5:10" ht="30" hidden="1" x14ac:dyDescent="0.25">
      <c r="F13840" s="642" t="s">
        <v>259</v>
      </c>
      <c r="G13840" s="643" t="s">
        <v>260</v>
      </c>
      <c r="J13840" s="599">
        <f t="shared" si="419"/>
        <v>0</v>
      </c>
    </row>
    <row r="13841" spans="5:10" hidden="1" x14ac:dyDescent="0.25">
      <c r="F13841" s="642" t="s">
        <v>261</v>
      </c>
      <c r="G13841" s="643" t="s">
        <v>262</v>
      </c>
      <c r="J13841" s="599">
        <f t="shared" si="419"/>
        <v>0</v>
      </c>
    </row>
    <row r="13842" spans="5:10" ht="15.75" hidden="1" thickBot="1" x14ac:dyDescent="0.3">
      <c r="F13842" s="642" t="s">
        <v>263</v>
      </c>
      <c r="G13842" s="643" t="s">
        <v>264</v>
      </c>
      <c r="H13842" s="598"/>
      <c r="I13842" s="599"/>
      <c r="J13842" s="599">
        <f t="shared" si="419"/>
        <v>0</v>
      </c>
    </row>
    <row r="13843" spans="5:10" ht="15.75" thickBot="1" x14ac:dyDescent="0.3">
      <c r="G13843" s="229" t="s">
        <v>4469</v>
      </c>
      <c r="H13843" s="600">
        <f>SUM(H13827:H13842)</f>
        <v>0</v>
      </c>
      <c r="I13843" s="601">
        <f>SUM(I13828:I13842)</f>
        <v>280000</v>
      </c>
      <c r="J13843" s="601">
        <f>SUM(J13827:J13842)</f>
        <v>280000</v>
      </c>
    </row>
    <row r="13844" spans="5:10" x14ac:dyDescent="0.25">
      <c r="E13844" s="517"/>
      <c r="F13844" s="528"/>
      <c r="G13844" s="231" t="s">
        <v>5208</v>
      </c>
      <c r="H13844" s="602"/>
      <c r="I13844" s="623"/>
      <c r="J13844" s="603"/>
    </row>
    <row r="13845" spans="5:10" hidden="1" x14ac:dyDescent="0.25">
      <c r="E13845" s="222"/>
      <c r="F13845" s="642" t="s">
        <v>234</v>
      </c>
      <c r="G13845" s="643" t="s">
        <v>235</v>
      </c>
      <c r="H13845" s="598">
        <f>SUM(H13767:H13825)</f>
        <v>0</v>
      </c>
      <c r="I13845" s="599"/>
      <c r="J13845" s="599">
        <f>SUM(H13845:I13845)</f>
        <v>0</v>
      </c>
    </row>
    <row r="13846" spans="5:10" hidden="1" x14ac:dyDescent="0.25">
      <c r="F13846" s="642" t="s">
        <v>236</v>
      </c>
      <c r="G13846" s="643" t="s">
        <v>237</v>
      </c>
      <c r="J13846" s="599">
        <f t="shared" ref="J13846:J13860" si="420">SUM(H13846:I13846)</f>
        <v>0</v>
      </c>
    </row>
    <row r="13847" spans="5:10" hidden="1" x14ac:dyDescent="0.25">
      <c r="F13847" s="642" t="s">
        <v>238</v>
      </c>
      <c r="G13847" s="643" t="s">
        <v>239</v>
      </c>
      <c r="J13847" s="599">
        <f t="shared" si="420"/>
        <v>0</v>
      </c>
    </row>
    <row r="13848" spans="5:10" x14ac:dyDescent="0.25">
      <c r="F13848" s="642" t="s">
        <v>240</v>
      </c>
      <c r="G13848" s="643" t="s">
        <v>241</v>
      </c>
      <c r="I13848" s="595">
        <v>80000</v>
      </c>
      <c r="J13848" s="599">
        <f t="shared" si="420"/>
        <v>80000</v>
      </c>
    </row>
    <row r="13849" spans="5:10" hidden="1" x14ac:dyDescent="0.25">
      <c r="F13849" s="642" t="s">
        <v>242</v>
      </c>
      <c r="G13849" s="643" t="s">
        <v>243</v>
      </c>
      <c r="J13849" s="599">
        <f t="shared" si="420"/>
        <v>0</v>
      </c>
    </row>
    <row r="13850" spans="5:10" hidden="1" x14ac:dyDescent="0.25">
      <c r="F13850" s="642" t="s">
        <v>244</v>
      </c>
      <c r="G13850" s="643" t="s">
        <v>245</v>
      </c>
      <c r="J13850" s="599">
        <f t="shared" si="420"/>
        <v>0</v>
      </c>
    </row>
    <row r="13851" spans="5:10" ht="15.75" thickBot="1" x14ac:dyDescent="0.3">
      <c r="F13851" s="642" t="s">
        <v>246</v>
      </c>
      <c r="G13851" s="643" t="s">
        <v>247</v>
      </c>
      <c r="I13851" s="595">
        <v>200000</v>
      </c>
      <c r="J13851" s="599">
        <f t="shared" si="420"/>
        <v>200000</v>
      </c>
    </row>
    <row r="13852" spans="5:10" hidden="1" x14ac:dyDescent="0.25">
      <c r="F13852" s="642" t="s">
        <v>248</v>
      </c>
      <c r="G13852" s="643" t="s">
        <v>249</v>
      </c>
      <c r="J13852" s="599">
        <f t="shared" si="420"/>
        <v>0</v>
      </c>
    </row>
    <row r="13853" spans="5:10" hidden="1" x14ac:dyDescent="0.25">
      <c r="F13853" s="642" t="s">
        <v>250</v>
      </c>
      <c r="G13853" s="643" t="s">
        <v>57</v>
      </c>
      <c r="J13853" s="599">
        <f t="shared" si="420"/>
        <v>0</v>
      </c>
    </row>
    <row r="13854" spans="5:10" hidden="1" x14ac:dyDescent="0.25">
      <c r="F13854" s="642" t="s">
        <v>251</v>
      </c>
      <c r="G13854" s="643" t="s">
        <v>252</v>
      </c>
      <c r="J13854" s="599">
        <f t="shared" si="420"/>
        <v>0</v>
      </c>
    </row>
    <row r="13855" spans="5:10" hidden="1" x14ac:dyDescent="0.25">
      <c r="F13855" s="642" t="s">
        <v>253</v>
      </c>
      <c r="G13855" s="643" t="s">
        <v>254</v>
      </c>
      <c r="J13855" s="599">
        <f t="shared" si="420"/>
        <v>0</v>
      </c>
    </row>
    <row r="13856" spans="5:10" ht="30" hidden="1" x14ac:dyDescent="0.25">
      <c r="F13856" s="642" t="s">
        <v>255</v>
      </c>
      <c r="G13856" s="643" t="s">
        <v>256</v>
      </c>
      <c r="J13856" s="599">
        <f t="shared" si="420"/>
        <v>0</v>
      </c>
    </row>
    <row r="13857" spans="3:10" hidden="1" x14ac:dyDescent="0.25">
      <c r="F13857" s="642" t="s">
        <v>257</v>
      </c>
      <c r="G13857" s="643" t="s">
        <v>258</v>
      </c>
      <c r="J13857" s="599">
        <f t="shared" si="420"/>
        <v>0</v>
      </c>
    </row>
    <row r="13858" spans="3:10" ht="30" hidden="1" x14ac:dyDescent="0.25">
      <c r="F13858" s="642" t="s">
        <v>259</v>
      </c>
      <c r="G13858" s="643" t="s">
        <v>260</v>
      </c>
      <c r="J13858" s="599">
        <f t="shared" si="420"/>
        <v>0</v>
      </c>
    </row>
    <row r="13859" spans="3:10" hidden="1" x14ac:dyDescent="0.25">
      <c r="F13859" s="642" t="s">
        <v>261</v>
      </c>
      <c r="G13859" s="643" t="s">
        <v>262</v>
      </c>
      <c r="J13859" s="599">
        <f t="shared" si="420"/>
        <v>0</v>
      </c>
    </row>
    <row r="13860" spans="3:10" ht="15.75" hidden="1" thickBot="1" x14ac:dyDescent="0.3">
      <c r="F13860" s="642" t="s">
        <v>263</v>
      </c>
      <c r="G13860" s="643" t="s">
        <v>264</v>
      </c>
      <c r="H13860" s="598"/>
      <c r="I13860" s="599"/>
      <c r="J13860" s="599">
        <f t="shared" si="420"/>
        <v>0</v>
      </c>
    </row>
    <row r="13861" spans="3:10" ht="15.75" thickBot="1" x14ac:dyDescent="0.3">
      <c r="G13861" s="229" t="s">
        <v>5209</v>
      </c>
      <c r="H13861" s="600">
        <f>SUM(H13845:H13860)</f>
        <v>0</v>
      </c>
      <c r="I13861" s="601">
        <f>SUM(I13848:I13851)</f>
        <v>280000</v>
      </c>
      <c r="J13861" s="601">
        <f>SUM(J13845:J13860)</f>
        <v>280000</v>
      </c>
    </row>
    <row r="13862" spans="3:10" x14ac:dyDescent="0.25">
      <c r="C13862" s="515"/>
      <c r="D13862" s="266"/>
      <c r="E13862" s="266"/>
      <c r="F13862" s="266"/>
      <c r="G13862" s="525"/>
      <c r="H13862" s="619"/>
      <c r="I13862" s="610"/>
      <c r="J13862" s="610"/>
    </row>
    <row r="13863" spans="3:10" x14ac:dyDescent="0.25">
      <c r="E13863" s="517"/>
      <c r="F13863" s="528"/>
      <c r="G13863" s="250" t="s">
        <v>5210</v>
      </c>
      <c r="H13863" s="606"/>
      <c r="I13863" s="624"/>
      <c r="J13863" s="607"/>
    </row>
    <row r="13864" spans="3:10" x14ac:dyDescent="0.25">
      <c r="E13864" s="222"/>
      <c r="F13864" s="642" t="s">
        <v>234</v>
      </c>
      <c r="G13864" s="643" t="s">
        <v>235</v>
      </c>
      <c r="H13864" s="598">
        <f>SUM(H13861,H13724,H13625)</f>
        <v>21499000</v>
      </c>
      <c r="I13864" s="599"/>
      <c r="J13864" s="599">
        <f>SUM(H13864:I13864)</f>
        <v>21499000</v>
      </c>
    </row>
    <row r="13865" spans="3:10" hidden="1" x14ac:dyDescent="0.25">
      <c r="F13865" s="642" t="s">
        <v>236</v>
      </c>
      <c r="G13865" s="643" t="s">
        <v>237</v>
      </c>
      <c r="J13865" s="599">
        <f t="shared" ref="J13865:J13879" si="421">SUM(H13865:I13865)</f>
        <v>0</v>
      </c>
    </row>
    <row r="13866" spans="3:10" hidden="1" x14ac:dyDescent="0.25">
      <c r="F13866" s="642" t="s">
        <v>238</v>
      </c>
      <c r="G13866" s="643" t="s">
        <v>239</v>
      </c>
      <c r="J13866" s="599">
        <f t="shared" si="421"/>
        <v>0</v>
      </c>
    </row>
    <row r="13867" spans="3:10" x14ac:dyDescent="0.25">
      <c r="F13867" s="642" t="s">
        <v>240</v>
      </c>
      <c r="G13867" s="643" t="s">
        <v>241</v>
      </c>
      <c r="I13867" s="595">
        <f>SUM(I13848,I13612)</f>
        <v>5791884</v>
      </c>
      <c r="J13867" s="599">
        <f t="shared" si="421"/>
        <v>5791884</v>
      </c>
    </row>
    <row r="13868" spans="3:10" hidden="1" x14ac:dyDescent="0.25">
      <c r="F13868" s="642" t="s">
        <v>242</v>
      </c>
      <c r="G13868" s="643" t="s">
        <v>243</v>
      </c>
      <c r="J13868" s="599">
        <f t="shared" si="421"/>
        <v>0</v>
      </c>
    </row>
    <row r="13869" spans="3:10" hidden="1" x14ac:dyDescent="0.25">
      <c r="F13869" s="642" t="s">
        <v>244</v>
      </c>
      <c r="G13869" s="643" t="s">
        <v>245</v>
      </c>
      <c r="J13869" s="599">
        <f t="shared" si="421"/>
        <v>0</v>
      </c>
    </row>
    <row r="13870" spans="3:10" ht="15.75" thickBot="1" x14ac:dyDescent="0.3">
      <c r="F13870" s="642" t="s">
        <v>246</v>
      </c>
      <c r="G13870" s="643" t="s">
        <v>247</v>
      </c>
      <c r="I13870" s="595">
        <f>SUM(I13851,I13696,I13615)</f>
        <v>8859216</v>
      </c>
      <c r="J13870" s="599">
        <f t="shared" si="421"/>
        <v>8859216</v>
      </c>
    </row>
    <row r="13871" spans="3:10" hidden="1" x14ac:dyDescent="0.25">
      <c r="F13871" s="642" t="s">
        <v>248</v>
      </c>
      <c r="G13871" s="643" t="s">
        <v>249</v>
      </c>
      <c r="J13871" s="599">
        <f t="shared" si="421"/>
        <v>0</v>
      </c>
    </row>
    <row r="13872" spans="3:10" hidden="1" x14ac:dyDescent="0.25">
      <c r="F13872" s="642" t="s">
        <v>250</v>
      </c>
      <c r="G13872" s="643" t="s">
        <v>57</v>
      </c>
      <c r="J13872" s="599">
        <f t="shared" si="421"/>
        <v>0</v>
      </c>
    </row>
    <row r="13873" spans="5:10" hidden="1" x14ac:dyDescent="0.25">
      <c r="F13873" s="642" t="s">
        <v>251</v>
      </c>
      <c r="G13873" s="643" t="s">
        <v>252</v>
      </c>
      <c r="J13873" s="599">
        <f t="shared" si="421"/>
        <v>0</v>
      </c>
    </row>
    <row r="13874" spans="5:10" hidden="1" x14ac:dyDescent="0.25">
      <c r="F13874" s="642" t="s">
        <v>253</v>
      </c>
      <c r="G13874" s="643" t="s">
        <v>254</v>
      </c>
      <c r="J13874" s="599">
        <f t="shared" si="421"/>
        <v>0</v>
      </c>
    </row>
    <row r="13875" spans="5:10" ht="30" hidden="1" x14ac:dyDescent="0.25">
      <c r="F13875" s="642" t="s">
        <v>255</v>
      </c>
      <c r="G13875" s="643" t="s">
        <v>256</v>
      </c>
      <c r="J13875" s="599">
        <f t="shared" si="421"/>
        <v>0</v>
      </c>
    </row>
    <row r="13876" spans="5:10" hidden="1" x14ac:dyDescent="0.25">
      <c r="F13876" s="642" t="s">
        <v>257</v>
      </c>
      <c r="G13876" s="643" t="s">
        <v>258</v>
      </c>
      <c r="J13876" s="599">
        <f t="shared" si="421"/>
        <v>0</v>
      </c>
    </row>
    <row r="13877" spans="5:10" ht="30" hidden="1" x14ac:dyDescent="0.25">
      <c r="F13877" s="642" t="s">
        <v>259</v>
      </c>
      <c r="G13877" s="643" t="s">
        <v>260</v>
      </c>
      <c r="J13877" s="599">
        <f t="shared" si="421"/>
        <v>0</v>
      </c>
    </row>
    <row r="13878" spans="5:10" hidden="1" x14ac:dyDescent="0.25">
      <c r="F13878" s="642" t="s">
        <v>261</v>
      </c>
      <c r="G13878" s="643" t="s">
        <v>262</v>
      </c>
      <c r="J13878" s="599">
        <f t="shared" si="421"/>
        <v>0</v>
      </c>
    </row>
    <row r="13879" spans="5:10" ht="15.75" hidden="1" thickBot="1" x14ac:dyDescent="0.3">
      <c r="F13879" s="642" t="s">
        <v>263</v>
      </c>
      <c r="G13879" s="643" t="s">
        <v>264</v>
      </c>
      <c r="H13879" s="598"/>
      <c r="I13879" s="599"/>
      <c r="J13879" s="599">
        <f t="shared" si="421"/>
        <v>0</v>
      </c>
    </row>
    <row r="13880" spans="5:10" ht="15.75" thickBot="1" x14ac:dyDescent="0.3">
      <c r="G13880" s="229" t="s">
        <v>4347</v>
      </c>
      <c r="H13880" s="600">
        <f>SUM(H13864:H13879)</f>
        <v>21499000</v>
      </c>
      <c r="I13880" s="601">
        <f>SUM(I13865:I13879)</f>
        <v>14651100</v>
      </c>
      <c r="J13880" s="601">
        <f>SUM(J13864:J13879)</f>
        <v>36150100</v>
      </c>
    </row>
    <row r="13882" spans="5:10" x14ac:dyDescent="0.25">
      <c r="E13882" s="517"/>
      <c r="F13882" s="528"/>
      <c r="G13882" s="250" t="s">
        <v>5191</v>
      </c>
      <c r="H13882" s="606"/>
      <c r="I13882" s="624"/>
      <c r="J13882" s="607"/>
    </row>
    <row r="13883" spans="5:10" x14ac:dyDescent="0.25">
      <c r="E13883" s="222"/>
      <c r="F13883" s="642" t="s">
        <v>234</v>
      </c>
      <c r="G13883" s="643" t="s">
        <v>235</v>
      </c>
      <c r="H13883" s="598">
        <f>SUM(H13864)</f>
        <v>21499000</v>
      </c>
      <c r="I13883" s="599"/>
      <c r="J13883" s="599">
        <f>SUM(H13883:I13883)</f>
        <v>21499000</v>
      </c>
    </row>
    <row r="13884" spans="5:10" hidden="1" x14ac:dyDescent="0.25">
      <c r="F13884" s="642" t="s">
        <v>236</v>
      </c>
      <c r="G13884" s="643" t="s">
        <v>237</v>
      </c>
      <c r="J13884" s="599">
        <f t="shared" ref="J13884:J13898" si="422">SUM(H13884:I13884)</f>
        <v>0</v>
      </c>
    </row>
    <row r="13885" spans="5:10" hidden="1" x14ac:dyDescent="0.25">
      <c r="F13885" s="642" t="s">
        <v>238</v>
      </c>
      <c r="G13885" s="643" t="s">
        <v>239</v>
      </c>
      <c r="J13885" s="599">
        <f t="shared" si="422"/>
        <v>0</v>
      </c>
    </row>
    <row r="13886" spans="5:10" x14ac:dyDescent="0.25">
      <c r="F13886" s="642" t="s">
        <v>240</v>
      </c>
      <c r="G13886" s="643" t="s">
        <v>241</v>
      </c>
      <c r="I13886" s="595">
        <f>SUM(I13867)</f>
        <v>5791884</v>
      </c>
      <c r="J13886" s="599">
        <f t="shared" si="422"/>
        <v>5791884</v>
      </c>
    </row>
    <row r="13887" spans="5:10" hidden="1" x14ac:dyDescent="0.25">
      <c r="F13887" s="642" t="s">
        <v>242</v>
      </c>
      <c r="G13887" s="643" t="s">
        <v>243</v>
      </c>
      <c r="J13887" s="599">
        <f t="shared" si="422"/>
        <v>0</v>
      </c>
    </row>
    <row r="13888" spans="5:10" hidden="1" x14ac:dyDescent="0.25">
      <c r="F13888" s="642" t="s">
        <v>244</v>
      </c>
      <c r="G13888" s="643" t="s">
        <v>245</v>
      </c>
      <c r="J13888" s="599">
        <f t="shared" si="422"/>
        <v>0</v>
      </c>
    </row>
    <row r="13889" spans="6:10" ht="15.75" thickBot="1" x14ac:dyDescent="0.3">
      <c r="F13889" s="642" t="s">
        <v>246</v>
      </c>
      <c r="G13889" s="643" t="s">
        <v>247</v>
      </c>
      <c r="I13889" s="595">
        <f>SUM(I13870)</f>
        <v>8859216</v>
      </c>
      <c r="J13889" s="599">
        <f t="shared" si="422"/>
        <v>8859216</v>
      </c>
    </row>
    <row r="13890" spans="6:10" hidden="1" x14ac:dyDescent="0.25">
      <c r="F13890" s="642" t="s">
        <v>248</v>
      </c>
      <c r="G13890" s="643" t="s">
        <v>249</v>
      </c>
      <c r="J13890" s="599">
        <f t="shared" si="422"/>
        <v>0</v>
      </c>
    </row>
    <row r="13891" spans="6:10" hidden="1" x14ac:dyDescent="0.25">
      <c r="F13891" s="642" t="s">
        <v>250</v>
      </c>
      <c r="G13891" s="643" t="s">
        <v>57</v>
      </c>
      <c r="J13891" s="599">
        <f t="shared" si="422"/>
        <v>0</v>
      </c>
    </row>
    <row r="13892" spans="6:10" hidden="1" x14ac:dyDescent="0.25">
      <c r="F13892" s="642" t="s">
        <v>251</v>
      </c>
      <c r="G13892" s="643" t="s">
        <v>252</v>
      </c>
      <c r="J13892" s="599">
        <f t="shared" si="422"/>
        <v>0</v>
      </c>
    </row>
    <row r="13893" spans="6:10" hidden="1" x14ac:dyDescent="0.25">
      <c r="F13893" s="642" t="s">
        <v>253</v>
      </c>
      <c r="G13893" s="643" t="s">
        <v>254</v>
      </c>
      <c r="J13893" s="599">
        <f t="shared" si="422"/>
        <v>0</v>
      </c>
    </row>
    <row r="13894" spans="6:10" ht="30" hidden="1" x14ac:dyDescent="0.25">
      <c r="F13894" s="642" t="s">
        <v>255</v>
      </c>
      <c r="G13894" s="643" t="s">
        <v>256</v>
      </c>
      <c r="J13894" s="599">
        <f t="shared" si="422"/>
        <v>0</v>
      </c>
    </row>
    <row r="13895" spans="6:10" hidden="1" x14ac:dyDescent="0.25">
      <c r="F13895" s="642" t="s">
        <v>257</v>
      </c>
      <c r="G13895" s="643" t="s">
        <v>258</v>
      </c>
      <c r="J13895" s="599">
        <f t="shared" si="422"/>
        <v>0</v>
      </c>
    </row>
    <row r="13896" spans="6:10" ht="30" hidden="1" x14ac:dyDescent="0.25">
      <c r="F13896" s="642" t="s">
        <v>259</v>
      </c>
      <c r="G13896" s="643" t="s">
        <v>260</v>
      </c>
      <c r="J13896" s="599">
        <f t="shared" si="422"/>
        <v>0</v>
      </c>
    </row>
    <row r="13897" spans="6:10" hidden="1" x14ac:dyDescent="0.25">
      <c r="F13897" s="642" t="s">
        <v>261</v>
      </c>
      <c r="G13897" s="643" t="s">
        <v>262</v>
      </c>
      <c r="J13897" s="599">
        <f t="shared" si="422"/>
        <v>0</v>
      </c>
    </row>
    <row r="13898" spans="6:10" ht="15.75" hidden="1" thickBot="1" x14ac:dyDescent="0.3">
      <c r="F13898" s="642" t="s">
        <v>263</v>
      </c>
      <c r="G13898" s="643" t="s">
        <v>264</v>
      </c>
      <c r="H13898" s="598"/>
      <c r="I13898" s="599"/>
      <c r="J13898" s="599">
        <f t="shared" si="422"/>
        <v>0</v>
      </c>
    </row>
    <row r="13899" spans="6:10" ht="15.75" thickBot="1" x14ac:dyDescent="0.3">
      <c r="G13899" s="229" t="s">
        <v>5192</v>
      </c>
      <c r="H13899" s="600">
        <f>SUM(H13883:H13898)</f>
        <v>21499000</v>
      </c>
      <c r="I13899" s="601">
        <f>SUM(I13884:I13898)</f>
        <v>14651100</v>
      </c>
      <c r="J13899" s="601">
        <f>SUM(J13883:J13898)</f>
        <v>36150100</v>
      </c>
    </row>
    <row r="13900" spans="6:10" hidden="1" x14ac:dyDescent="0.25">
      <c r="G13900" s="286"/>
      <c r="H13900" s="604"/>
      <c r="I13900" s="605"/>
      <c r="J13900" s="605"/>
    </row>
    <row r="13901" spans="6:10" hidden="1" x14ac:dyDescent="0.25">
      <c r="G13901" s="286"/>
      <c r="H13901" s="604"/>
      <c r="I13901" s="605"/>
      <c r="J13901" s="605"/>
    </row>
    <row r="13902" spans="6:10" hidden="1" x14ac:dyDescent="0.25">
      <c r="G13902" s="286"/>
      <c r="H13902" s="604"/>
      <c r="I13902" s="605"/>
      <c r="J13902" s="605"/>
    </row>
    <row r="13903" spans="6:10" hidden="1" x14ac:dyDescent="0.25">
      <c r="G13903" s="286"/>
      <c r="H13903" s="604"/>
      <c r="I13903" s="605"/>
      <c r="J13903" s="605"/>
    </row>
    <row r="13904" spans="6:10" hidden="1" x14ac:dyDescent="0.25">
      <c r="G13904" s="286"/>
      <c r="H13904" s="604"/>
      <c r="I13904" s="605"/>
      <c r="J13904" s="605"/>
    </row>
    <row r="13905" spans="1:10" hidden="1" x14ac:dyDescent="0.25">
      <c r="G13905" s="286"/>
      <c r="H13905" s="604"/>
      <c r="I13905" s="605"/>
      <c r="J13905" s="605"/>
    </row>
    <row r="13906" spans="1:10" hidden="1" x14ac:dyDescent="0.25">
      <c r="G13906" s="286"/>
      <c r="H13906" s="604"/>
      <c r="I13906" s="605"/>
      <c r="J13906" s="605"/>
    </row>
    <row r="13907" spans="1:10" hidden="1" x14ac:dyDescent="0.25">
      <c r="G13907" s="286"/>
      <c r="H13907" s="604"/>
      <c r="I13907" s="605"/>
      <c r="J13907" s="605"/>
    </row>
    <row r="13908" spans="1:10" hidden="1" x14ac:dyDescent="0.25">
      <c r="G13908" s="286"/>
      <c r="H13908" s="604"/>
      <c r="I13908" s="605"/>
      <c r="J13908" s="605"/>
    </row>
    <row r="13909" spans="1:10" hidden="1" x14ac:dyDescent="0.25">
      <c r="G13909" s="286"/>
      <c r="H13909" s="604"/>
      <c r="I13909" s="605"/>
      <c r="J13909" s="605"/>
    </row>
    <row r="13910" spans="1:10" hidden="1" x14ac:dyDescent="0.25">
      <c r="G13910" s="286"/>
      <c r="H13910" s="604"/>
      <c r="I13910" s="605"/>
      <c r="J13910" s="605"/>
    </row>
    <row r="13911" spans="1:10" hidden="1" x14ac:dyDescent="0.25">
      <c r="G13911" s="286"/>
      <c r="H13911" s="604"/>
      <c r="I13911" s="605"/>
      <c r="J13911" s="605"/>
    </row>
    <row r="13912" spans="1:10" hidden="1" x14ac:dyDescent="0.25">
      <c r="G13912" s="286"/>
      <c r="H13912" s="604"/>
      <c r="I13912" s="605"/>
      <c r="J13912" s="605"/>
    </row>
    <row r="13913" spans="1:10" hidden="1" x14ac:dyDescent="0.25">
      <c r="G13913" s="286"/>
      <c r="H13913" s="604"/>
      <c r="I13913" s="605"/>
      <c r="J13913" s="605"/>
    </row>
    <row r="13914" spans="1:10" hidden="1" x14ac:dyDescent="0.25">
      <c r="G13914" s="286"/>
      <c r="H13914" s="604"/>
      <c r="I13914" s="605"/>
      <c r="J13914" s="605"/>
    </row>
    <row r="13915" spans="1:10" hidden="1" x14ac:dyDescent="0.25">
      <c r="G13915" s="286"/>
      <c r="H13915" s="604"/>
      <c r="I13915" s="605"/>
      <c r="J13915" s="605"/>
    </row>
    <row r="13916" spans="1:10" x14ac:dyDescent="0.25">
      <c r="G13916" s="286"/>
      <c r="H13916" s="604"/>
      <c r="I13916" s="605"/>
      <c r="J13916" s="605"/>
    </row>
    <row r="13917" spans="1:10" ht="15.75" x14ac:dyDescent="0.25">
      <c r="A13917" s="782"/>
      <c r="B13917" s="782">
        <v>12</v>
      </c>
      <c r="C13917" s="783"/>
      <c r="D13917" s="782"/>
      <c r="E13917" s="782"/>
      <c r="F13917" s="782"/>
      <c r="G13917" s="786" t="s">
        <v>5473</v>
      </c>
      <c r="H13917" s="784"/>
      <c r="I13917" s="785"/>
      <c r="J13917" s="785"/>
    </row>
    <row r="13918" spans="1:10" x14ac:dyDescent="0.25">
      <c r="C13918" s="228" t="s">
        <v>3569</v>
      </c>
      <c r="G13918" s="386" t="s">
        <v>4326</v>
      </c>
    </row>
    <row r="13919" spans="1:10" x14ac:dyDescent="0.25">
      <c r="C13919" s="276" t="s">
        <v>4431</v>
      </c>
      <c r="D13919" s="219"/>
      <c r="E13919" s="219"/>
      <c r="F13919" s="277"/>
      <c r="G13919" s="278" t="s">
        <v>183</v>
      </c>
      <c r="H13919" s="627"/>
      <c r="I13919" s="610"/>
      <c r="J13919" s="628"/>
    </row>
    <row r="13920" spans="1:10" x14ac:dyDescent="0.25">
      <c r="C13920" s="228"/>
      <c r="D13920" s="312">
        <v>630</v>
      </c>
      <c r="E13920" s="312"/>
      <c r="F13920" s="312"/>
      <c r="G13920" s="313" t="s">
        <v>183</v>
      </c>
    </row>
    <row r="13921" spans="5:10" x14ac:dyDescent="0.25">
      <c r="E13921" s="218">
        <v>134</v>
      </c>
      <c r="F13921" s="527">
        <v>411</v>
      </c>
      <c r="G13921" s="520" t="s">
        <v>4189</v>
      </c>
      <c r="H13921" s="594">
        <v>23775000</v>
      </c>
      <c r="J13921" s="595">
        <f>SUM(H13921:I13921)</f>
        <v>23775000</v>
      </c>
    </row>
    <row r="13922" spans="5:10" x14ac:dyDescent="0.25">
      <c r="E13922" s="218">
        <v>135</v>
      </c>
      <c r="F13922" s="527">
        <v>412</v>
      </c>
      <c r="G13922" s="516" t="s">
        <v>3784</v>
      </c>
      <c r="H13922" s="594">
        <v>4256000</v>
      </c>
      <c r="J13922" s="595">
        <f t="shared" ref="J13922:J13980" si="423">SUM(H13922:I13922)</f>
        <v>4256000</v>
      </c>
    </row>
    <row r="13923" spans="5:10" hidden="1" x14ac:dyDescent="0.25">
      <c r="F13923" s="527">
        <v>413</v>
      </c>
      <c r="G13923" s="520" t="s">
        <v>4190</v>
      </c>
      <c r="J13923" s="595">
        <f t="shared" si="423"/>
        <v>0</v>
      </c>
    </row>
    <row r="13924" spans="5:10" x14ac:dyDescent="0.25">
      <c r="E13924" s="218">
        <v>136</v>
      </c>
      <c r="F13924" s="527">
        <v>414</v>
      </c>
      <c r="G13924" s="520" t="s">
        <v>3787</v>
      </c>
      <c r="H13924" s="594">
        <v>650000</v>
      </c>
      <c r="J13924" s="595">
        <f t="shared" si="423"/>
        <v>650000</v>
      </c>
    </row>
    <row r="13925" spans="5:10" x14ac:dyDescent="0.25">
      <c r="E13925" s="218">
        <v>137</v>
      </c>
      <c r="F13925" s="527">
        <v>415</v>
      </c>
      <c r="G13925" s="520" t="s">
        <v>4199</v>
      </c>
      <c r="H13925" s="594">
        <v>1000000</v>
      </c>
      <c r="J13925" s="595">
        <f t="shared" si="423"/>
        <v>1000000</v>
      </c>
    </row>
    <row r="13926" spans="5:10" x14ac:dyDescent="0.25">
      <c r="E13926" s="218">
        <v>138</v>
      </c>
      <c r="F13926" s="527">
        <v>416</v>
      </c>
      <c r="G13926" s="520" t="s">
        <v>4200</v>
      </c>
      <c r="H13926" s="594">
        <v>130000</v>
      </c>
      <c r="J13926" s="595">
        <f t="shared" si="423"/>
        <v>130000</v>
      </c>
    </row>
    <row r="13927" spans="5:10" hidden="1" x14ac:dyDescent="0.25">
      <c r="F13927" s="527">
        <v>417</v>
      </c>
      <c r="G13927" s="520" t="s">
        <v>4201</v>
      </c>
      <c r="J13927" s="595">
        <f t="shared" si="423"/>
        <v>0</v>
      </c>
    </row>
    <row r="13928" spans="5:10" hidden="1" x14ac:dyDescent="0.25">
      <c r="F13928" s="527">
        <v>418</v>
      </c>
      <c r="G13928" s="520" t="s">
        <v>3793</v>
      </c>
      <c r="J13928" s="595">
        <f t="shared" si="423"/>
        <v>0</v>
      </c>
    </row>
    <row r="13929" spans="5:10" x14ac:dyDescent="0.25">
      <c r="E13929" s="218">
        <v>139</v>
      </c>
      <c r="F13929" s="527">
        <v>421</v>
      </c>
      <c r="G13929" s="520" t="s">
        <v>3797</v>
      </c>
      <c r="H13929" s="594">
        <v>9600000</v>
      </c>
      <c r="J13929" s="595">
        <f t="shared" si="423"/>
        <v>9600000</v>
      </c>
    </row>
    <row r="13930" spans="5:10" x14ac:dyDescent="0.25">
      <c r="E13930" s="218">
        <v>140</v>
      </c>
      <c r="F13930" s="527">
        <v>422</v>
      </c>
      <c r="G13930" s="520" t="s">
        <v>3798</v>
      </c>
      <c r="H13930" s="594">
        <v>180000</v>
      </c>
      <c r="J13930" s="595">
        <f t="shared" si="423"/>
        <v>180000</v>
      </c>
    </row>
    <row r="13931" spans="5:10" x14ac:dyDescent="0.25">
      <c r="E13931" s="218">
        <v>141</v>
      </c>
      <c r="F13931" s="527">
        <v>423</v>
      </c>
      <c r="G13931" s="520" t="s">
        <v>3799</v>
      </c>
      <c r="H13931" s="594">
        <v>2000000</v>
      </c>
      <c r="J13931" s="595">
        <f t="shared" si="423"/>
        <v>2000000</v>
      </c>
    </row>
    <row r="13932" spans="5:10" x14ac:dyDescent="0.25">
      <c r="E13932" s="218">
        <v>142</v>
      </c>
      <c r="F13932" s="527">
        <v>424</v>
      </c>
      <c r="G13932" s="520" t="s">
        <v>3801</v>
      </c>
      <c r="H13932" s="594">
        <v>1600000</v>
      </c>
      <c r="J13932" s="595">
        <f t="shared" si="423"/>
        <v>1600000</v>
      </c>
    </row>
    <row r="13933" spans="5:10" x14ac:dyDescent="0.25">
      <c r="E13933" s="218">
        <v>143</v>
      </c>
      <c r="F13933" s="527">
        <v>425</v>
      </c>
      <c r="G13933" s="520" t="s">
        <v>4202</v>
      </c>
      <c r="H13933" s="594">
        <v>1500000</v>
      </c>
      <c r="J13933" s="595">
        <f t="shared" si="423"/>
        <v>1500000</v>
      </c>
    </row>
    <row r="13934" spans="5:10" x14ac:dyDescent="0.25">
      <c r="E13934" s="218">
        <v>144</v>
      </c>
      <c r="F13934" s="527">
        <v>426</v>
      </c>
      <c r="G13934" s="520" t="s">
        <v>3805</v>
      </c>
      <c r="H13934" s="594">
        <v>1950000</v>
      </c>
      <c r="J13934" s="595">
        <f t="shared" si="423"/>
        <v>1950000</v>
      </c>
    </row>
    <row r="13935" spans="5:10" hidden="1" x14ac:dyDescent="0.25">
      <c r="F13935" s="527">
        <v>431</v>
      </c>
      <c r="G13935" s="520" t="s">
        <v>4203</v>
      </c>
      <c r="J13935" s="595">
        <f t="shared" si="423"/>
        <v>0</v>
      </c>
    </row>
    <row r="13936" spans="5:10" hidden="1" x14ac:dyDescent="0.25">
      <c r="F13936" s="527">
        <v>432</v>
      </c>
      <c r="G13936" s="520" t="s">
        <v>4204</v>
      </c>
      <c r="J13936" s="595">
        <f t="shared" si="423"/>
        <v>0</v>
      </c>
    </row>
    <row r="13937" spans="6:10" hidden="1" x14ac:dyDescent="0.25">
      <c r="F13937" s="527">
        <v>433</v>
      </c>
      <c r="G13937" s="520" t="s">
        <v>4205</v>
      </c>
      <c r="J13937" s="595">
        <f t="shared" si="423"/>
        <v>0</v>
      </c>
    </row>
    <row r="13938" spans="6:10" hidden="1" x14ac:dyDescent="0.25">
      <c r="F13938" s="527">
        <v>434</v>
      </c>
      <c r="G13938" s="520" t="s">
        <v>4206</v>
      </c>
      <c r="J13938" s="595">
        <f t="shared" si="423"/>
        <v>0</v>
      </c>
    </row>
    <row r="13939" spans="6:10" hidden="1" x14ac:dyDescent="0.25">
      <c r="F13939" s="527">
        <v>435</v>
      </c>
      <c r="G13939" s="520" t="s">
        <v>3812</v>
      </c>
      <c r="J13939" s="595">
        <f t="shared" si="423"/>
        <v>0</v>
      </c>
    </row>
    <row r="13940" spans="6:10" hidden="1" x14ac:dyDescent="0.25">
      <c r="F13940" s="527">
        <v>441</v>
      </c>
      <c r="G13940" s="520" t="s">
        <v>4207</v>
      </c>
      <c r="J13940" s="595">
        <f t="shared" si="423"/>
        <v>0</v>
      </c>
    </row>
    <row r="13941" spans="6:10" hidden="1" x14ac:dyDescent="0.25">
      <c r="F13941" s="527">
        <v>442</v>
      </c>
      <c r="G13941" s="520" t="s">
        <v>4208</v>
      </c>
      <c r="J13941" s="595">
        <f t="shared" si="423"/>
        <v>0</v>
      </c>
    </row>
    <row r="13942" spans="6:10" hidden="1" x14ac:dyDescent="0.25">
      <c r="F13942" s="527">
        <v>443</v>
      </c>
      <c r="G13942" s="520" t="s">
        <v>3817</v>
      </c>
      <c r="J13942" s="595">
        <f t="shared" si="423"/>
        <v>0</v>
      </c>
    </row>
    <row r="13943" spans="6:10" hidden="1" x14ac:dyDescent="0.25">
      <c r="F13943" s="527">
        <v>444</v>
      </c>
      <c r="G13943" s="520" t="s">
        <v>3818</v>
      </c>
      <c r="J13943" s="595">
        <f t="shared" si="423"/>
        <v>0</v>
      </c>
    </row>
    <row r="13944" spans="6:10" ht="30" hidden="1" x14ac:dyDescent="0.25">
      <c r="F13944" s="527">
        <v>4511</v>
      </c>
      <c r="G13944" s="223" t="s">
        <v>1692</v>
      </c>
      <c r="J13944" s="595">
        <f t="shared" si="423"/>
        <v>0</v>
      </c>
    </row>
    <row r="13945" spans="6:10" ht="30" hidden="1" x14ac:dyDescent="0.25">
      <c r="F13945" s="527">
        <v>4512</v>
      </c>
      <c r="G13945" s="223" t="s">
        <v>1701</v>
      </c>
      <c r="J13945" s="595">
        <f t="shared" si="423"/>
        <v>0</v>
      </c>
    </row>
    <row r="13946" spans="6:10" hidden="1" x14ac:dyDescent="0.25">
      <c r="F13946" s="527">
        <v>452</v>
      </c>
      <c r="G13946" s="520" t="s">
        <v>4209</v>
      </c>
      <c r="J13946" s="595">
        <f t="shared" si="423"/>
        <v>0</v>
      </c>
    </row>
    <row r="13947" spans="6:10" hidden="1" x14ac:dyDescent="0.25">
      <c r="F13947" s="527">
        <v>453</v>
      </c>
      <c r="G13947" s="520" t="s">
        <v>4210</v>
      </c>
      <c r="J13947" s="595">
        <f t="shared" si="423"/>
        <v>0</v>
      </c>
    </row>
    <row r="13948" spans="6:10" hidden="1" x14ac:dyDescent="0.25">
      <c r="F13948" s="527">
        <v>454</v>
      </c>
      <c r="G13948" s="520" t="s">
        <v>3823</v>
      </c>
      <c r="J13948" s="595">
        <f t="shared" si="423"/>
        <v>0</v>
      </c>
    </row>
    <row r="13949" spans="6:10" hidden="1" x14ac:dyDescent="0.25">
      <c r="F13949" s="527">
        <v>461</v>
      </c>
      <c r="G13949" s="520" t="s">
        <v>4191</v>
      </c>
      <c r="J13949" s="595">
        <f t="shared" si="423"/>
        <v>0</v>
      </c>
    </row>
    <row r="13950" spans="6:10" hidden="1" x14ac:dyDescent="0.25">
      <c r="F13950" s="527">
        <v>462</v>
      </c>
      <c r="G13950" s="520" t="s">
        <v>3826</v>
      </c>
      <c r="J13950" s="595">
        <f t="shared" si="423"/>
        <v>0</v>
      </c>
    </row>
    <row r="13951" spans="6:10" hidden="1" x14ac:dyDescent="0.25">
      <c r="F13951" s="527">
        <v>4631</v>
      </c>
      <c r="G13951" s="520" t="s">
        <v>3827</v>
      </c>
      <c r="J13951" s="595">
        <f t="shared" si="423"/>
        <v>0</v>
      </c>
    </row>
    <row r="13952" spans="6:10" hidden="1" x14ac:dyDescent="0.25">
      <c r="F13952" s="527">
        <v>4632</v>
      </c>
      <c r="G13952" s="520" t="s">
        <v>3828</v>
      </c>
      <c r="J13952" s="595">
        <f t="shared" si="423"/>
        <v>0</v>
      </c>
    </row>
    <row r="13953" spans="5:10" hidden="1" x14ac:dyDescent="0.25">
      <c r="F13953" s="527">
        <v>464</v>
      </c>
      <c r="G13953" s="520" t="s">
        <v>3829</v>
      </c>
      <c r="J13953" s="595">
        <f t="shared" si="423"/>
        <v>0</v>
      </c>
    </row>
    <row r="13954" spans="5:10" x14ac:dyDescent="0.25">
      <c r="E13954" s="218">
        <v>145</v>
      </c>
      <c r="F13954" s="527">
        <v>465</v>
      </c>
      <c r="G13954" s="520" t="s">
        <v>4192</v>
      </c>
      <c r="H13954" s="594">
        <v>2800000</v>
      </c>
      <c r="J13954" s="595">
        <f t="shared" si="423"/>
        <v>2800000</v>
      </c>
    </row>
    <row r="13955" spans="5:10" hidden="1" x14ac:dyDescent="0.25">
      <c r="F13955" s="527">
        <v>472</v>
      </c>
      <c r="G13955" s="520" t="s">
        <v>3833</v>
      </c>
      <c r="J13955" s="595">
        <f t="shared" si="423"/>
        <v>0</v>
      </c>
    </row>
    <row r="13956" spans="5:10" hidden="1" x14ac:dyDescent="0.25">
      <c r="F13956" s="527">
        <v>481</v>
      </c>
      <c r="G13956" s="520" t="s">
        <v>4211</v>
      </c>
      <c r="J13956" s="595">
        <f t="shared" si="423"/>
        <v>0</v>
      </c>
    </row>
    <row r="13957" spans="5:10" x14ac:dyDescent="0.25">
      <c r="E13957" s="218">
        <v>146</v>
      </c>
      <c r="F13957" s="527">
        <v>482</v>
      </c>
      <c r="G13957" s="520" t="s">
        <v>4212</v>
      </c>
      <c r="H13957" s="594">
        <v>1600000</v>
      </c>
      <c r="J13957" s="595">
        <f t="shared" si="423"/>
        <v>1600000</v>
      </c>
    </row>
    <row r="13958" spans="5:10" x14ac:dyDescent="0.25">
      <c r="E13958" s="218">
        <v>147</v>
      </c>
      <c r="F13958" s="527">
        <v>483</v>
      </c>
      <c r="G13958" s="524" t="s">
        <v>4213</v>
      </c>
      <c r="H13958" s="594">
        <v>1000</v>
      </c>
      <c r="J13958" s="595">
        <f t="shared" si="423"/>
        <v>1000</v>
      </c>
    </row>
    <row r="13959" spans="5:10" ht="30" hidden="1" x14ac:dyDescent="0.25">
      <c r="F13959" s="527">
        <v>484</v>
      </c>
      <c r="G13959" s="520" t="s">
        <v>4214</v>
      </c>
      <c r="J13959" s="595">
        <f t="shared" si="423"/>
        <v>0</v>
      </c>
    </row>
    <row r="13960" spans="5:10" ht="30" x14ac:dyDescent="0.25">
      <c r="E13960" s="218">
        <v>148</v>
      </c>
      <c r="F13960" s="527">
        <v>485</v>
      </c>
      <c r="G13960" s="520" t="s">
        <v>4215</v>
      </c>
      <c r="H13960" s="594">
        <v>500000</v>
      </c>
      <c r="J13960" s="595">
        <f t="shared" si="423"/>
        <v>500000</v>
      </c>
    </row>
    <row r="13961" spans="5:10" ht="30" hidden="1" x14ac:dyDescent="0.25">
      <c r="F13961" s="527">
        <v>489</v>
      </c>
      <c r="G13961" s="520" t="s">
        <v>3841</v>
      </c>
      <c r="J13961" s="595">
        <f t="shared" si="423"/>
        <v>0</v>
      </c>
    </row>
    <row r="13962" spans="5:10" hidden="1" x14ac:dyDescent="0.25">
      <c r="F13962" s="527">
        <v>494</v>
      </c>
      <c r="G13962" s="520" t="s">
        <v>4193</v>
      </c>
      <c r="J13962" s="595">
        <f t="shared" si="423"/>
        <v>0</v>
      </c>
    </row>
    <row r="13963" spans="5:10" ht="30" hidden="1" x14ac:dyDescent="0.25">
      <c r="F13963" s="527">
        <v>495</v>
      </c>
      <c r="G13963" s="520" t="s">
        <v>4194</v>
      </c>
      <c r="J13963" s="595">
        <f t="shared" si="423"/>
        <v>0</v>
      </c>
    </row>
    <row r="13964" spans="5:10" ht="30" hidden="1" x14ac:dyDescent="0.25">
      <c r="F13964" s="527">
        <v>496</v>
      </c>
      <c r="G13964" s="520" t="s">
        <v>4195</v>
      </c>
      <c r="J13964" s="595">
        <f t="shared" si="423"/>
        <v>0</v>
      </c>
    </row>
    <row r="13965" spans="5:10" hidden="1" x14ac:dyDescent="0.25">
      <c r="F13965" s="527">
        <v>499</v>
      </c>
      <c r="G13965" s="520" t="s">
        <v>4196</v>
      </c>
      <c r="J13965" s="595">
        <f t="shared" si="423"/>
        <v>0</v>
      </c>
    </row>
    <row r="13966" spans="5:10" hidden="1" x14ac:dyDescent="0.25">
      <c r="F13966" s="527">
        <v>511</v>
      </c>
      <c r="G13966" s="524" t="s">
        <v>4216</v>
      </c>
      <c r="J13966" s="595">
        <f t="shared" si="423"/>
        <v>0</v>
      </c>
    </row>
    <row r="13967" spans="5:10" ht="15.75" thickBot="1" x14ac:dyDescent="0.3">
      <c r="E13967" s="218">
        <v>149</v>
      </c>
      <c r="F13967" s="527">
        <v>512</v>
      </c>
      <c r="G13967" s="524" t="s">
        <v>4217</v>
      </c>
      <c r="H13967" s="594">
        <v>5000000</v>
      </c>
      <c r="J13967" s="595">
        <f t="shared" si="423"/>
        <v>5000000</v>
      </c>
    </row>
    <row r="13968" spans="5:10" hidden="1" x14ac:dyDescent="0.25">
      <c r="F13968" s="527">
        <v>513</v>
      </c>
      <c r="G13968" s="524" t="s">
        <v>4218</v>
      </c>
      <c r="J13968" s="595">
        <f t="shared" si="423"/>
        <v>0</v>
      </c>
    </row>
    <row r="13969" spans="5:10" hidden="1" x14ac:dyDescent="0.25">
      <c r="F13969" s="527">
        <v>514</v>
      </c>
      <c r="G13969" s="520" t="s">
        <v>4219</v>
      </c>
      <c r="J13969" s="595">
        <f t="shared" si="423"/>
        <v>0</v>
      </c>
    </row>
    <row r="13970" spans="5:10" hidden="1" x14ac:dyDescent="0.25">
      <c r="F13970" s="527">
        <v>515</v>
      </c>
      <c r="G13970" s="520" t="s">
        <v>3852</v>
      </c>
      <c r="J13970" s="595">
        <f t="shared" si="423"/>
        <v>0</v>
      </c>
    </row>
    <row r="13971" spans="5:10" hidden="1" x14ac:dyDescent="0.25">
      <c r="F13971" s="527">
        <v>521</v>
      </c>
      <c r="G13971" s="520" t="s">
        <v>4220</v>
      </c>
      <c r="J13971" s="595">
        <f t="shared" si="423"/>
        <v>0</v>
      </c>
    </row>
    <row r="13972" spans="5:10" hidden="1" x14ac:dyDescent="0.25">
      <c r="F13972" s="527">
        <v>522</v>
      </c>
      <c r="G13972" s="520" t="s">
        <v>4221</v>
      </c>
      <c r="J13972" s="595">
        <f t="shared" si="423"/>
        <v>0</v>
      </c>
    </row>
    <row r="13973" spans="5:10" hidden="1" x14ac:dyDescent="0.25">
      <c r="F13973" s="527">
        <v>523</v>
      </c>
      <c r="G13973" s="520" t="s">
        <v>3857</v>
      </c>
      <c r="J13973" s="595">
        <f t="shared" si="423"/>
        <v>0</v>
      </c>
    </row>
    <row r="13974" spans="5:10" hidden="1" x14ac:dyDescent="0.25">
      <c r="F13974" s="527">
        <v>531</v>
      </c>
      <c r="G13974" s="516" t="s">
        <v>4197</v>
      </c>
      <c r="J13974" s="595">
        <f t="shared" si="423"/>
        <v>0</v>
      </c>
    </row>
    <row r="13975" spans="5:10" hidden="1" x14ac:dyDescent="0.25">
      <c r="F13975" s="527">
        <v>541</v>
      </c>
      <c r="G13975" s="520" t="s">
        <v>4222</v>
      </c>
      <c r="J13975" s="595">
        <f t="shared" si="423"/>
        <v>0</v>
      </c>
    </row>
    <row r="13976" spans="5:10" hidden="1" x14ac:dyDescent="0.25">
      <c r="F13976" s="527">
        <v>542</v>
      </c>
      <c r="G13976" s="520" t="s">
        <v>4223</v>
      </c>
      <c r="J13976" s="595">
        <f t="shared" si="423"/>
        <v>0</v>
      </c>
    </row>
    <row r="13977" spans="5:10" hidden="1" x14ac:dyDescent="0.25">
      <c r="F13977" s="527">
        <v>543</v>
      </c>
      <c r="G13977" s="520" t="s">
        <v>3862</v>
      </c>
      <c r="J13977" s="595">
        <f t="shared" si="423"/>
        <v>0</v>
      </c>
    </row>
    <row r="13978" spans="5:10" ht="30" hidden="1" x14ac:dyDescent="0.25">
      <c r="F13978" s="527">
        <v>551</v>
      </c>
      <c r="G13978" s="520" t="s">
        <v>4198</v>
      </c>
      <c r="J13978" s="595">
        <f t="shared" si="423"/>
        <v>0</v>
      </c>
    </row>
    <row r="13979" spans="5:10" hidden="1" x14ac:dyDescent="0.25">
      <c r="F13979" s="528">
        <v>611</v>
      </c>
      <c r="G13979" s="526" t="s">
        <v>3868</v>
      </c>
      <c r="J13979" s="595">
        <f t="shared" si="423"/>
        <v>0</v>
      </c>
    </row>
    <row r="13980" spans="5:10" ht="15.75" hidden="1" thickBot="1" x14ac:dyDescent="0.3">
      <c r="F13980" s="528">
        <v>620</v>
      </c>
      <c r="G13980" s="526" t="s">
        <v>88</v>
      </c>
      <c r="J13980" s="595">
        <f t="shared" si="423"/>
        <v>0</v>
      </c>
    </row>
    <row r="13981" spans="5:10" x14ac:dyDescent="0.25">
      <c r="E13981" s="517"/>
      <c r="F13981" s="528"/>
      <c r="G13981" s="327" t="s">
        <v>4422</v>
      </c>
      <c r="H13981" s="596"/>
      <c r="I13981" s="622"/>
      <c r="J13981" s="597"/>
    </row>
    <row r="13982" spans="5:10" ht="15.75" thickBot="1" x14ac:dyDescent="0.3">
      <c r="E13982" s="222"/>
      <c r="F13982" s="642" t="s">
        <v>234</v>
      </c>
      <c r="G13982" s="643" t="s">
        <v>235</v>
      </c>
      <c r="H13982" s="598">
        <f>SUM(H13921:H13980)</f>
        <v>56542000</v>
      </c>
      <c r="I13982" s="599"/>
      <c r="J13982" s="599">
        <f t="shared" ref="J13982:J13997" si="424">SUM(H13982:I13982)</f>
        <v>56542000</v>
      </c>
    </row>
    <row r="13983" spans="5:10" hidden="1" x14ac:dyDescent="0.25">
      <c r="F13983" s="642" t="s">
        <v>236</v>
      </c>
      <c r="G13983" s="643" t="s">
        <v>237</v>
      </c>
      <c r="J13983" s="599">
        <f t="shared" si="424"/>
        <v>0</v>
      </c>
    </row>
    <row r="13984" spans="5:10" hidden="1" x14ac:dyDescent="0.25">
      <c r="F13984" s="642" t="s">
        <v>238</v>
      </c>
      <c r="G13984" s="643" t="s">
        <v>239</v>
      </c>
      <c r="J13984" s="599">
        <f t="shared" si="424"/>
        <v>0</v>
      </c>
    </row>
    <row r="13985" spans="5:10" hidden="1" x14ac:dyDescent="0.25">
      <c r="F13985" s="642" t="s">
        <v>240</v>
      </c>
      <c r="G13985" s="643" t="s">
        <v>241</v>
      </c>
      <c r="J13985" s="599">
        <f t="shared" si="424"/>
        <v>0</v>
      </c>
    </row>
    <row r="13986" spans="5:10" hidden="1" x14ac:dyDescent="0.25">
      <c r="F13986" s="642" t="s">
        <v>242</v>
      </c>
      <c r="G13986" s="643" t="s">
        <v>243</v>
      </c>
      <c r="J13986" s="599">
        <f t="shared" si="424"/>
        <v>0</v>
      </c>
    </row>
    <row r="13987" spans="5:10" hidden="1" x14ac:dyDescent="0.25">
      <c r="F13987" s="642" t="s">
        <v>244</v>
      </c>
      <c r="G13987" s="643" t="s">
        <v>245</v>
      </c>
      <c r="J13987" s="599">
        <f t="shared" si="424"/>
        <v>0</v>
      </c>
    </row>
    <row r="13988" spans="5:10" hidden="1" x14ac:dyDescent="0.25">
      <c r="F13988" s="642" t="s">
        <v>246</v>
      </c>
      <c r="G13988" s="643" t="s">
        <v>247</v>
      </c>
      <c r="J13988" s="599">
        <f t="shared" si="424"/>
        <v>0</v>
      </c>
    </row>
    <row r="13989" spans="5:10" hidden="1" x14ac:dyDescent="0.25">
      <c r="F13989" s="642" t="s">
        <v>248</v>
      </c>
      <c r="G13989" s="643" t="s">
        <v>249</v>
      </c>
      <c r="J13989" s="599">
        <f t="shared" si="424"/>
        <v>0</v>
      </c>
    </row>
    <row r="13990" spans="5:10" hidden="1" x14ac:dyDescent="0.25">
      <c r="F13990" s="642" t="s">
        <v>250</v>
      </c>
      <c r="G13990" s="643" t="s">
        <v>57</v>
      </c>
      <c r="J13990" s="599">
        <f t="shared" si="424"/>
        <v>0</v>
      </c>
    </row>
    <row r="13991" spans="5:10" hidden="1" x14ac:dyDescent="0.25">
      <c r="F13991" s="642" t="s">
        <v>251</v>
      </c>
      <c r="G13991" s="643" t="s">
        <v>252</v>
      </c>
      <c r="J13991" s="599">
        <f t="shared" si="424"/>
        <v>0</v>
      </c>
    </row>
    <row r="13992" spans="5:10" hidden="1" x14ac:dyDescent="0.25">
      <c r="F13992" s="642" t="s">
        <v>253</v>
      </c>
      <c r="G13992" s="643" t="s">
        <v>254</v>
      </c>
      <c r="J13992" s="599">
        <f t="shared" si="424"/>
        <v>0</v>
      </c>
    </row>
    <row r="13993" spans="5:10" ht="30" hidden="1" x14ac:dyDescent="0.25">
      <c r="F13993" s="642" t="s">
        <v>255</v>
      </c>
      <c r="G13993" s="643" t="s">
        <v>256</v>
      </c>
      <c r="J13993" s="599">
        <f t="shared" si="424"/>
        <v>0</v>
      </c>
    </row>
    <row r="13994" spans="5:10" hidden="1" x14ac:dyDescent="0.25">
      <c r="F13994" s="642" t="s">
        <v>257</v>
      </c>
      <c r="G13994" s="643" t="s">
        <v>258</v>
      </c>
      <c r="J13994" s="599">
        <f t="shared" si="424"/>
        <v>0</v>
      </c>
    </row>
    <row r="13995" spans="5:10" ht="30" hidden="1" x14ac:dyDescent="0.25">
      <c r="F13995" s="642" t="s">
        <v>259</v>
      </c>
      <c r="G13995" s="643" t="s">
        <v>260</v>
      </c>
      <c r="J13995" s="599">
        <f t="shared" si="424"/>
        <v>0</v>
      </c>
    </row>
    <row r="13996" spans="5:10" hidden="1" x14ac:dyDescent="0.25">
      <c r="F13996" s="642" t="s">
        <v>261</v>
      </c>
      <c r="G13996" s="643" t="s">
        <v>262</v>
      </c>
      <c r="J13996" s="599">
        <f t="shared" si="424"/>
        <v>0</v>
      </c>
    </row>
    <row r="13997" spans="5:10" ht="15.75" hidden="1" thickBot="1" x14ac:dyDescent="0.3">
      <c r="F13997" s="642" t="s">
        <v>263</v>
      </c>
      <c r="G13997" s="643" t="s">
        <v>264</v>
      </c>
      <c r="H13997" s="598"/>
      <c r="I13997" s="599"/>
      <c r="J13997" s="599">
        <f t="shared" si="424"/>
        <v>0</v>
      </c>
    </row>
    <row r="13998" spans="5:10" ht="15.75" thickBot="1" x14ac:dyDescent="0.3">
      <c r="G13998" s="229" t="s">
        <v>4423</v>
      </c>
      <c r="H13998" s="600">
        <f>SUM(H13982:H13997)</f>
        <v>56542000</v>
      </c>
      <c r="I13998" s="601">
        <f>SUM(I13983:I13997)</f>
        <v>0</v>
      </c>
      <c r="J13998" s="601">
        <f>SUM(J13982:J13997)</f>
        <v>56542000</v>
      </c>
    </row>
    <row r="13999" spans="5:10" ht="28.5" x14ac:dyDescent="0.25">
      <c r="E13999" s="517"/>
      <c r="F13999" s="528"/>
      <c r="G13999" s="231" t="s">
        <v>4432</v>
      </c>
      <c r="H13999" s="602"/>
      <c r="I13999" s="623"/>
      <c r="J13999" s="603"/>
    </row>
    <row r="14000" spans="5:10" ht="15.75" thickBot="1" x14ac:dyDescent="0.3">
      <c r="E14000" s="222"/>
      <c r="F14000" s="642" t="s">
        <v>234</v>
      </c>
      <c r="G14000" s="643" t="s">
        <v>235</v>
      </c>
      <c r="H14000" s="598">
        <f>SUM(H13921:H13980)</f>
        <v>56542000</v>
      </c>
      <c r="I14000" s="599"/>
      <c r="J14000" s="599">
        <f>SUM(H14000:I14000)</f>
        <v>56542000</v>
      </c>
    </row>
    <row r="14001" spans="6:10" hidden="1" x14ac:dyDescent="0.25">
      <c r="F14001" s="642" t="s">
        <v>236</v>
      </c>
      <c r="G14001" s="643" t="s">
        <v>237</v>
      </c>
      <c r="J14001" s="599">
        <f t="shared" ref="J14001:J14015" si="425">SUM(H14001:I14001)</f>
        <v>0</v>
      </c>
    </row>
    <row r="14002" spans="6:10" hidden="1" x14ac:dyDescent="0.25">
      <c r="F14002" s="642" t="s">
        <v>238</v>
      </c>
      <c r="G14002" s="643" t="s">
        <v>239</v>
      </c>
      <c r="J14002" s="599">
        <f t="shared" si="425"/>
        <v>0</v>
      </c>
    </row>
    <row r="14003" spans="6:10" hidden="1" x14ac:dyDescent="0.25">
      <c r="F14003" s="642" t="s">
        <v>240</v>
      </c>
      <c r="G14003" s="643" t="s">
        <v>241</v>
      </c>
      <c r="J14003" s="599">
        <f t="shared" si="425"/>
        <v>0</v>
      </c>
    </row>
    <row r="14004" spans="6:10" hidden="1" x14ac:dyDescent="0.25">
      <c r="F14004" s="642" t="s">
        <v>242</v>
      </c>
      <c r="G14004" s="643" t="s">
        <v>243</v>
      </c>
      <c r="J14004" s="599">
        <f t="shared" si="425"/>
        <v>0</v>
      </c>
    </row>
    <row r="14005" spans="6:10" hidden="1" x14ac:dyDescent="0.25">
      <c r="F14005" s="642" t="s">
        <v>244</v>
      </c>
      <c r="G14005" s="643" t="s">
        <v>245</v>
      </c>
      <c r="J14005" s="599">
        <f t="shared" si="425"/>
        <v>0</v>
      </c>
    </row>
    <row r="14006" spans="6:10" hidden="1" x14ac:dyDescent="0.25">
      <c r="F14006" s="642" t="s">
        <v>246</v>
      </c>
      <c r="G14006" s="643" t="s">
        <v>247</v>
      </c>
      <c r="J14006" s="599">
        <f t="shared" si="425"/>
        <v>0</v>
      </c>
    </row>
    <row r="14007" spans="6:10" hidden="1" x14ac:dyDescent="0.25">
      <c r="F14007" s="642" t="s">
        <v>248</v>
      </c>
      <c r="G14007" s="643" t="s">
        <v>249</v>
      </c>
      <c r="J14007" s="599">
        <f t="shared" si="425"/>
        <v>0</v>
      </c>
    </row>
    <row r="14008" spans="6:10" hidden="1" x14ac:dyDescent="0.25">
      <c r="F14008" s="642" t="s">
        <v>250</v>
      </c>
      <c r="G14008" s="643" t="s">
        <v>57</v>
      </c>
      <c r="J14008" s="599">
        <f t="shared" si="425"/>
        <v>0</v>
      </c>
    </row>
    <row r="14009" spans="6:10" hidden="1" x14ac:dyDescent="0.25">
      <c r="F14009" s="642" t="s">
        <v>251</v>
      </c>
      <c r="G14009" s="643" t="s">
        <v>252</v>
      </c>
      <c r="J14009" s="599">
        <f t="shared" si="425"/>
        <v>0</v>
      </c>
    </row>
    <row r="14010" spans="6:10" hidden="1" x14ac:dyDescent="0.25">
      <c r="F14010" s="642" t="s">
        <v>253</v>
      </c>
      <c r="G14010" s="643" t="s">
        <v>254</v>
      </c>
      <c r="J14010" s="599">
        <f t="shared" si="425"/>
        <v>0</v>
      </c>
    </row>
    <row r="14011" spans="6:10" ht="30" hidden="1" x14ac:dyDescent="0.25">
      <c r="F14011" s="642" t="s">
        <v>255</v>
      </c>
      <c r="G14011" s="643" t="s">
        <v>256</v>
      </c>
      <c r="J14011" s="599">
        <f t="shared" si="425"/>
        <v>0</v>
      </c>
    </row>
    <row r="14012" spans="6:10" hidden="1" x14ac:dyDescent="0.25">
      <c r="F14012" s="642" t="s">
        <v>257</v>
      </c>
      <c r="G14012" s="643" t="s">
        <v>258</v>
      </c>
      <c r="J14012" s="599">
        <f t="shared" si="425"/>
        <v>0</v>
      </c>
    </row>
    <row r="14013" spans="6:10" ht="30" hidden="1" x14ac:dyDescent="0.25">
      <c r="F14013" s="642" t="s">
        <v>259</v>
      </c>
      <c r="G14013" s="643" t="s">
        <v>260</v>
      </c>
      <c r="J14013" s="599">
        <f t="shared" si="425"/>
        <v>0</v>
      </c>
    </row>
    <row r="14014" spans="6:10" hidden="1" x14ac:dyDescent="0.25">
      <c r="F14014" s="642" t="s">
        <v>261</v>
      </c>
      <c r="G14014" s="643" t="s">
        <v>262</v>
      </c>
      <c r="J14014" s="599">
        <f t="shared" si="425"/>
        <v>0</v>
      </c>
    </row>
    <row r="14015" spans="6:10" ht="15.75" hidden="1" thickBot="1" x14ac:dyDescent="0.3">
      <c r="F14015" s="642" t="s">
        <v>263</v>
      </c>
      <c r="G14015" s="643" t="s">
        <v>264</v>
      </c>
      <c r="H14015" s="598"/>
      <c r="I14015" s="599"/>
      <c r="J14015" s="599">
        <f t="shared" si="425"/>
        <v>0</v>
      </c>
    </row>
    <row r="14016" spans="6:10" ht="15.75" thickBot="1" x14ac:dyDescent="0.3">
      <c r="G14016" s="229" t="s">
        <v>4433</v>
      </c>
      <c r="H14016" s="600">
        <f>SUM(H14000:H14015)</f>
        <v>56542000</v>
      </c>
      <c r="I14016" s="601">
        <f>SUM(I14001:I14015)</f>
        <v>0</v>
      </c>
      <c r="J14016" s="601">
        <f>SUM(J14000:J14015)</f>
        <v>56542000</v>
      </c>
    </row>
    <row r="14018" spans="3:10" x14ac:dyDescent="0.25">
      <c r="C14018" s="276" t="s">
        <v>4430</v>
      </c>
      <c r="D14018" s="219"/>
      <c r="E14018" s="219"/>
      <c r="F14018" s="277"/>
      <c r="G14018" s="278" t="s">
        <v>175</v>
      </c>
      <c r="H14018" s="627"/>
      <c r="I14018" s="610"/>
      <c r="J14018" s="628"/>
    </row>
    <row r="14019" spans="3:10" x14ac:dyDescent="0.25">
      <c r="C14019" s="228"/>
      <c r="D14019" s="312">
        <v>520</v>
      </c>
      <c r="E14019" s="312"/>
      <c r="F14019" s="312"/>
      <c r="G14019" s="313" t="s">
        <v>175</v>
      </c>
    </row>
    <row r="14020" spans="3:10" hidden="1" x14ac:dyDescent="0.25">
      <c r="F14020" s="527">
        <v>411</v>
      </c>
      <c r="G14020" s="520" t="s">
        <v>4189</v>
      </c>
      <c r="J14020" s="595">
        <f>SUM(H14020:I14020)</f>
        <v>0</v>
      </c>
    </row>
    <row r="14021" spans="3:10" hidden="1" x14ac:dyDescent="0.25">
      <c r="F14021" s="527">
        <v>412</v>
      </c>
      <c r="G14021" s="516" t="s">
        <v>3784</v>
      </c>
      <c r="J14021" s="595">
        <f t="shared" ref="J14021:J14079" si="426">SUM(H14021:I14021)</f>
        <v>0</v>
      </c>
    </row>
    <row r="14022" spans="3:10" hidden="1" x14ac:dyDescent="0.25">
      <c r="F14022" s="527">
        <v>413</v>
      </c>
      <c r="G14022" s="520" t="s">
        <v>4190</v>
      </c>
      <c r="J14022" s="595">
        <f t="shared" si="426"/>
        <v>0</v>
      </c>
    </row>
    <row r="14023" spans="3:10" hidden="1" x14ac:dyDescent="0.25">
      <c r="F14023" s="527">
        <v>414</v>
      </c>
      <c r="G14023" s="520" t="s">
        <v>3787</v>
      </c>
      <c r="J14023" s="595">
        <f t="shared" si="426"/>
        <v>0</v>
      </c>
    </row>
    <row r="14024" spans="3:10" hidden="1" x14ac:dyDescent="0.25">
      <c r="F14024" s="527">
        <v>415</v>
      </c>
      <c r="G14024" s="520" t="s">
        <v>4199</v>
      </c>
      <c r="J14024" s="595">
        <f t="shared" si="426"/>
        <v>0</v>
      </c>
    </row>
    <row r="14025" spans="3:10" hidden="1" x14ac:dyDescent="0.25">
      <c r="F14025" s="527">
        <v>416</v>
      </c>
      <c r="G14025" s="520" t="s">
        <v>4200</v>
      </c>
      <c r="J14025" s="595">
        <f t="shared" si="426"/>
        <v>0</v>
      </c>
    </row>
    <row r="14026" spans="3:10" hidden="1" x14ac:dyDescent="0.25">
      <c r="F14026" s="527">
        <v>417</v>
      </c>
      <c r="G14026" s="520" t="s">
        <v>4201</v>
      </c>
      <c r="J14026" s="595">
        <f t="shared" si="426"/>
        <v>0</v>
      </c>
    </row>
    <row r="14027" spans="3:10" hidden="1" x14ac:dyDescent="0.25">
      <c r="F14027" s="527">
        <v>418</v>
      </c>
      <c r="G14027" s="520" t="s">
        <v>3793</v>
      </c>
      <c r="J14027" s="595">
        <f t="shared" si="426"/>
        <v>0</v>
      </c>
    </row>
    <row r="14028" spans="3:10" x14ac:dyDescent="0.25">
      <c r="E14028" s="218">
        <v>150</v>
      </c>
      <c r="F14028" s="527">
        <v>421</v>
      </c>
      <c r="G14028" s="520" t="s">
        <v>3797</v>
      </c>
      <c r="H14028" s="594">
        <v>100000</v>
      </c>
      <c r="J14028" s="595">
        <f t="shared" si="426"/>
        <v>100000</v>
      </c>
    </row>
    <row r="14029" spans="3:10" x14ac:dyDescent="0.25">
      <c r="E14029" s="218">
        <v>151</v>
      </c>
      <c r="F14029" s="527">
        <v>422</v>
      </c>
      <c r="G14029" s="520" t="s">
        <v>3798</v>
      </c>
      <c r="H14029" s="594">
        <v>20000</v>
      </c>
      <c r="J14029" s="595">
        <f t="shared" si="426"/>
        <v>20000</v>
      </c>
    </row>
    <row r="14030" spans="3:10" hidden="1" x14ac:dyDescent="0.25">
      <c r="F14030" s="527">
        <v>423</v>
      </c>
      <c r="G14030" s="520" t="s">
        <v>3799</v>
      </c>
      <c r="J14030" s="595">
        <f t="shared" si="426"/>
        <v>0</v>
      </c>
    </row>
    <row r="14031" spans="3:10" x14ac:dyDescent="0.25">
      <c r="E14031" s="218">
        <v>152</v>
      </c>
      <c r="F14031" s="527">
        <v>424</v>
      </c>
      <c r="G14031" s="520" t="s">
        <v>3801</v>
      </c>
      <c r="H14031" s="594">
        <v>300000</v>
      </c>
      <c r="J14031" s="595">
        <f t="shared" si="426"/>
        <v>300000</v>
      </c>
    </row>
    <row r="14032" spans="3:10" ht="15.75" thickBot="1" x14ac:dyDescent="0.3">
      <c r="E14032" s="218">
        <v>153</v>
      </c>
      <c r="F14032" s="527">
        <v>425</v>
      </c>
      <c r="G14032" s="520" t="s">
        <v>4202</v>
      </c>
      <c r="H14032" s="594">
        <v>500000</v>
      </c>
      <c r="J14032" s="595">
        <f t="shared" si="426"/>
        <v>500000</v>
      </c>
    </row>
    <row r="14033" spans="6:10" hidden="1" x14ac:dyDescent="0.25">
      <c r="F14033" s="527">
        <v>426</v>
      </c>
      <c r="G14033" s="520" t="s">
        <v>3805</v>
      </c>
      <c r="J14033" s="595">
        <f t="shared" si="426"/>
        <v>0</v>
      </c>
    </row>
    <row r="14034" spans="6:10" hidden="1" x14ac:dyDescent="0.25">
      <c r="F14034" s="527">
        <v>431</v>
      </c>
      <c r="G14034" s="520" t="s">
        <v>4203</v>
      </c>
      <c r="J14034" s="595">
        <f t="shared" si="426"/>
        <v>0</v>
      </c>
    </row>
    <row r="14035" spans="6:10" hidden="1" x14ac:dyDescent="0.25">
      <c r="F14035" s="527">
        <v>432</v>
      </c>
      <c r="G14035" s="520" t="s">
        <v>4204</v>
      </c>
      <c r="J14035" s="595">
        <f t="shared" si="426"/>
        <v>0</v>
      </c>
    </row>
    <row r="14036" spans="6:10" hidden="1" x14ac:dyDescent="0.25">
      <c r="F14036" s="527">
        <v>433</v>
      </c>
      <c r="G14036" s="520" t="s">
        <v>4205</v>
      </c>
      <c r="J14036" s="595">
        <f t="shared" si="426"/>
        <v>0</v>
      </c>
    </row>
    <row r="14037" spans="6:10" hidden="1" x14ac:dyDescent="0.25">
      <c r="F14037" s="527">
        <v>434</v>
      </c>
      <c r="G14037" s="520" t="s">
        <v>4206</v>
      </c>
      <c r="J14037" s="595">
        <f t="shared" si="426"/>
        <v>0</v>
      </c>
    </row>
    <row r="14038" spans="6:10" hidden="1" x14ac:dyDescent="0.25">
      <c r="F14038" s="527">
        <v>435</v>
      </c>
      <c r="G14038" s="520" t="s">
        <v>3812</v>
      </c>
      <c r="J14038" s="595">
        <f t="shared" si="426"/>
        <v>0</v>
      </c>
    </row>
    <row r="14039" spans="6:10" hidden="1" x14ac:dyDescent="0.25">
      <c r="F14039" s="527">
        <v>441</v>
      </c>
      <c r="G14039" s="520" t="s">
        <v>4207</v>
      </c>
      <c r="J14039" s="595">
        <f t="shared" si="426"/>
        <v>0</v>
      </c>
    </row>
    <row r="14040" spans="6:10" hidden="1" x14ac:dyDescent="0.25">
      <c r="F14040" s="527">
        <v>442</v>
      </c>
      <c r="G14040" s="520" t="s">
        <v>4208</v>
      </c>
      <c r="J14040" s="595">
        <f t="shared" si="426"/>
        <v>0</v>
      </c>
    </row>
    <row r="14041" spans="6:10" hidden="1" x14ac:dyDescent="0.25">
      <c r="F14041" s="527">
        <v>443</v>
      </c>
      <c r="G14041" s="520" t="s">
        <v>3817</v>
      </c>
      <c r="J14041" s="595">
        <f t="shared" si="426"/>
        <v>0</v>
      </c>
    </row>
    <row r="14042" spans="6:10" hidden="1" x14ac:dyDescent="0.25">
      <c r="F14042" s="527">
        <v>444</v>
      </c>
      <c r="G14042" s="520" t="s">
        <v>3818</v>
      </c>
      <c r="J14042" s="595">
        <f t="shared" si="426"/>
        <v>0</v>
      </c>
    </row>
    <row r="14043" spans="6:10" ht="30" hidden="1" x14ac:dyDescent="0.25">
      <c r="F14043" s="527">
        <v>4511</v>
      </c>
      <c r="G14043" s="223" t="s">
        <v>1692</v>
      </c>
      <c r="J14043" s="595">
        <f t="shared" si="426"/>
        <v>0</v>
      </c>
    </row>
    <row r="14044" spans="6:10" ht="30" hidden="1" x14ac:dyDescent="0.25">
      <c r="F14044" s="527">
        <v>4512</v>
      </c>
      <c r="G14044" s="223" t="s">
        <v>1701</v>
      </c>
      <c r="J14044" s="595">
        <f t="shared" si="426"/>
        <v>0</v>
      </c>
    </row>
    <row r="14045" spans="6:10" hidden="1" x14ac:dyDescent="0.25">
      <c r="F14045" s="527">
        <v>452</v>
      </c>
      <c r="G14045" s="520" t="s">
        <v>4209</v>
      </c>
      <c r="J14045" s="595">
        <f t="shared" si="426"/>
        <v>0</v>
      </c>
    </row>
    <row r="14046" spans="6:10" hidden="1" x14ac:dyDescent="0.25">
      <c r="F14046" s="527">
        <v>453</v>
      </c>
      <c r="G14046" s="520" t="s">
        <v>4210</v>
      </c>
      <c r="J14046" s="595">
        <f t="shared" si="426"/>
        <v>0</v>
      </c>
    </row>
    <row r="14047" spans="6:10" hidden="1" x14ac:dyDescent="0.25">
      <c r="F14047" s="527">
        <v>454</v>
      </c>
      <c r="G14047" s="520" t="s">
        <v>3823</v>
      </c>
      <c r="J14047" s="595">
        <f t="shared" si="426"/>
        <v>0</v>
      </c>
    </row>
    <row r="14048" spans="6:10" hidden="1" x14ac:dyDescent="0.25">
      <c r="F14048" s="527">
        <v>461</v>
      </c>
      <c r="G14048" s="520" t="s">
        <v>4191</v>
      </c>
      <c r="J14048" s="595">
        <f t="shared" si="426"/>
        <v>0</v>
      </c>
    </row>
    <row r="14049" spans="6:10" hidden="1" x14ac:dyDescent="0.25">
      <c r="F14049" s="527">
        <v>462</v>
      </c>
      <c r="G14049" s="520" t="s">
        <v>3826</v>
      </c>
      <c r="J14049" s="595">
        <f t="shared" si="426"/>
        <v>0</v>
      </c>
    </row>
    <row r="14050" spans="6:10" hidden="1" x14ac:dyDescent="0.25">
      <c r="F14050" s="527">
        <v>4631</v>
      </c>
      <c r="G14050" s="520" t="s">
        <v>3827</v>
      </c>
      <c r="J14050" s="595">
        <f t="shared" si="426"/>
        <v>0</v>
      </c>
    </row>
    <row r="14051" spans="6:10" hidden="1" x14ac:dyDescent="0.25">
      <c r="F14051" s="527">
        <v>4632</v>
      </c>
      <c r="G14051" s="520" t="s">
        <v>3828</v>
      </c>
      <c r="J14051" s="595">
        <f t="shared" si="426"/>
        <v>0</v>
      </c>
    </row>
    <row r="14052" spans="6:10" hidden="1" x14ac:dyDescent="0.25">
      <c r="F14052" s="527">
        <v>464</v>
      </c>
      <c r="G14052" s="520" t="s">
        <v>3829</v>
      </c>
      <c r="J14052" s="595">
        <f t="shared" si="426"/>
        <v>0</v>
      </c>
    </row>
    <row r="14053" spans="6:10" hidden="1" x14ac:dyDescent="0.25">
      <c r="F14053" s="527">
        <v>465</v>
      </c>
      <c r="G14053" s="520" t="s">
        <v>4192</v>
      </c>
      <c r="J14053" s="595">
        <f t="shared" si="426"/>
        <v>0</v>
      </c>
    </row>
    <row r="14054" spans="6:10" hidden="1" x14ac:dyDescent="0.25">
      <c r="F14054" s="527">
        <v>472</v>
      </c>
      <c r="G14054" s="520" t="s">
        <v>3833</v>
      </c>
      <c r="J14054" s="595">
        <f t="shared" si="426"/>
        <v>0</v>
      </c>
    </row>
    <row r="14055" spans="6:10" hidden="1" x14ac:dyDescent="0.25">
      <c r="F14055" s="527">
        <v>481</v>
      </c>
      <c r="G14055" s="520" t="s">
        <v>4211</v>
      </c>
      <c r="J14055" s="595">
        <f t="shared" si="426"/>
        <v>0</v>
      </c>
    </row>
    <row r="14056" spans="6:10" hidden="1" x14ac:dyDescent="0.25">
      <c r="F14056" s="527">
        <v>482</v>
      </c>
      <c r="G14056" s="520" t="s">
        <v>4212</v>
      </c>
      <c r="J14056" s="595">
        <f t="shared" si="426"/>
        <v>0</v>
      </c>
    </row>
    <row r="14057" spans="6:10" hidden="1" x14ac:dyDescent="0.25">
      <c r="F14057" s="527">
        <v>483</v>
      </c>
      <c r="G14057" s="524" t="s">
        <v>4213</v>
      </c>
      <c r="J14057" s="595">
        <f t="shared" si="426"/>
        <v>0</v>
      </c>
    </row>
    <row r="14058" spans="6:10" ht="30" hidden="1" x14ac:dyDescent="0.25">
      <c r="F14058" s="527">
        <v>484</v>
      </c>
      <c r="G14058" s="520" t="s">
        <v>4214</v>
      </c>
      <c r="J14058" s="595">
        <f t="shared" si="426"/>
        <v>0</v>
      </c>
    </row>
    <row r="14059" spans="6:10" ht="30" hidden="1" x14ac:dyDescent="0.25">
      <c r="F14059" s="527">
        <v>485</v>
      </c>
      <c r="G14059" s="520" t="s">
        <v>4215</v>
      </c>
      <c r="J14059" s="595">
        <f t="shared" si="426"/>
        <v>0</v>
      </c>
    </row>
    <row r="14060" spans="6:10" ht="30" hidden="1" x14ac:dyDescent="0.25">
      <c r="F14060" s="527">
        <v>489</v>
      </c>
      <c r="G14060" s="520" t="s">
        <v>3841</v>
      </c>
      <c r="J14060" s="595">
        <f t="shared" si="426"/>
        <v>0</v>
      </c>
    </row>
    <row r="14061" spans="6:10" hidden="1" x14ac:dyDescent="0.25">
      <c r="F14061" s="527">
        <v>494</v>
      </c>
      <c r="G14061" s="520" t="s">
        <v>4193</v>
      </c>
      <c r="J14061" s="595">
        <f t="shared" si="426"/>
        <v>0</v>
      </c>
    </row>
    <row r="14062" spans="6:10" ht="30" hidden="1" x14ac:dyDescent="0.25">
      <c r="F14062" s="527">
        <v>495</v>
      </c>
      <c r="G14062" s="520" t="s">
        <v>4194</v>
      </c>
      <c r="J14062" s="595">
        <f t="shared" si="426"/>
        <v>0</v>
      </c>
    </row>
    <row r="14063" spans="6:10" ht="30" hidden="1" x14ac:dyDescent="0.25">
      <c r="F14063" s="527">
        <v>496</v>
      </c>
      <c r="G14063" s="520" t="s">
        <v>4195</v>
      </c>
      <c r="J14063" s="595">
        <f t="shared" si="426"/>
        <v>0</v>
      </c>
    </row>
    <row r="14064" spans="6:10" hidden="1" x14ac:dyDescent="0.25">
      <c r="F14064" s="527">
        <v>499</v>
      </c>
      <c r="G14064" s="520" t="s">
        <v>4196</v>
      </c>
      <c r="J14064" s="595">
        <f t="shared" si="426"/>
        <v>0</v>
      </c>
    </row>
    <row r="14065" spans="5:10" hidden="1" x14ac:dyDescent="0.25">
      <c r="F14065" s="527">
        <v>511</v>
      </c>
      <c r="G14065" s="524" t="s">
        <v>4216</v>
      </c>
      <c r="J14065" s="595">
        <f t="shared" si="426"/>
        <v>0</v>
      </c>
    </row>
    <row r="14066" spans="5:10" hidden="1" x14ac:dyDescent="0.25">
      <c r="F14066" s="527">
        <v>512</v>
      </c>
      <c r="G14066" s="524" t="s">
        <v>4217</v>
      </c>
      <c r="J14066" s="595">
        <f t="shared" si="426"/>
        <v>0</v>
      </c>
    </row>
    <row r="14067" spans="5:10" hidden="1" x14ac:dyDescent="0.25">
      <c r="F14067" s="527">
        <v>513</v>
      </c>
      <c r="G14067" s="524" t="s">
        <v>4218</v>
      </c>
      <c r="J14067" s="595">
        <f t="shared" si="426"/>
        <v>0</v>
      </c>
    </row>
    <row r="14068" spans="5:10" hidden="1" x14ac:dyDescent="0.25">
      <c r="F14068" s="527">
        <v>514</v>
      </c>
      <c r="G14068" s="520" t="s">
        <v>4219</v>
      </c>
      <c r="J14068" s="595">
        <f t="shared" si="426"/>
        <v>0</v>
      </c>
    </row>
    <row r="14069" spans="5:10" hidden="1" x14ac:dyDescent="0.25">
      <c r="F14069" s="527">
        <v>515</v>
      </c>
      <c r="G14069" s="520" t="s">
        <v>3852</v>
      </c>
      <c r="J14069" s="595">
        <f t="shared" si="426"/>
        <v>0</v>
      </c>
    </row>
    <row r="14070" spans="5:10" hidden="1" x14ac:dyDescent="0.25">
      <c r="F14070" s="527">
        <v>521</v>
      </c>
      <c r="G14070" s="520" t="s">
        <v>4220</v>
      </c>
      <c r="J14070" s="595">
        <f t="shared" si="426"/>
        <v>0</v>
      </c>
    </row>
    <row r="14071" spans="5:10" hidden="1" x14ac:dyDescent="0.25">
      <c r="F14071" s="527">
        <v>522</v>
      </c>
      <c r="G14071" s="520" t="s">
        <v>4221</v>
      </c>
      <c r="J14071" s="595">
        <f t="shared" si="426"/>
        <v>0</v>
      </c>
    </row>
    <row r="14072" spans="5:10" hidden="1" x14ac:dyDescent="0.25">
      <c r="F14072" s="527">
        <v>523</v>
      </c>
      <c r="G14072" s="520" t="s">
        <v>3857</v>
      </c>
      <c r="J14072" s="595">
        <f t="shared" si="426"/>
        <v>0</v>
      </c>
    </row>
    <row r="14073" spans="5:10" hidden="1" x14ac:dyDescent="0.25">
      <c r="F14073" s="527">
        <v>531</v>
      </c>
      <c r="G14073" s="516" t="s">
        <v>4197</v>
      </c>
      <c r="J14073" s="595">
        <f t="shared" si="426"/>
        <v>0</v>
      </c>
    </row>
    <row r="14074" spans="5:10" hidden="1" x14ac:dyDescent="0.25">
      <c r="F14074" s="527">
        <v>541</v>
      </c>
      <c r="G14074" s="520" t="s">
        <v>4222</v>
      </c>
      <c r="J14074" s="595">
        <f t="shared" si="426"/>
        <v>0</v>
      </c>
    </row>
    <row r="14075" spans="5:10" hidden="1" x14ac:dyDescent="0.25">
      <c r="F14075" s="527">
        <v>542</v>
      </c>
      <c r="G14075" s="520" t="s">
        <v>4223</v>
      </c>
      <c r="J14075" s="595">
        <f t="shared" si="426"/>
        <v>0</v>
      </c>
    </row>
    <row r="14076" spans="5:10" hidden="1" x14ac:dyDescent="0.25">
      <c r="F14076" s="527">
        <v>543</v>
      </c>
      <c r="G14076" s="520" t="s">
        <v>3862</v>
      </c>
      <c r="J14076" s="595">
        <f t="shared" si="426"/>
        <v>0</v>
      </c>
    </row>
    <row r="14077" spans="5:10" ht="30" hidden="1" x14ac:dyDescent="0.25">
      <c r="F14077" s="527">
        <v>551</v>
      </c>
      <c r="G14077" s="520" t="s">
        <v>4198</v>
      </c>
      <c r="J14077" s="595">
        <f t="shared" si="426"/>
        <v>0</v>
      </c>
    </row>
    <row r="14078" spans="5:10" hidden="1" x14ac:dyDescent="0.25">
      <c r="F14078" s="528">
        <v>611</v>
      </c>
      <c r="G14078" s="526" t="s">
        <v>3868</v>
      </c>
      <c r="J14078" s="595">
        <f t="shared" si="426"/>
        <v>0</v>
      </c>
    </row>
    <row r="14079" spans="5:10" ht="15.75" hidden="1" thickBot="1" x14ac:dyDescent="0.3">
      <c r="F14079" s="528">
        <v>620</v>
      </c>
      <c r="G14079" s="526" t="s">
        <v>88</v>
      </c>
      <c r="J14079" s="595">
        <f t="shared" si="426"/>
        <v>0</v>
      </c>
    </row>
    <row r="14080" spans="5:10" x14ac:dyDescent="0.25">
      <c r="E14080" s="517"/>
      <c r="F14080" s="528"/>
      <c r="G14080" s="327" t="s">
        <v>5212</v>
      </c>
      <c r="H14080" s="596"/>
      <c r="I14080" s="622"/>
      <c r="J14080" s="597"/>
    </row>
    <row r="14081" spans="5:10" ht="15.75" thickBot="1" x14ac:dyDescent="0.3">
      <c r="E14081" s="222"/>
      <c r="F14081" s="642" t="s">
        <v>234</v>
      </c>
      <c r="G14081" s="643" t="s">
        <v>235</v>
      </c>
      <c r="H14081" s="598">
        <f>SUM(H14020:H14079)</f>
        <v>920000</v>
      </c>
      <c r="I14081" s="599"/>
      <c r="J14081" s="599">
        <f t="shared" ref="J14081:J14096" si="427">SUM(H14081:I14081)</f>
        <v>920000</v>
      </c>
    </row>
    <row r="14082" spans="5:10" hidden="1" x14ac:dyDescent="0.25">
      <c r="F14082" s="642" t="s">
        <v>236</v>
      </c>
      <c r="G14082" s="643" t="s">
        <v>237</v>
      </c>
      <c r="J14082" s="599">
        <f t="shared" si="427"/>
        <v>0</v>
      </c>
    </row>
    <row r="14083" spans="5:10" hidden="1" x14ac:dyDescent="0.25">
      <c r="F14083" s="642" t="s">
        <v>238</v>
      </c>
      <c r="G14083" s="643" t="s">
        <v>239</v>
      </c>
      <c r="J14083" s="599">
        <f t="shared" si="427"/>
        <v>0</v>
      </c>
    </row>
    <row r="14084" spans="5:10" hidden="1" x14ac:dyDescent="0.25">
      <c r="F14084" s="642" t="s">
        <v>240</v>
      </c>
      <c r="G14084" s="643" t="s">
        <v>241</v>
      </c>
      <c r="J14084" s="599">
        <f t="shared" si="427"/>
        <v>0</v>
      </c>
    </row>
    <row r="14085" spans="5:10" hidden="1" x14ac:dyDescent="0.25">
      <c r="F14085" s="642" t="s">
        <v>242</v>
      </c>
      <c r="G14085" s="643" t="s">
        <v>243</v>
      </c>
      <c r="J14085" s="599">
        <f t="shared" si="427"/>
        <v>0</v>
      </c>
    </row>
    <row r="14086" spans="5:10" hidden="1" x14ac:dyDescent="0.25">
      <c r="F14086" s="642" t="s">
        <v>244</v>
      </c>
      <c r="G14086" s="643" t="s">
        <v>245</v>
      </c>
      <c r="J14086" s="599">
        <f t="shared" si="427"/>
        <v>0</v>
      </c>
    </row>
    <row r="14087" spans="5:10" hidden="1" x14ac:dyDescent="0.25">
      <c r="F14087" s="642" t="s">
        <v>246</v>
      </c>
      <c r="G14087" s="643" t="s">
        <v>247</v>
      </c>
      <c r="J14087" s="599">
        <f t="shared" si="427"/>
        <v>0</v>
      </c>
    </row>
    <row r="14088" spans="5:10" hidden="1" x14ac:dyDescent="0.25">
      <c r="F14088" s="642" t="s">
        <v>248</v>
      </c>
      <c r="G14088" s="643" t="s">
        <v>249</v>
      </c>
      <c r="J14088" s="599">
        <f t="shared" si="427"/>
        <v>0</v>
      </c>
    </row>
    <row r="14089" spans="5:10" hidden="1" x14ac:dyDescent="0.25">
      <c r="F14089" s="642" t="s">
        <v>250</v>
      </c>
      <c r="G14089" s="643" t="s">
        <v>57</v>
      </c>
      <c r="J14089" s="599">
        <f t="shared" si="427"/>
        <v>0</v>
      </c>
    </row>
    <row r="14090" spans="5:10" hidden="1" x14ac:dyDescent="0.25">
      <c r="F14090" s="642" t="s">
        <v>251</v>
      </c>
      <c r="G14090" s="643" t="s">
        <v>252</v>
      </c>
      <c r="J14090" s="599">
        <f t="shared" si="427"/>
        <v>0</v>
      </c>
    </row>
    <row r="14091" spans="5:10" hidden="1" x14ac:dyDescent="0.25">
      <c r="F14091" s="642" t="s">
        <v>253</v>
      </c>
      <c r="G14091" s="643" t="s">
        <v>254</v>
      </c>
      <c r="J14091" s="599">
        <f t="shared" si="427"/>
        <v>0</v>
      </c>
    </row>
    <row r="14092" spans="5:10" ht="30" hidden="1" x14ac:dyDescent="0.25">
      <c r="F14092" s="642" t="s">
        <v>255</v>
      </c>
      <c r="G14092" s="643" t="s">
        <v>256</v>
      </c>
      <c r="J14092" s="599">
        <f t="shared" si="427"/>
        <v>0</v>
      </c>
    </row>
    <row r="14093" spans="5:10" hidden="1" x14ac:dyDescent="0.25">
      <c r="F14093" s="642" t="s">
        <v>257</v>
      </c>
      <c r="G14093" s="643" t="s">
        <v>258</v>
      </c>
      <c r="J14093" s="599">
        <f t="shared" si="427"/>
        <v>0</v>
      </c>
    </row>
    <row r="14094" spans="5:10" ht="30" hidden="1" x14ac:dyDescent="0.25">
      <c r="F14094" s="642" t="s">
        <v>259</v>
      </c>
      <c r="G14094" s="643" t="s">
        <v>260</v>
      </c>
      <c r="J14094" s="599">
        <f t="shared" si="427"/>
        <v>0</v>
      </c>
    </row>
    <row r="14095" spans="5:10" hidden="1" x14ac:dyDescent="0.25">
      <c r="F14095" s="642" t="s">
        <v>261</v>
      </c>
      <c r="G14095" s="643" t="s">
        <v>262</v>
      </c>
      <c r="J14095" s="599">
        <f t="shared" si="427"/>
        <v>0</v>
      </c>
    </row>
    <row r="14096" spans="5:10" ht="15.75" hidden="1" thickBot="1" x14ac:dyDescent="0.3">
      <c r="F14096" s="642" t="s">
        <v>263</v>
      </c>
      <c r="G14096" s="643" t="s">
        <v>264</v>
      </c>
      <c r="H14096" s="598"/>
      <c r="I14096" s="599"/>
      <c r="J14096" s="599">
        <f t="shared" si="427"/>
        <v>0</v>
      </c>
    </row>
    <row r="14097" spans="5:10" ht="15.75" thickBot="1" x14ac:dyDescent="0.3">
      <c r="G14097" s="229" t="s">
        <v>5213</v>
      </c>
      <c r="H14097" s="600">
        <f>SUM(H14081:H14096)</f>
        <v>920000</v>
      </c>
      <c r="I14097" s="601">
        <f>SUM(I14082:I14096)</f>
        <v>0</v>
      </c>
      <c r="J14097" s="601">
        <f>SUM(J14081:J14096)</f>
        <v>920000</v>
      </c>
    </row>
    <row r="14098" spans="5:10" ht="28.5" x14ac:dyDescent="0.25">
      <c r="E14098" s="517"/>
      <c r="F14098" s="528"/>
      <c r="G14098" s="231" t="s">
        <v>4434</v>
      </c>
      <c r="H14098" s="602"/>
      <c r="I14098" s="623"/>
      <c r="J14098" s="603"/>
    </row>
    <row r="14099" spans="5:10" ht="15.75" thickBot="1" x14ac:dyDescent="0.3">
      <c r="E14099" s="222"/>
      <c r="F14099" s="642" t="s">
        <v>234</v>
      </c>
      <c r="G14099" s="643" t="s">
        <v>235</v>
      </c>
      <c r="H14099" s="598">
        <f>SUM(H14020:H14079)</f>
        <v>920000</v>
      </c>
      <c r="I14099" s="599"/>
      <c r="J14099" s="599">
        <f>SUM(H14099:I14099)</f>
        <v>920000</v>
      </c>
    </row>
    <row r="14100" spans="5:10" hidden="1" x14ac:dyDescent="0.25">
      <c r="F14100" s="642" t="s">
        <v>236</v>
      </c>
      <c r="G14100" s="643" t="s">
        <v>237</v>
      </c>
      <c r="J14100" s="599">
        <f t="shared" ref="J14100:J14114" si="428">SUM(H14100:I14100)</f>
        <v>0</v>
      </c>
    </row>
    <row r="14101" spans="5:10" hidden="1" x14ac:dyDescent="0.25">
      <c r="F14101" s="642" t="s">
        <v>238</v>
      </c>
      <c r="G14101" s="643" t="s">
        <v>239</v>
      </c>
      <c r="J14101" s="599">
        <f t="shared" si="428"/>
        <v>0</v>
      </c>
    </row>
    <row r="14102" spans="5:10" hidden="1" x14ac:dyDescent="0.25">
      <c r="F14102" s="642" t="s">
        <v>240</v>
      </c>
      <c r="G14102" s="643" t="s">
        <v>241</v>
      </c>
      <c r="J14102" s="599">
        <f t="shared" si="428"/>
        <v>0</v>
      </c>
    </row>
    <row r="14103" spans="5:10" hidden="1" x14ac:dyDescent="0.25">
      <c r="F14103" s="642" t="s">
        <v>242</v>
      </c>
      <c r="G14103" s="643" t="s">
        <v>243</v>
      </c>
      <c r="J14103" s="599">
        <f t="shared" si="428"/>
        <v>0</v>
      </c>
    </row>
    <row r="14104" spans="5:10" hidden="1" x14ac:dyDescent="0.25">
      <c r="F14104" s="642" t="s">
        <v>244</v>
      </c>
      <c r="G14104" s="643" t="s">
        <v>245</v>
      </c>
      <c r="J14104" s="599">
        <f t="shared" si="428"/>
        <v>0</v>
      </c>
    </row>
    <row r="14105" spans="5:10" hidden="1" x14ac:dyDescent="0.25">
      <c r="F14105" s="642" t="s">
        <v>246</v>
      </c>
      <c r="G14105" s="643" t="s">
        <v>247</v>
      </c>
      <c r="J14105" s="599">
        <f t="shared" si="428"/>
        <v>0</v>
      </c>
    </row>
    <row r="14106" spans="5:10" hidden="1" x14ac:dyDescent="0.25">
      <c r="F14106" s="642" t="s">
        <v>248</v>
      </c>
      <c r="G14106" s="643" t="s">
        <v>249</v>
      </c>
      <c r="J14106" s="599">
        <f t="shared" si="428"/>
        <v>0</v>
      </c>
    </row>
    <row r="14107" spans="5:10" hidden="1" x14ac:dyDescent="0.25">
      <c r="F14107" s="642" t="s">
        <v>250</v>
      </c>
      <c r="G14107" s="643" t="s">
        <v>57</v>
      </c>
      <c r="J14107" s="599">
        <f t="shared" si="428"/>
        <v>0</v>
      </c>
    </row>
    <row r="14108" spans="5:10" hidden="1" x14ac:dyDescent="0.25">
      <c r="F14108" s="642" t="s">
        <v>251</v>
      </c>
      <c r="G14108" s="643" t="s">
        <v>252</v>
      </c>
      <c r="J14108" s="599">
        <f t="shared" si="428"/>
        <v>0</v>
      </c>
    </row>
    <row r="14109" spans="5:10" hidden="1" x14ac:dyDescent="0.25">
      <c r="F14109" s="642" t="s">
        <v>253</v>
      </c>
      <c r="G14109" s="643" t="s">
        <v>254</v>
      </c>
      <c r="J14109" s="599">
        <f t="shared" si="428"/>
        <v>0</v>
      </c>
    </row>
    <row r="14110" spans="5:10" ht="30" hidden="1" x14ac:dyDescent="0.25">
      <c r="F14110" s="642" t="s">
        <v>255</v>
      </c>
      <c r="G14110" s="643" t="s">
        <v>256</v>
      </c>
      <c r="J14110" s="599">
        <f t="shared" si="428"/>
        <v>0</v>
      </c>
    </row>
    <row r="14111" spans="5:10" hidden="1" x14ac:dyDescent="0.25">
      <c r="F14111" s="642" t="s">
        <v>257</v>
      </c>
      <c r="G14111" s="643" t="s">
        <v>258</v>
      </c>
      <c r="J14111" s="599">
        <f t="shared" si="428"/>
        <v>0</v>
      </c>
    </row>
    <row r="14112" spans="5:10" ht="30" hidden="1" x14ac:dyDescent="0.25">
      <c r="F14112" s="642" t="s">
        <v>259</v>
      </c>
      <c r="G14112" s="643" t="s">
        <v>260</v>
      </c>
      <c r="J14112" s="599">
        <f t="shared" si="428"/>
        <v>0</v>
      </c>
    </row>
    <row r="14113" spans="3:10" hidden="1" x14ac:dyDescent="0.25">
      <c r="F14113" s="642" t="s">
        <v>261</v>
      </c>
      <c r="G14113" s="643" t="s">
        <v>262</v>
      </c>
      <c r="J14113" s="599">
        <f t="shared" si="428"/>
        <v>0</v>
      </c>
    </row>
    <row r="14114" spans="3:10" ht="15.75" hidden="1" thickBot="1" x14ac:dyDescent="0.3">
      <c r="F14114" s="642" t="s">
        <v>263</v>
      </c>
      <c r="G14114" s="643" t="s">
        <v>264</v>
      </c>
      <c r="H14114" s="598"/>
      <c r="I14114" s="599"/>
      <c r="J14114" s="599">
        <f t="shared" si="428"/>
        <v>0</v>
      </c>
    </row>
    <row r="14115" spans="3:10" ht="15.75" thickBot="1" x14ac:dyDescent="0.3">
      <c r="G14115" s="229" t="s">
        <v>4435</v>
      </c>
      <c r="H14115" s="600">
        <f>SUM(H14099:H14114)</f>
        <v>920000</v>
      </c>
      <c r="I14115" s="601">
        <f>SUM(I14100:I14114)</f>
        <v>0</v>
      </c>
      <c r="J14115" s="601">
        <f>SUM(J14099:J14114)</f>
        <v>920000</v>
      </c>
    </row>
    <row r="14117" spans="3:10" x14ac:dyDescent="0.25">
      <c r="C14117" s="276" t="s">
        <v>5214</v>
      </c>
      <c r="D14117" s="219"/>
      <c r="E14117" s="219"/>
      <c r="F14117" s="277"/>
      <c r="G14117" s="278" t="s">
        <v>5215</v>
      </c>
      <c r="H14117" s="627"/>
      <c r="I14117" s="610"/>
      <c r="J14117" s="628"/>
    </row>
    <row r="14118" spans="3:10" x14ac:dyDescent="0.25">
      <c r="C14118" s="228"/>
      <c r="D14118" s="312">
        <v>510</v>
      </c>
      <c r="E14118" s="312"/>
      <c r="F14118" s="312"/>
      <c r="G14118" s="313" t="s">
        <v>174</v>
      </c>
    </row>
    <row r="14119" spans="3:10" hidden="1" x14ac:dyDescent="0.25">
      <c r="F14119" s="527">
        <v>411</v>
      </c>
      <c r="G14119" s="520" t="s">
        <v>4189</v>
      </c>
      <c r="J14119" s="595">
        <f>SUM(H14119:I14119)</f>
        <v>0</v>
      </c>
    </row>
    <row r="14120" spans="3:10" hidden="1" x14ac:dyDescent="0.25">
      <c r="F14120" s="527">
        <v>412</v>
      </c>
      <c r="G14120" s="516" t="s">
        <v>3784</v>
      </c>
      <c r="J14120" s="595">
        <f t="shared" ref="J14120:J14178" si="429">SUM(H14120:I14120)</f>
        <v>0</v>
      </c>
    </row>
    <row r="14121" spans="3:10" hidden="1" x14ac:dyDescent="0.25">
      <c r="F14121" s="527">
        <v>413</v>
      </c>
      <c r="G14121" s="520" t="s">
        <v>4190</v>
      </c>
      <c r="J14121" s="595">
        <f t="shared" si="429"/>
        <v>0</v>
      </c>
    </row>
    <row r="14122" spans="3:10" hidden="1" x14ac:dyDescent="0.25">
      <c r="F14122" s="527">
        <v>414</v>
      </c>
      <c r="G14122" s="520" t="s">
        <v>3787</v>
      </c>
      <c r="J14122" s="595">
        <f t="shared" si="429"/>
        <v>0</v>
      </c>
    </row>
    <row r="14123" spans="3:10" hidden="1" x14ac:dyDescent="0.25">
      <c r="F14123" s="527">
        <v>415</v>
      </c>
      <c r="G14123" s="520" t="s">
        <v>4199</v>
      </c>
      <c r="J14123" s="595">
        <f t="shared" si="429"/>
        <v>0</v>
      </c>
    </row>
    <row r="14124" spans="3:10" hidden="1" x14ac:dyDescent="0.25">
      <c r="F14124" s="527">
        <v>416</v>
      </c>
      <c r="G14124" s="520" t="s">
        <v>4200</v>
      </c>
      <c r="J14124" s="595">
        <f t="shared" si="429"/>
        <v>0</v>
      </c>
    </row>
    <row r="14125" spans="3:10" hidden="1" x14ac:dyDescent="0.25">
      <c r="F14125" s="527">
        <v>417</v>
      </c>
      <c r="G14125" s="520" t="s">
        <v>4201</v>
      </c>
      <c r="J14125" s="595">
        <f t="shared" si="429"/>
        <v>0</v>
      </c>
    </row>
    <row r="14126" spans="3:10" hidden="1" x14ac:dyDescent="0.25">
      <c r="F14126" s="527">
        <v>418</v>
      </c>
      <c r="G14126" s="520" t="s">
        <v>3793</v>
      </c>
      <c r="J14126" s="595">
        <f t="shared" si="429"/>
        <v>0</v>
      </c>
    </row>
    <row r="14127" spans="3:10" x14ac:dyDescent="0.25">
      <c r="E14127" s="218">
        <v>154</v>
      </c>
      <c r="F14127" s="527">
        <v>421</v>
      </c>
      <c r="G14127" s="520" t="s">
        <v>3797</v>
      </c>
      <c r="H14127" s="594">
        <v>400000</v>
      </c>
      <c r="J14127" s="595">
        <f t="shared" si="429"/>
        <v>400000</v>
      </c>
    </row>
    <row r="14128" spans="3:10" x14ac:dyDescent="0.25">
      <c r="E14128" s="218">
        <v>155</v>
      </c>
      <c r="F14128" s="527">
        <v>422</v>
      </c>
      <c r="G14128" s="520" t="s">
        <v>3798</v>
      </c>
      <c r="H14128" s="594">
        <v>20000</v>
      </c>
      <c r="J14128" s="595">
        <f t="shared" si="429"/>
        <v>20000</v>
      </c>
    </row>
    <row r="14129" spans="5:10" hidden="1" x14ac:dyDescent="0.25">
      <c r="F14129" s="527">
        <v>423</v>
      </c>
      <c r="G14129" s="520" t="s">
        <v>3799</v>
      </c>
      <c r="J14129" s="595">
        <f t="shared" si="429"/>
        <v>0</v>
      </c>
    </row>
    <row r="14130" spans="5:10" x14ac:dyDescent="0.25">
      <c r="E14130" s="218">
        <v>156</v>
      </c>
      <c r="F14130" s="527">
        <v>424</v>
      </c>
      <c r="G14130" s="520" t="s">
        <v>3801</v>
      </c>
      <c r="H14130" s="594">
        <v>1500000</v>
      </c>
      <c r="J14130" s="595">
        <f t="shared" si="429"/>
        <v>1500000</v>
      </c>
    </row>
    <row r="14131" spans="5:10" x14ac:dyDescent="0.25">
      <c r="E14131" s="218">
        <v>157</v>
      </c>
      <c r="F14131" s="527">
        <v>425</v>
      </c>
      <c r="G14131" s="520" t="s">
        <v>4202</v>
      </c>
      <c r="H14131" s="594">
        <v>1000000</v>
      </c>
      <c r="J14131" s="595">
        <f t="shared" si="429"/>
        <v>1000000</v>
      </c>
    </row>
    <row r="14132" spans="5:10" x14ac:dyDescent="0.25">
      <c r="E14132" s="218">
        <v>158</v>
      </c>
      <c r="F14132" s="527">
        <v>426</v>
      </c>
      <c r="G14132" s="520" t="s">
        <v>3805</v>
      </c>
      <c r="H14132" s="594">
        <v>4500000</v>
      </c>
      <c r="J14132" s="595">
        <f t="shared" si="429"/>
        <v>4500000</v>
      </c>
    </row>
    <row r="14133" spans="5:10" hidden="1" x14ac:dyDescent="0.25">
      <c r="F14133" s="527">
        <v>431</v>
      </c>
      <c r="G14133" s="520" t="s">
        <v>4203</v>
      </c>
      <c r="J14133" s="595">
        <f t="shared" si="429"/>
        <v>0</v>
      </c>
    </row>
    <row r="14134" spans="5:10" hidden="1" x14ac:dyDescent="0.25">
      <c r="F14134" s="527">
        <v>432</v>
      </c>
      <c r="G14134" s="520" t="s">
        <v>4204</v>
      </c>
      <c r="J14134" s="595">
        <f t="shared" si="429"/>
        <v>0</v>
      </c>
    </row>
    <row r="14135" spans="5:10" hidden="1" x14ac:dyDescent="0.25">
      <c r="F14135" s="527">
        <v>433</v>
      </c>
      <c r="G14135" s="520" t="s">
        <v>4205</v>
      </c>
      <c r="J14135" s="595">
        <f t="shared" si="429"/>
        <v>0</v>
      </c>
    </row>
    <row r="14136" spans="5:10" hidden="1" x14ac:dyDescent="0.25">
      <c r="F14136" s="527">
        <v>434</v>
      </c>
      <c r="G14136" s="520" t="s">
        <v>4206</v>
      </c>
      <c r="J14136" s="595">
        <f t="shared" si="429"/>
        <v>0</v>
      </c>
    </row>
    <row r="14137" spans="5:10" hidden="1" x14ac:dyDescent="0.25">
      <c r="F14137" s="527">
        <v>435</v>
      </c>
      <c r="G14137" s="520" t="s">
        <v>3812</v>
      </c>
      <c r="J14137" s="595">
        <f t="shared" si="429"/>
        <v>0</v>
      </c>
    </row>
    <row r="14138" spans="5:10" hidden="1" x14ac:dyDescent="0.25">
      <c r="F14138" s="527">
        <v>441</v>
      </c>
      <c r="G14138" s="520" t="s">
        <v>4207</v>
      </c>
      <c r="J14138" s="595">
        <f t="shared" si="429"/>
        <v>0</v>
      </c>
    </row>
    <row r="14139" spans="5:10" hidden="1" x14ac:dyDescent="0.25">
      <c r="F14139" s="527">
        <v>442</v>
      </c>
      <c r="G14139" s="520" t="s">
        <v>4208</v>
      </c>
      <c r="J14139" s="595">
        <f t="shared" si="429"/>
        <v>0</v>
      </c>
    </row>
    <row r="14140" spans="5:10" hidden="1" x14ac:dyDescent="0.25">
      <c r="F14140" s="527">
        <v>443</v>
      </c>
      <c r="G14140" s="520" t="s">
        <v>3817</v>
      </c>
      <c r="J14140" s="595">
        <f t="shared" si="429"/>
        <v>0</v>
      </c>
    </row>
    <row r="14141" spans="5:10" hidden="1" x14ac:dyDescent="0.25">
      <c r="F14141" s="527">
        <v>444</v>
      </c>
      <c r="G14141" s="520" t="s">
        <v>3818</v>
      </c>
      <c r="J14141" s="595">
        <f t="shared" si="429"/>
        <v>0</v>
      </c>
    </row>
    <row r="14142" spans="5:10" ht="30" hidden="1" x14ac:dyDescent="0.25">
      <c r="F14142" s="527">
        <v>4511</v>
      </c>
      <c r="G14142" s="223" t="s">
        <v>1692</v>
      </c>
      <c r="J14142" s="595">
        <f t="shared" si="429"/>
        <v>0</v>
      </c>
    </row>
    <row r="14143" spans="5:10" ht="30" hidden="1" x14ac:dyDescent="0.25">
      <c r="F14143" s="527">
        <v>4512</v>
      </c>
      <c r="G14143" s="223" t="s">
        <v>1701</v>
      </c>
      <c r="J14143" s="595">
        <f t="shared" si="429"/>
        <v>0</v>
      </c>
    </row>
    <row r="14144" spans="5:10" hidden="1" x14ac:dyDescent="0.25">
      <c r="F14144" s="527">
        <v>452</v>
      </c>
      <c r="G14144" s="520" t="s">
        <v>4209</v>
      </c>
      <c r="J14144" s="595">
        <f t="shared" si="429"/>
        <v>0</v>
      </c>
    </row>
    <row r="14145" spans="6:10" hidden="1" x14ac:dyDescent="0.25">
      <c r="F14145" s="527">
        <v>453</v>
      </c>
      <c r="G14145" s="520" t="s">
        <v>4210</v>
      </c>
      <c r="J14145" s="595">
        <f t="shared" si="429"/>
        <v>0</v>
      </c>
    </row>
    <row r="14146" spans="6:10" hidden="1" x14ac:dyDescent="0.25">
      <c r="F14146" s="527">
        <v>454</v>
      </c>
      <c r="G14146" s="520" t="s">
        <v>3823</v>
      </c>
      <c r="J14146" s="595">
        <f t="shared" si="429"/>
        <v>0</v>
      </c>
    </row>
    <row r="14147" spans="6:10" hidden="1" x14ac:dyDescent="0.25">
      <c r="F14147" s="527">
        <v>461</v>
      </c>
      <c r="G14147" s="520" t="s">
        <v>4191</v>
      </c>
      <c r="J14147" s="595">
        <f t="shared" si="429"/>
        <v>0</v>
      </c>
    </row>
    <row r="14148" spans="6:10" hidden="1" x14ac:dyDescent="0.25">
      <c r="F14148" s="527">
        <v>462</v>
      </c>
      <c r="G14148" s="520" t="s">
        <v>3826</v>
      </c>
      <c r="J14148" s="595">
        <f t="shared" si="429"/>
        <v>0</v>
      </c>
    </row>
    <row r="14149" spans="6:10" hidden="1" x14ac:dyDescent="0.25">
      <c r="F14149" s="527">
        <v>4631</v>
      </c>
      <c r="G14149" s="520" t="s">
        <v>3827</v>
      </c>
      <c r="J14149" s="595">
        <f t="shared" si="429"/>
        <v>0</v>
      </c>
    </row>
    <row r="14150" spans="6:10" hidden="1" x14ac:dyDescent="0.25">
      <c r="F14150" s="527">
        <v>4632</v>
      </c>
      <c r="G14150" s="520" t="s">
        <v>3828</v>
      </c>
      <c r="J14150" s="595">
        <f t="shared" si="429"/>
        <v>0</v>
      </c>
    </row>
    <row r="14151" spans="6:10" hidden="1" x14ac:dyDescent="0.25">
      <c r="F14151" s="527">
        <v>464</v>
      </c>
      <c r="G14151" s="520" t="s">
        <v>3829</v>
      </c>
      <c r="J14151" s="595">
        <f t="shared" si="429"/>
        <v>0</v>
      </c>
    </row>
    <row r="14152" spans="6:10" hidden="1" x14ac:dyDescent="0.25">
      <c r="F14152" s="527">
        <v>465</v>
      </c>
      <c r="G14152" s="520" t="s">
        <v>4192</v>
      </c>
      <c r="J14152" s="595">
        <f t="shared" si="429"/>
        <v>0</v>
      </c>
    </row>
    <row r="14153" spans="6:10" hidden="1" x14ac:dyDescent="0.25">
      <c r="F14153" s="527">
        <v>472</v>
      </c>
      <c r="G14153" s="520" t="s">
        <v>3833</v>
      </c>
      <c r="J14153" s="595">
        <f t="shared" si="429"/>
        <v>0</v>
      </c>
    </row>
    <row r="14154" spans="6:10" hidden="1" x14ac:dyDescent="0.25">
      <c r="F14154" s="527">
        <v>481</v>
      </c>
      <c r="G14154" s="520" t="s">
        <v>4211</v>
      </c>
      <c r="J14154" s="595">
        <f t="shared" si="429"/>
        <v>0</v>
      </c>
    </row>
    <row r="14155" spans="6:10" hidden="1" x14ac:dyDescent="0.25">
      <c r="F14155" s="527">
        <v>482</v>
      </c>
      <c r="G14155" s="520" t="s">
        <v>4212</v>
      </c>
      <c r="J14155" s="595">
        <f t="shared" si="429"/>
        <v>0</v>
      </c>
    </row>
    <row r="14156" spans="6:10" hidden="1" x14ac:dyDescent="0.25">
      <c r="F14156" s="527">
        <v>483</v>
      </c>
      <c r="G14156" s="524" t="s">
        <v>4213</v>
      </c>
      <c r="J14156" s="595">
        <f t="shared" si="429"/>
        <v>0</v>
      </c>
    </row>
    <row r="14157" spans="6:10" ht="30" hidden="1" x14ac:dyDescent="0.25">
      <c r="F14157" s="527">
        <v>484</v>
      </c>
      <c r="G14157" s="520" t="s">
        <v>4214</v>
      </c>
      <c r="J14157" s="595">
        <f t="shared" si="429"/>
        <v>0</v>
      </c>
    </row>
    <row r="14158" spans="6:10" ht="30" hidden="1" x14ac:dyDescent="0.25">
      <c r="F14158" s="527">
        <v>485</v>
      </c>
      <c r="G14158" s="520" t="s">
        <v>4215</v>
      </c>
      <c r="J14158" s="595">
        <f t="shared" si="429"/>
        <v>0</v>
      </c>
    </row>
    <row r="14159" spans="6:10" ht="30" hidden="1" x14ac:dyDescent="0.25">
      <c r="F14159" s="527">
        <v>489</v>
      </c>
      <c r="G14159" s="520" t="s">
        <v>3841</v>
      </c>
      <c r="J14159" s="595">
        <f t="shared" si="429"/>
        <v>0</v>
      </c>
    </row>
    <row r="14160" spans="6:10" hidden="1" x14ac:dyDescent="0.25">
      <c r="F14160" s="527">
        <v>494</v>
      </c>
      <c r="G14160" s="520" t="s">
        <v>4193</v>
      </c>
      <c r="J14160" s="595">
        <f t="shared" si="429"/>
        <v>0</v>
      </c>
    </row>
    <row r="14161" spans="5:10" ht="30" hidden="1" x14ac:dyDescent="0.25">
      <c r="F14161" s="527">
        <v>495</v>
      </c>
      <c r="G14161" s="520" t="s">
        <v>4194</v>
      </c>
      <c r="J14161" s="595">
        <f t="shared" si="429"/>
        <v>0</v>
      </c>
    </row>
    <row r="14162" spans="5:10" ht="30" hidden="1" x14ac:dyDescent="0.25">
      <c r="F14162" s="527">
        <v>496</v>
      </c>
      <c r="G14162" s="520" t="s">
        <v>4195</v>
      </c>
      <c r="J14162" s="595">
        <f t="shared" si="429"/>
        <v>0</v>
      </c>
    </row>
    <row r="14163" spans="5:10" hidden="1" x14ac:dyDescent="0.25">
      <c r="F14163" s="527">
        <v>499</v>
      </c>
      <c r="G14163" s="520" t="s">
        <v>4196</v>
      </c>
      <c r="J14163" s="595">
        <f t="shared" si="429"/>
        <v>0</v>
      </c>
    </row>
    <row r="14164" spans="5:10" hidden="1" x14ac:dyDescent="0.25">
      <c r="F14164" s="527">
        <v>511</v>
      </c>
      <c r="G14164" s="524" t="s">
        <v>4216</v>
      </c>
      <c r="J14164" s="595">
        <f t="shared" si="429"/>
        <v>0</v>
      </c>
    </row>
    <row r="14165" spans="5:10" ht="15.75" thickBot="1" x14ac:dyDescent="0.3">
      <c r="E14165" s="218">
        <v>159</v>
      </c>
      <c r="F14165" s="527">
        <v>512</v>
      </c>
      <c r="G14165" s="524" t="s">
        <v>4217</v>
      </c>
      <c r="H14165" s="594">
        <v>5000000</v>
      </c>
      <c r="J14165" s="595">
        <f t="shared" si="429"/>
        <v>5000000</v>
      </c>
    </row>
    <row r="14166" spans="5:10" hidden="1" x14ac:dyDescent="0.25">
      <c r="F14166" s="527">
        <v>513</v>
      </c>
      <c r="G14166" s="524" t="s">
        <v>4218</v>
      </c>
      <c r="J14166" s="595">
        <f t="shared" si="429"/>
        <v>0</v>
      </c>
    </row>
    <row r="14167" spans="5:10" hidden="1" x14ac:dyDescent="0.25">
      <c r="F14167" s="527">
        <v>514</v>
      </c>
      <c r="G14167" s="520" t="s">
        <v>4219</v>
      </c>
      <c r="J14167" s="595">
        <f t="shared" si="429"/>
        <v>0</v>
      </c>
    </row>
    <row r="14168" spans="5:10" hidden="1" x14ac:dyDescent="0.25">
      <c r="F14168" s="527">
        <v>515</v>
      </c>
      <c r="G14168" s="520" t="s">
        <v>3852</v>
      </c>
      <c r="J14168" s="595">
        <f t="shared" si="429"/>
        <v>0</v>
      </c>
    </row>
    <row r="14169" spans="5:10" hidden="1" x14ac:dyDescent="0.25">
      <c r="F14169" s="527">
        <v>521</v>
      </c>
      <c r="G14169" s="520" t="s">
        <v>4220</v>
      </c>
      <c r="J14169" s="595">
        <f t="shared" si="429"/>
        <v>0</v>
      </c>
    </row>
    <row r="14170" spans="5:10" hidden="1" x14ac:dyDescent="0.25">
      <c r="F14170" s="527">
        <v>522</v>
      </c>
      <c r="G14170" s="520" t="s">
        <v>4221</v>
      </c>
      <c r="J14170" s="595">
        <f t="shared" si="429"/>
        <v>0</v>
      </c>
    </row>
    <row r="14171" spans="5:10" hidden="1" x14ac:dyDescent="0.25">
      <c r="F14171" s="527">
        <v>523</v>
      </c>
      <c r="G14171" s="520" t="s">
        <v>3857</v>
      </c>
      <c r="J14171" s="595">
        <f t="shared" si="429"/>
        <v>0</v>
      </c>
    </row>
    <row r="14172" spans="5:10" hidden="1" x14ac:dyDescent="0.25">
      <c r="F14172" s="527">
        <v>531</v>
      </c>
      <c r="G14172" s="516" t="s">
        <v>4197</v>
      </c>
      <c r="J14172" s="595">
        <f t="shared" si="429"/>
        <v>0</v>
      </c>
    </row>
    <row r="14173" spans="5:10" hidden="1" x14ac:dyDescent="0.25">
      <c r="F14173" s="527">
        <v>541</v>
      </c>
      <c r="G14173" s="520" t="s">
        <v>4222</v>
      </c>
      <c r="J14173" s="595">
        <f t="shared" si="429"/>
        <v>0</v>
      </c>
    </row>
    <row r="14174" spans="5:10" hidden="1" x14ac:dyDescent="0.25">
      <c r="F14174" s="527">
        <v>542</v>
      </c>
      <c r="G14174" s="520" t="s">
        <v>4223</v>
      </c>
      <c r="J14174" s="595">
        <f t="shared" si="429"/>
        <v>0</v>
      </c>
    </row>
    <row r="14175" spans="5:10" hidden="1" x14ac:dyDescent="0.25">
      <c r="F14175" s="527">
        <v>543</v>
      </c>
      <c r="G14175" s="520" t="s">
        <v>3862</v>
      </c>
      <c r="J14175" s="595">
        <f t="shared" si="429"/>
        <v>0</v>
      </c>
    </row>
    <row r="14176" spans="5:10" ht="30" hidden="1" x14ac:dyDescent="0.25">
      <c r="F14176" s="527">
        <v>551</v>
      </c>
      <c r="G14176" s="520" t="s">
        <v>4198</v>
      </c>
      <c r="J14176" s="595">
        <f t="shared" si="429"/>
        <v>0</v>
      </c>
    </row>
    <row r="14177" spans="5:10" hidden="1" x14ac:dyDescent="0.25">
      <c r="F14177" s="528">
        <v>611</v>
      </c>
      <c r="G14177" s="526" t="s">
        <v>3868</v>
      </c>
      <c r="J14177" s="595">
        <f t="shared" si="429"/>
        <v>0</v>
      </c>
    </row>
    <row r="14178" spans="5:10" ht="15.75" hidden="1" thickBot="1" x14ac:dyDescent="0.3">
      <c r="F14178" s="528">
        <v>620</v>
      </c>
      <c r="G14178" s="526" t="s">
        <v>88</v>
      </c>
      <c r="J14178" s="595">
        <f t="shared" si="429"/>
        <v>0</v>
      </c>
    </row>
    <row r="14179" spans="5:10" x14ac:dyDescent="0.25">
      <c r="E14179" s="517"/>
      <c r="F14179" s="528"/>
      <c r="G14179" s="327" t="s">
        <v>4424</v>
      </c>
      <c r="H14179" s="596"/>
      <c r="I14179" s="622"/>
      <c r="J14179" s="597"/>
    </row>
    <row r="14180" spans="5:10" ht="15.75" thickBot="1" x14ac:dyDescent="0.3">
      <c r="E14180" s="222"/>
      <c r="F14180" s="642" t="s">
        <v>234</v>
      </c>
      <c r="G14180" s="643" t="s">
        <v>235</v>
      </c>
      <c r="H14180" s="598">
        <f>SUM(H14119:H14178)</f>
        <v>12420000</v>
      </c>
      <c r="I14180" s="599"/>
      <c r="J14180" s="599">
        <f t="shared" ref="J14180:J14195" si="430">SUM(H14180:I14180)</f>
        <v>12420000</v>
      </c>
    </row>
    <row r="14181" spans="5:10" hidden="1" x14ac:dyDescent="0.25">
      <c r="F14181" s="642" t="s">
        <v>236</v>
      </c>
      <c r="G14181" s="643" t="s">
        <v>237</v>
      </c>
      <c r="J14181" s="599">
        <f t="shared" si="430"/>
        <v>0</v>
      </c>
    </row>
    <row r="14182" spans="5:10" hidden="1" x14ac:dyDescent="0.25">
      <c r="F14182" s="642" t="s">
        <v>238</v>
      </c>
      <c r="G14182" s="643" t="s">
        <v>239</v>
      </c>
      <c r="J14182" s="599">
        <f t="shared" si="430"/>
        <v>0</v>
      </c>
    </row>
    <row r="14183" spans="5:10" hidden="1" x14ac:dyDescent="0.25">
      <c r="F14183" s="642" t="s">
        <v>240</v>
      </c>
      <c r="G14183" s="643" t="s">
        <v>241</v>
      </c>
      <c r="J14183" s="599">
        <f t="shared" si="430"/>
        <v>0</v>
      </c>
    </row>
    <row r="14184" spans="5:10" hidden="1" x14ac:dyDescent="0.25">
      <c r="F14184" s="642" t="s">
        <v>242</v>
      </c>
      <c r="G14184" s="643" t="s">
        <v>243</v>
      </c>
      <c r="J14184" s="599">
        <f t="shared" si="430"/>
        <v>0</v>
      </c>
    </row>
    <row r="14185" spans="5:10" hidden="1" x14ac:dyDescent="0.25">
      <c r="F14185" s="642" t="s">
        <v>244</v>
      </c>
      <c r="G14185" s="643" t="s">
        <v>245</v>
      </c>
      <c r="J14185" s="599">
        <f t="shared" si="430"/>
        <v>0</v>
      </c>
    </row>
    <row r="14186" spans="5:10" hidden="1" x14ac:dyDescent="0.25">
      <c r="F14186" s="642" t="s">
        <v>246</v>
      </c>
      <c r="G14186" s="643" t="s">
        <v>247</v>
      </c>
      <c r="J14186" s="599">
        <f t="shared" si="430"/>
        <v>0</v>
      </c>
    </row>
    <row r="14187" spans="5:10" hidden="1" x14ac:dyDescent="0.25">
      <c r="F14187" s="642" t="s">
        <v>248</v>
      </c>
      <c r="G14187" s="643" t="s">
        <v>249</v>
      </c>
      <c r="J14187" s="599">
        <f t="shared" si="430"/>
        <v>0</v>
      </c>
    </row>
    <row r="14188" spans="5:10" hidden="1" x14ac:dyDescent="0.25">
      <c r="F14188" s="642" t="s">
        <v>250</v>
      </c>
      <c r="G14188" s="643" t="s">
        <v>57</v>
      </c>
      <c r="J14188" s="599">
        <f t="shared" si="430"/>
        <v>0</v>
      </c>
    </row>
    <row r="14189" spans="5:10" hidden="1" x14ac:dyDescent="0.25">
      <c r="F14189" s="642" t="s">
        <v>251</v>
      </c>
      <c r="G14189" s="643" t="s">
        <v>252</v>
      </c>
      <c r="J14189" s="599">
        <f t="shared" si="430"/>
        <v>0</v>
      </c>
    </row>
    <row r="14190" spans="5:10" hidden="1" x14ac:dyDescent="0.25">
      <c r="F14190" s="642" t="s">
        <v>253</v>
      </c>
      <c r="G14190" s="643" t="s">
        <v>254</v>
      </c>
      <c r="J14190" s="599">
        <f t="shared" si="430"/>
        <v>0</v>
      </c>
    </row>
    <row r="14191" spans="5:10" ht="30" hidden="1" x14ac:dyDescent="0.25">
      <c r="F14191" s="642" t="s">
        <v>255</v>
      </c>
      <c r="G14191" s="643" t="s">
        <v>256</v>
      </c>
      <c r="J14191" s="599">
        <f t="shared" si="430"/>
        <v>0</v>
      </c>
    </row>
    <row r="14192" spans="5:10" hidden="1" x14ac:dyDescent="0.25">
      <c r="F14192" s="642" t="s">
        <v>257</v>
      </c>
      <c r="G14192" s="643" t="s">
        <v>258</v>
      </c>
      <c r="J14192" s="599">
        <f t="shared" si="430"/>
        <v>0</v>
      </c>
    </row>
    <row r="14193" spans="5:10" ht="30" hidden="1" x14ac:dyDescent="0.25">
      <c r="F14193" s="642" t="s">
        <v>259</v>
      </c>
      <c r="G14193" s="643" t="s">
        <v>260</v>
      </c>
      <c r="J14193" s="599">
        <f t="shared" si="430"/>
        <v>0</v>
      </c>
    </row>
    <row r="14194" spans="5:10" hidden="1" x14ac:dyDescent="0.25">
      <c r="F14194" s="642" t="s">
        <v>261</v>
      </c>
      <c r="G14194" s="643" t="s">
        <v>262</v>
      </c>
      <c r="J14194" s="599">
        <f t="shared" si="430"/>
        <v>0</v>
      </c>
    </row>
    <row r="14195" spans="5:10" ht="15.75" hidden="1" thickBot="1" x14ac:dyDescent="0.3">
      <c r="F14195" s="642" t="s">
        <v>263</v>
      </c>
      <c r="G14195" s="643" t="s">
        <v>264</v>
      </c>
      <c r="H14195" s="598"/>
      <c r="I14195" s="599"/>
      <c r="J14195" s="599">
        <f t="shared" si="430"/>
        <v>0</v>
      </c>
    </row>
    <row r="14196" spans="5:10" ht="15.75" thickBot="1" x14ac:dyDescent="0.3">
      <c r="G14196" s="229" t="s">
        <v>4425</v>
      </c>
      <c r="H14196" s="600">
        <f>SUM(H14180:H14195)</f>
        <v>12420000</v>
      </c>
      <c r="I14196" s="601">
        <f>SUM(I14181:I14195)</f>
        <v>0</v>
      </c>
      <c r="J14196" s="601">
        <f>SUM(J14180:J14195)</f>
        <v>12420000</v>
      </c>
    </row>
    <row r="14197" spans="5:10" ht="28.5" x14ac:dyDescent="0.25">
      <c r="E14197" s="517"/>
      <c r="F14197" s="528"/>
      <c r="G14197" s="231" t="s">
        <v>5216</v>
      </c>
      <c r="H14197" s="602"/>
      <c r="I14197" s="623"/>
      <c r="J14197" s="603"/>
    </row>
    <row r="14198" spans="5:10" ht="15.75" thickBot="1" x14ac:dyDescent="0.3">
      <c r="E14198" s="222"/>
      <c r="F14198" s="642" t="s">
        <v>234</v>
      </c>
      <c r="G14198" s="643" t="s">
        <v>235</v>
      </c>
      <c r="H14198" s="598">
        <f>SUM(H14119:H14178)</f>
        <v>12420000</v>
      </c>
      <c r="I14198" s="599"/>
      <c r="J14198" s="599">
        <f>SUM(H14198:I14198)</f>
        <v>12420000</v>
      </c>
    </row>
    <row r="14199" spans="5:10" hidden="1" x14ac:dyDescent="0.25">
      <c r="F14199" s="642" t="s">
        <v>236</v>
      </c>
      <c r="G14199" s="643" t="s">
        <v>237</v>
      </c>
      <c r="J14199" s="599">
        <f t="shared" ref="J14199:J14213" si="431">SUM(H14199:I14199)</f>
        <v>0</v>
      </c>
    </row>
    <row r="14200" spans="5:10" hidden="1" x14ac:dyDescent="0.25">
      <c r="F14200" s="642" t="s">
        <v>238</v>
      </c>
      <c r="G14200" s="643" t="s">
        <v>239</v>
      </c>
      <c r="J14200" s="599">
        <f t="shared" si="431"/>
        <v>0</v>
      </c>
    </row>
    <row r="14201" spans="5:10" hidden="1" x14ac:dyDescent="0.25">
      <c r="F14201" s="642" t="s">
        <v>240</v>
      </c>
      <c r="G14201" s="643" t="s">
        <v>241</v>
      </c>
      <c r="J14201" s="599">
        <f t="shared" si="431"/>
        <v>0</v>
      </c>
    </row>
    <row r="14202" spans="5:10" hidden="1" x14ac:dyDescent="0.25">
      <c r="F14202" s="642" t="s">
        <v>242</v>
      </c>
      <c r="G14202" s="643" t="s">
        <v>243</v>
      </c>
      <c r="J14202" s="599">
        <f t="shared" si="431"/>
        <v>0</v>
      </c>
    </row>
    <row r="14203" spans="5:10" hidden="1" x14ac:dyDescent="0.25">
      <c r="F14203" s="642" t="s">
        <v>244</v>
      </c>
      <c r="G14203" s="643" t="s">
        <v>245</v>
      </c>
      <c r="J14203" s="599">
        <f t="shared" si="431"/>
        <v>0</v>
      </c>
    </row>
    <row r="14204" spans="5:10" hidden="1" x14ac:dyDescent="0.25">
      <c r="F14204" s="642" t="s">
        <v>246</v>
      </c>
      <c r="G14204" s="643" t="s">
        <v>247</v>
      </c>
      <c r="J14204" s="599">
        <f t="shared" si="431"/>
        <v>0</v>
      </c>
    </row>
    <row r="14205" spans="5:10" hidden="1" x14ac:dyDescent="0.25">
      <c r="F14205" s="642" t="s">
        <v>248</v>
      </c>
      <c r="G14205" s="643" t="s">
        <v>249</v>
      </c>
      <c r="J14205" s="599">
        <f t="shared" si="431"/>
        <v>0</v>
      </c>
    </row>
    <row r="14206" spans="5:10" hidden="1" x14ac:dyDescent="0.25">
      <c r="F14206" s="642" t="s">
        <v>250</v>
      </c>
      <c r="G14206" s="643" t="s">
        <v>57</v>
      </c>
      <c r="J14206" s="599">
        <f t="shared" si="431"/>
        <v>0</v>
      </c>
    </row>
    <row r="14207" spans="5:10" hidden="1" x14ac:dyDescent="0.25">
      <c r="F14207" s="642" t="s">
        <v>251</v>
      </c>
      <c r="G14207" s="643" t="s">
        <v>252</v>
      </c>
      <c r="J14207" s="599">
        <f t="shared" si="431"/>
        <v>0</v>
      </c>
    </row>
    <row r="14208" spans="5:10" hidden="1" x14ac:dyDescent="0.25">
      <c r="F14208" s="642" t="s">
        <v>253</v>
      </c>
      <c r="G14208" s="643" t="s">
        <v>254</v>
      </c>
      <c r="J14208" s="599">
        <f t="shared" si="431"/>
        <v>0</v>
      </c>
    </row>
    <row r="14209" spans="3:10" ht="30" hidden="1" x14ac:dyDescent="0.25">
      <c r="F14209" s="642" t="s">
        <v>255</v>
      </c>
      <c r="G14209" s="643" t="s">
        <v>256</v>
      </c>
      <c r="J14209" s="599">
        <f t="shared" si="431"/>
        <v>0</v>
      </c>
    </row>
    <row r="14210" spans="3:10" hidden="1" x14ac:dyDescent="0.25">
      <c r="F14210" s="642" t="s">
        <v>257</v>
      </c>
      <c r="G14210" s="643" t="s">
        <v>258</v>
      </c>
      <c r="J14210" s="599">
        <f t="shared" si="431"/>
        <v>0</v>
      </c>
    </row>
    <row r="14211" spans="3:10" ht="30" hidden="1" x14ac:dyDescent="0.25">
      <c r="F14211" s="642" t="s">
        <v>259</v>
      </c>
      <c r="G14211" s="643" t="s">
        <v>260</v>
      </c>
      <c r="J14211" s="599">
        <f t="shared" si="431"/>
        <v>0</v>
      </c>
    </row>
    <row r="14212" spans="3:10" hidden="1" x14ac:dyDescent="0.25">
      <c r="F14212" s="642" t="s">
        <v>261</v>
      </c>
      <c r="G14212" s="643" t="s">
        <v>262</v>
      </c>
      <c r="J14212" s="599">
        <f t="shared" si="431"/>
        <v>0</v>
      </c>
    </row>
    <row r="14213" spans="3:10" ht="15.75" hidden="1" thickBot="1" x14ac:dyDescent="0.3">
      <c r="F14213" s="642" t="s">
        <v>263</v>
      </c>
      <c r="G14213" s="643" t="s">
        <v>264</v>
      </c>
      <c r="H14213" s="598"/>
      <c r="I14213" s="599"/>
      <c r="J14213" s="599">
        <f t="shared" si="431"/>
        <v>0</v>
      </c>
    </row>
    <row r="14214" spans="3:10" ht="15.75" thickBot="1" x14ac:dyDescent="0.3">
      <c r="G14214" s="229" t="s">
        <v>5217</v>
      </c>
      <c r="H14214" s="600">
        <f>SUM(H14198:H14213)</f>
        <v>12420000</v>
      </c>
      <c r="I14214" s="601">
        <f>SUM(I14199:I14213)</f>
        <v>0</v>
      </c>
      <c r="J14214" s="601">
        <f>SUM(J14198:J14213)</f>
        <v>12420000</v>
      </c>
    </row>
    <row r="14216" spans="3:10" x14ac:dyDescent="0.25">
      <c r="C14216" s="276" t="s">
        <v>5218</v>
      </c>
      <c r="D14216" s="219"/>
      <c r="E14216" s="219"/>
      <c r="F14216" s="277"/>
      <c r="G14216" s="278" t="s">
        <v>4327</v>
      </c>
      <c r="H14216" s="627"/>
      <c r="I14216" s="610"/>
      <c r="J14216" s="628"/>
    </row>
    <row r="14217" spans="3:10" ht="30" x14ac:dyDescent="0.25">
      <c r="C14217" s="228"/>
      <c r="D14217" s="312">
        <v>660</v>
      </c>
      <c r="E14217" s="312"/>
      <c r="F14217" s="312"/>
      <c r="G14217" s="313" t="s">
        <v>186</v>
      </c>
    </row>
    <row r="14218" spans="3:10" hidden="1" x14ac:dyDescent="0.25">
      <c r="F14218" s="527">
        <v>411</v>
      </c>
      <c r="G14218" s="520" t="s">
        <v>4189</v>
      </c>
      <c r="J14218" s="595">
        <f>SUM(H14218:I14218)</f>
        <v>0</v>
      </c>
    </row>
    <row r="14219" spans="3:10" hidden="1" x14ac:dyDescent="0.25">
      <c r="F14219" s="527">
        <v>412</v>
      </c>
      <c r="G14219" s="516" t="s">
        <v>3784</v>
      </c>
      <c r="J14219" s="595">
        <f t="shared" ref="J14219:J14277" si="432">SUM(H14219:I14219)</f>
        <v>0</v>
      </c>
    </row>
    <row r="14220" spans="3:10" hidden="1" x14ac:dyDescent="0.25">
      <c r="F14220" s="527">
        <v>413</v>
      </c>
      <c r="G14220" s="520" t="s">
        <v>4190</v>
      </c>
      <c r="J14220" s="595">
        <f t="shared" si="432"/>
        <v>0</v>
      </c>
    </row>
    <row r="14221" spans="3:10" hidden="1" x14ac:dyDescent="0.25">
      <c r="F14221" s="527">
        <v>414</v>
      </c>
      <c r="G14221" s="520" t="s">
        <v>3787</v>
      </c>
      <c r="J14221" s="595">
        <f t="shared" si="432"/>
        <v>0</v>
      </c>
    </row>
    <row r="14222" spans="3:10" hidden="1" x14ac:dyDescent="0.25">
      <c r="F14222" s="527">
        <v>415</v>
      </c>
      <c r="G14222" s="520" t="s">
        <v>4199</v>
      </c>
      <c r="J14222" s="595">
        <f t="shared" si="432"/>
        <v>0</v>
      </c>
    </row>
    <row r="14223" spans="3:10" hidden="1" x14ac:dyDescent="0.25">
      <c r="F14223" s="527">
        <v>416</v>
      </c>
      <c r="G14223" s="520" t="s">
        <v>4200</v>
      </c>
      <c r="J14223" s="595">
        <f t="shared" si="432"/>
        <v>0</v>
      </c>
    </row>
    <row r="14224" spans="3:10" hidden="1" x14ac:dyDescent="0.25">
      <c r="F14224" s="527">
        <v>417</v>
      </c>
      <c r="G14224" s="520" t="s">
        <v>4201</v>
      </c>
      <c r="J14224" s="595">
        <f t="shared" si="432"/>
        <v>0</v>
      </c>
    </row>
    <row r="14225" spans="5:10" hidden="1" x14ac:dyDescent="0.25">
      <c r="F14225" s="527">
        <v>418</v>
      </c>
      <c r="G14225" s="520" t="s">
        <v>3793</v>
      </c>
      <c r="J14225" s="595">
        <f t="shared" si="432"/>
        <v>0</v>
      </c>
    </row>
    <row r="14226" spans="5:10" x14ac:dyDescent="0.25">
      <c r="E14226" s="218">
        <v>160</v>
      </c>
      <c r="F14226" s="527">
        <v>421</v>
      </c>
      <c r="G14226" s="520" t="s">
        <v>3797</v>
      </c>
      <c r="H14226" s="594">
        <v>50000</v>
      </c>
      <c r="J14226" s="595">
        <f t="shared" si="432"/>
        <v>50000</v>
      </c>
    </row>
    <row r="14227" spans="5:10" x14ac:dyDescent="0.25">
      <c r="E14227" s="218">
        <v>161</v>
      </c>
      <c r="F14227" s="527">
        <v>422</v>
      </c>
      <c r="G14227" s="520" t="s">
        <v>3798</v>
      </c>
      <c r="H14227" s="594">
        <v>20000</v>
      </c>
      <c r="J14227" s="595">
        <f t="shared" si="432"/>
        <v>20000</v>
      </c>
    </row>
    <row r="14228" spans="5:10" hidden="1" x14ac:dyDescent="0.25">
      <c r="F14228" s="527">
        <v>423</v>
      </c>
      <c r="G14228" s="520" t="s">
        <v>3799</v>
      </c>
      <c r="J14228" s="595">
        <f t="shared" si="432"/>
        <v>0</v>
      </c>
    </row>
    <row r="14229" spans="5:10" ht="15.75" thickBot="1" x14ac:dyDescent="0.3">
      <c r="E14229" s="218">
        <v>162</v>
      </c>
      <c r="F14229" s="527">
        <v>424</v>
      </c>
      <c r="G14229" s="520" t="s">
        <v>3801</v>
      </c>
      <c r="H14229" s="594">
        <v>100000</v>
      </c>
      <c r="J14229" s="595">
        <f t="shared" si="432"/>
        <v>100000</v>
      </c>
    </row>
    <row r="14230" spans="5:10" hidden="1" x14ac:dyDescent="0.25">
      <c r="F14230" s="527">
        <v>425</v>
      </c>
      <c r="G14230" s="520" t="s">
        <v>4202</v>
      </c>
      <c r="J14230" s="595">
        <f t="shared" si="432"/>
        <v>0</v>
      </c>
    </row>
    <row r="14231" spans="5:10" hidden="1" x14ac:dyDescent="0.25">
      <c r="F14231" s="527">
        <v>426</v>
      </c>
      <c r="G14231" s="520" t="s">
        <v>3805</v>
      </c>
      <c r="J14231" s="595">
        <f t="shared" si="432"/>
        <v>0</v>
      </c>
    </row>
    <row r="14232" spans="5:10" hidden="1" x14ac:dyDescent="0.25">
      <c r="F14232" s="527">
        <v>431</v>
      </c>
      <c r="G14232" s="520" t="s">
        <v>4203</v>
      </c>
      <c r="J14232" s="595">
        <f t="shared" si="432"/>
        <v>0</v>
      </c>
    </row>
    <row r="14233" spans="5:10" hidden="1" x14ac:dyDescent="0.25">
      <c r="F14233" s="527">
        <v>432</v>
      </c>
      <c r="G14233" s="520" t="s">
        <v>4204</v>
      </c>
      <c r="J14233" s="595">
        <f t="shared" si="432"/>
        <v>0</v>
      </c>
    </row>
    <row r="14234" spans="5:10" hidden="1" x14ac:dyDescent="0.25">
      <c r="F14234" s="527">
        <v>433</v>
      </c>
      <c r="G14234" s="520" t="s">
        <v>4205</v>
      </c>
      <c r="J14234" s="595">
        <f t="shared" si="432"/>
        <v>0</v>
      </c>
    </row>
    <row r="14235" spans="5:10" hidden="1" x14ac:dyDescent="0.25">
      <c r="F14235" s="527">
        <v>434</v>
      </c>
      <c r="G14235" s="520" t="s">
        <v>4206</v>
      </c>
      <c r="J14235" s="595">
        <f t="shared" si="432"/>
        <v>0</v>
      </c>
    </row>
    <row r="14236" spans="5:10" hidden="1" x14ac:dyDescent="0.25">
      <c r="F14236" s="527">
        <v>435</v>
      </c>
      <c r="G14236" s="520" t="s">
        <v>3812</v>
      </c>
      <c r="J14236" s="595">
        <f t="shared" si="432"/>
        <v>0</v>
      </c>
    </row>
    <row r="14237" spans="5:10" hidden="1" x14ac:dyDescent="0.25">
      <c r="F14237" s="527">
        <v>441</v>
      </c>
      <c r="G14237" s="520" t="s">
        <v>4207</v>
      </c>
      <c r="J14237" s="595">
        <f t="shared" si="432"/>
        <v>0</v>
      </c>
    </row>
    <row r="14238" spans="5:10" hidden="1" x14ac:dyDescent="0.25">
      <c r="F14238" s="527">
        <v>442</v>
      </c>
      <c r="G14238" s="520" t="s">
        <v>4208</v>
      </c>
      <c r="J14238" s="595">
        <f t="shared" si="432"/>
        <v>0</v>
      </c>
    </row>
    <row r="14239" spans="5:10" hidden="1" x14ac:dyDescent="0.25">
      <c r="F14239" s="527">
        <v>443</v>
      </c>
      <c r="G14239" s="520" t="s">
        <v>3817</v>
      </c>
      <c r="J14239" s="595">
        <f t="shared" si="432"/>
        <v>0</v>
      </c>
    </row>
    <row r="14240" spans="5:10" hidden="1" x14ac:dyDescent="0.25">
      <c r="F14240" s="527">
        <v>444</v>
      </c>
      <c r="G14240" s="520" t="s">
        <v>3818</v>
      </c>
      <c r="J14240" s="595">
        <f t="shared" si="432"/>
        <v>0</v>
      </c>
    </row>
    <row r="14241" spans="6:10" ht="30" hidden="1" x14ac:dyDescent="0.25">
      <c r="F14241" s="527">
        <v>4511</v>
      </c>
      <c r="G14241" s="223" t="s">
        <v>1692</v>
      </c>
      <c r="J14241" s="595">
        <f t="shared" si="432"/>
        <v>0</v>
      </c>
    </row>
    <row r="14242" spans="6:10" ht="30" hidden="1" x14ac:dyDescent="0.25">
      <c r="F14242" s="527">
        <v>4512</v>
      </c>
      <c r="G14242" s="223" t="s">
        <v>1701</v>
      </c>
      <c r="J14242" s="595">
        <f t="shared" si="432"/>
        <v>0</v>
      </c>
    </row>
    <row r="14243" spans="6:10" hidden="1" x14ac:dyDescent="0.25">
      <c r="F14243" s="527">
        <v>452</v>
      </c>
      <c r="G14243" s="520" t="s">
        <v>4209</v>
      </c>
      <c r="J14243" s="595">
        <f t="shared" si="432"/>
        <v>0</v>
      </c>
    </row>
    <row r="14244" spans="6:10" hidden="1" x14ac:dyDescent="0.25">
      <c r="F14244" s="527">
        <v>453</v>
      </c>
      <c r="G14244" s="520" t="s">
        <v>4210</v>
      </c>
      <c r="J14244" s="595">
        <f t="shared" si="432"/>
        <v>0</v>
      </c>
    </row>
    <row r="14245" spans="6:10" hidden="1" x14ac:dyDescent="0.25">
      <c r="F14245" s="527">
        <v>454</v>
      </c>
      <c r="G14245" s="520" t="s">
        <v>3823</v>
      </c>
      <c r="J14245" s="595">
        <f t="shared" si="432"/>
        <v>0</v>
      </c>
    </row>
    <row r="14246" spans="6:10" hidden="1" x14ac:dyDescent="0.25">
      <c r="F14246" s="527">
        <v>461</v>
      </c>
      <c r="G14246" s="520" t="s">
        <v>4191</v>
      </c>
      <c r="J14246" s="595">
        <f t="shared" si="432"/>
        <v>0</v>
      </c>
    </row>
    <row r="14247" spans="6:10" hidden="1" x14ac:dyDescent="0.25">
      <c r="F14247" s="527">
        <v>462</v>
      </c>
      <c r="G14247" s="520" t="s">
        <v>3826</v>
      </c>
      <c r="J14247" s="595">
        <f t="shared" si="432"/>
        <v>0</v>
      </c>
    </row>
    <row r="14248" spans="6:10" hidden="1" x14ac:dyDescent="0.25">
      <c r="F14248" s="527">
        <v>4631</v>
      </c>
      <c r="G14248" s="520" t="s">
        <v>3827</v>
      </c>
      <c r="J14248" s="595">
        <f t="shared" si="432"/>
        <v>0</v>
      </c>
    </row>
    <row r="14249" spans="6:10" hidden="1" x14ac:dyDescent="0.25">
      <c r="F14249" s="527">
        <v>4632</v>
      </c>
      <c r="G14249" s="520" t="s">
        <v>3828</v>
      </c>
      <c r="J14249" s="595">
        <f t="shared" si="432"/>
        <v>0</v>
      </c>
    </row>
    <row r="14250" spans="6:10" hidden="1" x14ac:dyDescent="0.25">
      <c r="F14250" s="527">
        <v>464</v>
      </c>
      <c r="G14250" s="520" t="s">
        <v>3829</v>
      </c>
      <c r="J14250" s="595">
        <f t="shared" si="432"/>
        <v>0</v>
      </c>
    </row>
    <row r="14251" spans="6:10" hidden="1" x14ac:dyDescent="0.25">
      <c r="F14251" s="527">
        <v>465</v>
      </c>
      <c r="G14251" s="520" t="s">
        <v>4192</v>
      </c>
      <c r="J14251" s="595">
        <f t="shared" si="432"/>
        <v>0</v>
      </c>
    </row>
    <row r="14252" spans="6:10" hidden="1" x14ac:dyDescent="0.25">
      <c r="F14252" s="527">
        <v>472</v>
      </c>
      <c r="G14252" s="520" t="s">
        <v>3833</v>
      </c>
      <c r="J14252" s="595">
        <f t="shared" si="432"/>
        <v>0</v>
      </c>
    </row>
    <row r="14253" spans="6:10" hidden="1" x14ac:dyDescent="0.25">
      <c r="F14253" s="527">
        <v>481</v>
      </c>
      <c r="G14253" s="520" t="s">
        <v>4211</v>
      </c>
      <c r="J14253" s="595">
        <f t="shared" si="432"/>
        <v>0</v>
      </c>
    </row>
    <row r="14254" spans="6:10" hidden="1" x14ac:dyDescent="0.25">
      <c r="F14254" s="527">
        <v>482</v>
      </c>
      <c r="G14254" s="520" t="s">
        <v>4212</v>
      </c>
      <c r="J14254" s="595">
        <f t="shared" si="432"/>
        <v>0</v>
      </c>
    </row>
    <row r="14255" spans="6:10" hidden="1" x14ac:dyDescent="0.25">
      <c r="F14255" s="527">
        <v>483</v>
      </c>
      <c r="G14255" s="524" t="s">
        <v>4213</v>
      </c>
      <c r="J14255" s="595">
        <f t="shared" si="432"/>
        <v>0</v>
      </c>
    </row>
    <row r="14256" spans="6:10" ht="30" hidden="1" x14ac:dyDescent="0.25">
      <c r="F14256" s="527">
        <v>484</v>
      </c>
      <c r="G14256" s="520" t="s">
        <v>4214</v>
      </c>
      <c r="J14256" s="595">
        <f t="shared" si="432"/>
        <v>0</v>
      </c>
    </row>
    <row r="14257" spans="6:10" ht="30" hidden="1" x14ac:dyDescent="0.25">
      <c r="F14257" s="527">
        <v>485</v>
      </c>
      <c r="G14257" s="520" t="s">
        <v>4215</v>
      </c>
      <c r="J14257" s="595">
        <f t="shared" si="432"/>
        <v>0</v>
      </c>
    </row>
    <row r="14258" spans="6:10" ht="30" hidden="1" x14ac:dyDescent="0.25">
      <c r="F14258" s="527">
        <v>489</v>
      </c>
      <c r="G14258" s="520" t="s">
        <v>3841</v>
      </c>
      <c r="J14258" s="595">
        <f t="shared" si="432"/>
        <v>0</v>
      </c>
    </row>
    <row r="14259" spans="6:10" hidden="1" x14ac:dyDescent="0.25">
      <c r="F14259" s="527">
        <v>494</v>
      </c>
      <c r="G14259" s="520" t="s">
        <v>4193</v>
      </c>
      <c r="J14259" s="595">
        <f t="shared" si="432"/>
        <v>0</v>
      </c>
    </row>
    <row r="14260" spans="6:10" ht="30" hidden="1" x14ac:dyDescent="0.25">
      <c r="F14260" s="527">
        <v>495</v>
      </c>
      <c r="G14260" s="520" t="s">
        <v>4194</v>
      </c>
      <c r="J14260" s="595">
        <f t="shared" si="432"/>
        <v>0</v>
      </c>
    </row>
    <row r="14261" spans="6:10" ht="30" hidden="1" x14ac:dyDescent="0.25">
      <c r="F14261" s="527">
        <v>496</v>
      </c>
      <c r="G14261" s="520" t="s">
        <v>4195</v>
      </c>
      <c r="J14261" s="595">
        <f t="shared" si="432"/>
        <v>0</v>
      </c>
    </row>
    <row r="14262" spans="6:10" hidden="1" x14ac:dyDescent="0.25">
      <c r="F14262" s="527">
        <v>499</v>
      </c>
      <c r="G14262" s="520" t="s">
        <v>4196</v>
      </c>
      <c r="J14262" s="595">
        <f t="shared" si="432"/>
        <v>0</v>
      </c>
    </row>
    <row r="14263" spans="6:10" hidden="1" x14ac:dyDescent="0.25">
      <c r="F14263" s="527">
        <v>511</v>
      </c>
      <c r="G14263" s="524" t="s">
        <v>4216</v>
      </c>
      <c r="J14263" s="595">
        <f t="shared" si="432"/>
        <v>0</v>
      </c>
    </row>
    <row r="14264" spans="6:10" hidden="1" x14ac:dyDescent="0.25">
      <c r="F14264" s="527">
        <v>512</v>
      </c>
      <c r="G14264" s="524" t="s">
        <v>4217</v>
      </c>
      <c r="J14264" s="595">
        <f t="shared" si="432"/>
        <v>0</v>
      </c>
    </row>
    <row r="14265" spans="6:10" hidden="1" x14ac:dyDescent="0.25">
      <c r="F14265" s="527">
        <v>513</v>
      </c>
      <c r="G14265" s="524" t="s">
        <v>4218</v>
      </c>
      <c r="J14265" s="595">
        <f t="shared" si="432"/>
        <v>0</v>
      </c>
    </row>
    <row r="14266" spans="6:10" hidden="1" x14ac:dyDescent="0.25">
      <c r="F14266" s="527">
        <v>514</v>
      </c>
      <c r="G14266" s="520" t="s">
        <v>4219</v>
      </c>
      <c r="J14266" s="595">
        <f t="shared" si="432"/>
        <v>0</v>
      </c>
    </row>
    <row r="14267" spans="6:10" hidden="1" x14ac:dyDescent="0.25">
      <c r="F14267" s="527">
        <v>515</v>
      </c>
      <c r="G14267" s="520" t="s">
        <v>3852</v>
      </c>
      <c r="J14267" s="595">
        <f t="shared" si="432"/>
        <v>0</v>
      </c>
    </row>
    <row r="14268" spans="6:10" hidden="1" x14ac:dyDescent="0.25">
      <c r="F14268" s="527">
        <v>521</v>
      </c>
      <c r="G14268" s="520" t="s">
        <v>4220</v>
      </c>
      <c r="J14268" s="595">
        <f t="shared" si="432"/>
        <v>0</v>
      </c>
    </row>
    <row r="14269" spans="6:10" hidden="1" x14ac:dyDescent="0.25">
      <c r="F14269" s="527">
        <v>522</v>
      </c>
      <c r="G14269" s="520" t="s">
        <v>4221</v>
      </c>
      <c r="J14269" s="595">
        <f t="shared" si="432"/>
        <v>0</v>
      </c>
    </row>
    <row r="14270" spans="6:10" hidden="1" x14ac:dyDescent="0.25">
      <c r="F14270" s="527">
        <v>523</v>
      </c>
      <c r="G14270" s="520" t="s">
        <v>3857</v>
      </c>
      <c r="J14270" s="595">
        <f t="shared" si="432"/>
        <v>0</v>
      </c>
    </row>
    <row r="14271" spans="6:10" hidden="1" x14ac:dyDescent="0.25">
      <c r="F14271" s="527">
        <v>531</v>
      </c>
      <c r="G14271" s="516" t="s">
        <v>4197</v>
      </c>
      <c r="J14271" s="595">
        <f t="shared" si="432"/>
        <v>0</v>
      </c>
    </row>
    <row r="14272" spans="6:10" hidden="1" x14ac:dyDescent="0.25">
      <c r="F14272" s="527">
        <v>541</v>
      </c>
      <c r="G14272" s="520" t="s">
        <v>4222</v>
      </c>
      <c r="J14272" s="595">
        <f t="shared" si="432"/>
        <v>0</v>
      </c>
    </row>
    <row r="14273" spans="5:10" hidden="1" x14ac:dyDescent="0.25">
      <c r="F14273" s="527">
        <v>542</v>
      </c>
      <c r="G14273" s="520" t="s">
        <v>4223</v>
      </c>
      <c r="J14273" s="595">
        <f t="shared" si="432"/>
        <v>0</v>
      </c>
    </row>
    <row r="14274" spans="5:10" hidden="1" x14ac:dyDescent="0.25">
      <c r="F14274" s="527">
        <v>543</v>
      </c>
      <c r="G14274" s="520" t="s">
        <v>3862</v>
      </c>
      <c r="J14274" s="595">
        <f t="shared" si="432"/>
        <v>0</v>
      </c>
    </row>
    <row r="14275" spans="5:10" ht="30" hidden="1" x14ac:dyDescent="0.25">
      <c r="F14275" s="527">
        <v>551</v>
      </c>
      <c r="G14275" s="520" t="s">
        <v>4198</v>
      </c>
      <c r="J14275" s="595">
        <f t="shared" si="432"/>
        <v>0</v>
      </c>
    </row>
    <row r="14276" spans="5:10" hidden="1" x14ac:dyDescent="0.25">
      <c r="F14276" s="528">
        <v>611</v>
      </c>
      <c r="G14276" s="526" t="s">
        <v>3868</v>
      </c>
      <c r="J14276" s="595">
        <f t="shared" si="432"/>
        <v>0</v>
      </c>
    </row>
    <row r="14277" spans="5:10" ht="15.75" hidden="1" thickBot="1" x14ac:dyDescent="0.3">
      <c r="F14277" s="528">
        <v>620</v>
      </c>
      <c r="G14277" s="526" t="s">
        <v>88</v>
      </c>
      <c r="J14277" s="595">
        <f t="shared" si="432"/>
        <v>0</v>
      </c>
    </row>
    <row r="14278" spans="5:10" x14ac:dyDescent="0.25">
      <c r="E14278" s="517"/>
      <c r="F14278" s="528"/>
      <c r="G14278" s="327" t="s">
        <v>4426</v>
      </c>
      <c r="H14278" s="596"/>
      <c r="I14278" s="622"/>
      <c r="J14278" s="597"/>
    </row>
    <row r="14279" spans="5:10" ht="15.75" thickBot="1" x14ac:dyDescent="0.3">
      <c r="E14279" s="222"/>
      <c r="F14279" s="642" t="s">
        <v>234</v>
      </c>
      <c r="G14279" s="643" t="s">
        <v>235</v>
      </c>
      <c r="H14279" s="598">
        <f>SUM(H14218:H14277)</f>
        <v>170000</v>
      </c>
      <c r="I14279" s="599"/>
      <c r="J14279" s="599">
        <f t="shared" ref="J14279:J14294" si="433">SUM(H14279:I14279)</f>
        <v>170000</v>
      </c>
    </row>
    <row r="14280" spans="5:10" hidden="1" x14ac:dyDescent="0.25">
      <c r="F14280" s="642" t="s">
        <v>236</v>
      </c>
      <c r="G14280" s="643" t="s">
        <v>237</v>
      </c>
      <c r="J14280" s="599">
        <f t="shared" si="433"/>
        <v>0</v>
      </c>
    </row>
    <row r="14281" spans="5:10" hidden="1" x14ac:dyDescent="0.25">
      <c r="F14281" s="642" t="s">
        <v>238</v>
      </c>
      <c r="G14281" s="643" t="s">
        <v>239</v>
      </c>
      <c r="J14281" s="599">
        <f t="shared" si="433"/>
        <v>0</v>
      </c>
    </row>
    <row r="14282" spans="5:10" hidden="1" x14ac:dyDescent="0.25">
      <c r="F14282" s="642" t="s">
        <v>240</v>
      </c>
      <c r="G14282" s="643" t="s">
        <v>241</v>
      </c>
      <c r="J14282" s="599">
        <f t="shared" si="433"/>
        <v>0</v>
      </c>
    </row>
    <row r="14283" spans="5:10" hidden="1" x14ac:dyDescent="0.25">
      <c r="F14283" s="642" t="s">
        <v>242</v>
      </c>
      <c r="G14283" s="643" t="s">
        <v>243</v>
      </c>
      <c r="J14283" s="599">
        <f t="shared" si="433"/>
        <v>0</v>
      </c>
    </row>
    <row r="14284" spans="5:10" hidden="1" x14ac:dyDescent="0.25">
      <c r="F14284" s="642" t="s">
        <v>244</v>
      </c>
      <c r="G14284" s="643" t="s">
        <v>245</v>
      </c>
      <c r="J14284" s="599">
        <f t="shared" si="433"/>
        <v>0</v>
      </c>
    </row>
    <row r="14285" spans="5:10" hidden="1" x14ac:dyDescent="0.25">
      <c r="F14285" s="642" t="s">
        <v>246</v>
      </c>
      <c r="G14285" s="643" t="s">
        <v>247</v>
      </c>
      <c r="J14285" s="599">
        <f t="shared" si="433"/>
        <v>0</v>
      </c>
    </row>
    <row r="14286" spans="5:10" hidden="1" x14ac:dyDescent="0.25">
      <c r="F14286" s="642" t="s">
        <v>248</v>
      </c>
      <c r="G14286" s="643" t="s">
        <v>249</v>
      </c>
      <c r="J14286" s="599">
        <f t="shared" si="433"/>
        <v>0</v>
      </c>
    </row>
    <row r="14287" spans="5:10" hidden="1" x14ac:dyDescent="0.25">
      <c r="F14287" s="642" t="s">
        <v>250</v>
      </c>
      <c r="G14287" s="643" t="s">
        <v>57</v>
      </c>
      <c r="J14287" s="599">
        <f t="shared" si="433"/>
        <v>0</v>
      </c>
    </row>
    <row r="14288" spans="5:10" hidden="1" x14ac:dyDescent="0.25">
      <c r="F14288" s="642" t="s">
        <v>251</v>
      </c>
      <c r="G14288" s="643" t="s">
        <v>252</v>
      </c>
      <c r="J14288" s="599">
        <f t="shared" si="433"/>
        <v>0</v>
      </c>
    </row>
    <row r="14289" spans="5:10" hidden="1" x14ac:dyDescent="0.25">
      <c r="F14289" s="642" t="s">
        <v>253</v>
      </c>
      <c r="G14289" s="643" t="s">
        <v>254</v>
      </c>
      <c r="J14289" s="599">
        <f t="shared" si="433"/>
        <v>0</v>
      </c>
    </row>
    <row r="14290" spans="5:10" ht="30" hidden="1" x14ac:dyDescent="0.25">
      <c r="F14290" s="642" t="s">
        <v>255</v>
      </c>
      <c r="G14290" s="643" t="s">
        <v>256</v>
      </c>
      <c r="J14290" s="599">
        <f t="shared" si="433"/>
        <v>0</v>
      </c>
    </row>
    <row r="14291" spans="5:10" hidden="1" x14ac:dyDescent="0.25">
      <c r="F14291" s="642" t="s">
        <v>257</v>
      </c>
      <c r="G14291" s="643" t="s">
        <v>258</v>
      </c>
      <c r="J14291" s="599">
        <f t="shared" si="433"/>
        <v>0</v>
      </c>
    </row>
    <row r="14292" spans="5:10" ht="30" hidden="1" x14ac:dyDescent="0.25">
      <c r="F14292" s="642" t="s">
        <v>259</v>
      </c>
      <c r="G14292" s="643" t="s">
        <v>260</v>
      </c>
      <c r="J14292" s="599">
        <f t="shared" si="433"/>
        <v>0</v>
      </c>
    </row>
    <row r="14293" spans="5:10" hidden="1" x14ac:dyDescent="0.25">
      <c r="F14293" s="642" t="s">
        <v>261</v>
      </c>
      <c r="G14293" s="643" t="s">
        <v>262</v>
      </c>
      <c r="J14293" s="599">
        <f t="shared" si="433"/>
        <v>0</v>
      </c>
    </row>
    <row r="14294" spans="5:10" ht="15.75" hidden="1" thickBot="1" x14ac:dyDescent="0.3">
      <c r="F14294" s="642" t="s">
        <v>263</v>
      </c>
      <c r="G14294" s="643" t="s">
        <v>264</v>
      </c>
      <c r="H14294" s="598"/>
      <c r="I14294" s="599"/>
      <c r="J14294" s="599">
        <f t="shared" si="433"/>
        <v>0</v>
      </c>
    </row>
    <row r="14295" spans="5:10" ht="15.75" thickBot="1" x14ac:dyDescent="0.3">
      <c r="G14295" s="229" t="s">
        <v>4427</v>
      </c>
      <c r="H14295" s="600">
        <f>SUM(H14279:H14294)</f>
        <v>170000</v>
      </c>
      <c r="I14295" s="601">
        <f>SUM(I14280:I14294)</f>
        <v>0</v>
      </c>
      <c r="J14295" s="601">
        <f>SUM(J14279:J14294)</f>
        <v>170000</v>
      </c>
    </row>
    <row r="14296" spans="5:10" ht="28.5" x14ac:dyDescent="0.25">
      <c r="E14296" s="517"/>
      <c r="F14296" s="528"/>
      <c r="G14296" s="231" t="s">
        <v>5219</v>
      </c>
      <c r="H14296" s="602"/>
      <c r="I14296" s="623"/>
      <c r="J14296" s="603"/>
    </row>
    <row r="14297" spans="5:10" ht="15.75" thickBot="1" x14ac:dyDescent="0.3">
      <c r="E14297" s="222"/>
      <c r="F14297" s="642" t="s">
        <v>234</v>
      </c>
      <c r="G14297" s="643" t="s">
        <v>235</v>
      </c>
      <c r="H14297" s="598">
        <f>SUM(H14218:H14277)</f>
        <v>170000</v>
      </c>
      <c r="I14297" s="599"/>
      <c r="J14297" s="599">
        <f>SUM(H14297:I14297)</f>
        <v>170000</v>
      </c>
    </row>
    <row r="14298" spans="5:10" hidden="1" x14ac:dyDescent="0.25">
      <c r="F14298" s="642" t="s">
        <v>236</v>
      </c>
      <c r="G14298" s="643" t="s">
        <v>237</v>
      </c>
      <c r="J14298" s="599">
        <f t="shared" ref="J14298:J14312" si="434">SUM(H14298:I14298)</f>
        <v>0</v>
      </c>
    </row>
    <row r="14299" spans="5:10" hidden="1" x14ac:dyDescent="0.25">
      <c r="F14299" s="642" t="s">
        <v>238</v>
      </c>
      <c r="G14299" s="643" t="s">
        <v>239</v>
      </c>
      <c r="J14299" s="599">
        <f t="shared" si="434"/>
        <v>0</v>
      </c>
    </row>
    <row r="14300" spans="5:10" hidden="1" x14ac:dyDescent="0.25">
      <c r="F14300" s="642" t="s">
        <v>240</v>
      </c>
      <c r="G14300" s="643" t="s">
        <v>241</v>
      </c>
      <c r="J14300" s="599">
        <f t="shared" si="434"/>
        <v>0</v>
      </c>
    </row>
    <row r="14301" spans="5:10" hidden="1" x14ac:dyDescent="0.25">
      <c r="F14301" s="642" t="s">
        <v>242</v>
      </c>
      <c r="G14301" s="643" t="s">
        <v>243</v>
      </c>
      <c r="J14301" s="599">
        <f t="shared" si="434"/>
        <v>0</v>
      </c>
    </row>
    <row r="14302" spans="5:10" hidden="1" x14ac:dyDescent="0.25">
      <c r="F14302" s="642" t="s">
        <v>244</v>
      </c>
      <c r="G14302" s="643" t="s">
        <v>245</v>
      </c>
      <c r="J14302" s="599">
        <f t="shared" si="434"/>
        <v>0</v>
      </c>
    </row>
    <row r="14303" spans="5:10" hidden="1" x14ac:dyDescent="0.25">
      <c r="F14303" s="642" t="s">
        <v>246</v>
      </c>
      <c r="G14303" s="643" t="s">
        <v>247</v>
      </c>
      <c r="J14303" s="599">
        <f t="shared" si="434"/>
        <v>0</v>
      </c>
    </row>
    <row r="14304" spans="5:10" hidden="1" x14ac:dyDescent="0.25">
      <c r="F14304" s="642" t="s">
        <v>248</v>
      </c>
      <c r="G14304" s="643" t="s">
        <v>249</v>
      </c>
      <c r="J14304" s="599">
        <f t="shared" si="434"/>
        <v>0</v>
      </c>
    </row>
    <row r="14305" spans="3:10" hidden="1" x14ac:dyDescent="0.25">
      <c r="F14305" s="642" t="s">
        <v>250</v>
      </c>
      <c r="G14305" s="643" t="s">
        <v>57</v>
      </c>
      <c r="J14305" s="599">
        <f t="shared" si="434"/>
        <v>0</v>
      </c>
    </row>
    <row r="14306" spans="3:10" hidden="1" x14ac:dyDescent="0.25">
      <c r="F14306" s="642" t="s">
        <v>251</v>
      </c>
      <c r="G14306" s="643" t="s">
        <v>252</v>
      </c>
      <c r="J14306" s="599">
        <f t="shared" si="434"/>
        <v>0</v>
      </c>
    </row>
    <row r="14307" spans="3:10" hidden="1" x14ac:dyDescent="0.25">
      <c r="F14307" s="642" t="s">
        <v>253</v>
      </c>
      <c r="G14307" s="643" t="s">
        <v>254</v>
      </c>
      <c r="J14307" s="599">
        <f t="shared" si="434"/>
        <v>0</v>
      </c>
    </row>
    <row r="14308" spans="3:10" ht="30" hidden="1" x14ac:dyDescent="0.25">
      <c r="F14308" s="642" t="s">
        <v>255</v>
      </c>
      <c r="G14308" s="643" t="s">
        <v>256</v>
      </c>
      <c r="J14308" s="599">
        <f t="shared" si="434"/>
        <v>0</v>
      </c>
    </row>
    <row r="14309" spans="3:10" hidden="1" x14ac:dyDescent="0.25">
      <c r="F14309" s="642" t="s">
        <v>257</v>
      </c>
      <c r="G14309" s="643" t="s">
        <v>258</v>
      </c>
      <c r="J14309" s="599">
        <f t="shared" si="434"/>
        <v>0</v>
      </c>
    </row>
    <row r="14310" spans="3:10" ht="30" hidden="1" x14ac:dyDescent="0.25">
      <c r="F14310" s="642" t="s">
        <v>259</v>
      </c>
      <c r="G14310" s="643" t="s">
        <v>260</v>
      </c>
      <c r="J14310" s="599">
        <f t="shared" si="434"/>
        <v>0</v>
      </c>
    </row>
    <row r="14311" spans="3:10" hidden="1" x14ac:dyDescent="0.25">
      <c r="F14311" s="642" t="s">
        <v>261</v>
      </c>
      <c r="G14311" s="643" t="s">
        <v>262</v>
      </c>
      <c r="J14311" s="599">
        <f t="shared" si="434"/>
        <v>0</v>
      </c>
    </row>
    <row r="14312" spans="3:10" ht="15.75" hidden="1" thickBot="1" x14ac:dyDescent="0.3">
      <c r="F14312" s="642" t="s">
        <v>263</v>
      </c>
      <c r="G14312" s="643" t="s">
        <v>264</v>
      </c>
      <c r="H14312" s="598"/>
      <c r="I14312" s="599"/>
      <c r="J14312" s="599">
        <f t="shared" si="434"/>
        <v>0</v>
      </c>
    </row>
    <row r="14313" spans="3:10" ht="15.75" thickBot="1" x14ac:dyDescent="0.3">
      <c r="G14313" s="229" t="s">
        <v>5220</v>
      </c>
      <c r="H14313" s="600">
        <f>SUM(H14297:H14312)</f>
        <v>170000</v>
      </c>
      <c r="I14313" s="601">
        <f>SUM(I14298:I14312)</f>
        <v>0</v>
      </c>
      <c r="J14313" s="601">
        <f>SUM(J14297:J14312)</f>
        <v>170000</v>
      </c>
    </row>
    <row r="14315" spans="3:10" hidden="1" x14ac:dyDescent="0.25">
      <c r="C14315" s="276" t="s">
        <v>4440</v>
      </c>
      <c r="D14315" s="219"/>
      <c r="E14315" s="219"/>
      <c r="F14315" s="277"/>
      <c r="G14315" s="400" t="s">
        <v>4090</v>
      </c>
      <c r="H14315" s="627"/>
      <c r="I14315" s="610"/>
      <c r="J14315" s="628"/>
    </row>
    <row r="14316" spans="3:10" ht="30" hidden="1" x14ac:dyDescent="0.25">
      <c r="C14316" s="228"/>
      <c r="D14316" s="312">
        <v>660</v>
      </c>
      <c r="E14316" s="312"/>
      <c r="F14316" s="312"/>
      <c r="G14316" s="313" t="s">
        <v>186</v>
      </c>
    </row>
    <row r="14317" spans="3:10" hidden="1" x14ac:dyDescent="0.25">
      <c r="F14317" s="527">
        <v>411</v>
      </c>
      <c r="G14317" s="520" t="s">
        <v>4189</v>
      </c>
      <c r="J14317" s="595">
        <f>SUM(H14317:I14317)</f>
        <v>0</v>
      </c>
    </row>
    <row r="14318" spans="3:10" hidden="1" x14ac:dyDescent="0.25">
      <c r="F14318" s="527">
        <v>412</v>
      </c>
      <c r="G14318" s="516" t="s">
        <v>3784</v>
      </c>
      <c r="J14318" s="595">
        <f t="shared" ref="J14318:J14376" si="435">SUM(H14318:I14318)</f>
        <v>0</v>
      </c>
    </row>
    <row r="14319" spans="3:10" hidden="1" x14ac:dyDescent="0.25">
      <c r="F14319" s="527">
        <v>413</v>
      </c>
      <c r="G14319" s="520" t="s">
        <v>4190</v>
      </c>
      <c r="J14319" s="595">
        <f t="shared" si="435"/>
        <v>0</v>
      </c>
    </row>
    <row r="14320" spans="3:10" hidden="1" x14ac:dyDescent="0.25">
      <c r="F14320" s="527">
        <v>414</v>
      </c>
      <c r="G14320" s="520" t="s">
        <v>3787</v>
      </c>
      <c r="J14320" s="595">
        <f t="shared" si="435"/>
        <v>0</v>
      </c>
    </row>
    <row r="14321" spans="6:10" hidden="1" x14ac:dyDescent="0.25">
      <c r="F14321" s="527">
        <v>415</v>
      </c>
      <c r="G14321" s="520" t="s">
        <v>4199</v>
      </c>
      <c r="J14321" s="595">
        <f t="shared" si="435"/>
        <v>0</v>
      </c>
    </row>
    <row r="14322" spans="6:10" hidden="1" x14ac:dyDescent="0.25">
      <c r="F14322" s="527">
        <v>416</v>
      </c>
      <c r="G14322" s="520" t="s">
        <v>4200</v>
      </c>
      <c r="J14322" s="595">
        <f t="shared" si="435"/>
        <v>0</v>
      </c>
    </row>
    <row r="14323" spans="6:10" hidden="1" x14ac:dyDescent="0.25">
      <c r="F14323" s="527">
        <v>417</v>
      </c>
      <c r="G14323" s="520" t="s">
        <v>4201</v>
      </c>
      <c r="J14323" s="595">
        <f t="shared" si="435"/>
        <v>0</v>
      </c>
    </row>
    <row r="14324" spans="6:10" hidden="1" x14ac:dyDescent="0.25">
      <c r="F14324" s="527">
        <v>418</v>
      </c>
      <c r="G14324" s="520" t="s">
        <v>3793</v>
      </c>
      <c r="J14324" s="595">
        <f t="shared" si="435"/>
        <v>0</v>
      </c>
    </row>
    <row r="14325" spans="6:10" hidden="1" x14ac:dyDescent="0.25">
      <c r="F14325" s="527">
        <v>421</v>
      </c>
      <c r="G14325" s="520" t="s">
        <v>3797</v>
      </c>
      <c r="J14325" s="595">
        <f t="shared" si="435"/>
        <v>0</v>
      </c>
    </row>
    <row r="14326" spans="6:10" hidden="1" x14ac:dyDescent="0.25">
      <c r="F14326" s="527">
        <v>422</v>
      </c>
      <c r="G14326" s="520" t="s">
        <v>3798</v>
      </c>
      <c r="J14326" s="595">
        <f t="shared" si="435"/>
        <v>0</v>
      </c>
    </row>
    <row r="14327" spans="6:10" hidden="1" x14ac:dyDescent="0.25">
      <c r="F14327" s="527">
        <v>423</v>
      </c>
      <c r="G14327" s="520" t="s">
        <v>3799</v>
      </c>
      <c r="J14327" s="595">
        <f t="shared" si="435"/>
        <v>0</v>
      </c>
    </row>
    <row r="14328" spans="6:10" hidden="1" x14ac:dyDescent="0.25">
      <c r="F14328" s="527">
        <v>424</v>
      </c>
      <c r="G14328" s="520" t="s">
        <v>3801</v>
      </c>
      <c r="J14328" s="595">
        <f t="shared" si="435"/>
        <v>0</v>
      </c>
    </row>
    <row r="14329" spans="6:10" hidden="1" x14ac:dyDescent="0.25">
      <c r="F14329" s="527">
        <v>425</v>
      </c>
      <c r="G14329" s="520" t="s">
        <v>4202</v>
      </c>
      <c r="J14329" s="595">
        <f t="shared" si="435"/>
        <v>0</v>
      </c>
    </row>
    <row r="14330" spans="6:10" hidden="1" x14ac:dyDescent="0.25">
      <c r="F14330" s="527">
        <v>426</v>
      </c>
      <c r="G14330" s="520" t="s">
        <v>3805</v>
      </c>
      <c r="J14330" s="595">
        <f t="shared" si="435"/>
        <v>0</v>
      </c>
    </row>
    <row r="14331" spans="6:10" hidden="1" x14ac:dyDescent="0.25">
      <c r="F14331" s="527">
        <v>431</v>
      </c>
      <c r="G14331" s="520" t="s">
        <v>4203</v>
      </c>
      <c r="J14331" s="595">
        <f t="shared" si="435"/>
        <v>0</v>
      </c>
    </row>
    <row r="14332" spans="6:10" hidden="1" x14ac:dyDescent="0.25">
      <c r="F14332" s="527">
        <v>432</v>
      </c>
      <c r="G14332" s="520" t="s">
        <v>4204</v>
      </c>
      <c r="J14332" s="595">
        <f t="shared" si="435"/>
        <v>0</v>
      </c>
    </row>
    <row r="14333" spans="6:10" hidden="1" x14ac:dyDescent="0.25">
      <c r="F14333" s="527">
        <v>433</v>
      </c>
      <c r="G14333" s="520" t="s">
        <v>4205</v>
      </c>
      <c r="J14333" s="595">
        <f t="shared" si="435"/>
        <v>0</v>
      </c>
    </row>
    <row r="14334" spans="6:10" hidden="1" x14ac:dyDescent="0.25">
      <c r="F14334" s="527">
        <v>434</v>
      </c>
      <c r="G14334" s="520" t="s">
        <v>4206</v>
      </c>
      <c r="J14334" s="595">
        <f t="shared" si="435"/>
        <v>0</v>
      </c>
    </row>
    <row r="14335" spans="6:10" hidden="1" x14ac:dyDescent="0.25">
      <c r="F14335" s="527">
        <v>435</v>
      </c>
      <c r="G14335" s="520" t="s">
        <v>3812</v>
      </c>
      <c r="J14335" s="595">
        <f t="shared" si="435"/>
        <v>0</v>
      </c>
    </row>
    <row r="14336" spans="6:10" hidden="1" x14ac:dyDescent="0.25">
      <c r="F14336" s="527">
        <v>441</v>
      </c>
      <c r="G14336" s="520" t="s">
        <v>4207</v>
      </c>
      <c r="J14336" s="595">
        <f t="shared" si="435"/>
        <v>0</v>
      </c>
    </row>
    <row r="14337" spans="6:10" hidden="1" x14ac:dyDescent="0.25">
      <c r="F14337" s="527">
        <v>442</v>
      </c>
      <c r="G14337" s="520" t="s">
        <v>4208</v>
      </c>
      <c r="J14337" s="595">
        <f t="shared" si="435"/>
        <v>0</v>
      </c>
    </row>
    <row r="14338" spans="6:10" hidden="1" x14ac:dyDescent="0.25">
      <c r="F14338" s="527">
        <v>443</v>
      </c>
      <c r="G14338" s="520" t="s">
        <v>3817</v>
      </c>
      <c r="J14338" s="595">
        <f t="shared" si="435"/>
        <v>0</v>
      </c>
    </row>
    <row r="14339" spans="6:10" hidden="1" x14ac:dyDescent="0.25">
      <c r="F14339" s="527">
        <v>444</v>
      </c>
      <c r="G14339" s="520" t="s">
        <v>3818</v>
      </c>
      <c r="J14339" s="595">
        <f t="shared" si="435"/>
        <v>0</v>
      </c>
    </row>
    <row r="14340" spans="6:10" ht="30" hidden="1" x14ac:dyDescent="0.25">
      <c r="F14340" s="527">
        <v>4511</v>
      </c>
      <c r="G14340" s="223" t="s">
        <v>1692</v>
      </c>
      <c r="J14340" s="595">
        <f t="shared" si="435"/>
        <v>0</v>
      </c>
    </row>
    <row r="14341" spans="6:10" ht="30" hidden="1" x14ac:dyDescent="0.25">
      <c r="F14341" s="527">
        <v>4512</v>
      </c>
      <c r="G14341" s="223" t="s">
        <v>1701</v>
      </c>
      <c r="J14341" s="595">
        <f t="shared" si="435"/>
        <v>0</v>
      </c>
    </row>
    <row r="14342" spans="6:10" hidden="1" x14ac:dyDescent="0.25">
      <c r="F14342" s="527">
        <v>452</v>
      </c>
      <c r="G14342" s="520" t="s">
        <v>4209</v>
      </c>
      <c r="J14342" s="595">
        <f t="shared" si="435"/>
        <v>0</v>
      </c>
    </row>
    <row r="14343" spans="6:10" hidden="1" x14ac:dyDescent="0.25">
      <c r="F14343" s="527">
        <v>453</v>
      </c>
      <c r="G14343" s="520" t="s">
        <v>4210</v>
      </c>
      <c r="J14343" s="595">
        <f t="shared" si="435"/>
        <v>0</v>
      </c>
    </row>
    <row r="14344" spans="6:10" hidden="1" x14ac:dyDescent="0.25">
      <c r="F14344" s="527">
        <v>454</v>
      </c>
      <c r="G14344" s="520" t="s">
        <v>3823</v>
      </c>
      <c r="J14344" s="595">
        <f t="shared" si="435"/>
        <v>0</v>
      </c>
    </row>
    <row r="14345" spans="6:10" hidden="1" x14ac:dyDescent="0.25">
      <c r="F14345" s="527">
        <v>461</v>
      </c>
      <c r="G14345" s="520" t="s">
        <v>4191</v>
      </c>
      <c r="J14345" s="595">
        <f t="shared" si="435"/>
        <v>0</v>
      </c>
    </row>
    <row r="14346" spans="6:10" hidden="1" x14ac:dyDescent="0.25">
      <c r="F14346" s="527">
        <v>462</v>
      </c>
      <c r="G14346" s="520" t="s">
        <v>3826</v>
      </c>
      <c r="J14346" s="595">
        <f t="shared" si="435"/>
        <v>0</v>
      </c>
    </row>
    <row r="14347" spans="6:10" hidden="1" x14ac:dyDescent="0.25">
      <c r="F14347" s="527">
        <v>4631</v>
      </c>
      <c r="G14347" s="520" t="s">
        <v>3827</v>
      </c>
      <c r="J14347" s="595">
        <f t="shared" si="435"/>
        <v>0</v>
      </c>
    </row>
    <row r="14348" spans="6:10" hidden="1" x14ac:dyDescent="0.25">
      <c r="F14348" s="527">
        <v>4632</v>
      </c>
      <c r="G14348" s="520" t="s">
        <v>3828</v>
      </c>
      <c r="J14348" s="595">
        <f t="shared" si="435"/>
        <v>0</v>
      </c>
    </row>
    <row r="14349" spans="6:10" hidden="1" x14ac:dyDescent="0.25">
      <c r="F14349" s="527">
        <v>464</v>
      </c>
      <c r="G14349" s="520" t="s">
        <v>3829</v>
      </c>
      <c r="J14349" s="595">
        <f t="shared" si="435"/>
        <v>0</v>
      </c>
    </row>
    <row r="14350" spans="6:10" hidden="1" x14ac:dyDescent="0.25">
      <c r="F14350" s="527">
        <v>465</v>
      </c>
      <c r="G14350" s="520" t="s">
        <v>4192</v>
      </c>
      <c r="J14350" s="595">
        <f t="shared" si="435"/>
        <v>0</v>
      </c>
    </row>
    <row r="14351" spans="6:10" hidden="1" x14ac:dyDescent="0.25">
      <c r="F14351" s="527">
        <v>472</v>
      </c>
      <c r="G14351" s="520" t="s">
        <v>3833</v>
      </c>
      <c r="J14351" s="595">
        <f t="shared" si="435"/>
        <v>0</v>
      </c>
    </row>
    <row r="14352" spans="6:10" hidden="1" x14ac:dyDescent="0.25">
      <c r="F14352" s="527">
        <v>481</v>
      </c>
      <c r="G14352" s="520" t="s">
        <v>4211</v>
      </c>
      <c r="J14352" s="595">
        <f t="shared" si="435"/>
        <v>0</v>
      </c>
    </row>
    <row r="14353" spans="6:10" hidden="1" x14ac:dyDescent="0.25">
      <c r="F14353" s="527">
        <v>482</v>
      </c>
      <c r="G14353" s="520" t="s">
        <v>4212</v>
      </c>
      <c r="J14353" s="595">
        <f t="shared" si="435"/>
        <v>0</v>
      </c>
    </row>
    <row r="14354" spans="6:10" hidden="1" x14ac:dyDescent="0.25">
      <c r="F14354" s="527">
        <v>483</v>
      </c>
      <c r="G14354" s="524" t="s">
        <v>4213</v>
      </c>
      <c r="J14354" s="595">
        <f t="shared" si="435"/>
        <v>0</v>
      </c>
    </row>
    <row r="14355" spans="6:10" ht="30" hidden="1" x14ac:dyDescent="0.25">
      <c r="F14355" s="527">
        <v>484</v>
      </c>
      <c r="G14355" s="520" t="s">
        <v>4214</v>
      </c>
      <c r="J14355" s="595">
        <f t="shared" si="435"/>
        <v>0</v>
      </c>
    </row>
    <row r="14356" spans="6:10" ht="30" hidden="1" x14ac:dyDescent="0.25">
      <c r="F14356" s="527">
        <v>485</v>
      </c>
      <c r="G14356" s="520" t="s">
        <v>4215</v>
      </c>
      <c r="J14356" s="595">
        <f t="shared" si="435"/>
        <v>0</v>
      </c>
    </row>
    <row r="14357" spans="6:10" ht="30" hidden="1" x14ac:dyDescent="0.25">
      <c r="F14357" s="527">
        <v>489</v>
      </c>
      <c r="G14357" s="520" t="s">
        <v>3841</v>
      </c>
      <c r="J14357" s="595">
        <f t="shared" si="435"/>
        <v>0</v>
      </c>
    </row>
    <row r="14358" spans="6:10" hidden="1" x14ac:dyDescent="0.25">
      <c r="F14358" s="527">
        <v>494</v>
      </c>
      <c r="G14358" s="520" t="s">
        <v>4193</v>
      </c>
      <c r="J14358" s="595">
        <f t="shared" si="435"/>
        <v>0</v>
      </c>
    </row>
    <row r="14359" spans="6:10" ht="30" hidden="1" x14ac:dyDescent="0.25">
      <c r="F14359" s="527">
        <v>495</v>
      </c>
      <c r="G14359" s="520" t="s">
        <v>4194</v>
      </c>
      <c r="J14359" s="595">
        <f t="shared" si="435"/>
        <v>0</v>
      </c>
    </row>
    <row r="14360" spans="6:10" ht="30" hidden="1" x14ac:dyDescent="0.25">
      <c r="F14360" s="527">
        <v>496</v>
      </c>
      <c r="G14360" s="520" t="s">
        <v>4195</v>
      </c>
      <c r="J14360" s="595">
        <f t="shared" si="435"/>
        <v>0</v>
      </c>
    </row>
    <row r="14361" spans="6:10" hidden="1" x14ac:dyDescent="0.25">
      <c r="F14361" s="527">
        <v>499</v>
      </c>
      <c r="G14361" s="520" t="s">
        <v>4196</v>
      </c>
      <c r="J14361" s="595">
        <f t="shared" si="435"/>
        <v>0</v>
      </c>
    </row>
    <row r="14362" spans="6:10" hidden="1" x14ac:dyDescent="0.25">
      <c r="F14362" s="527">
        <v>511</v>
      </c>
      <c r="G14362" s="524" t="s">
        <v>4216</v>
      </c>
      <c r="J14362" s="595">
        <f t="shared" si="435"/>
        <v>0</v>
      </c>
    </row>
    <row r="14363" spans="6:10" hidden="1" x14ac:dyDescent="0.25">
      <c r="F14363" s="527">
        <v>512</v>
      </c>
      <c r="G14363" s="524" t="s">
        <v>4217</v>
      </c>
      <c r="J14363" s="595">
        <f t="shared" si="435"/>
        <v>0</v>
      </c>
    </row>
    <row r="14364" spans="6:10" hidden="1" x14ac:dyDescent="0.25">
      <c r="F14364" s="527">
        <v>513</v>
      </c>
      <c r="G14364" s="524" t="s">
        <v>4218</v>
      </c>
      <c r="J14364" s="595">
        <f t="shared" si="435"/>
        <v>0</v>
      </c>
    </row>
    <row r="14365" spans="6:10" hidden="1" x14ac:dyDescent="0.25">
      <c r="F14365" s="527">
        <v>514</v>
      </c>
      <c r="G14365" s="520" t="s">
        <v>4219</v>
      </c>
      <c r="J14365" s="595">
        <f t="shared" si="435"/>
        <v>0</v>
      </c>
    </row>
    <row r="14366" spans="6:10" hidden="1" x14ac:dyDescent="0.25">
      <c r="F14366" s="527">
        <v>515</v>
      </c>
      <c r="G14366" s="520" t="s">
        <v>3852</v>
      </c>
      <c r="J14366" s="595">
        <f t="shared" si="435"/>
        <v>0</v>
      </c>
    </row>
    <row r="14367" spans="6:10" hidden="1" x14ac:dyDescent="0.25">
      <c r="F14367" s="527">
        <v>521</v>
      </c>
      <c r="G14367" s="520" t="s">
        <v>4220</v>
      </c>
      <c r="J14367" s="595">
        <f t="shared" si="435"/>
        <v>0</v>
      </c>
    </row>
    <row r="14368" spans="6:10" hidden="1" x14ac:dyDescent="0.25">
      <c r="F14368" s="527">
        <v>522</v>
      </c>
      <c r="G14368" s="520" t="s">
        <v>4221</v>
      </c>
      <c r="J14368" s="595">
        <f t="shared" si="435"/>
        <v>0</v>
      </c>
    </row>
    <row r="14369" spans="5:10" hidden="1" x14ac:dyDescent="0.25">
      <c r="F14369" s="527">
        <v>523</v>
      </c>
      <c r="G14369" s="520" t="s">
        <v>3857</v>
      </c>
      <c r="J14369" s="595">
        <f t="shared" si="435"/>
        <v>0</v>
      </c>
    </row>
    <row r="14370" spans="5:10" hidden="1" x14ac:dyDescent="0.25">
      <c r="F14370" s="527">
        <v>531</v>
      </c>
      <c r="G14370" s="516" t="s">
        <v>4197</v>
      </c>
      <c r="J14370" s="595">
        <f t="shared" si="435"/>
        <v>0</v>
      </c>
    </row>
    <row r="14371" spans="5:10" hidden="1" x14ac:dyDescent="0.25">
      <c r="F14371" s="527">
        <v>541</v>
      </c>
      <c r="G14371" s="520" t="s">
        <v>4222</v>
      </c>
      <c r="J14371" s="595">
        <f t="shared" si="435"/>
        <v>0</v>
      </c>
    </row>
    <row r="14372" spans="5:10" hidden="1" x14ac:dyDescent="0.25">
      <c r="F14372" s="527">
        <v>542</v>
      </c>
      <c r="G14372" s="520" t="s">
        <v>4223</v>
      </c>
      <c r="J14372" s="595">
        <f t="shared" si="435"/>
        <v>0</v>
      </c>
    </row>
    <row r="14373" spans="5:10" hidden="1" x14ac:dyDescent="0.25">
      <c r="F14373" s="527">
        <v>543</v>
      </c>
      <c r="G14373" s="520" t="s">
        <v>3862</v>
      </c>
      <c r="J14373" s="595">
        <f t="shared" si="435"/>
        <v>0</v>
      </c>
    </row>
    <row r="14374" spans="5:10" ht="30" hidden="1" x14ac:dyDescent="0.25">
      <c r="F14374" s="527">
        <v>551</v>
      </c>
      <c r="G14374" s="520" t="s">
        <v>4198</v>
      </c>
      <c r="J14374" s="595">
        <f t="shared" si="435"/>
        <v>0</v>
      </c>
    </row>
    <row r="14375" spans="5:10" hidden="1" x14ac:dyDescent="0.25">
      <c r="F14375" s="528">
        <v>611</v>
      </c>
      <c r="G14375" s="526" t="s">
        <v>3868</v>
      </c>
      <c r="J14375" s="595">
        <f t="shared" si="435"/>
        <v>0</v>
      </c>
    </row>
    <row r="14376" spans="5:10" ht="15.75" hidden="1" thickBot="1" x14ac:dyDescent="0.3">
      <c r="F14376" s="528">
        <v>620</v>
      </c>
      <c r="G14376" s="526" t="s">
        <v>88</v>
      </c>
      <c r="J14376" s="595">
        <f t="shared" si="435"/>
        <v>0</v>
      </c>
    </row>
    <row r="14377" spans="5:10" ht="15.75" hidden="1" thickBot="1" x14ac:dyDescent="0.3">
      <c r="E14377" s="517"/>
      <c r="F14377" s="528"/>
      <c r="G14377" s="327" t="s">
        <v>4426</v>
      </c>
      <c r="H14377" s="596"/>
      <c r="I14377" s="622"/>
      <c r="J14377" s="597"/>
    </row>
    <row r="14378" spans="5:10" hidden="1" x14ac:dyDescent="0.25">
      <c r="E14378" s="222"/>
      <c r="F14378" s="642" t="s">
        <v>234</v>
      </c>
      <c r="G14378" s="643" t="s">
        <v>235</v>
      </c>
      <c r="H14378" s="598">
        <f>SUM(H14317:H14376)</f>
        <v>0</v>
      </c>
      <c r="I14378" s="599"/>
      <c r="J14378" s="599">
        <f t="shared" ref="J14378:J14393" si="436">SUM(H14378:I14378)</f>
        <v>0</v>
      </c>
    </row>
    <row r="14379" spans="5:10" hidden="1" x14ac:dyDescent="0.25">
      <c r="F14379" s="642" t="s">
        <v>236</v>
      </c>
      <c r="G14379" s="643" t="s">
        <v>237</v>
      </c>
      <c r="J14379" s="599">
        <f t="shared" si="436"/>
        <v>0</v>
      </c>
    </row>
    <row r="14380" spans="5:10" hidden="1" x14ac:dyDescent="0.25">
      <c r="F14380" s="642" t="s">
        <v>238</v>
      </c>
      <c r="G14380" s="643" t="s">
        <v>239</v>
      </c>
      <c r="J14380" s="599">
        <f t="shared" si="436"/>
        <v>0</v>
      </c>
    </row>
    <row r="14381" spans="5:10" hidden="1" x14ac:dyDescent="0.25">
      <c r="F14381" s="642" t="s">
        <v>240</v>
      </c>
      <c r="G14381" s="643" t="s">
        <v>241</v>
      </c>
      <c r="J14381" s="599">
        <f t="shared" si="436"/>
        <v>0</v>
      </c>
    </row>
    <row r="14382" spans="5:10" hidden="1" x14ac:dyDescent="0.25">
      <c r="F14382" s="642" t="s">
        <v>242</v>
      </c>
      <c r="G14382" s="643" t="s">
        <v>243</v>
      </c>
      <c r="J14382" s="599">
        <f t="shared" si="436"/>
        <v>0</v>
      </c>
    </row>
    <row r="14383" spans="5:10" hidden="1" x14ac:dyDescent="0.25">
      <c r="F14383" s="642" t="s">
        <v>244</v>
      </c>
      <c r="G14383" s="643" t="s">
        <v>245</v>
      </c>
      <c r="J14383" s="599">
        <f t="shared" si="436"/>
        <v>0</v>
      </c>
    </row>
    <row r="14384" spans="5:10" hidden="1" x14ac:dyDescent="0.25">
      <c r="F14384" s="642" t="s">
        <v>246</v>
      </c>
      <c r="G14384" s="643" t="s">
        <v>247</v>
      </c>
      <c r="J14384" s="599">
        <f t="shared" si="436"/>
        <v>0</v>
      </c>
    </row>
    <row r="14385" spans="5:10" hidden="1" x14ac:dyDescent="0.25">
      <c r="F14385" s="642" t="s">
        <v>248</v>
      </c>
      <c r="G14385" s="643" t="s">
        <v>249</v>
      </c>
      <c r="J14385" s="599">
        <f t="shared" si="436"/>
        <v>0</v>
      </c>
    </row>
    <row r="14386" spans="5:10" hidden="1" x14ac:dyDescent="0.25">
      <c r="F14386" s="642" t="s">
        <v>250</v>
      </c>
      <c r="G14386" s="643" t="s">
        <v>57</v>
      </c>
      <c r="J14386" s="599">
        <f t="shared" si="436"/>
        <v>0</v>
      </c>
    </row>
    <row r="14387" spans="5:10" hidden="1" x14ac:dyDescent="0.25">
      <c r="F14387" s="642" t="s">
        <v>251</v>
      </c>
      <c r="G14387" s="643" t="s">
        <v>252</v>
      </c>
      <c r="J14387" s="599">
        <f t="shared" si="436"/>
        <v>0</v>
      </c>
    </row>
    <row r="14388" spans="5:10" hidden="1" x14ac:dyDescent="0.25">
      <c r="F14388" s="642" t="s">
        <v>253</v>
      </c>
      <c r="G14388" s="643" t="s">
        <v>254</v>
      </c>
      <c r="J14388" s="599">
        <f t="shared" si="436"/>
        <v>0</v>
      </c>
    </row>
    <row r="14389" spans="5:10" ht="30" hidden="1" x14ac:dyDescent="0.25">
      <c r="F14389" s="642" t="s">
        <v>255</v>
      </c>
      <c r="G14389" s="643" t="s">
        <v>256</v>
      </c>
      <c r="J14389" s="599">
        <f t="shared" si="436"/>
        <v>0</v>
      </c>
    </row>
    <row r="14390" spans="5:10" hidden="1" x14ac:dyDescent="0.25">
      <c r="F14390" s="642" t="s">
        <v>257</v>
      </c>
      <c r="G14390" s="643" t="s">
        <v>258</v>
      </c>
      <c r="J14390" s="599">
        <f t="shared" si="436"/>
        <v>0</v>
      </c>
    </row>
    <row r="14391" spans="5:10" ht="30" hidden="1" x14ac:dyDescent="0.25">
      <c r="F14391" s="642" t="s">
        <v>259</v>
      </c>
      <c r="G14391" s="643" t="s">
        <v>260</v>
      </c>
      <c r="J14391" s="599">
        <f t="shared" si="436"/>
        <v>0</v>
      </c>
    </row>
    <row r="14392" spans="5:10" hidden="1" x14ac:dyDescent="0.25">
      <c r="F14392" s="642" t="s">
        <v>261</v>
      </c>
      <c r="G14392" s="643" t="s">
        <v>262</v>
      </c>
      <c r="J14392" s="599">
        <f t="shared" si="436"/>
        <v>0</v>
      </c>
    </row>
    <row r="14393" spans="5:10" ht="15.75" hidden="1" thickBot="1" x14ac:dyDescent="0.3">
      <c r="F14393" s="642" t="s">
        <v>263</v>
      </c>
      <c r="G14393" s="643" t="s">
        <v>264</v>
      </c>
      <c r="H14393" s="598"/>
      <c r="I14393" s="599"/>
      <c r="J14393" s="599">
        <f t="shared" si="436"/>
        <v>0</v>
      </c>
    </row>
    <row r="14394" spans="5:10" ht="15.75" hidden="1" thickBot="1" x14ac:dyDescent="0.3">
      <c r="G14394" s="229" t="s">
        <v>4427</v>
      </c>
      <c r="H14394" s="600">
        <f>SUM(H14378:H14393)</f>
        <v>0</v>
      </c>
      <c r="I14394" s="601">
        <f>SUM(I14379:I14393)</f>
        <v>0</v>
      </c>
      <c r="J14394" s="601">
        <f>SUM(J14378:J14393)</f>
        <v>0</v>
      </c>
    </row>
    <row r="14395" spans="5:10" ht="28.5" hidden="1" x14ac:dyDescent="0.25">
      <c r="E14395" s="517"/>
      <c r="F14395" s="528"/>
      <c r="G14395" s="231" t="s">
        <v>4445</v>
      </c>
      <c r="H14395" s="602"/>
      <c r="I14395" s="623"/>
      <c r="J14395" s="603"/>
    </row>
    <row r="14396" spans="5:10" ht="15.75" hidden="1" thickBot="1" x14ac:dyDescent="0.3">
      <c r="E14396" s="222"/>
      <c r="F14396" s="642" t="s">
        <v>234</v>
      </c>
      <c r="G14396" s="643" t="s">
        <v>235</v>
      </c>
      <c r="H14396" s="598">
        <f>SUM(H14317:H14376)</f>
        <v>0</v>
      </c>
      <c r="I14396" s="599"/>
      <c r="J14396" s="599">
        <f>SUM(H14396:I14396)</f>
        <v>0</v>
      </c>
    </row>
    <row r="14397" spans="5:10" hidden="1" x14ac:dyDescent="0.25">
      <c r="F14397" s="642" t="s">
        <v>236</v>
      </c>
      <c r="G14397" s="643" t="s">
        <v>237</v>
      </c>
      <c r="J14397" s="599">
        <f t="shared" ref="J14397:J14411" si="437">SUM(H14397:I14397)</f>
        <v>0</v>
      </c>
    </row>
    <row r="14398" spans="5:10" hidden="1" x14ac:dyDescent="0.25">
      <c r="F14398" s="642" t="s">
        <v>238</v>
      </c>
      <c r="G14398" s="643" t="s">
        <v>239</v>
      </c>
      <c r="J14398" s="599">
        <f t="shared" si="437"/>
        <v>0</v>
      </c>
    </row>
    <row r="14399" spans="5:10" hidden="1" x14ac:dyDescent="0.25">
      <c r="F14399" s="642" t="s">
        <v>240</v>
      </c>
      <c r="G14399" s="643" t="s">
        <v>241</v>
      </c>
      <c r="J14399" s="599">
        <f t="shared" si="437"/>
        <v>0</v>
      </c>
    </row>
    <row r="14400" spans="5:10" hidden="1" x14ac:dyDescent="0.25">
      <c r="F14400" s="642" t="s">
        <v>242</v>
      </c>
      <c r="G14400" s="643" t="s">
        <v>243</v>
      </c>
      <c r="J14400" s="599">
        <f t="shared" si="437"/>
        <v>0</v>
      </c>
    </row>
    <row r="14401" spans="3:10" hidden="1" x14ac:dyDescent="0.25">
      <c r="F14401" s="642" t="s">
        <v>244</v>
      </c>
      <c r="G14401" s="643" t="s">
        <v>245</v>
      </c>
      <c r="J14401" s="599">
        <f t="shared" si="437"/>
        <v>0</v>
      </c>
    </row>
    <row r="14402" spans="3:10" hidden="1" x14ac:dyDescent="0.25">
      <c r="F14402" s="642" t="s">
        <v>246</v>
      </c>
      <c r="G14402" s="643" t="s">
        <v>247</v>
      </c>
      <c r="J14402" s="599">
        <f t="shared" si="437"/>
        <v>0</v>
      </c>
    </row>
    <row r="14403" spans="3:10" hidden="1" x14ac:dyDescent="0.25">
      <c r="F14403" s="642" t="s">
        <v>248</v>
      </c>
      <c r="G14403" s="643" t="s">
        <v>249</v>
      </c>
      <c r="J14403" s="599">
        <f t="shared" si="437"/>
        <v>0</v>
      </c>
    </row>
    <row r="14404" spans="3:10" hidden="1" x14ac:dyDescent="0.25">
      <c r="F14404" s="642" t="s">
        <v>250</v>
      </c>
      <c r="G14404" s="643" t="s">
        <v>57</v>
      </c>
      <c r="J14404" s="599">
        <f t="shared" si="437"/>
        <v>0</v>
      </c>
    </row>
    <row r="14405" spans="3:10" hidden="1" x14ac:dyDescent="0.25">
      <c r="F14405" s="642" t="s">
        <v>251</v>
      </c>
      <c r="G14405" s="643" t="s">
        <v>252</v>
      </c>
      <c r="J14405" s="599">
        <f t="shared" si="437"/>
        <v>0</v>
      </c>
    </row>
    <row r="14406" spans="3:10" hidden="1" x14ac:dyDescent="0.25">
      <c r="F14406" s="642" t="s">
        <v>253</v>
      </c>
      <c r="G14406" s="643" t="s">
        <v>254</v>
      </c>
      <c r="J14406" s="599">
        <f t="shared" si="437"/>
        <v>0</v>
      </c>
    </row>
    <row r="14407" spans="3:10" ht="30" hidden="1" x14ac:dyDescent="0.25">
      <c r="F14407" s="642" t="s">
        <v>255</v>
      </c>
      <c r="G14407" s="643" t="s">
        <v>256</v>
      </c>
      <c r="J14407" s="599">
        <f t="shared" si="437"/>
        <v>0</v>
      </c>
    </row>
    <row r="14408" spans="3:10" hidden="1" x14ac:dyDescent="0.25">
      <c r="F14408" s="642" t="s">
        <v>257</v>
      </c>
      <c r="G14408" s="643" t="s">
        <v>258</v>
      </c>
      <c r="J14408" s="599">
        <f t="shared" si="437"/>
        <v>0</v>
      </c>
    </row>
    <row r="14409" spans="3:10" ht="30" hidden="1" x14ac:dyDescent="0.25">
      <c r="F14409" s="642" t="s">
        <v>259</v>
      </c>
      <c r="G14409" s="643" t="s">
        <v>260</v>
      </c>
      <c r="J14409" s="599">
        <f t="shared" si="437"/>
        <v>0</v>
      </c>
    </row>
    <row r="14410" spans="3:10" hidden="1" x14ac:dyDescent="0.25">
      <c r="F14410" s="642" t="s">
        <v>261</v>
      </c>
      <c r="G14410" s="643" t="s">
        <v>262</v>
      </c>
      <c r="J14410" s="599">
        <f t="shared" si="437"/>
        <v>0</v>
      </c>
    </row>
    <row r="14411" spans="3:10" ht="15.75" hidden="1" thickBot="1" x14ac:dyDescent="0.3">
      <c r="F14411" s="642" t="s">
        <v>263</v>
      </c>
      <c r="G14411" s="643" t="s">
        <v>264</v>
      </c>
      <c r="H14411" s="598"/>
      <c r="I14411" s="599"/>
      <c r="J14411" s="599">
        <f t="shared" si="437"/>
        <v>0</v>
      </c>
    </row>
    <row r="14412" spans="3:10" ht="15.75" hidden="1" thickBot="1" x14ac:dyDescent="0.3">
      <c r="G14412" s="229" t="s">
        <v>4446</v>
      </c>
      <c r="H14412" s="600">
        <f>SUM(H14396:H14411)</f>
        <v>0</v>
      </c>
      <c r="I14412" s="601">
        <f>SUM(I14397:I14411)</f>
        <v>0</v>
      </c>
      <c r="J14412" s="601">
        <f>SUM(J14396:J14411)</f>
        <v>0</v>
      </c>
    </row>
    <row r="14413" spans="3:10" hidden="1" x14ac:dyDescent="0.25"/>
    <row r="14414" spans="3:10" hidden="1" x14ac:dyDescent="0.25">
      <c r="C14414" s="276" t="s">
        <v>4441</v>
      </c>
      <c r="D14414" s="219"/>
      <c r="E14414" s="219"/>
      <c r="F14414" s="277"/>
      <c r="G14414" s="278" t="s">
        <v>4092</v>
      </c>
      <c r="H14414" s="627"/>
      <c r="I14414" s="610"/>
      <c r="J14414" s="628"/>
    </row>
    <row r="14415" spans="3:10" hidden="1" x14ac:dyDescent="0.25">
      <c r="C14415" s="228"/>
      <c r="D14415" s="312">
        <v>640</v>
      </c>
      <c r="E14415" s="312"/>
      <c r="F14415" s="312"/>
      <c r="G14415" s="313" t="s">
        <v>184</v>
      </c>
    </row>
    <row r="14416" spans="3:10" hidden="1" x14ac:dyDescent="0.25">
      <c r="F14416" s="527">
        <v>411</v>
      </c>
      <c r="G14416" s="520" t="s">
        <v>4189</v>
      </c>
      <c r="J14416" s="595">
        <f>SUM(H14416:I14416)</f>
        <v>0</v>
      </c>
    </row>
    <row r="14417" spans="6:10" hidden="1" x14ac:dyDescent="0.25">
      <c r="F14417" s="527">
        <v>412</v>
      </c>
      <c r="G14417" s="516" t="s">
        <v>3784</v>
      </c>
      <c r="J14417" s="595">
        <f t="shared" ref="J14417:J14475" si="438">SUM(H14417:I14417)</f>
        <v>0</v>
      </c>
    </row>
    <row r="14418" spans="6:10" hidden="1" x14ac:dyDescent="0.25">
      <c r="F14418" s="527">
        <v>413</v>
      </c>
      <c r="G14418" s="520" t="s">
        <v>4190</v>
      </c>
      <c r="J14418" s="595">
        <f t="shared" si="438"/>
        <v>0</v>
      </c>
    </row>
    <row r="14419" spans="6:10" hidden="1" x14ac:dyDescent="0.25">
      <c r="F14419" s="527">
        <v>414</v>
      </c>
      <c r="G14419" s="520" t="s">
        <v>3787</v>
      </c>
      <c r="J14419" s="595">
        <f t="shared" si="438"/>
        <v>0</v>
      </c>
    </row>
    <row r="14420" spans="6:10" hidden="1" x14ac:dyDescent="0.25">
      <c r="F14420" s="527">
        <v>415</v>
      </c>
      <c r="G14420" s="520" t="s">
        <v>4199</v>
      </c>
      <c r="J14420" s="595">
        <f t="shared" si="438"/>
        <v>0</v>
      </c>
    </row>
    <row r="14421" spans="6:10" hidden="1" x14ac:dyDescent="0.25">
      <c r="F14421" s="527">
        <v>416</v>
      </c>
      <c r="G14421" s="520" t="s">
        <v>4200</v>
      </c>
      <c r="J14421" s="595">
        <f t="shared" si="438"/>
        <v>0</v>
      </c>
    </row>
    <row r="14422" spans="6:10" hidden="1" x14ac:dyDescent="0.25">
      <c r="F14422" s="527">
        <v>417</v>
      </c>
      <c r="G14422" s="520" t="s">
        <v>4201</v>
      </c>
      <c r="J14422" s="595">
        <f t="shared" si="438"/>
        <v>0</v>
      </c>
    </row>
    <row r="14423" spans="6:10" hidden="1" x14ac:dyDescent="0.25">
      <c r="F14423" s="527">
        <v>418</v>
      </c>
      <c r="G14423" s="520" t="s">
        <v>3793</v>
      </c>
      <c r="J14423" s="595">
        <f t="shared" si="438"/>
        <v>0</v>
      </c>
    </row>
    <row r="14424" spans="6:10" hidden="1" x14ac:dyDescent="0.25">
      <c r="F14424" s="527">
        <v>421</v>
      </c>
      <c r="G14424" s="520" t="s">
        <v>3797</v>
      </c>
      <c r="J14424" s="595">
        <f t="shared" si="438"/>
        <v>0</v>
      </c>
    </row>
    <row r="14425" spans="6:10" hidden="1" x14ac:dyDescent="0.25">
      <c r="F14425" s="527">
        <v>422</v>
      </c>
      <c r="G14425" s="520" t="s">
        <v>3798</v>
      </c>
      <c r="J14425" s="595">
        <f t="shared" si="438"/>
        <v>0</v>
      </c>
    </row>
    <row r="14426" spans="6:10" hidden="1" x14ac:dyDescent="0.25">
      <c r="F14426" s="527">
        <v>423</v>
      </c>
      <c r="G14426" s="520" t="s">
        <v>3799</v>
      </c>
      <c r="J14426" s="595">
        <f t="shared" si="438"/>
        <v>0</v>
      </c>
    </row>
    <row r="14427" spans="6:10" hidden="1" x14ac:dyDescent="0.25">
      <c r="F14427" s="527">
        <v>424</v>
      </c>
      <c r="G14427" s="520" t="s">
        <v>3801</v>
      </c>
      <c r="J14427" s="595">
        <f t="shared" si="438"/>
        <v>0</v>
      </c>
    </row>
    <row r="14428" spans="6:10" hidden="1" x14ac:dyDescent="0.25">
      <c r="F14428" s="527">
        <v>425</v>
      </c>
      <c r="G14428" s="520" t="s">
        <v>4202</v>
      </c>
      <c r="J14428" s="595">
        <f t="shared" si="438"/>
        <v>0</v>
      </c>
    </row>
    <row r="14429" spans="6:10" hidden="1" x14ac:dyDescent="0.25">
      <c r="F14429" s="527">
        <v>426</v>
      </c>
      <c r="G14429" s="520" t="s">
        <v>3805</v>
      </c>
      <c r="J14429" s="595">
        <f t="shared" si="438"/>
        <v>0</v>
      </c>
    </row>
    <row r="14430" spans="6:10" hidden="1" x14ac:dyDescent="0.25">
      <c r="F14430" s="527">
        <v>431</v>
      </c>
      <c r="G14430" s="520" t="s">
        <v>4203</v>
      </c>
      <c r="J14430" s="595">
        <f t="shared" si="438"/>
        <v>0</v>
      </c>
    </row>
    <row r="14431" spans="6:10" hidden="1" x14ac:dyDescent="0.25">
      <c r="F14431" s="527">
        <v>432</v>
      </c>
      <c r="G14431" s="520" t="s">
        <v>4204</v>
      </c>
      <c r="J14431" s="595">
        <f t="shared" si="438"/>
        <v>0</v>
      </c>
    </row>
    <row r="14432" spans="6:10" hidden="1" x14ac:dyDescent="0.25">
      <c r="F14432" s="527">
        <v>433</v>
      </c>
      <c r="G14432" s="520" t="s">
        <v>4205</v>
      </c>
      <c r="J14432" s="595">
        <f t="shared" si="438"/>
        <v>0</v>
      </c>
    </row>
    <row r="14433" spans="6:10" hidden="1" x14ac:dyDescent="0.25">
      <c r="F14433" s="527">
        <v>434</v>
      </c>
      <c r="G14433" s="520" t="s">
        <v>4206</v>
      </c>
      <c r="J14433" s="595">
        <f t="shared" si="438"/>
        <v>0</v>
      </c>
    </row>
    <row r="14434" spans="6:10" hidden="1" x14ac:dyDescent="0.25">
      <c r="F14434" s="527">
        <v>435</v>
      </c>
      <c r="G14434" s="520" t="s">
        <v>3812</v>
      </c>
      <c r="J14434" s="595">
        <f t="shared" si="438"/>
        <v>0</v>
      </c>
    </row>
    <row r="14435" spans="6:10" hidden="1" x14ac:dyDescent="0.25">
      <c r="F14435" s="527">
        <v>441</v>
      </c>
      <c r="G14435" s="520" t="s">
        <v>4207</v>
      </c>
      <c r="J14435" s="595">
        <f t="shared" si="438"/>
        <v>0</v>
      </c>
    </row>
    <row r="14436" spans="6:10" hidden="1" x14ac:dyDescent="0.25">
      <c r="F14436" s="527">
        <v>442</v>
      </c>
      <c r="G14436" s="520" t="s">
        <v>4208</v>
      </c>
      <c r="J14436" s="595">
        <f t="shared" si="438"/>
        <v>0</v>
      </c>
    </row>
    <row r="14437" spans="6:10" hidden="1" x14ac:dyDescent="0.25">
      <c r="F14437" s="527">
        <v>443</v>
      </c>
      <c r="G14437" s="520" t="s">
        <v>3817</v>
      </c>
      <c r="J14437" s="595">
        <f t="shared" si="438"/>
        <v>0</v>
      </c>
    </row>
    <row r="14438" spans="6:10" hidden="1" x14ac:dyDescent="0.25">
      <c r="F14438" s="527">
        <v>444</v>
      </c>
      <c r="G14438" s="520" t="s">
        <v>3818</v>
      </c>
      <c r="J14438" s="595">
        <f t="shared" si="438"/>
        <v>0</v>
      </c>
    </row>
    <row r="14439" spans="6:10" ht="30" hidden="1" x14ac:dyDescent="0.25">
      <c r="F14439" s="527">
        <v>4511</v>
      </c>
      <c r="G14439" s="223" t="s">
        <v>1692</v>
      </c>
      <c r="J14439" s="595">
        <f t="shared" si="438"/>
        <v>0</v>
      </c>
    </row>
    <row r="14440" spans="6:10" ht="30" hidden="1" x14ac:dyDescent="0.25">
      <c r="F14440" s="527">
        <v>4512</v>
      </c>
      <c r="G14440" s="223" t="s">
        <v>1701</v>
      </c>
      <c r="J14440" s="595">
        <f t="shared" si="438"/>
        <v>0</v>
      </c>
    </row>
    <row r="14441" spans="6:10" hidden="1" x14ac:dyDescent="0.25">
      <c r="F14441" s="527">
        <v>452</v>
      </c>
      <c r="G14441" s="520" t="s">
        <v>4209</v>
      </c>
      <c r="J14441" s="595">
        <f t="shared" si="438"/>
        <v>0</v>
      </c>
    </row>
    <row r="14442" spans="6:10" hidden="1" x14ac:dyDescent="0.25">
      <c r="F14442" s="527">
        <v>453</v>
      </c>
      <c r="G14442" s="520" t="s">
        <v>4210</v>
      </c>
      <c r="J14442" s="595">
        <f t="shared" si="438"/>
        <v>0</v>
      </c>
    </row>
    <row r="14443" spans="6:10" hidden="1" x14ac:dyDescent="0.25">
      <c r="F14443" s="527">
        <v>454</v>
      </c>
      <c r="G14443" s="520" t="s">
        <v>3823</v>
      </c>
      <c r="J14443" s="595">
        <f t="shared" si="438"/>
        <v>0</v>
      </c>
    </row>
    <row r="14444" spans="6:10" hidden="1" x14ac:dyDescent="0.25">
      <c r="F14444" s="527">
        <v>461</v>
      </c>
      <c r="G14444" s="520" t="s">
        <v>4191</v>
      </c>
      <c r="J14444" s="595">
        <f t="shared" si="438"/>
        <v>0</v>
      </c>
    </row>
    <row r="14445" spans="6:10" hidden="1" x14ac:dyDescent="0.25">
      <c r="F14445" s="527">
        <v>462</v>
      </c>
      <c r="G14445" s="520" t="s">
        <v>3826</v>
      </c>
      <c r="J14445" s="595">
        <f t="shared" si="438"/>
        <v>0</v>
      </c>
    </row>
    <row r="14446" spans="6:10" hidden="1" x14ac:dyDescent="0.25">
      <c r="F14446" s="527">
        <v>4631</v>
      </c>
      <c r="G14446" s="520" t="s">
        <v>3827</v>
      </c>
      <c r="J14446" s="595">
        <f t="shared" si="438"/>
        <v>0</v>
      </c>
    </row>
    <row r="14447" spans="6:10" hidden="1" x14ac:dyDescent="0.25">
      <c r="F14447" s="527">
        <v>4632</v>
      </c>
      <c r="G14447" s="520" t="s">
        <v>3828</v>
      </c>
      <c r="J14447" s="595">
        <f t="shared" si="438"/>
        <v>0</v>
      </c>
    </row>
    <row r="14448" spans="6:10" hidden="1" x14ac:dyDescent="0.25">
      <c r="F14448" s="527">
        <v>464</v>
      </c>
      <c r="G14448" s="520" t="s">
        <v>3829</v>
      </c>
      <c r="J14448" s="595">
        <f t="shared" si="438"/>
        <v>0</v>
      </c>
    </row>
    <row r="14449" spans="6:10" hidden="1" x14ac:dyDescent="0.25">
      <c r="F14449" s="527">
        <v>465</v>
      </c>
      <c r="G14449" s="520" t="s">
        <v>4192</v>
      </c>
      <c r="J14449" s="595">
        <f t="shared" si="438"/>
        <v>0</v>
      </c>
    </row>
    <row r="14450" spans="6:10" hidden="1" x14ac:dyDescent="0.25">
      <c r="F14450" s="527">
        <v>472</v>
      </c>
      <c r="G14450" s="520" t="s">
        <v>3833</v>
      </c>
      <c r="J14450" s="595">
        <f t="shared" si="438"/>
        <v>0</v>
      </c>
    </row>
    <row r="14451" spans="6:10" hidden="1" x14ac:dyDescent="0.25">
      <c r="F14451" s="527">
        <v>481</v>
      </c>
      <c r="G14451" s="520" t="s">
        <v>4211</v>
      </c>
      <c r="J14451" s="595">
        <f t="shared" si="438"/>
        <v>0</v>
      </c>
    </row>
    <row r="14452" spans="6:10" hidden="1" x14ac:dyDescent="0.25">
      <c r="F14452" s="527">
        <v>482</v>
      </c>
      <c r="G14452" s="520" t="s">
        <v>4212</v>
      </c>
      <c r="J14452" s="595">
        <f t="shared" si="438"/>
        <v>0</v>
      </c>
    </row>
    <row r="14453" spans="6:10" hidden="1" x14ac:dyDescent="0.25">
      <c r="F14453" s="527">
        <v>483</v>
      </c>
      <c r="G14453" s="524" t="s">
        <v>4213</v>
      </c>
      <c r="J14453" s="595">
        <f t="shared" si="438"/>
        <v>0</v>
      </c>
    </row>
    <row r="14454" spans="6:10" ht="30" hidden="1" x14ac:dyDescent="0.25">
      <c r="F14454" s="527">
        <v>484</v>
      </c>
      <c r="G14454" s="520" t="s">
        <v>4214</v>
      </c>
      <c r="J14454" s="595">
        <f t="shared" si="438"/>
        <v>0</v>
      </c>
    </row>
    <row r="14455" spans="6:10" ht="30" hidden="1" x14ac:dyDescent="0.25">
      <c r="F14455" s="527">
        <v>485</v>
      </c>
      <c r="G14455" s="520" t="s">
        <v>4215</v>
      </c>
      <c r="J14455" s="595">
        <f t="shared" si="438"/>
        <v>0</v>
      </c>
    </row>
    <row r="14456" spans="6:10" ht="30" hidden="1" x14ac:dyDescent="0.25">
      <c r="F14456" s="527">
        <v>489</v>
      </c>
      <c r="G14456" s="520" t="s">
        <v>3841</v>
      </c>
      <c r="J14456" s="595">
        <f t="shared" si="438"/>
        <v>0</v>
      </c>
    </row>
    <row r="14457" spans="6:10" hidden="1" x14ac:dyDescent="0.25">
      <c r="F14457" s="527">
        <v>494</v>
      </c>
      <c r="G14457" s="520" t="s">
        <v>4193</v>
      </c>
      <c r="J14457" s="595">
        <f t="shared" si="438"/>
        <v>0</v>
      </c>
    </row>
    <row r="14458" spans="6:10" ht="30" hidden="1" x14ac:dyDescent="0.25">
      <c r="F14458" s="527">
        <v>495</v>
      </c>
      <c r="G14458" s="520" t="s">
        <v>4194</v>
      </c>
      <c r="J14458" s="595">
        <f t="shared" si="438"/>
        <v>0</v>
      </c>
    </row>
    <row r="14459" spans="6:10" ht="30" hidden="1" x14ac:dyDescent="0.25">
      <c r="F14459" s="527">
        <v>496</v>
      </c>
      <c r="G14459" s="520" t="s">
        <v>4195</v>
      </c>
      <c r="J14459" s="595">
        <f t="shared" si="438"/>
        <v>0</v>
      </c>
    </row>
    <row r="14460" spans="6:10" hidden="1" x14ac:dyDescent="0.25">
      <c r="F14460" s="527">
        <v>499</v>
      </c>
      <c r="G14460" s="520" t="s">
        <v>4196</v>
      </c>
      <c r="J14460" s="595">
        <f t="shared" si="438"/>
        <v>0</v>
      </c>
    </row>
    <row r="14461" spans="6:10" hidden="1" x14ac:dyDescent="0.25">
      <c r="F14461" s="527">
        <v>511</v>
      </c>
      <c r="G14461" s="524" t="s">
        <v>4216</v>
      </c>
      <c r="J14461" s="595">
        <f t="shared" si="438"/>
        <v>0</v>
      </c>
    </row>
    <row r="14462" spans="6:10" hidden="1" x14ac:dyDescent="0.25">
      <c r="F14462" s="527">
        <v>512</v>
      </c>
      <c r="G14462" s="524" t="s">
        <v>4217</v>
      </c>
      <c r="J14462" s="595">
        <f t="shared" si="438"/>
        <v>0</v>
      </c>
    </row>
    <row r="14463" spans="6:10" hidden="1" x14ac:dyDescent="0.25">
      <c r="F14463" s="527">
        <v>513</v>
      </c>
      <c r="G14463" s="524" t="s">
        <v>4218</v>
      </c>
      <c r="J14463" s="595">
        <f t="shared" si="438"/>
        <v>0</v>
      </c>
    </row>
    <row r="14464" spans="6:10" hidden="1" x14ac:dyDescent="0.25">
      <c r="F14464" s="527">
        <v>514</v>
      </c>
      <c r="G14464" s="520" t="s">
        <v>4219</v>
      </c>
      <c r="J14464" s="595">
        <f t="shared" si="438"/>
        <v>0</v>
      </c>
    </row>
    <row r="14465" spans="5:10" hidden="1" x14ac:dyDescent="0.25">
      <c r="F14465" s="527">
        <v>515</v>
      </c>
      <c r="G14465" s="520" t="s">
        <v>3852</v>
      </c>
      <c r="J14465" s="595">
        <f t="shared" si="438"/>
        <v>0</v>
      </c>
    </row>
    <row r="14466" spans="5:10" hidden="1" x14ac:dyDescent="0.25">
      <c r="F14466" s="527">
        <v>521</v>
      </c>
      <c r="G14466" s="520" t="s">
        <v>4220</v>
      </c>
      <c r="J14466" s="595">
        <f t="shared" si="438"/>
        <v>0</v>
      </c>
    </row>
    <row r="14467" spans="5:10" hidden="1" x14ac:dyDescent="0.25">
      <c r="F14467" s="527">
        <v>522</v>
      </c>
      <c r="G14467" s="520" t="s">
        <v>4221</v>
      </c>
      <c r="J14467" s="595">
        <f t="shared" si="438"/>
        <v>0</v>
      </c>
    </row>
    <row r="14468" spans="5:10" hidden="1" x14ac:dyDescent="0.25">
      <c r="F14468" s="527">
        <v>523</v>
      </c>
      <c r="G14468" s="520" t="s">
        <v>3857</v>
      </c>
      <c r="J14468" s="595">
        <f t="shared" si="438"/>
        <v>0</v>
      </c>
    </row>
    <row r="14469" spans="5:10" hidden="1" x14ac:dyDescent="0.25">
      <c r="F14469" s="527">
        <v>531</v>
      </c>
      <c r="G14469" s="516" t="s">
        <v>4197</v>
      </c>
      <c r="J14469" s="595">
        <f t="shared" si="438"/>
        <v>0</v>
      </c>
    </row>
    <row r="14470" spans="5:10" hidden="1" x14ac:dyDescent="0.25">
      <c r="F14470" s="527">
        <v>541</v>
      </c>
      <c r="G14470" s="520" t="s">
        <v>4222</v>
      </c>
      <c r="J14470" s="595">
        <f t="shared" si="438"/>
        <v>0</v>
      </c>
    </row>
    <row r="14471" spans="5:10" hidden="1" x14ac:dyDescent="0.25">
      <c r="F14471" s="527">
        <v>542</v>
      </c>
      <c r="G14471" s="520" t="s">
        <v>4223</v>
      </c>
      <c r="J14471" s="595">
        <f t="shared" si="438"/>
        <v>0</v>
      </c>
    </row>
    <row r="14472" spans="5:10" hidden="1" x14ac:dyDescent="0.25">
      <c r="F14472" s="527">
        <v>543</v>
      </c>
      <c r="G14472" s="520" t="s">
        <v>3862</v>
      </c>
      <c r="J14472" s="595">
        <f t="shared" si="438"/>
        <v>0</v>
      </c>
    </row>
    <row r="14473" spans="5:10" ht="30" hidden="1" x14ac:dyDescent="0.25">
      <c r="F14473" s="527">
        <v>551</v>
      </c>
      <c r="G14473" s="520" t="s">
        <v>4198</v>
      </c>
      <c r="J14473" s="595">
        <f t="shared" si="438"/>
        <v>0</v>
      </c>
    </row>
    <row r="14474" spans="5:10" hidden="1" x14ac:dyDescent="0.25">
      <c r="F14474" s="528">
        <v>611</v>
      </c>
      <c r="G14474" s="526" t="s">
        <v>3868</v>
      </c>
      <c r="J14474" s="595">
        <f t="shared" si="438"/>
        <v>0</v>
      </c>
    </row>
    <row r="14475" spans="5:10" ht="15.75" hidden="1" thickBot="1" x14ac:dyDescent="0.3">
      <c r="F14475" s="528">
        <v>620</v>
      </c>
      <c r="G14475" s="526" t="s">
        <v>88</v>
      </c>
      <c r="J14475" s="595">
        <f t="shared" si="438"/>
        <v>0</v>
      </c>
    </row>
    <row r="14476" spans="5:10" hidden="1" x14ac:dyDescent="0.25">
      <c r="E14476" s="517"/>
      <c r="F14476" s="528"/>
      <c r="G14476" s="327" t="s">
        <v>4428</v>
      </c>
      <c r="H14476" s="596"/>
      <c r="I14476" s="622"/>
      <c r="J14476" s="597"/>
    </row>
    <row r="14477" spans="5:10" ht="15.75" hidden="1" thickBot="1" x14ac:dyDescent="0.3">
      <c r="E14477" s="222"/>
      <c r="F14477" s="642" t="s">
        <v>234</v>
      </c>
      <c r="G14477" s="643" t="s">
        <v>235</v>
      </c>
      <c r="H14477" s="598">
        <f>SUM(H14416:H14475)</f>
        <v>0</v>
      </c>
      <c r="I14477" s="599"/>
      <c r="J14477" s="599">
        <f t="shared" ref="J14477:J14492" si="439">SUM(H14477:I14477)</f>
        <v>0</v>
      </c>
    </row>
    <row r="14478" spans="5:10" hidden="1" x14ac:dyDescent="0.25">
      <c r="F14478" s="642" t="s">
        <v>236</v>
      </c>
      <c r="G14478" s="643" t="s">
        <v>237</v>
      </c>
      <c r="J14478" s="599">
        <f t="shared" si="439"/>
        <v>0</v>
      </c>
    </row>
    <row r="14479" spans="5:10" hidden="1" x14ac:dyDescent="0.25">
      <c r="F14479" s="642" t="s">
        <v>238</v>
      </c>
      <c r="G14479" s="643" t="s">
        <v>239</v>
      </c>
      <c r="J14479" s="599">
        <f t="shared" si="439"/>
        <v>0</v>
      </c>
    </row>
    <row r="14480" spans="5:10" hidden="1" x14ac:dyDescent="0.25">
      <c r="F14480" s="642" t="s">
        <v>240</v>
      </c>
      <c r="G14480" s="643" t="s">
        <v>241</v>
      </c>
      <c r="J14480" s="599">
        <f t="shared" si="439"/>
        <v>0</v>
      </c>
    </row>
    <row r="14481" spans="5:10" hidden="1" x14ac:dyDescent="0.25">
      <c r="F14481" s="642" t="s">
        <v>242</v>
      </c>
      <c r="G14481" s="643" t="s">
        <v>243</v>
      </c>
      <c r="J14481" s="599">
        <f t="shared" si="439"/>
        <v>0</v>
      </c>
    </row>
    <row r="14482" spans="5:10" hidden="1" x14ac:dyDescent="0.25">
      <c r="F14482" s="642" t="s">
        <v>244</v>
      </c>
      <c r="G14482" s="643" t="s">
        <v>245</v>
      </c>
      <c r="J14482" s="599">
        <f t="shared" si="439"/>
        <v>0</v>
      </c>
    </row>
    <row r="14483" spans="5:10" hidden="1" x14ac:dyDescent="0.25">
      <c r="F14483" s="642" t="s">
        <v>246</v>
      </c>
      <c r="G14483" s="643" t="s">
        <v>247</v>
      </c>
      <c r="J14483" s="599">
        <f t="shared" si="439"/>
        <v>0</v>
      </c>
    </row>
    <row r="14484" spans="5:10" hidden="1" x14ac:dyDescent="0.25">
      <c r="F14484" s="642" t="s">
        <v>248</v>
      </c>
      <c r="G14484" s="643" t="s">
        <v>249</v>
      </c>
      <c r="J14484" s="599">
        <f t="shared" si="439"/>
        <v>0</v>
      </c>
    </row>
    <row r="14485" spans="5:10" hidden="1" x14ac:dyDescent="0.25">
      <c r="F14485" s="642" t="s">
        <v>250</v>
      </c>
      <c r="G14485" s="643" t="s">
        <v>57</v>
      </c>
      <c r="J14485" s="599">
        <f t="shared" si="439"/>
        <v>0</v>
      </c>
    </row>
    <row r="14486" spans="5:10" hidden="1" x14ac:dyDescent="0.25">
      <c r="F14486" s="642" t="s">
        <v>251</v>
      </c>
      <c r="G14486" s="643" t="s">
        <v>252</v>
      </c>
      <c r="J14486" s="599">
        <f t="shared" si="439"/>
        <v>0</v>
      </c>
    </row>
    <row r="14487" spans="5:10" hidden="1" x14ac:dyDescent="0.25">
      <c r="F14487" s="642" t="s">
        <v>253</v>
      </c>
      <c r="G14487" s="643" t="s">
        <v>254</v>
      </c>
      <c r="J14487" s="599">
        <f t="shared" si="439"/>
        <v>0</v>
      </c>
    </row>
    <row r="14488" spans="5:10" ht="30" hidden="1" x14ac:dyDescent="0.25">
      <c r="F14488" s="642" t="s">
        <v>255</v>
      </c>
      <c r="G14488" s="643" t="s">
        <v>256</v>
      </c>
      <c r="J14488" s="599">
        <f t="shared" si="439"/>
        <v>0</v>
      </c>
    </row>
    <row r="14489" spans="5:10" hidden="1" x14ac:dyDescent="0.25">
      <c r="F14489" s="642" t="s">
        <v>257</v>
      </c>
      <c r="G14489" s="643" t="s">
        <v>258</v>
      </c>
      <c r="J14489" s="599">
        <f t="shared" si="439"/>
        <v>0</v>
      </c>
    </row>
    <row r="14490" spans="5:10" ht="30" hidden="1" x14ac:dyDescent="0.25">
      <c r="F14490" s="642" t="s">
        <v>259</v>
      </c>
      <c r="G14490" s="643" t="s">
        <v>260</v>
      </c>
      <c r="J14490" s="599">
        <f t="shared" si="439"/>
        <v>0</v>
      </c>
    </row>
    <row r="14491" spans="5:10" hidden="1" x14ac:dyDescent="0.25">
      <c r="F14491" s="642" t="s">
        <v>261</v>
      </c>
      <c r="G14491" s="643" t="s">
        <v>262</v>
      </c>
      <c r="J14491" s="599">
        <f t="shared" si="439"/>
        <v>0</v>
      </c>
    </row>
    <row r="14492" spans="5:10" ht="15.75" hidden="1" thickBot="1" x14ac:dyDescent="0.3">
      <c r="F14492" s="642" t="s">
        <v>263</v>
      </c>
      <c r="G14492" s="643" t="s">
        <v>264</v>
      </c>
      <c r="H14492" s="598"/>
      <c r="I14492" s="599"/>
      <c r="J14492" s="599">
        <f t="shared" si="439"/>
        <v>0</v>
      </c>
    </row>
    <row r="14493" spans="5:10" ht="15.75" hidden="1" thickBot="1" x14ac:dyDescent="0.3">
      <c r="G14493" s="229" t="s">
        <v>4429</v>
      </c>
      <c r="H14493" s="600">
        <f>SUM(H14477:H14492)</f>
        <v>0</v>
      </c>
      <c r="I14493" s="601">
        <f>SUM(I14478:I14492)</f>
        <v>0</v>
      </c>
      <c r="J14493" s="601">
        <f>SUM(J14477:J14492)</f>
        <v>0</v>
      </c>
    </row>
    <row r="14494" spans="5:10" ht="28.5" hidden="1" x14ac:dyDescent="0.25">
      <c r="E14494" s="517"/>
      <c r="F14494" s="528"/>
      <c r="G14494" s="231" t="s">
        <v>4447</v>
      </c>
      <c r="H14494" s="602"/>
      <c r="I14494" s="623"/>
      <c r="J14494" s="603"/>
    </row>
    <row r="14495" spans="5:10" ht="15.75" hidden="1" thickBot="1" x14ac:dyDescent="0.3">
      <c r="E14495" s="222"/>
      <c r="F14495" s="642" t="s">
        <v>234</v>
      </c>
      <c r="G14495" s="643" t="s">
        <v>235</v>
      </c>
      <c r="H14495" s="598">
        <f>SUM(H14416:H14475)</f>
        <v>0</v>
      </c>
      <c r="I14495" s="599"/>
      <c r="J14495" s="599">
        <f>SUM(H14495:I14495)</f>
        <v>0</v>
      </c>
    </row>
    <row r="14496" spans="5:10" hidden="1" x14ac:dyDescent="0.25">
      <c r="F14496" s="642" t="s">
        <v>236</v>
      </c>
      <c r="G14496" s="643" t="s">
        <v>237</v>
      </c>
      <c r="J14496" s="599">
        <f t="shared" ref="J14496:J14510" si="440">SUM(H14496:I14496)</f>
        <v>0</v>
      </c>
    </row>
    <row r="14497" spans="6:10" hidden="1" x14ac:dyDescent="0.25">
      <c r="F14497" s="642" t="s">
        <v>238</v>
      </c>
      <c r="G14497" s="643" t="s">
        <v>239</v>
      </c>
      <c r="J14497" s="599">
        <f t="shared" si="440"/>
        <v>0</v>
      </c>
    </row>
    <row r="14498" spans="6:10" hidden="1" x14ac:dyDescent="0.25">
      <c r="F14498" s="642" t="s">
        <v>240</v>
      </c>
      <c r="G14498" s="643" t="s">
        <v>241</v>
      </c>
      <c r="J14498" s="599">
        <f t="shared" si="440"/>
        <v>0</v>
      </c>
    </row>
    <row r="14499" spans="6:10" hidden="1" x14ac:dyDescent="0.25">
      <c r="F14499" s="642" t="s">
        <v>242</v>
      </c>
      <c r="G14499" s="643" t="s">
        <v>243</v>
      </c>
      <c r="J14499" s="599">
        <f t="shared" si="440"/>
        <v>0</v>
      </c>
    </row>
    <row r="14500" spans="6:10" hidden="1" x14ac:dyDescent="0.25">
      <c r="F14500" s="642" t="s">
        <v>244</v>
      </c>
      <c r="G14500" s="643" t="s">
        <v>245</v>
      </c>
      <c r="J14500" s="599">
        <f t="shared" si="440"/>
        <v>0</v>
      </c>
    </row>
    <row r="14501" spans="6:10" hidden="1" x14ac:dyDescent="0.25">
      <c r="F14501" s="642" t="s">
        <v>246</v>
      </c>
      <c r="G14501" s="643" t="s">
        <v>247</v>
      </c>
      <c r="J14501" s="599">
        <f t="shared" si="440"/>
        <v>0</v>
      </c>
    </row>
    <row r="14502" spans="6:10" hidden="1" x14ac:dyDescent="0.25">
      <c r="F14502" s="642" t="s">
        <v>248</v>
      </c>
      <c r="G14502" s="643" t="s">
        <v>249</v>
      </c>
      <c r="J14502" s="599">
        <f t="shared" si="440"/>
        <v>0</v>
      </c>
    </row>
    <row r="14503" spans="6:10" hidden="1" x14ac:dyDescent="0.25">
      <c r="F14503" s="642" t="s">
        <v>250</v>
      </c>
      <c r="G14503" s="643" t="s">
        <v>57</v>
      </c>
      <c r="J14503" s="599">
        <f t="shared" si="440"/>
        <v>0</v>
      </c>
    </row>
    <row r="14504" spans="6:10" hidden="1" x14ac:dyDescent="0.25">
      <c r="F14504" s="642" t="s">
        <v>251</v>
      </c>
      <c r="G14504" s="643" t="s">
        <v>252</v>
      </c>
      <c r="J14504" s="599">
        <f t="shared" si="440"/>
        <v>0</v>
      </c>
    </row>
    <row r="14505" spans="6:10" hidden="1" x14ac:dyDescent="0.25">
      <c r="F14505" s="642" t="s">
        <v>253</v>
      </c>
      <c r="G14505" s="643" t="s">
        <v>254</v>
      </c>
      <c r="J14505" s="599">
        <f t="shared" si="440"/>
        <v>0</v>
      </c>
    </row>
    <row r="14506" spans="6:10" ht="30" hidden="1" x14ac:dyDescent="0.25">
      <c r="F14506" s="642" t="s">
        <v>255</v>
      </c>
      <c r="G14506" s="643" t="s">
        <v>256</v>
      </c>
      <c r="J14506" s="599">
        <f t="shared" si="440"/>
        <v>0</v>
      </c>
    </row>
    <row r="14507" spans="6:10" hidden="1" x14ac:dyDescent="0.25">
      <c r="F14507" s="642" t="s">
        <v>257</v>
      </c>
      <c r="G14507" s="643" t="s">
        <v>258</v>
      </c>
      <c r="J14507" s="599">
        <f t="shared" si="440"/>
        <v>0</v>
      </c>
    </row>
    <row r="14508" spans="6:10" ht="30" hidden="1" x14ac:dyDescent="0.25">
      <c r="F14508" s="642" t="s">
        <v>259</v>
      </c>
      <c r="G14508" s="643" t="s">
        <v>260</v>
      </c>
      <c r="J14508" s="599">
        <f t="shared" si="440"/>
        <v>0</v>
      </c>
    </row>
    <row r="14509" spans="6:10" hidden="1" x14ac:dyDescent="0.25">
      <c r="F14509" s="642" t="s">
        <v>261</v>
      </c>
      <c r="G14509" s="643" t="s">
        <v>262</v>
      </c>
      <c r="J14509" s="599">
        <f t="shared" si="440"/>
        <v>0</v>
      </c>
    </row>
    <row r="14510" spans="6:10" ht="15.75" hidden="1" thickBot="1" x14ac:dyDescent="0.3">
      <c r="F14510" s="642" t="s">
        <v>263</v>
      </c>
      <c r="G14510" s="643" t="s">
        <v>264</v>
      </c>
      <c r="H14510" s="598"/>
      <c r="I14510" s="599"/>
      <c r="J14510" s="599">
        <f t="shared" si="440"/>
        <v>0</v>
      </c>
    </row>
    <row r="14511" spans="6:10" ht="15.75" hidden="1" thickBot="1" x14ac:dyDescent="0.3">
      <c r="G14511" s="229" t="s">
        <v>4448</v>
      </c>
      <c r="H14511" s="600">
        <f>SUM(H14495:H14510)</f>
        <v>0</v>
      </c>
      <c r="I14511" s="601">
        <f>SUM(I14496:I14510)</f>
        <v>0</v>
      </c>
      <c r="J14511" s="601">
        <f>SUM(J14495:J14510)</f>
        <v>0</v>
      </c>
    </row>
    <row r="14512" spans="6:10" hidden="1" x14ac:dyDescent="0.25"/>
    <row r="14513" spans="3:10" x14ac:dyDescent="0.25">
      <c r="C14513" s="276" t="s">
        <v>4093</v>
      </c>
      <c r="D14513" s="219"/>
      <c r="E14513" s="219"/>
      <c r="F14513" s="277"/>
      <c r="G14513" s="278" t="s">
        <v>4328</v>
      </c>
      <c r="H14513" s="627"/>
      <c r="I14513" s="610"/>
      <c r="J14513" s="628"/>
    </row>
    <row r="14514" spans="3:10" ht="30" x14ac:dyDescent="0.25">
      <c r="C14514" s="228"/>
      <c r="D14514" s="312">
        <v>660</v>
      </c>
      <c r="E14514" s="312"/>
      <c r="F14514" s="312"/>
      <c r="G14514" s="313" t="s">
        <v>186</v>
      </c>
    </row>
    <row r="14515" spans="3:10" hidden="1" x14ac:dyDescent="0.25">
      <c r="F14515" s="527">
        <v>411</v>
      </c>
      <c r="G14515" s="520" t="s">
        <v>4189</v>
      </c>
      <c r="J14515" s="595">
        <f>SUM(H14515:I14515)</f>
        <v>0</v>
      </c>
    </row>
    <row r="14516" spans="3:10" hidden="1" x14ac:dyDescent="0.25">
      <c r="F14516" s="527">
        <v>412</v>
      </c>
      <c r="G14516" s="516" t="s">
        <v>3784</v>
      </c>
      <c r="J14516" s="595">
        <f t="shared" ref="J14516:J14574" si="441">SUM(H14516:I14516)</f>
        <v>0</v>
      </c>
    </row>
    <row r="14517" spans="3:10" hidden="1" x14ac:dyDescent="0.25">
      <c r="F14517" s="527">
        <v>413</v>
      </c>
      <c r="G14517" s="520" t="s">
        <v>4190</v>
      </c>
      <c r="J14517" s="595">
        <f t="shared" si="441"/>
        <v>0</v>
      </c>
    </row>
    <row r="14518" spans="3:10" hidden="1" x14ac:dyDescent="0.25">
      <c r="F14518" s="527">
        <v>414</v>
      </c>
      <c r="G14518" s="520" t="s">
        <v>3787</v>
      </c>
      <c r="J14518" s="595">
        <f t="shared" si="441"/>
        <v>0</v>
      </c>
    </row>
    <row r="14519" spans="3:10" hidden="1" x14ac:dyDescent="0.25">
      <c r="F14519" s="527">
        <v>415</v>
      </c>
      <c r="G14519" s="520" t="s">
        <v>4199</v>
      </c>
      <c r="J14519" s="595">
        <f t="shared" si="441"/>
        <v>0</v>
      </c>
    </row>
    <row r="14520" spans="3:10" hidden="1" x14ac:dyDescent="0.25">
      <c r="F14520" s="527">
        <v>416</v>
      </c>
      <c r="G14520" s="520" t="s">
        <v>4200</v>
      </c>
      <c r="J14520" s="595">
        <f t="shared" si="441"/>
        <v>0</v>
      </c>
    </row>
    <row r="14521" spans="3:10" hidden="1" x14ac:dyDescent="0.25">
      <c r="F14521" s="527">
        <v>417</v>
      </c>
      <c r="G14521" s="520" t="s">
        <v>4201</v>
      </c>
      <c r="J14521" s="595">
        <f t="shared" si="441"/>
        <v>0</v>
      </c>
    </row>
    <row r="14522" spans="3:10" hidden="1" x14ac:dyDescent="0.25">
      <c r="F14522" s="527">
        <v>418</v>
      </c>
      <c r="G14522" s="520" t="s">
        <v>3793</v>
      </c>
      <c r="J14522" s="595">
        <f t="shared" si="441"/>
        <v>0</v>
      </c>
    </row>
    <row r="14523" spans="3:10" x14ac:dyDescent="0.25">
      <c r="E14523" s="218">
        <v>163</v>
      </c>
      <c r="F14523" s="527">
        <v>421</v>
      </c>
      <c r="G14523" s="520" t="s">
        <v>3797</v>
      </c>
      <c r="H14523" s="594">
        <v>100000</v>
      </c>
      <c r="J14523" s="595">
        <f t="shared" si="441"/>
        <v>100000</v>
      </c>
    </row>
    <row r="14524" spans="3:10" x14ac:dyDescent="0.25">
      <c r="E14524" s="218">
        <v>164</v>
      </c>
      <c r="F14524" s="527">
        <v>422</v>
      </c>
      <c r="G14524" s="520" t="s">
        <v>3798</v>
      </c>
      <c r="H14524" s="594">
        <v>20000</v>
      </c>
      <c r="J14524" s="595">
        <f t="shared" si="441"/>
        <v>20000</v>
      </c>
    </row>
    <row r="14525" spans="3:10" hidden="1" x14ac:dyDescent="0.25">
      <c r="F14525" s="527">
        <v>423</v>
      </c>
      <c r="G14525" s="520" t="s">
        <v>3799</v>
      </c>
      <c r="J14525" s="595">
        <f t="shared" si="441"/>
        <v>0</v>
      </c>
    </row>
    <row r="14526" spans="3:10" x14ac:dyDescent="0.25">
      <c r="E14526" s="218">
        <v>165</v>
      </c>
      <c r="F14526" s="527">
        <v>424</v>
      </c>
      <c r="G14526" s="520" t="s">
        <v>3801</v>
      </c>
      <c r="H14526" s="594">
        <v>100000</v>
      </c>
      <c r="J14526" s="595">
        <f t="shared" si="441"/>
        <v>100000</v>
      </c>
    </row>
    <row r="14527" spans="3:10" hidden="1" x14ac:dyDescent="0.25">
      <c r="F14527" s="527">
        <v>425</v>
      </c>
      <c r="G14527" s="520" t="s">
        <v>4202</v>
      </c>
      <c r="J14527" s="595">
        <f t="shared" si="441"/>
        <v>0</v>
      </c>
    </row>
    <row r="14528" spans="3:10" ht="15.75" thickBot="1" x14ac:dyDescent="0.3">
      <c r="E14528" s="218">
        <v>166</v>
      </c>
      <c r="F14528" s="527">
        <v>426</v>
      </c>
      <c r="G14528" s="520" t="s">
        <v>3805</v>
      </c>
      <c r="H14528" s="594">
        <v>500000</v>
      </c>
      <c r="J14528" s="595">
        <f t="shared" si="441"/>
        <v>500000</v>
      </c>
    </row>
    <row r="14529" spans="6:10" hidden="1" x14ac:dyDescent="0.25">
      <c r="F14529" s="527">
        <v>431</v>
      </c>
      <c r="G14529" s="520" t="s">
        <v>4203</v>
      </c>
      <c r="J14529" s="595">
        <f t="shared" si="441"/>
        <v>0</v>
      </c>
    </row>
    <row r="14530" spans="6:10" hidden="1" x14ac:dyDescent="0.25">
      <c r="F14530" s="527">
        <v>432</v>
      </c>
      <c r="G14530" s="520" t="s">
        <v>4204</v>
      </c>
      <c r="J14530" s="595">
        <f t="shared" si="441"/>
        <v>0</v>
      </c>
    </row>
    <row r="14531" spans="6:10" hidden="1" x14ac:dyDescent="0.25">
      <c r="F14531" s="527">
        <v>433</v>
      </c>
      <c r="G14531" s="520" t="s">
        <v>4205</v>
      </c>
      <c r="J14531" s="595">
        <f t="shared" si="441"/>
        <v>0</v>
      </c>
    </row>
    <row r="14532" spans="6:10" hidden="1" x14ac:dyDescent="0.25">
      <c r="F14532" s="527">
        <v>434</v>
      </c>
      <c r="G14532" s="520" t="s">
        <v>4206</v>
      </c>
      <c r="J14532" s="595">
        <f t="shared" si="441"/>
        <v>0</v>
      </c>
    </row>
    <row r="14533" spans="6:10" hidden="1" x14ac:dyDescent="0.25">
      <c r="F14533" s="527">
        <v>435</v>
      </c>
      <c r="G14533" s="520" t="s">
        <v>3812</v>
      </c>
      <c r="J14533" s="595">
        <f t="shared" si="441"/>
        <v>0</v>
      </c>
    </row>
    <row r="14534" spans="6:10" hidden="1" x14ac:dyDescent="0.25">
      <c r="F14534" s="527">
        <v>441</v>
      </c>
      <c r="G14534" s="520" t="s">
        <v>4207</v>
      </c>
      <c r="J14534" s="595">
        <f t="shared" si="441"/>
        <v>0</v>
      </c>
    </row>
    <row r="14535" spans="6:10" hidden="1" x14ac:dyDescent="0.25">
      <c r="F14535" s="527">
        <v>442</v>
      </c>
      <c r="G14535" s="520" t="s">
        <v>4208</v>
      </c>
      <c r="J14535" s="595">
        <f t="shared" si="441"/>
        <v>0</v>
      </c>
    </row>
    <row r="14536" spans="6:10" hidden="1" x14ac:dyDescent="0.25">
      <c r="F14536" s="527">
        <v>443</v>
      </c>
      <c r="G14536" s="520" t="s">
        <v>3817</v>
      </c>
      <c r="J14536" s="595">
        <f t="shared" si="441"/>
        <v>0</v>
      </c>
    </row>
    <row r="14537" spans="6:10" hidden="1" x14ac:dyDescent="0.25">
      <c r="F14537" s="527">
        <v>444</v>
      </c>
      <c r="G14537" s="520" t="s">
        <v>3818</v>
      </c>
      <c r="J14537" s="595">
        <f t="shared" si="441"/>
        <v>0</v>
      </c>
    </row>
    <row r="14538" spans="6:10" ht="30" hidden="1" x14ac:dyDescent="0.25">
      <c r="F14538" s="527">
        <v>4511</v>
      </c>
      <c r="G14538" s="223" t="s">
        <v>1692</v>
      </c>
      <c r="J14538" s="595">
        <f t="shared" si="441"/>
        <v>0</v>
      </c>
    </row>
    <row r="14539" spans="6:10" ht="30" hidden="1" x14ac:dyDescent="0.25">
      <c r="F14539" s="527">
        <v>4512</v>
      </c>
      <c r="G14539" s="223" t="s">
        <v>1701</v>
      </c>
      <c r="J14539" s="595">
        <f t="shared" si="441"/>
        <v>0</v>
      </c>
    </row>
    <row r="14540" spans="6:10" hidden="1" x14ac:dyDescent="0.25">
      <c r="F14540" s="527">
        <v>452</v>
      </c>
      <c r="G14540" s="520" t="s">
        <v>4209</v>
      </c>
      <c r="J14540" s="595">
        <f t="shared" si="441"/>
        <v>0</v>
      </c>
    </row>
    <row r="14541" spans="6:10" hidden="1" x14ac:dyDescent="0.25">
      <c r="F14541" s="527">
        <v>453</v>
      </c>
      <c r="G14541" s="520" t="s">
        <v>4210</v>
      </c>
      <c r="J14541" s="595">
        <f t="shared" si="441"/>
        <v>0</v>
      </c>
    </row>
    <row r="14542" spans="6:10" hidden="1" x14ac:dyDescent="0.25">
      <c r="F14542" s="527">
        <v>454</v>
      </c>
      <c r="G14542" s="520" t="s">
        <v>3823</v>
      </c>
      <c r="J14542" s="595">
        <f t="shared" si="441"/>
        <v>0</v>
      </c>
    </row>
    <row r="14543" spans="6:10" hidden="1" x14ac:dyDescent="0.25">
      <c r="F14543" s="527">
        <v>461</v>
      </c>
      <c r="G14543" s="520" t="s">
        <v>4191</v>
      </c>
      <c r="J14543" s="595">
        <f t="shared" si="441"/>
        <v>0</v>
      </c>
    </row>
    <row r="14544" spans="6:10" hidden="1" x14ac:dyDescent="0.25">
      <c r="F14544" s="527">
        <v>462</v>
      </c>
      <c r="G14544" s="520" t="s">
        <v>3826</v>
      </c>
      <c r="J14544" s="595">
        <f t="shared" si="441"/>
        <v>0</v>
      </c>
    </row>
    <row r="14545" spans="6:10" hidden="1" x14ac:dyDescent="0.25">
      <c r="F14545" s="527">
        <v>4631</v>
      </c>
      <c r="G14545" s="520" t="s">
        <v>3827</v>
      </c>
      <c r="J14545" s="595">
        <f t="shared" si="441"/>
        <v>0</v>
      </c>
    </row>
    <row r="14546" spans="6:10" hidden="1" x14ac:dyDescent="0.25">
      <c r="F14546" s="527">
        <v>4632</v>
      </c>
      <c r="G14546" s="520" t="s">
        <v>3828</v>
      </c>
      <c r="J14546" s="595">
        <f t="shared" si="441"/>
        <v>0</v>
      </c>
    </row>
    <row r="14547" spans="6:10" hidden="1" x14ac:dyDescent="0.25">
      <c r="F14547" s="527">
        <v>464</v>
      </c>
      <c r="G14547" s="520" t="s">
        <v>3829</v>
      </c>
      <c r="J14547" s="595">
        <f t="shared" si="441"/>
        <v>0</v>
      </c>
    </row>
    <row r="14548" spans="6:10" hidden="1" x14ac:dyDescent="0.25">
      <c r="F14548" s="527">
        <v>465</v>
      </c>
      <c r="G14548" s="520" t="s">
        <v>4192</v>
      </c>
      <c r="J14548" s="595">
        <f t="shared" si="441"/>
        <v>0</v>
      </c>
    </row>
    <row r="14549" spans="6:10" hidden="1" x14ac:dyDescent="0.25">
      <c r="F14549" s="527">
        <v>472</v>
      </c>
      <c r="G14549" s="520" t="s">
        <v>3833</v>
      </c>
      <c r="J14549" s="595">
        <f t="shared" si="441"/>
        <v>0</v>
      </c>
    </row>
    <row r="14550" spans="6:10" hidden="1" x14ac:dyDescent="0.25">
      <c r="F14550" s="527">
        <v>481</v>
      </c>
      <c r="G14550" s="520" t="s">
        <v>4211</v>
      </c>
      <c r="J14550" s="595">
        <f t="shared" si="441"/>
        <v>0</v>
      </c>
    </row>
    <row r="14551" spans="6:10" hidden="1" x14ac:dyDescent="0.25">
      <c r="F14551" s="527">
        <v>482</v>
      </c>
      <c r="G14551" s="520" t="s">
        <v>4212</v>
      </c>
      <c r="J14551" s="595">
        <f t="shared" si="441"/>
        <v>0</v>
      </c>
    </row>
    <row r="14552" spans="6:10" hidden="1" x14ac:dyDescent="0.25">
      <c r="F14552" s="527">
        <v>483</v>
      </c>
      <c r="G14552" s="524" t="s">
        <v>4213</v>
      </c>
      <c r="J14552" s="595">
        <f t="shared" si="441"/>
        <v>0</v>
      </c>
    </row>
    <row r="14553" spans="6:10" ht="30" hidden="1" x14ac:dyDescent="0.25">
      <c r="F14553" s="527">
        <v>484</v>
      </c>
      <c r="G14553" s="520" t="s">
        <v>4214</v>
      </c>
      <c r="J14553" s="595">
        <f t="shared" si="441"/>
        <v>0</v>
      </c>
    </row>
    <row r="14554" spans="6:10" ht="30" hidden="1" x14ac:dyDescent="0.25">
      <c r="F14554" s="527">
        <v>485</v>
      </c>
      <c r="G14554" s="520" t="s">
        <v>4215</v>
      </c>
      <c r="J14554" s="595">
        <f t="shared" si="441"/>
        <v>0</v>
      </c>
    </row>
    <row r="14555" spans="6:10" ht="30" hidden="1" x14ac:dyDescent="0.25">
      <c r="F14555" s="527">
        <v>489</v>
      </c>
      <c r="G14555" s="520" t="s">
        <v>3841</v>
      </c>
      <c r="J14555" s="595">
        <f t="shared" si="441"/>
        <v>0</v>
      </c>
    </row>
    <row r="14556" spans="6:10" hidden="1" x14ac:dyDescent="0.25">
      <c r="F14556" s="527">
        <v>494</v>
      </c>
      <c r="G14556" s="520" t="s">
        <v>4193</v>
      </c>
      <c r="J14556" s="595">
        <f t="shared" si="441"/>
        <v>0</v>
      </c>
    </row>
    <row r="14557" spans="6:10" ht="30" hidden="1" x14ac:dyDescent="0.25">
      <c r="F14557" s="527">
        <v>495</v>
      </c>
      <c r="G14557" s="520" t="s">
        <v>4194</v>
      </c>
      <c r="J14557" s="595">
        <f t="shared" si="441"/>
        <v>0</v>
      </c>
    </row>
    <row r="14558" spans="6:10" ht="30" hidden="1" x14ac:dyDescent="0.25">
      <c r="F14558" s="527">
        <v>496</v>
      </c>
      <c r="G14558" s="520" t="s">
        <v>4195</v>
      </c>
      <c r="J14558" s="595">
        <f t="shared" si="441"/>
        <v>0</v>
      </c>
    </row>
    <row r="14559" spans="6:10" hidden="1" x14ac:dyDescent="0.25">
      <c r="F14559" s="527">
        <v>499</v>
      </c>
      <c r="G14559" s="520" t="s">
        <v>4196</v>
      </c>
      <c r="J14559" s="595">
        <f t="shared" si="441"/>
        <v>0</v>
      </c>
    </row>
    <row r="14560" spans="6:10" hidden="1" x14ac:dyDescent="0.25">
      <c r="F14560" s="527">
        <v>511</v>
      </c>
      <c r="G14560" s="524" t="s">
        <v>4216</v>
      </c>
      <c r="J14560" s="595">
        <f t="shared" si="441"/>
        <v>0</v>
      </c>
    </row>
    <row r="14561" spans="5:10" hidden="1" x14ac:dyDescent="0.25">
      <c r="F14561" s="527">
        <v>512</v>
      </c>
      <c r="G14561" s="524" t="s">
        <v>4217</v>
      </c>
      <c r="J14561" s="595">
        <f t="shared" si="441"/>
        <v>0</v>
      </c>
    </row>
    <row r="14562" spans="5:10" hidden="1" x14ac:dyDescent="0.25">
      <c r="F14562" s="527">
        <v>513</v>
      </c>
      <c r="G14562" s="524" t="s">
        <v>4218</v>
      </c>
      <c r="J14562" s="595">
        <f t="shared" si="441"/>
        <v>0</v>
      </c>
    </row>
    <row r="14563" spans="5:10" hidden="1" x14ac:dyDescent="0.25">
      <c r="F14563" s="527">
        <v>514</v>
      </c>
      <c r="G14563" s="520" t="s">
        <v>4219</v>
      </c>
      <c r="J14563" s="595">
        <f t="shared" si="441"/>
        <v>0</v>
      </c>
    </row>
    <row r="14564" spans="5:10" hidden="1" x14ac:dyDescent="0.25">
      <c r="F14564" s="527">
        <v>515</v>
      </c>
      <c r="G14564" s="520" t="s">
        <v>3852</v>
      </c>
      <c r="J14564" s="595">
        <f t="shared" si="441"/>
        <v>0</v>
      </c>
    </row>
    <row r="14565" spans="5:10" hidden="1" x14ac:dyDescent="0.25">
      <c r="F14565" s="527">
        <v>521</v>
      </c>
      <c r="G14565" s="520" t="s">
        <v>4220</v>
      </c>
      <c r="J14565" s="595">
        <f t="shared" si="441"/>
        <v>0</v>
      </c>
    </row>
    <row r="14566" spans="5:10" hidden="1" x14ac:dyDescent="0.25">
      <c r="F14566" s="527">
        <v>522</v>
      </c>
      <c r="G14566" s="520" t="s">
        <v>4221</v>
      </c>
      <c r="J14566" s="595">
        <f t="shared" si="441"/>
        <v>0</v>
      </c>
    </row>
    <row r="14567" spans="5:10" hidden="1" x14ac:dyDescent="0.25">
      <c r="F14567" s="527">
        <v>523</v>
      </c>
      <c r="G14567" s="520" t="s">
        <v>3857</v>
      </c>
      <c r="J14567" s="595">
        <f t="shared" si="441"/>
        <v>0</v>
      </c>
    </row>
    <row r="14568" spans="5:10" hidden="1" x14ac:dyDescent="0.25">
      <c r="F14568" s="527">
        <v>531</v>
      </c>
      <c r="G14568" s="516" t="s">
        <v>4197</v>
      </c>
      <c r="J14568" s="595">
        <f t="shared" si="441"/>
        <v>0</v>
      </c>
    </row>
    <row r="14569" spans="5:10" hidden="1" x14ac:dyDescent="0.25">
      <c r="F14569" s="527">
        <v>541</v>
      </c>
      <c r="G14569" s="520" t="s">
        <v>4222</v>
      </c>
      <c r="J14569" s="595">
        <f t="shared" si="441"/>
        <v>0</v>
      </c>
    </row>
    <row r="14570" spans="5:10" hidden="1" x14ac:dyDescent="0.25">
      <c r="F14570" s="527">
        <v>542</v>
      </c>
      <c r="G14570" s="520" t="s">
        <v>4223</v>
      </c>
      <c r="J14570" s="595">
        <f t="shared" si="441"/>
        <v>0</v>
      </c>
    </row>
    <row r="14571" spans="5:10" hidden="1" x14ac:dyDescent="0.25">
      <c r="F14571" s="527">
        <v>543</v>
      </c>
      <c r="G14571" s="520" t="s">
        <v>3862</v>
      </c>
      <c r="J14571" s="595">
        <f t="shared" si="441"/>
        <v>0</v>
      </c>
    </row>
    <row r="14572" spans="5:10" ht="30" hidden="1" x14ac:dyDescent="0.25">
      <c r="F14572" s="527">
        <v>551</v>
      </c>
      <c r="G14572" s="520" t="s">
        <v>4198</v>
      </c>
      <c r="J14572" s="595">
        <f t="shared" si="441"/>
        <v>0</v>
      </c>
    </row>
    <row r="14573" spans="5:10" hidden="1" x14ac:dyDescent="0.25">
      <c r="F14573" s="528">
        <v>611</v>
      </c>
      <c r="G14573" s="526" t="s">
        <v>3868</v>
      </c>
      <c r="J14573" s="595">
        <f t="shared" si="441"/>
        <v>0</v>
      </c>
    </row>
    <row r="14574" spans="5:10" ht="15.75" hidden="1" thickBot="1" x14ac:dyDescent="0.3">
      <c r="F14574" s="528">
        <v>620</v>
      </c>
      <c r="G14574" s="526" t="s">
        <v>88</v>
      </c>
      <c r="J14574" s="595">
        <f t="shared" si="441"/>
        <v>0</v>
      </c>
    </row>
    <row r="14575" spans="5:10" x14ac:dyDescent="0.25">
      <c r="E14575" s="517"/>
      <c r="F14575" s="528"/>
      <c r="G14575" s="327" t="s">
        <v>4426</v>
      </c>
      <c r="H14575" s="596"/>
      <c r="I14575" s="622"/>
      <c r="J14575" s="597"/>
    </row>
    <row r="14576" spans="5:10" ht="15.75" thickBot="1" x14ac:dyDescent="0.3">
      <c r="E14576" s="222"/>
      <c r="F14576" s="642" t="s">
        <v>234</v>
      </c>
      <c r="G14576" s="643" t="s">
        <v>235</v>
      </c>
      <c r="H14576" s="598">
        <f>SUM(H14515:H14574)</f>
        <v>720000</v>
      </c>
      <c r="I14576" s="599"/>
      <c r="J14576" s="599">
        <f t="shared" ref="J14576:J14591" si="442">SUM(H14576:I14576)</f>
        <v>720000</v>
      </c>
    </row>
    <row r="14577" spans="6:10" hidden="1" x14ac:dyDescent="0.25">
      <c r="F14577" s="642" t="s">
        <v>236</v>
      </c>
      <c r="G14577" s="643" t="s">
        <v>237</v>
      </c>
      <c r="J14577" s="599">
        <f t="shared" si="442"/>
        <v>0</v>
      </c>
    </row>
    <row r="14578" spans="6:10" hidden="1" x14ac:dyDescent="0.25">
      <c r="F14578" s="642" t="s">
        <v>238</v>
      </c>
      <c r="G14578" s="643" t="s">
        <v>239</v>
      </c>
      <c r="J14578" s="599">
        <f t="shared" si="442"/>
        <v>0</v>
      </c>
    </row>
    <row r="14579" spans="6:10" hidden="1" x14ac:dyDescent="0.25">
      <c r="F14579" s="642" t="s">
        <v>240</v>
      </c>
      <c r="G14579" s="643" t="s">
        <v>241</v>
      </c>
      <c r="J14579" s="599">
        <f t="shared" si="442"/>
        <v>0</v>
      </c>
    </row>
    <row r="14580" spans="6:10" hidden="1" x14ac:dyDescent="0.25">
      <c r="F14580" s="642" t="s">
        <v>242</v>
      </c>
      <c r="G14580" s="643" t="s">
        <v>243</v>
      </c>
      <c r="J14580" s="599">
        <f t="shared" si="442"/>
        <v>0</v>
      </c>
    </row>
    <row r="14581" spans="6:10" hidden="1" x14ac:dyDescent="0.25">
      <c r="F14581" s="642" t="s">
        <v>244</v>
      </c>
      <c r="G14581" s="643" t="s">
        <v>245</v>
      </c>
      <c r="J14581" s="599">
        <f t="shared" si="442"/>
        <v>0</v>
      </c>
    </row>
    <row r="14582" spans="6:10" hidden="1" x14ac:dyDescent="0.25">
      <c r="F14582" s="642" t="s">
        <v>246</v>
      </c>
      <c r="G14582" s="643" t="s">
        <v>247</v>
      </c>
      <c r="J14582" s="599">
        <f t="shared" si="442"/>
        <v>0</v>
      </c>
    </row>
    <row r="14583" spans="6:10" hidden="1" x14ac:dyDescent="0.25">
      <c r="F14583" s="642" t="s">
        <v>248</v>
      </c>
      <c r="G14583" s="643" t="s">
        <v>249</v>
      </c>
      <c r="J14583" s="599">
        <f t="shared" si="442"/>
        <v>0</v>
      </c>
    </row>
    <row r="14584" spans="6:10" hidden="1" x14ac:dyDescent="0.25">
      <c r="F14584" s="642" t="s">
        <v>250</v>
      </c>
      <c r="G14584" s="643" t="s">
        <v>57</v>
      </c>
      <c r="J14584" s="599">
        <f t="shared" si="442"/>
        <v>0</v>
      </c>
    </row>
    <row r="14585" spans="6:10" hidden="1" x14ac:dyDescent="0.25">
      <c r="F14585" s="642" t="s">
        <v>251</v>
      </c>
      <c r="G14585" s="643" t="s">
        <v>252</v>
      </c>
      <c r="J14585" s="599">
        <f t="shared" si="442"/>
        <v>0</v>
      </c>
    </row>
    <row r="14586" spans="6:10" hidden="1" x14ac:dyDescent="0.25">
      <c r="F14586" s="642" t="s">
        <v>253</v>
      </c>
      <c r="G14586" s="643" t="s">
        <v>254</v>
      </c>
      <c r="J14586" s="599">
        <f t="shared" si="442"/>
        <v>0</v>
      </c>
    </row>
    <row r="14587" spans="6:10" ht="30" hidden="1" x14ac:dyDescent="0.25">
      <c r="F14587" s="642" t="s">
        <v>255</v>
      </c>
      <c r="G14587" s="643" t="s">
        <v>256</v>
      </c>
      <c r="J14587" s="599">
        <f t="shared" si="442"/>
        <v>0</v>
      </c>
    </row>
    <row r="14588" spans="6:10" hidden="1" x14ac:dyDescent="0.25">
      <c r="F14588" s="642" t="s">
        <v>257</v>
      </c>
      <c r="G14588" s="643" t="s">
        <v>258</v>
      </c>
      <c r="J14588" s="599">
        <f t="shared" si="442"/>
        <v>0</v>
      </c>
    </row>
    <row r="14589" spans="6:10" ht="30" hidden="1" x14ac:dyDescent="0.25">
      <c r="F14589" s="642" t="s">
        <v>259</v>
      </c>
      <c r="G14589" s="643" t="s">
        <v>260</v>
      </c>
      <c r="J14589" s="599">
        <f t="shared" si="442"/>
        <v>0</v>
      </c>
    </row>
    <row r="14590" spans="6:10" hidden="1" x14ac:dyDescent="0.25">
      <c r="F14590" s="642" t="s">
        <v>261</v>
      </c>
      <c r="G14590" s="643" t="s">
        <v>262</v>
      </c>
      <c r="J14590" s="599">
        <f t="shared" si="442"/>
        <v>0</v>
      </c>
    </row>
    <row r="14591" spans="6:10" ht="15.75" hidden="1" thickBot="1" x14ac:dyDescent="0.3">
      <c r="F14591" s="642" t="s">
        <v>263</v>
      </c>
      <c r="G14591" s="643" t="s">
        <v>264</v>
      </c>
      <c r="H14591" s="598"/>
      <c r="I14591" s="599"/>
      <c r="J14591" s="599">
        <f t="shared" si="442"/>
        <v>0</v>
      </c>
    </row>
    <row r="14592" spans="6:10" ht="15.75" thickBot="1" x14ac:dyDescent="0.3">
      <c r="G14592" s="229" t="s">
        <v>4427</v>
      </c>
      <c r="H14592" s="600">
        <f>SUM(H14576:H14591)</f>
        <v>720000</v>
      </c>
      <c r="I14592" s="601">
        <f>SUM(I14577:I14591)</f>
        <v>0</v>
      </c>
      <c r="J14592" s="601">
        <f>SUM(J14576:J14591)</f>
        <v>720000</v>
      </c>
    </row>
    <row r="14593" spans="5:10" ht="28.5" x14ac:dyDescent="0.25">
      <c r="E14593" s="517"/>
      <c r="F14593" s="528"/>
      <c r="G14593" s="231" t="s">
        <v>4449</v>
      </c>
      <c r="H14593" s="602"/>
      <c r="I14593" s="623"/>
      <c r="J14593" s="603"/>
    </row>
    <row r="14594" spans="5:10" ht="15.75" thickBot="1" x14ac:dyDescent="0.3">
      <c r="E14594" s="222"/>
      <c r="F14594" s="642" t="s">
        <v>234</v>
      </c>
      <c r="G14594" s="643" t="s">
        <v>235</v>
      </c>
      <c r="H14594" s="598">
        <f>SUM(H14515:H14574)</f>
        <v>720000</v>
      </c>
      <c r="I14594" s="599"/>
      <c r="J14594" s="599">
        <f>SUM(H14594:I14594)</f>
        <v>720000</v>
      </c>
    </row>
    <row r="14595" spans="5:10" hidden="1" x14ac:dyDescent="0.25">
      <c r="F14595" s="642" t="s">
        <v>236</v>
      </c>
      <c r="G14595" s="643" t="s">
        <v>237</v>
      </c>
      <c r="J14595" s="599">
        <f t="shared" ref="J14595:J14609" si="443">SUM(H14595:I14595)</f>
        <v>0</v>
      </c>
    </row>
    <row r="14596" spans="5:10" hidden="1" x14ac:dyDescent="0.25">
      <c r="F14596" s="642" t="s">
        <v>238</v>
      </c>
      <c r="G14596" s="643" t="s">
        <v>239</v>
      </c>
      <c r="J14596" s="599">
        <f t="shared" si="443"/>
        <v>0</v>
      </c>
    </row>
    <row r="14597" spans="5:10" hidden="1" x14ac:dyDescent="0.25">
      <c r="F14597" s="642" t="s">
        <v>240</v>
      </c>
      <c r="G14597" s="643" t="s">
        <v>241</v>
      </c>
      <c r="J14597" s="599">
        <f t="shared" si="443"/>
        <v>0</v>
      </c>
    </row>
    <row r="14598" spans="5:10" hidden="1" x14ac:dyDescent="0.25">
      <c r="F14598" s="642" t="s">
        <v>242</v>
      </c>
      <c r="G14598" s="643" t="s">
        <v>243</v>
      </c>
      <c r="J14598" s="599">
        <f t="shared" si="443"/>
        <v>0</v>
      </c>
    </row>
    <row r="14599" spans="5:10" hidden="1" x14ac:dyDescent="0.25">
      <c r="F14599" s="642" t="s">
        <v>244</v>
      </c>
      <c r="G14599" s="643" t="s">
        <v>245</v>
      </c>
      <c r="J14599" s="599">
        <f t="shared" si="443"/>
        <v>0</v>
      </c>
    </row>
    <row r="14600" spans="5:10" hidden="1" x14ac:dyDescent="0.25">
      <c r="F14600" s="642" t="s">
        <v>246</v>
      </c>
      <c r="G14600" s="643" t="s">
        <v>247</v>
      </c>
      <c r="J14600" s="599">
        <f t="shared" si="443"/>
        <v>0</v>
      </c>
    </row>
    <row r="14601" spans="5:10" hidden="1" x14ac:dyDescent="0.25">
      <c r="F14601" s="642" t="s">
        <v>248</v>
      </c>
      <c r="G14601" s="643" t="s">
        <v>249</v>
      </c>
      <c r="J14601" s="599">
        <f t="shared" si="443"/>
        <v>0</v>
      </c>
    </row>
    <row r="14602" spans="5:10" hidden="1" x14ac:dyDescent="0.25">
      <c r="F14602" s="642" t="s">
        <v>250</v>
      </c>
      <c r="G14602" s="643" t="s">
        <v>57</v>
      </c>
      <c r="J14602" s="599">
        <f t="shared" si="443"/>
        <v>0</v>
      </c>
    </row>
    <row r="14603" spans="5:10" hidden="1" x14ac:dyDescent="0.25">
      <c r="F14603" s="642" t="s">
        <v>251</v>
      </c>
      <c r="G14603" s="643" t="s">
        <v>252</v>
      </c>
      <c r="J14603" s="599">
        <f t="shared" si="443"/>
        <v>0</v>
      </c>
    </row>
    <row r="14604" spans="5:10" hidden="1" x14ac:dyDescent="0.25">
      <c r="F14604" s="642" t="s">
        <v>253</v>
      </c>
      <c r="G14604" s="643" t="s">
        <v>254</v>
      </c>
      <c r="J14604" s="599">
        <f t="shared" si="443"/>
        <v>0</v>
      </c>
    </row>
    <row r="14605" spans="5:10" ht="30" hidden="1" x14ac:dyDescent="0.25">
      <c r="F14605" s="642" t="s">
        <v>255</v>
      </c>
      <c r="G14605" s="643" t="s">
        <v>256</v>
      </c>
      <c r="J14605" s="599">
        <f t="shared" si="443"/>
        <v>0</v>
      </c>
    </row>
    <row r="14606" spans="5:10" hidden="1" x14ac:dyDescent="0.25">
      <c r="F14606" s="642" t="s">
        <v>257</v>
      </c>
      <c r="G14606" s="643" t="s">
        <v>258</v>
      </c>
      <c r="J14606" s="599">
        <f t="shared" si="443"/>
        <v>0</v>
      </c>
    </row>
    <row r="14607" spans="5:10" ht="30" hidden="1" x14ac:dyDescent="0.25">
      <c r="F14607" s="642" t="s">
        <v>259</v>
      </c>
      <c r="G14607" s="643" t="s">
        <v>260</v>
      </c>
      <c r="J14607" s="599">
        <f t="shared" si="443"/>
        <v>0</v>
      </c>
    </row>
    <row r="14608" spans="5:10" hidden="1" x14ac:dyDescent="0.25">
      <c r="F14608" s="642" t="s">
        <v>261</v>
      </c>
      <c r="G14608" s="643" t="s">
        <v>262</v>
      </c>
      <c r="J14608" s="599">
        <f t="shared" si="443"/>
        <v>0</v>
      </c>
    </row>
    <row r="14609" spans="3:10" ht="15.75" hidden="1" thickBot="1" x14ac:dyDescent="0.3">
      <c r="F14609" s="642" t="s">
        <v>263</v>
      </c>
      <c r="G14609" s="643" t="s">
        <v>264</v>
      </c>
      <c r="H14609" s="598"/>
      <c r="I14609" s="599"/>
      <c r="J14609" s="599">
        <f t="shared" si="443"/>
        <v>0</v>
      </c>
    </row>
    <row r="14610" spans="3:10" ht="15.75" thickBot="1" x14ac:dyDescent="0.3">
      <c r="G14610" s="229" t="s">
        <v>4450</v>
      </c>
      <c r="H14610" s="600">
        <f>SUM(H14594:H14609)</f>
        <v>720000</v>
      </c>
      <c r="I14610" s="601">
        <f>SUM(I14595:I14609)</f>
        <v>0</v>
      </c>
      <c r="J14610" s="601">
        <f>SUM(J14594:J14609)</f>
        <v>720000</v>
      </c>
    </row>
    <row r="14612" spans="3:10" x14ac:dyDescent="0.25">
      <c r="C14612" s="276" t="s">
        <v>4442</v>
      </c>
      <c r="D14612" s="219"/>
      <c r="E14612" s="219"/>
      <c r="F14612" s="277"/>
      <c r="G14612" s="278" t="s">
        <v>4100</v>
      </c>
      <c r="H14612" s="627"/>
      <c r="I14612" s="610"/>
      <c r="J14612" s="628"/>
    </row>
    <row r="14613" spans="3:10" ht="30" x14ac:dyDescent="0.25">
      <c r="C14613" s="228"/>
      <c r="D14613" s="312">
        <v>660</v>
      </c>
      <c r="E14613" s="312"/>
      <c r="F14613" s="312"/>
      <c r="G14613" s="313" t="s">
        <v>186</v>
      </c>
    </row>
    <row r="14614" spans="3:10" hidden="1" x14ac:dyDescent="0.25">
      <c r="F14614" s="527">
        <v>411</v>
      </c>
      <c r="G14614" s="520" t="s">
        <v>4189</v>
      </c>
      <c r="J14614" s="595">
        <f>SUM(H14614:I14614)</f>
        <v>0</v>
      </c>
    </row>
    <row r="14615" spans="3:10" hidden="1" x14ac:dyDescent="0.25">
      <c r="F14615" s="527">
        <v>412</v>
      </c>
      <c r="G14615" s="516" t="s">
        <v>3784</v>
      </c>
      <c r="J14615" s="595">
        <f t="shared" ref="J14615:J14673" si="444">SUM(H14615:I14615)</f>
        <v>0</v>
      </c>
    </row>
    <row r="14616" spans="3:10" hidden="1" x14ac:dyDescent="0.25">
      <c r="F14616" s="527">
        <v>413</v>
      </c>
      <c r="G14616" s="520" t="s">
        <v>4190</v>
      </c>
      <c r="J14616" s="595">
        <f t="shared" si="444"/>
        <v>0</v>
      </c>
    </row>
    <row r="14617" spans="3:10" hidden="1" x14ac:dyDescent="0.25">
      <c r="F14617" s="527">
        <v>414</v>
      </c>
      <c r="G14617" s="520" t="s">
        <v>3787</v>
      </c>
      <c r="J14617" s="595">
        <f t="shared" si="444"/>
        <v>0</v>
      </c>
    </row>
    <row r="14618" spans="3:10" hidden="1" x14ac:dyDescent="0.25">
      <c r="F14618" s="527">
        <v>415</v>
      </c>
      <c r="G14618" s="520" t="s">
        <v>4199</v>
      </c>
      <c r="J14618" s="595">
        <f t="shared" si="444"/>
        <v>0</v>
      </c>
    </row>
    <row r="14619" spans="3:10" hidden="1" x14ac:dyDescent="0.25">
      <c r="F14619" s="527">
        <v>416</v>
      </c>
      <c r="G14619" s="520" t="s">
        <v>4200</v>
      </c>
      <c r="J14619" s="595">
        <f t="shared" si="444"/>
        <v>0</v>
      </c>
    </row>
    <row r="14620" spans="3:10" hidden="1" x14ac:dyDescent="0.25">
      <c r="F14620" s="527">
        <v>417</v>
      </c>
      <c r="G14620" s="520" t="s">
        <v>4201</v>
      </c>
      <c r="J14620" s="595">
        <f t="shared" si="444"/>
        <v>0</v>
      </c>
    </row>
    <row r="14621" spans="3:10" hidden="1" x14ac:dyDescent="0.25">
      <c r="F14621" s="527">
        <v>418</v>
      </c>
      <c r="G14621" s="520" t="s">
        <v>3793</v>
      </c>
      <c r="J14621" s="595">
        <f t="shared" si="444"/>
        <v>0</v>
      </c>
    </row>
    <row r="14622" spans="3:10" x14ac:dyDescent="0.25">
      <c r="E14622" s="218">
        <v>167</v>
      </c>
      <c r="F14622" s="527">
        <v>421</v>
      </c>
      <c r="G14622" s="520" t="s">
        <v>3797</v>
      </c>
      <c r="H14622" s="594">
        <v>50000</v>
      </c>
      <c r="J14622" s="595">
        <f t="shared" si="444"/>
        <v>50000</v>
      </c>
    </row>
    <row r="14623" spans="3:10" x14ac:dyDescent="0.25">
      <c r="E14623" s="218">
        <v>168</v>
      </c>
      <c r="F14623" s="527">
        <v>422</v>
      </c>
      <c r="G14623" s="520" t="s">
        <v>3798</v>
      </c>
      <c r="H14623" s="594">
        <v>20000</v>
      </c>
      <c r="J14623" s="595">
        <f t="shared" si="444"/>
        <v>20000</v>
      </c>
    </row>
    <row r="14624" spans="3:10" hidden="1" x14ac:dyDescent="0.25">
      <c r="F14624" s="527">
        <v>423</v>
      </c>
      <c r="G14624" s="520" t="s">
        <v>3799</v>
      </c>
      <c r="J14624" s="595">
        <f t="shared" si="444"/>
        <v>0</v>
      </c>
    </row>
    <row r="14625" spans="5:10" ht="15.75" thickBot="1" x14ac:dyDescent="0.3">
      <c r="E14625" s="218">
        <v>169</v>
      </c>
      <c r="F14625" s="527">
        <v>424</v>
      </c>
      <c r="G14625" s="520" t="s">
        <v>3801</v>
      </c>
      <c r="H14625" s="594">
        <v>500000</v>
      </c>
      <c r="J14625" s="595">
        <f t="shared" si="444"/>
        <v>500000</v>
      </c>
    </row>
    <row r="14626" spans="5:10" hidden="1" x14ac:dyDescent="0.25">
      <c r="F14626" s="527">
        <v>425</v>
      </c>
      <c r="G14626" s="520" t="s">
        <v>4202</v>
      </c>
      <c r="J14626" s="595">
        <f t="shared" si="444"/>
        <v>0</v>
      </c>
    </row>
    <row r="14627" spans="5:10" hidden="1" x14ac:dyDescent="0.25">
      <c r="F14627" s="527">
        <v>426</v>
      </c>
      <c r="G14627" s="520" t="s">
        <v>3805</v>
      </c>
      <c r="J14627" s="595">
        <f t="shared" si="444"/>
        <v>0</v>
      </c>
    </row>
    <row r="14628" spans="5:10" hidden="1" x14ac:dyDescent="0.25">
      <c r="F14628" s="527">
        <v>431</v>
      </c>
      <c r="G14628" s="520" t="s">
        <v>4203</v>
      </c>
      <c r="J14628" s="595">
        <f t="shared" si="444"/>
        <v>0</v>
      </c>
    </row>
    <row r="14629" spans="5:10" hidden="1" x14ac:dyDescent="0.25">
      <c r="F14629" s="527">
        <v>432</v>
      </c>
      <c r="G14629" s="520" t="s">
        <v>4204</v>
      </c>
      <c r="J14629" s="595">
        <f t="shared" si="444"/>
        <v>0</v>
      </c>
    </row>
    <row r="14630" spans="5:10" hidden="1" x14ac:dyDescent="0.25">
      <c r="F14630" s="527">
        <v>433</v>
      </c>
      <c r="G14630" s="520" t="s">
        <v>4205</v>
      </c>
      <c r="J14630" s="595">
        <f t="shared" si="444"/>
        <v>0</v>
      </c>
    </row>
    <row r="14631" spans="5:10" hidden="1" x14ac:dyDescent="0.25">
      <c r="F14631" s="527">
        <v>434</v>
      </c>
      <c r="G14631" s="520" t="s">
        <v>4206</v>
      </c>
      <c r="J14631" s="595">
        <f t="shared" si="444"/>
        <v>0</v>
      </c>
    </row>
    <row r="14632" spans="5:10" hidden="1" x14ac:dyDescent="0.25">
      <c r="F14632" s="527">
        <v>435</v>
      </c>
      <c r="G14632" s="520" t="s">
        <v>3812</v>
      </c>
      <c r="J14632" s="595">
        <f t="shared" si="444"/>
        <v>0</v>
      </c>
    </row>
    <row r="14633" spans="5:10" hidden="1" x14ac:dyDescent="0.25">
      <c r="F14633" s="527">
        <v>441</v>
      </c>
      <c r="G14633" s="520" t="s">
        <v>4207</v>
      </c>
      <c r="J14633" s="595">
        <f t="shared" si="444"/>
        <v>0</v>
      </c>
    </row>
    <row r="14634" spans="5:10" hidden="1" x14ac:dyDescent="0.25">
      <c r="F14634" s="527">
        <v>442</v>
      </c>
      <c r="G14634" s="520" t="s">
        <v>4208</v>
      </c>
      <c r="J14634" s="595">
        <f t="shared" si="444"/>
        <v>0</v>
      </c>
    </row>
    <row r="14635" spans="5:10" hidden="1" x14ac:dyDescent="0.25">
      <c r="F14635" s="527">
        <v>443</v>
      </c>
      <c r="G14635" s="520" t="s">
        <v>3817</v>
      </c>
      <c r="J14635" s="595">
        <f t="shared" si="444"/>
        <v>0</v>
      </c>
    </row>
    <row r="14636" spans="5:10" hidden="1" x14ac:dyDescent="0.25">
      <c r="F14636" s="527">
        <v>444</v>
      </c>
      <c r="G14636" s="520" t="s">
        <v>3818</v>
      </c>
      <c r="J14636" s="595">
        <f t="shared" si="444"/>
        <v>0</v>
      </c>
    </row>
    <row r="14637" spans="5:10" ht="30" hidden="1" x14ac:dyDescent="0.25">
      <c r="F14637" s="527">
        <v>4511</v>
      </c>
      <c r="G14637" s="223" t="s">
        <v>1692</v>
      </c>
      <c r="J14637" s="595">
        <f t="shared" si="444"/>
        <v>0</v>
      </c>
    </row>
    <row r="14638" spans="5:10" ht="30" hidden="1" x14ac:dyDescent="0.25">
      <c r="F14638" s="527">
        <v>4512</v>
      </c>
      <c r="G14638" s="223" t="s">
        <v>1701</v>
      </c>
      <c r="J14638" s="595">
        <f t="shared" si="444"/>
        <v>0</v>
      </c>
    </row>
    <row r="14639" spans="5:10" hidden="1" x14ac:dyDescent="0.25">
      <c r="F14639" s="527">
        <v>452</v>
      </c>
      <c r="G14639" s="520" t="s">
        <v>4209</v>
      </c>
      <c r="J14639" s="595">
        <f t="shared" si="444"/>
        <v>0</v>
      </c>
    </row>
    <row r="14640" spans="5:10" hidden="1" x14ac:dyDescent="0.25">
      <c r="F14640" s="527">
        <v>453</v>
      </c>
      <c r="G14640" s="520" t="s">
        <v>4210</v>
      </c>
      <c r="J14640" s="595">
        <f t="shared" si="444"/>
        <v>0</v>
      </c>
    </row>
    <row r="14641" spans="6:10" hidden="1" x14ac:dyDescent="0.25">
      <c r="F14641" s="527">
        <v>454</v>
      </c>
      <c r="G14641" s="520" t="s">
        <v>3823</v>
      </c>
      <c r="J14641" s="595">
        <f t="shared" si="444"/>
        <v>0</v>
      </c>
    </row>
    <row r="14642" spans="6:10" hidden="1" x14ac:dyDescent="0.25">
      <c r="F14642" s="527">
        <v>461</v>
      </c>
      <c r="G14642" s="520" t="s">
        <v>4191</v>
      </c>
      <c r="J14642" s="595">
        <f t="shared" si="444"/>
        <v>0</v>
      </c>
    </row>
    <row r="14643" spans="6:10" hidden="1" x14ac:dyDescent="0.25">
      <c r="F14643" s="527">
        <v>462</v>
      </c>
      <c r="G14643" s="520" t="s">
        <v>3826</v>
      </c>
      <c r="J14643" s="595">
        <f t="shared" si="444"/>
        <v>0</v>
      </c>
    </row>
    <row r="14644" spans="6:10" hidden="1" x14ac:dyDescent="0.25">
      <c r="F14644" s="527">
        <v>4631</v>
      </c>
      <c r="G14644" s="520" t="s">
        <v>3827</v>
      </c>
      <c r="J14644" s="595">
        <f t="shared" si="444"/>
        <v>0</v>
      </c>
    </row>
    <row r="14645" spans="6:10" hidden="1" x14ac:dyDescent="0.25">
      <c r="F14645" s="527">
        <v>4632</v>
      </c>
      <c r="G14645" s="520" t="s">
        <v>3828</v>
      </c>
      <c r="J14645" s="595">
        <f t="shared" si="444"/>
        <v>0</v>
      </c>
    </row>
    <row r="14646" spans="6:10" hidden="1" x14ac:dyDescent="0.25">
      <c r="F14646" s="527">
        <v>464</v>
      </c>
      <c r="G14646" s="520" t="s">
        <v>3829</v>
      </c>
      <c r="J14646" s="595">
        <f t="shared" si="444"/>
        <v>0</v>
      </c>
    </row>
    <row r="14647" spans="6:10" hidden="1" x14ac:dyDescent="0.25">
      <c r="F14647" s="527">
        <v>465</v>
      </c>
      <c r="G14647" s="520" t="s">
        <v>4192</v>
      </c>
      <c r="J14647" s="595">
        <f t="shared" si="444"/>
        <v>0</v>
      </c>
    </row>
    <row r="14648" spans="6:10" hidden="1" x14ac:dyDescent="0.25">
      <c r="F14648" s="527">
        <v>472</v>
      </c>
      <c r="G14648" s="520" t="s">
        <v>3833</v>
      </c>
      <c r="J14648" s="595">
        <f t="shared" si="444"/>
        <v>0</v>
      </c>
    </row>
    <row r="14649" spans="6:10" hidden="1" x14ac:dyDescent="0.25">
      <c r="F14649" s="527">
        <v>481</v>
      </c>
      <c r="G14649" s="520" t="s">
        <v>4211</v>
      </c>
      <c r="J14649" s="595">
        <f t="shared" si="444"/>
        <v>0</v>
      </c>
    </row>
    <row r="14650" spans="6:10" hidden="1" x14ac:dyDescent="0.25">
      <c r="F14650" s="527">
        <v>482</v>
      </c>
      <c r="G14650" s="520" t="s">
        <v>4212</v>
      </c>
      <c r="J14650" s="595">
        <f t="shared" si="444"/>
        <v>0</v>
      </c>
    </row>
    <row r="14651" spans="6:10" hidden="1" x14ac:dyDescent="0.25">
      <c r="F14651" s="527">
        <v>483</v>
      </c>
      <c r="G14651" s="524" t="s">
        <v>4213</v>
      </c>
      <c r="J14651" s="595">
        <f t="shared" si="444"/>
        <v>0</v>
      </c>
    </row>
    <row r="14652" spans="6:10" ht="30" hidden="1" x14ac:dyDescent="0.25">
      <c r="F14652" s="527">
        <v>484</v>
      </c>
      <c r="G14652" s="520" t="s">
        <v>4214</v>
      </c>
      <c r="J14652" s="595">
        <f t="shared" si="444"/>
        <v>0</v>
      </c>
    </row>
    <row r="14653" spans="6:10" ht="30" hidden="1" x14ac:dyDescent="0.25">
      <c r="F14653" s="527">
        <v>485</v>
      </c>
      <c r="G14653" s="520" t="s">
        <v>4215</v>
      </c>
      <c r="J14653" s="595">
        <f t="shared" si="444"/>
        <v>0</v>
      </c>
    </row>
    <row r="14654" spans="6:10" ht="30" hidden="1" x14ac:dyDescent="0.25">
      <c r="F14654" s="527">
        <v>489</v>
      </c>
      <c r="G14654" s="520" t="s">
        <v>3841</v>
      </c>
      <c r="J14654" s="595">
        <f t="shared" si="444"/>
        <v>0</v>
      </c>
    </row>
    <row r="14655" spans="6:10" hidden="1" x14ac:dyDescent="0.25">
      <c r="F14655" s="527">
        <v>494</v>
      </c>
      <c r="G14655" s="520" t="s">
        <v>4193</v>
      </c>
      <c r="J14655" s="595">
        <f t="shared" si="444"/>
        <v>0</v>
      </c>
    </row>
    <row r="14656" spans="6:10" ht="30" hidden="1" x14ac:dyDescent="0.25">
      <c r="F14656" s="527">
        <v>495</v>
      </c>
      <c r="G14656" s="520" t="s">
        <v>4194</v>
      </c>
      <c r="J14656" s="595">
        <f t="shared" si="444"/>
        <v>0</v>
      </c>
    </row>
    <row r="14657" spans="6:10" ht="30" hidden="1" x14ac:dyDescent="0.25">
      <c r="F14657" s="527">
        <v>496</v>
      </c>
      <c r="G14657" s="520" t="s">
        <v>4195</v>
      </c>
      <c r="J14657" s="595">
        <f t="shared" si="444"/>
        <v>0</v>
      </c>
    </row>
    <row r="14658" spans="6:10" hidden="1" x14ac:dyDescent="0.25">
      <c r="F14658" s="527">
        <v>499</v>
      </c>
      <c r="G14658" s="520" t="s">
        <v>4196</v>
      </c>
      <c r="J14658" s="595">
        <f t="shared" si="444"/>
        <v>0</v>
      </c>
    </row>
    <row r="14659" spans="6:10" hidden="1" x14ac:dyDescent="0.25">
      <c r="F14659" s="527">
        <v>511</v>
      </c>
      <c r="G14659" s="524" t="s">
        <v>4216</v>
      </c>
      <c r="J14659" s="595">
        <f t="shared" si="444"/>
        <v>0</v>
      </c>
    </row>
    <row r="14660" spans="6:10" hidden="1" x14ac:dyDescent="0.25">
      <c r="F14660" s="527">
        <v>512</v>
      </c>
      <c r="G14660" s="524" t="s">
        <v>4217</v>
      </c>
      <c r="J14660" s="595">
        <f t="shared" si="444"/>
        <v>0</v>
      </c>
    </row>
    <row r="14661" spans="6:10" hidden="1" x14ac:dyDescent="0.25">
      <c r="F14661" s="527">
        <v>513</v>
      </c>
      <c r="G14661" s="524" t="s">
        <v>4218</v>
      </c>
      <c r="J14661" s="595">
        <f t="shared" si="444"/>
        <v>0</v>
      </c>
    </row>
    <row r="14662" spans="6:10" hidden="1" x14ac:dyDescent="0.25">
      <c r="F14662" s="527">
        <v>514</v>
      </c>
      <c r="G14662" s="520" t="s">
        <v>4219</v>
      </c>
      <c r="J14662" s="595">
        <f t="shared" si="444"/>
        <v>0</v>
      </c>
    </row>
    <row r="14663" spans="6:10" hidden="1" x14ac:dyDescent="0.25">
      <c r="F14663" s="527">
        <v>515</v>
      </c>
      <c r="G14663" s="520" t="s">
        <v>3852</v>
      </c>
      <c r="J14663" s="595">
        <f t="shared" si="444"/>
        <v>0</v>
      </c>
    </row>
    <row r="14664" spans="6:10" hidden="1" x14ac:dyDescent="0.25">
      <c r="F14664" s="527">
        <v>521</v>
      </c>
      <c r="G14664" s="520" t="s">
        <v>4220</v>
      </c>
      <c r="J14664" s="595">
        <f t="shared" si="444"/>
        <v>0</v>
      </c>
    </row>
    <row r="14665" spans="6:10" hidden="1" x14ac:dyDescent="0.25">
      <c r="F14665" s="527">
        <v>522</v>
      </c>
      <c r="G14665" s="520" t="s">
        <v>4221</v>
      </c>
      <c r="J14665" s="595">
        <f t="shared" si="444"/>
        <v>0</v>
      </c>
    </row>
    <row r="14666" spans="6:10" hidden="1" x14ac:dyDescent="0.25">
      <c r="F14666" s="527">
        <v>523</v>
      </c>
      <c r="G14666" s="520" t="s">
        <v>3857</v>
      </c>
      <c r="J14666" s="595">
        <f t="shared" si="444"/>
        <v>0</v>
      </c>
    </row>
    <row r="14667" spans="6:10" hidden="1" x14ac:dyDescent="0.25">
      <c r="F14667" s="527">
        <v>531</v>
      </c>
      <c r="G14667" s="516" t="s">
        <v>4197</v>
      </c>
      <c r="J14667" s="595">
        <f t="shared" si="444"/>
        <v>0</v>
      </c>
    </row>
    <row r="14668" spans="6:10" hidden="1" x14ac:dyDescent="0.25">
      <c r="F14668" s="527">
        <v>541</v>
      </c>
      <c r="G14668" s="520" t="s">
        <v>4222</v>
      </c>
      <c r="J14668" s="595">
        <f t="shared" si="444"/>
        <v>0</v>
      </c>
    </row>
    <row r="14669" spans="6:10" hidden="1" x14ac:dyDescent="0.25">
      <c r="F14669" s="527">
        <v>542</v>
      </c>
      <c r="G14669" s="520" t="s">
        <v>4223</v>
      </c>
      <c r="J14669" s="595">
        <f t="shared" si="444"/>
        <v>0</v>
      </c>
    </row>
    <row r="14670" spans="6:10" hidden="1" x14ac:dyDescent="0.25">
      <c r="F14670" s="527">
        <v>543</v>
      </c>
      <c r="G14670" s="520" t="s">
        <v>3862</v>
      </c>
      <c r="J14670" s="595">
        <f t="shared" si="444"/>
        <v>0</v>
      </c>
    </row>
    <row r="14671" spans="6:10" ht="30" hidden="1" x14ac:dyDescent="0.25">
      <c r="F14671" s="527">
        <v>551</v>
      </c>
      <c r="G14671" s="520" t="s">
        <v>4198</v>
      </c>
      <c r="J14671" s="595">
        <f t="shared" si="444"/>
        <v>0</v>
      </c>
    </row>
    <row r="14672" spans="6:10" hidden="1" x14ac:dyDescent="0.25">
      <c r="F14672" s="528">
        <v>611</v>
      </c>
      <c r="G14672" s="526" t="s">
        <v>3868</v>
      </c>
      <c r="J14672" s="595">
        <f t="shared" si="444"/>
        <v>0</v>
      </c>
    </row>
    <row r="14673" spans="5:10" ht="15.75" hidden="1" thickBot="1" x14ac:dyDescent="0.3">
      <c r="F14673" s="528">
        <v>620</v>
      </c>
      <c r="G14673" s="526" t="s">
        <v>88</v>
      </c>
      <c r="J14673" s="595">
        <f t="shared" si="444"/>
        <v>0</v>
      </c>
    </row>
    <row r="14674" spans="5:10" x14ac:dyDescent="0.25">
      <c r="E14674" s="517"/>
      <c r="F14674" s="528"/>
      <c r="G14674" s="327" t="s">
        <v>4426</v>
      </c>
      <c r="H14674" s="596"/>
      <c r="I14674" s="622"/>
      <c r="J14674" s="597"/>
    </row>
    <row r="14675" spans="5:10" ht="15.75" thickBot="1" x14ac:dyDescent="0.3">
      <c r="E14675" s="222"/>
      <c r="F14675" s="642" t="s">
        <v>234</v>
      </c>
      <c r="G14675" s="643" t="s">
        <v>235</v>
      </c>
      <c r="H14675" s="598">
        <f>SUM(H14614:H14673)</f>
        <v>570000</v>
      </c>
      <c r="I14675" s="599"/>
      <c r="J14675" s="599">
        <f t="shared" ref="J14675:J14690" si="445">SUM(H14675:I14675)</f>
        <v>570000</v>
      </c>
    </row>
    <row r="14676" spans="5:10" hidden="1" x14ac:dyDescent="0.25">
      <c r="F14676" s="642" t="s">
        <v>236</v>
      </c>
      <c r="G14676" s="643" t="s">
        <v>237</v>
      </c>
      <c r="J14676" s="599">
        <f t="shared" si="445"/>
        <v>0</v>
      </c>
    </row>
    <row r="14677" spans="5:10" hidden="1" x14ac:dyDescent="0.25">
      <c r="F14677" s="642" t="s">
        <v>238</v>
      </c>
      <c r="G14677" s="643" t="s">
        <v>239</v>
      </c>
      <c r="J14677" s="599">
        <f t="shared" si="445"/>
        <v>0</v>
      </c>
    </row>
    <row r="14678" spans="5:10" hidden="1" x14ac:dyDescent="0.25">
      <c r="F14678" s="642" t="s">
        <v>240</v>
      </c>
      <c r="G14678" s="643" t="s">
        <v>241</v>
      </c>
      <c r="J14678" s="599">
        <f t="shared" si="445"/>
        <v>0</v>
      </c>
    </row>
    <row r="14679" spans="5:10" hidden="1" x14ac:dyDescent="0.25">
      <c r="F14679" s="642" t="s">
        <v>242</v>
      </c>
      <c r="G14679" s="643" t="s">
        <v>243</v>
      </c>
      <c r="J14679" s="599">
        <f t="shared" si="445"/>
        <v>0</v>
      </c>
    </row>
    <row r="14680" spans="5:10" hidden="1" x14ac:dyDescent="0.25">
      <c r="F14680" s="642" t="s">
        <v>244</v>
      </c>
      <c r="G14680" s="643" t="s">
        <v>245</v>
      </c>
      <c r="J14680" s="599">
        <f t="shared" si="445"/>
        <v>0</v>
      </c>
    </row>
    <row r="14681" spans="5:10" hidden="1" x14ac:dyDescent="0.25">
      <c r="F14681" s="642" t="s">
        <v>246</v>
      </c>
      <c r="G14681" s="643" t="s">
        <v>247</v>
      </c>
      <c r="J14681" s="599">
        <f t="shared" si="445"/>
        <v>0</v>
      </c>
    </row>
    <row r="14682" spans="5:10" hidden="1" x14ac:dyDescent="0.25">
      <c r="F14682" s="642" t="s">
        <v>248</v>
      </c>
      <c r="G14682" s="643" t="s">
        <v>249</v>
      </c>
      <c r="J14682" s="599">
        <f t="shared" si="445"/>
        <v>0</v>
      </c>
    </row>
    <row r="14683" spans="5:10" hidden="1" x14ac:dyDescent="0.25">
      <c r="F14683" s="642" t="s">
        <v>250</v>
      </c>
      <c r="G14683" s="643" t="s">
        <v>57</v>
      </c>
      <c r="J14683" s="599">
        <f t="shared" si="445"/>
        <v>0</v>
      </c>
    </row>
    <row r="14684" spans="5:10" hidden="1" x14ac:dyDescent="0.25">
      <c r="F14684" s="642" t="s">
        <v>251</v>
      </c>
      <c r="G14684" s="643" t="s">
        <v>252</v>
      </c>
      <c r="J14684" s="599">
        <f t="shared" si="445"/>
        <v>0</v>
      </c>
    </row>
    <row r="14685" spans="5:10" hidden="1" x14ac:dyDescent="0.25">
      <c r="F14685" s="642" t="s">
        <v>253</v>
      </c>
      <c r="G14685" s="643" t="s">
        <v>254</v>
      </c>
      <c r="J14685" s="599">
        <f t="shared" si="445"/>
        <v>0</v>
      </c>
    </row>
    <row r="14686" spans="5:10" ht="30" hidden="1" x14ac:dyDescent="0.25">
      <c r="F14686" s="642" t="s">
        <v>255</v>
      </c>
      <c r="G14686" s="643" t="s">
        <v>256</v>
      </c>
      <c r="J14686" s="599">
        <f t="shared" si="445"/>
        <v>0</v>
      </c>
    </row>
    <row r="14687" spans="5:10" hidden="1" x14ac:dyDescent="0.25">
      <c r="F14687" s="642" t="s">
        <v>257</v>
      </c>
      <c r="G14687" s="643" t="s">
        <v>258</v>
      </c>
      <c r="J14687" s="599">
        <f t="shared" si="445"/>
        <v>0</v>
      </c>
    </row>
    <row r="14688" spans="5:10" ht="30" hidden="1" x14ac:dyDescent="0.25">
      <c r="F14688" s="642" t="s">
        <v>259</v>
      </c>
      <c r="G14688" s="643" t="s">
        <v>260</v>
      </c>
      <c r="J14688" s="599">
        <f t="shared" si="445"/>
        <v>0</v>
      </c>
    </row>
    <row r="14689" spans="5:10" hidden="1" x14ac:dyDescent="0.25">
      <c r="F14689" s="642" t="s">
        <v>261</v>
      </c>
      <c r="G14689" s="643" t="s">
        <v>262</v>
      </c>
      <c r="J14689" s="599">
        <f t="shared" si="445"/>
        <v>0</v>
      </c>
    </row>
    <row r="14690" spans="5:10" ht="15.75" hidden="1" thickBot="1" x14ac:dyDescent="0.3">
      <c r="F14690" s="642" t="s">
        <v>263</v>
      </c>
      <c r="G14690" s="643" t="s">
        <v>264</v>
      </c>
      <c r="H14690" s="598"/>
      <c r="I14690" s="599"/>
      <c r="J14690" s="599">
        <f t="shared" si="445"/>
        <v>0</v>
      </c>
    </row>
    <row r="14691" spans="5:10" ht="15.75" thickBot="1" x14ac:dyDescent="0.3">
      <c r="G14691" s="229" t="s">
        <v>4427</v>
      </c>
      <c r="H14691" s="600">
        <f>SUM(H14675:H14690)</f>
        <v>570000</v>
      </c>
      <c r="I14691" s="601">
        <f>SUM(I14676:I14690)</f>
        <v>0</v>
      </c>
      <c r="J14691" s="601">
        <f>SUM(J14675:J14690)</f>
        <v>570000</v>
      </c>
    </row>
    <row r="14692" spans="5:10" ht="20.25" customHeight="1" x14ac:dyDescent="0.25">
      <c r="E14692" s="517"/>
      <c r="F14692" s="528"/>
      <c r="G14692" s="231" t="s">
        <v>4451</v>
      </c>
      <c r="H14692" s="602"/>
      <c r="I14692" s="623"/>
      <c r="J14692" s="603"/>
    </row>
    <row r="14693" spans="5:10" ht="15.75" thickBot="1" x14ac:dyDescent="0.3">
      <c r="E14693" s="222"/>
      <c r="F14693" s="642" t="s">
        <v>234</v>
      </c>
      <c r="G14693" s="643" t="s">
        <v>235</v>
      </c>
      <c r="H14693" s="598">
        <f>SUM(H14614:H14673)</f>
        <v>570000</v>
      </c>
      <c r="I14693" s="599"/>
      <c r="J14693" s="599">
        <f>SUM(H14693:I14693)</f>
        <v>570000</v>
      </c>
    </row>
    <row r="14694" spans="5:10" hidden="1" x14ac:dyDescent="0.25">
      <c r="F14694" s="642" t="s">
        <v>236</v>
      </c>
      <c r="G14694" s="643" t="s">
        <v>237</v>
      </c>
      <c r="J14694" s="599">
        <f t="shared" ref="J14694:J14708" si="446">SUM(H14694:I14694)</f>
        <v>0</v>
      </c>
    </row>
    <row r="14695" spans="5:10" hidden="1" x14ac:dyDescent="0.25">
      <c r="F14695" s="642" t="s">
        <v>238</v>
      </c>
      <c r="G14695" s="643" t="s">
        <v>239</v>
      </c>
      <c r="J14695" s="599">
        <f t="shared" si="446"/>
        <v>0</v>
      </c>
    </row>
    <row r="14696" spans="5:10" hidden="1" x14ac:dyDescent="0.25">
      <c r="F14696" s="642" t="s">
        <v>240</v>
      </c>
      <c r="G14696" s="643" t="s">
        <v>241</v>
      </c>
      <c r="J14696" s="599">
        <f t="shared" si="446"/>
        <v>0</v>
      </c>
    </row>
    <row r="14697" spans="5:10" hidden="1" x14ac:dyDescent="0.25">
      <c r="F14697" s="642" t="s">
        <v>242</v>
      </c>
      <c r="G14697" s="643" t="s">
        <v>243</v>
      </c>
      <c r="J14697" s="599">
        <f t="shared" si="446"/>
        <v>0</v>
      </c>
    </row>
    <row r="14698" spans="5:10" hidden="1" x14ac:dyDescent="0.25">
      <c r="F14698" s="642" t="s">
        <v>244</v>
      </c>
      <c r="G14698" s="643" t="s">
        <v>245</v>
      </c>
      <c r="J14698" s="599">
        <f t="shared" si="446"/>
        <v>0</v>
      </c>
    </row>
    <row r="14699" spans="5:10" hidden="1" x14ac:dyDescent="0.25">
      <c r="F14699" s="642" t="s">
        <v>246</v>
      </c>
      <c r="G14699" s="643" t="s">
        <v>247</v>
      </c>
      <c r="J14699" s="599">
        <f t="shared" si="446"/>
        <v>0</v>
      </c>
    </row>
    <row r="14700" spans="5:10" hidden="1" x14ac:dyDescent="0.25">
      <c r="F14700" s="642" t="s">
        <v>248</v>
      </c>
      <c r="G14700" s="643" t="s">
        <v>249</v>
      </c>
      <c r="J14700" s="599">
        <f t="shared" si="446"/>
        <v>0</v>
      </c>
    </row>
    <row r="14701" spans="5:10" hidden="1" x14ac:dyDescent="0.25">
      <c r="F14701" s="642" t="s">
        <v>250</v>
      </c>
      <c r="G14701" s="643" t="s">
        <v>57</v>
      </c>
      <c r="J14701" s="599">
        <f t="shared" si="446"/>
        <v>0</v>
      </c>
    </row>
    <row r="14702" spans="5:10" hidden="1" x14ac:dyDescent="0.25">
      <c r="F14702" s="642" t="s">
        <v>251</v>
      </c>
      <c r="G14702" s="643" t="s">
        <v>252</v>
      </c>
      <c r="J14702" s="599">
        <f t="shared" si="446"/>
        <v>0</v>
      </c>
    </row>
    <row r="14703" spans="5:10" hidden="1" x14ac:dyDescent="0.25">
      <c r="F14703" s="642" t="s">
        <v>253</v>
      </c>
      <c r="G14703" s="643" t="s">
        <v>254</v>
      </c>
      <c r="J14703" s="599">
        <f t="shared" si="446"/>
        <v>0</v>
      </c>
    </row>
    <row r="14704" spans="5:10" ht="30" hidden="1" x14ac:dyDescent="0.25">
      <c r="F14704" s="642" t="s">
        <v>255</v>
      </c>
      <c r="G14704" s="643" t="s">
        <v>256</v>
      </c>
      <c r="J14704" s="599">
        <f t="shared" si="446"/>
        <v>0</v>
      </c>
    </row>
    <row r="14705" spans="1:10" hidden="1" x14ac:dyDescent="0.25">
      <c r="F14705" s="642" t="s">
        <v>257</v>
      </c>
      <c r="G14705" s="643" t="s">
        <v>258</v>
      </c>
      <c r="J14705" s="599">
        <f t="shared" si="446"/>
        <v>0</v>
      </c>
    </row>
    <row r="14706" spans="1:10" ht="30" hidden="1" x14ac:dyDescent="0.25">
      <c r="F14706" s="642" t="s">
        <v>259</v>
      </c>
      <c r="G14706" s="643" t="s">
        <v>260</v>
      </c>
      <c r="J14706" s="599">
        <f t="shared" si="446"/>
        <v>0</v>
      </c>
    </row>
    <row r="14707" spans="1:10" hidden="1" x14ac:dyDescent="0.25">
      <c r="F14707" s="642" t="s">
        <v>261</v>
      </c>
      <c r="G14707" s="643" t="s">
        <v>262</v>
      </c>
      <c r="J14707" s="599">
        <f t="shared" si="446"/>
        <v>0</v>
      </c>
    </row>
    <row r="14708" spans="1:10" ht="15.75" hidden="1" thickBot="1" x14ac:dyDescent="0.3">
      <c r="F14708" s="642" t="s">
        <v>263</v>
      </c>
      <c r="G14708" s="643" t="s">
        <v>264</v>
      </c>
      <c r="H14708" s="598"/>
      <c r="I14708" s="599"/>
      <c r="J14708" s="599">
        <f t="shared" si="446"/>
        <v>0</v>
      </c>
    </row>
    <row r="14709" spans="1:10" ht="15.75" thickBot="1" x14ac:dyDescent="0.3">
      <c r="G14709" s="229" t="s">
        <v>4452</v>
      </c>
      <c r="H14709" s="600">
        <f>SUM(H14693:H14708)</f>
        <v>570000</v>
      </c>
      <c r="I14709" s="601">
        <f>SUM(I14694:I14708)</f>
        <v>0</v>
      </c>
      <c r="J14709" s="601">
        <f>SUM(J14693:J14708)</f>
        <v>570000</v>
      </c>
    </row>
    <row r="14710" spans="1:10" hidden="1" x14ac:dyDescent="0.25"/>
    <row r="14711" spans="1:10" x14ac:dyDescent="0.25">
      <c r="G14711" s="286"/>
      <c r="H14711" s="604"/>
      <c r="I14711" s="605"/>
      <c r="J14711" s="605"/>
    </row>
    <row r="14712" spans="1:10" hidden="1" x14ac:dyDescent="0.25">
      <c r="A14712" s="84"/>
      <c r="B14712" s="84"/>
      <c r="C14712" s="84"/>
      <c r="D14712" s="84"/>
      <c r="E14712" s="84"/>
      <c r="F14712" s="84"/>
      <c r="G14712" s="84"/>
      <c r="H14712" s="84"/>
      <c r="I14712" s="84"/>
      <c r="J14712" s="84"/>
    </row>
    <row r="14713" spans="1:10" hidden="1" x14ac:dyDescent="0.25">
      <c r="A14713" s="84"/>
      <c r="B14713" s="84"/>
      <c r="C14713" s="84"/>
      <c r="D14713" s="84"/>
      <c r="E14713" s="84"/>
      <c r="F14713" s="84"/>
      <c r="G14713" s="84"/>
      <c r="H14713" s="84"/>
      <c r="I14713" s="84"/>
      <c r="J14713" s="84"/>
    </row>
    <row r="14714" spans="1:10" hidden="1" x14ac:dyDescent="0.25">
      <c r="A14714" s="84"/>
      <c r="B14714" s="84"/>
      <c r="C14714" s="84"/>
      <c r="D14714" s="84"/>
      <c r="E14714" s="84"/>
      <c r="F14714" s="84"/>
      <c r="G14714" s="84"/>
      <c r="H14714" s="84"/>
      <c r="I14714" s="84"/>
      <c r="J14714" s="84"/>
    </row>
    <row r="14715" spans="1:10" hidden="1" x14ac:dyDescent="0.25">
      <c r="A14715" s="84"/>
      <c r="B14715" s="84"/>
      <c r="C14715" s="84"/>
      <c r="D14715" s="84"/>
      <c r="E14715" s="84"/>
      <c r="F14715" s="84"/>
      <c r="G14715" s="84"/>
      <c r="H14715" s="84"/>
      <c r="I14715" s="84"/>
      <c r="J14715" s="84"/>
    </row>
    <row r="14716" spans="1:10" hidden="1" x14ac:dyDescent="0.25">
      <c r="A14716" s="84"/>
      <c r="B14716" s="84"/>
      <c r="C14716" s="84"/>
      <c r="D14716" s="84"/>
      <c r="E14716" s="84"/>
      <c r="F14716" s="84"/>
      <c r="G14716" s="84"/>
      <c r="H14716" s="84"/>
      <c r="I14716" s="84"/>
      <c r="J14716" s="84"/>
    </row>
    <row r="14717" spans="1:10" hidden="1" x14ac:dyDescent="0.25">
      <c r="A14717" s="84"/>
      <c r="B14717" s="84"/>
      <c r="C14717" s="84"/>
      <c r="D14717" s="84"/>
      <c r="E14717" s="84"/>
      <c r="F14717" s="84"/>
      <c r="G14717" s="84"/>
      <c r="H14717" s="84"/>
      <c r="I14717" s="84"/>
      <c r="J14717" s="84"/>
    </row>
    <row r="14718" spans="1:10" hidden="1" x14ac:dyDescent="0.25">
      <c r="A14718" s="84"/>
      <c r="B14718" s="84"/>
      <c r="C14718" s="84"/>
      <c r="D14718" s="84"/>
      <c r="E14718" s="84"/>
      <c r="F14718" s="84"/>
      <c r="G14718" s="84"/>
      <c r="H14718" s="84"/>
      <c r="I14718" s="84"/>
      <c r="J14718" s="84"/>
    </row>
    <row r="14719" spans="1:10" hidden="1" x14ac:dyDescent="0.25">
      <c r="A14719" s="84"/>
      <c r="B14719" s="84"/>
      <c r="C14719" s="84"/>
      <c r="D14719" s="84"/>
      <c r="E14719" s="84"/>
      <c r="F14719" s="84"/>
      <c r="G14719" s="84"/>
      <c r="H14719" s="84"/>
      <c r="I14719" s="84"/>
      <c r="J14719" s="84"/>
    </row>
    <row r="14720" spans="1:10" hidden="1" x14ac:dyDescent="0.25">
      <c r="A14720" s="84"/>
      <c r="B14720" s="84"/>
      <c r="C14720" s="84"/>
      <c r="D14720" s="84"/>
      <c r="E14720" s="84"/>
      <c r="F14720" s="84"/>
      <c r="G14720" s="84"/>
      <c r="H14720" s="84"/>
      <c r="I14720" s="84"/>
      <c r="J14720" s="84"/>
    </row>
    <row r="14721" spans="1:10" hidden="1" x14ac:dyDescent="0.25">
      <c r="A14721" s="84"/>
      <c r="B14721" s="84"/>
      <c r="C14721" s="84"/>
      <c r="D14721" s="84"/>
      <c r="E14721" s="84"/>
      <c r="F14721" s="84"/>
      <c r="G14721" s="84"/>
      <c r="H14721" s="84"/>
      <c r="I14721" s="84"/>
      <c r="J14721" s="84"/>
    </row>
    <row r="14722" spans="1:10" hidden="1" x14ac:dyDescent="0.25">
      <c r="A14722" s="84"/>
      <c r="B14722" s="84"/>
      <c r="C14722" s="84"/>
      <c r="D14722" s="84"/>
      <c r="E14722" s="84"/>
      <c r="F14722" s="84"/>
      <c r="G14722" s="84"/>
      <c r="H14722" s="84"/>
      <c r="I14722" s="84"/>
      <c r="J14722" s="84"/>
    </row>
    <row r="14723" spans="1:10" hidden="1" x14ac:dyDescent="0.25">
      <c r="A14723" s="84"/>
      <c r="B14723" s="84"/>
      <c r="C14723" s="84"/>
      <c r="D14723" s="84"/>
      <c r="E14723" s="84"/>
      <c r="F14723" s="84"/>
      <c r="G14723" s="84"/>
      <c r="H14723" s="84"/>
      <c r="I14723" s="84"/>
      <c r="J14723" s="84"/>
    </row>
    <row r="14724" spans="1:10" hidden="1" x14ac:dyDescent="0.25">
      <c r="A14724" s="84"/>
      <c r="B14724" s="84"/>
      <c r="C14724" s="84"/>
      <c r="D14724" s="84"/>
      <c r="E14724" s="84"/>
      <c r="F14724" s="84"/>
      <c r="G14724" s="84"/>
      <c r="H14724" s="84"/>
      <c r="I14724" s="84"/>
      <c r="J14724" s="84"/>
    </row>
    <row r="14725" spans="1:10" hidden="1" x14ac:dyDescent="0.25">
      <c r="A14725" s="84"/>
      <c r="B14725" s="84"/>
      <c r="C14725" s="84"/>
      <c r="D14725" s="84"/>
      <c r="E14725" s="84"/>
      <c r="F14725" s="84"/>
      <c r="G14725" s="84"/>
      <c r="H14725" s="84"/>
      <c r="I14725" s="84"/>
      <c r="J14725" s="84"/>
    </row>
    <row r="14726" spans="1:10" hidden="1" x14ac:dyDescent="0.25">
      <c r="A14726" s="84"/>
      <c r="B14726" s="84"/>
      <c r="C14726" s="84"/>
      <c r="D14726" s="84"/>
      <c r="E14726" s="84"/>
      <c r="F14726" s="84"/>
      <c r="G14726" s="84"/>
      <c r="H14726" s="84"/>
      <c r="I14726" s="84"/>
      <c r="J14726" s="84"/>
    </row>
    <row r="14727" spans="1:10" hidden="1" x14ac:dyDescent="0.25">
      <c r="A14727" s="84"/>
      <c r="B14727" s="84"/>
      <c r="C14727" s="84"/>
      <c r="D14727" s="84"/>
      <c r="E14727" s="84"/>
      <c r="F14727" s="84"/>
      <c r="G14727" s="84"/>
      <c r="H14727" s="84"/>
      <c r="I14727" s="84"/>
      <c r="J14727" s="84"/>
    </row>
    <row r="14728" spans="1:10" hidden="1" x14ac:dyDescent="0.25">
      <c r="A14728" s="84"/>
      <c r="B14728" s="84"/>
      <c r="C14728" s="84"/>
      <c r="D14728" s="84"/>
      <c r="E14728" s="84"/>
      <c r="F14728" s="84"/>
      <c r="G14728" s="84"/>
      <c r="H14728" s="84"/>
      <c r="I14728" s="84"/>
      <c r="J14728" s="84"/>
    </row>
    <row r="14729" spans="1:10" hidden="1" x14ac:dyDescent="0.25">
      <c r="A14729" s="84"/>
      <c r="B14729" s="84"/>
      <c r="C14729" s="84"/>
      <c r="D14729" s="84"/>
      <c r="E14729" s="84"/>
      <c r="F14729" s="84"/>
      <c r="G14729" s="84"/>
      <c r="H14729" s="84"/>
      <c r="I14729" s="84"/>
      <c r="J14729" s="84"/>
    </row>
    <row r="14730" spans="1:10" hidden="1" x14ac:dyDescent="0.25">
      <c r="G14730" s="286"/>
      <c r="H14730" s="604"/>
      <c r="I14730" s="605"/>
      <c r="J14730" s="605"/>
    </row>
    <row r="14731" spans="1:10" hidden="1" x14ac:dyDescent="0.25"/>
    <row r="14732" spans="1:10" hidden="1" x14ac:dyDescent="0.25"/>
    <row r="14733" spans="1:10" hidden="1" x14ac:dyDescent="0.25"/>
    <row r="14734" spans="1:10" hidden="1" x14ac:dyDescent="0.25"/>
    <row r="14735" spans="1:10" hidden="1" x14ac:dyDescent="0.25"/>
    <row r="14736" spans="1:10" hidden="1" x14ac:dyDescent="0.25"/>
    <row r="14737" spans="3:10" hidden="1" x14ac:dyDescent="0.25"/>
    <row r="14738" spans="3:10" hidden="1" x14ac:dyDescent="0.25"/>
    <row r="14739" spans="3:10" hidden="1" x14ac:dyDescent="0.25"/>
    <row r="14740" spans="3:10" hidden="1" x14ac:dyDescent="0.25"/>
    <row r="14741" spans="3:10" hidden="1" x14ac:dyDescent="0.25"/>
    <row r="14742" spans="3:10" hidden="1" x14ac:dyDescent="0.25"/>
    <row r="14743" spans="3:10" hidden="1" x14ac:dyDescent="0.25"/>
    <row r="14744" spans="3:10" hidden="1" x14ac:dyDescent="0.25"/>
    <row r="14745" spans="3:10" hidden="1" x14ac:dyDescent="0.25"/>
    <row r="14746" spans="3:10" hidden="1" x14ac:dyDescent="0.25"/>
    <row r="14747" spans="3:10" hidden="1" x14ac:dyDescent="0.25"/>
    <row r="14748" spans="3:10" hidden="1" x14ac:dyDescent="0.25"/>
    <row r="14749" spans="3:10" hidden="1" x14ac:dyDescent="0.25">
      <c r="G14749" s="286"/>
      <c r="H14749" s="604"/>
      <c r="I14749" s="605"/>
      <c r="J14749" s="605"/>
    </row>
    <row r="14750" spans="3:10" ht="28.5" x14ac:dyDescent="0.25">
      <c r="C14750" s="228" t="s">
        <v>4534</v>
      </c>
      <c r="D14750" s="219"/>
      <c r="G14750" s="521" t="s">
        <v>5221</v>
      </c>
    </row>
    <row r="14751" spans="3:10" x14ac:dyDescent="0.25">
      <c r="C14751" s="228"/>
      <c r="D14751" s="312">
        <v>630</v>
      </c>
      <c r="E14751" s="312"/>
      <c r="F14751" s="312"/>
      <c r="G14751" s="338" t="s">
        <v>183</v>
      </c>
    </row>
    <row r="14752" spans="3:10" hidden="1" x14ac:dyDescent="0.25">
      <c r="F14752" s="527">
        <v>411</v>
      </c>
      <c r="G14752" s="520" t="s">
        <v>4189</v>
      </c>
      <c r="J14752" s="595">
        <f>SUM(H14752:I14752)</f>
        <v>0</v>
      </c>
    </row>
    <row r="14753" spans="6:10" hidden="1" x14ac:dyDescent="0.25">
      <c r="F14753" s="527">
        <v>412</v>
      </c>
      <c r="G14753" s="516" t="s">
        <v>3784</v>
      </c>
      <c r="J14753" s="595">
        <f t="shared" ref="J14753:J14760" si="447">SUM(H14753:I14753)</f>
        <v>0</v>
      </c>
    </row>
    <row r="14754" spans="6:10" hidden="1" x14ac:dyDescent="0.25">
      <c r="F14754" s="527">
        <v>413</v>
      </c>
      <c r="G14754" s="520" t="s">
        <v>4190</v>
      </c>
      <c r="J14754" s="595">
        <f t="shared" si="447"/>
        <v>0</v>
      </c>
    </row>
    <row r="14755" spans="6:10" hidden="1" x14ac:dyDescent="0.25">
      <c r="F14755" s="527">
        <v>414</v>
      </c>
      <c r="G14755" s="520" t="s">
        <v>3787</v>
      </c>
      <c r="J14755" s="595">
        <f t="shared" si="447"/>
        <v>0</v>
      </c>
    </row>
    <row r="14756" spans="6:10" hidden="1" x14ac:dyDescent="0.25">
      <c r="F14756" s="527">
        <v>415</v>
      </c>
      <c r="G14756" s="520" t="s">
        <v>4199</v>
      </c>
      <c r="J14756" s="595">
        <f t="shared" si="447"/>
        <v>0</v>
      </c>
    </row>
    <row r="14757" spans="6:10" hidden="1" x14ac:dyDescent="0.25">
      <c r="F14757" s="527">
        <v>416</v>
      </c>
      <c r="G14757" s="520" t="s">
        <v>4200</v>
      </c>
      <c r="J14757" s="595">
        <f t="shared" si="447"/>
        <v>0</v>
      </c>
    </row>
    <row r="14758" spans="6:10" hidden="1" x14ac:dyDescent="0.25">
      <c r="F14758" s="527">
        <v>417</v>
      </c>
      <c r="G14758" s="520" t="s">
        <v>4201</v>
      </c>
      <c r="J14758" s="595">
        <f t="shared" si="447"/>
        <v>0</v>
      </c>
    </row>
    <row r="14759" spans="6:10" hidden="1" x14ac:dyDescent="0.25">
      <c r="F14759" s="527">
        <v>418</v>
      </c>
      <c r="G14759" s="520" t="s">
        <v>3793</v>
      </c>
      <c r="J14759" s="595">
        <f t="shared" si="447"/>
        <v>0</v>
      </c>
    </row>
    <row r="14760" spans="6:10" hidden="1" x14ac:dyDescent="0.25">
      <c r="F14760" s="527">
        <v>421</v>
      </c>
      <c r="G14760" s="520" t="s">
        <v>3797</v>
      </c>
      <c r="J14760" s="595">
        <f t="shared" si="447"/>
        <v>0</v>
      </c>
    </row>
    <row r="14761" spans="6:10" hidden="1" x14ac:dyDescent="0.25">
      <c r="F14761" s="527">
        <v>422</v>
      </c>
      <c r="G14761" s="520" t="s">
        <v>3798</v>
      </c>
      <c r="J14761" s="595">
        <f>SUM(H14761:I14761)</f>
        <v>0</v>
      </c>
    </row>
    <row r="14762" spans="6:10" hidden="1" x14ac:dyDescent="0.25">
      <c r="F14762" s="527">
        <v>423</v>
      </c>
      <c r="G14762" s="520" t="s">
        <v>3799</v>
      </c>
      <c r="J14762" s="595">
        <f t="shared" ref="J14762:J14811" si="448">SUM(H14762:I14762)</f>
        <v>0</v>
      </c>
    </row>
    <row r="14763" spans="6:10" hidden="1" x14ac:dyDescent="0.25">
      <c r="F14763" s="527">
        <v>424</v>
      </c>
      <c r="G14763" s="520" t="s">
        <v>3801</v>
      </c>
      <c r="J14763" s="595">
        <f t="shared" si="448"/>
        <v>0</v>
      </c>
    </row>
    <row r="14764" spans="6:10" hidden="1" x14ac:dyDescent="0.25">
      <c r="F14764" s="527">
        <v>425</v>
      </c>
      <c r="G14764" s="520" t="s">
        <v>4202</v>
      </c>
      <c r="J14764" s="595">
        <f t="shared" si="448"/>
        <v>0</v>
      </c>
    </row>
    <row r="14765" spans="6:10" hidden="1" x14ac:dyDescent="0.25">
      <c r="F14765" s="527">
        <v>426</v>
      </c>
      <c r="G14765" s="520" t="s">
        <v>3805</v>
      </c>
      <c r="J14765" s="595">
        <f t="shared" si="448"/>
        <v>0</v>
      </c>
    </row>
    <row r="14766" spans="6:10" hidden="1" x14ac:dyDescent="0.25">
      <c r="F14766" s="527">
        <v>431</v>
      </c>
      <c r="G14766" s="520" t="s">
        <v>4203</v>
      </c>
      <c r="J14766" s="595">
        <f t="shared" si="448"/>
        <v>0</v>
      </c>
    </row>
    <row r="14767" spans="6:10" hidden="1" x14ac:dyDescent="0.25">
      <c r="F14767" s="527">
        <v>432</v>
      </c>
      <c r="G14767" s="520" t="s">
        <v>4204</v>
      </c>
      <c r="J14767" s="595">
        <f t="shared" si="448"/>
        <v>0</v>
      </c>
    </row>
    <row r="14768" spans="6:10" hidden="1" x14ac:dyDescent="0.25">
      <c r="F14768" s="527">
        <v>433</v>
      </c>
      <c r="G14768" s="520" t="s">
        <v>4205</v>
      </c>
      <c r="J14768" s="595">
        <f t="shared" si="448"/>
        <v>0</v>
      </c>
    </row>
    <row r="14769" spans="6:10" hidden="1" x14ac:dyDescent="0.25">
      <c r="F14769" s="527">
        <v>434</v>
      </c>
      <c r="G14769" s="520" t="s">
        <v>4206</v>
      </c>
      <c r="J14769" s="595">
        <f t="shared" si="448"/>
        <v>0</v>
      </c>
    </row>
    <row r="14770" spans="6:10" hidden="1" x14ac:dyDescent="0.25">
      <c r="F14770" s="527">
        <v>435</v>
      </c>
      <c r="G14770" s="520" t="s">
        <v>3812</v>
      </c>
      <c r="J14770" s="595">
        <f t="shared" si="448"/>
        <v>0</v>
      </c>
    </row>
    <row r="14771" spans="6:10" hidden="1" x14ac:dyDescent="0.25">
      <c r="F14771" s="527">
        <v>441</v>
      </c>
      <c r="G14771" s="520" t="s">
        <v>4207</v>
      </c>
      <c r="J14771" s="595">
        <f t="shared" si="448"/>
        <v>0</v>
      </c>
    </row>
    <row r="14772" spans="6:10" hidden="1" x14ac:dyDescent="0.25">
      <c r="F14772" s="527">
        <v>442</v>
      </c>
      <c r="G14772" s="520" t="s">
        <v>4208</v>
      </c>
      <c r="J14772" s="595">
        <f t="shared" si="448"/>
        <v>0</v>
      </c>
    </row>
    <row r="14773" spans="6:10" hidden="1" x14ac:dyDescent="0.25">
      <c r="F14773" s="527">
        <v>443</v>
      </c>
      <c r="G14773" s="520" t="s">
        <v>3817</v>
      </c>
      <c r="J14773" s="595">
        <f t="shared" si="448"/>
        <v>0</v>
      </c>
    </row>
    <row r="14774" spans="6:10" hidden="1" x14ac:dyDescent="0.25">
      <c r="F14774" s="527">
        <v>444</v>
      </c>
      <c r="G14774" s="520" t="s">
        <v>3818</v>
      </c>
      <c r="J14774" s="595">
        <f t="shared" si="448"/>
        <v>0</v>
      </c>
    </row>
    <row r="14775" spans="6:10" ht="30" hidden="1" x14ac:dyDescent="0.25">
      <c r="F14775" s="527">
        <v>4511</v>
      </c>
      <c r="G14775" s="223" t="s">
        <v>1692</v>
      </c>
      <c r="J14775" s="595">
        <f t="shared" si="448"/>
        <v>0</v>
      </c>
    </row>
    <row r="14776" spans="6:10" ht="30" hidden="1" x14ac:dyDescent="0.25">
      <c r="F14776" s="527">
        <v>4512</v>
      </c>
      <c r="G14776" s="223" t="s">
        <v>1701</v>
      </c>
      <c r="J14776" s="595">
        <f t="shared" si="448"/>
        <v>0</v>
      </c>
    </row>
    <row r="14777" spans="6:10" hidden="1" x14ac:dyDescent="0.25">
      <c r="F14777" s="527">
        <v>452</v>
      </c>
      <c r="G14777" s="520" t="s">
        <v>4209</v>
      </c>
      <c r="J14777" s="595">
        <f t="shared" si="448"/>
        <v>0</v>
      </c>
    </row>
    <row r="14778" spans="6:10" hidden="1" x14ac:dyDescent="0.25">
      <c r="F14778" s="527">
        <v>453</v>
      </c>
      <c r="G14778" s="520" t="s">
        <v>4210</v>
      </c>
      <c r="J14778" s="595">
        <f t="shared" si="448"/>
        <v>0</v>
      </c>
    </row>
    <row r="14779" spans="6:10" hidden="1" x14ac:dyDescent="0.25">
      <c r="F14779" s="527">
        <v>454</v>
      </c>
      <c r="G14779" s="520" t="s">
        <v>3823</v>
      </c>
      <c r="J14779" s="595">
        <f t="shared" si="448"/>
        <v>0</v>
      </c>
    </row>
    <row r="14780" spans="6:10" hidden="1" x14ac:dyDescent="0.25">
      <c r="F14780" s="527">
        <v>461</v>
      </c>
      <c r="G14780" s="520" t="s">
        <v>4191</v>
      </c>
      <c r="J14780" s="595">
        <f t="shared" si="448"/>
        <v>0</v>
      </c>
    </row>
    <row r="14781" spans="6:10" hidden="1" x14ac:dyDescent="0.25">
      <c r="F14781" s="527">
        <v>462</v>
      </c>
      <c r="G14781" s="520" t="s">
        <v>3826</v>
      </c>
      <c r="J14781" s="595">
        <f t="shared" si="448"/>
        <v>0</v>
      </c>
    </row>
    <row r="14782" spans="6:10" hidden="1" x14ac:dyDescent="0.25">
      <c r="F14782" s="527">
        <v>4631</v>
      </c>
      <c r="G14782" s="520" t="s">
        <v>3827</v>
      </c>
      <c r="J14782" s="595">
        <f t="shared" si="448"/>
        <v>0</v>
      </c>
    </row>
    <row r="14783" spans="6:10" hidden="1" x14ac:dyDescent="0.25">
      <c r="F14783" s="527">
        <v>4632</v>
      </c>
      <c r="G14783" s="520" t="s">
        <v>3828</v>
      </c>
      <c r="J14783" s="595">
        <f t="shared" si="448"/>
        <v>0</v>
      </c>
    </row>
    <row r="14784" spans="6:10" hidden="1" x14ac:dyDescent="0.25">
      <c r="F14784" s="527">
        <v>464</v>
      </c>
      <c r="G14784" s="520" t="s">
        <v>3829</v>
      </c>
      <c r="J14784" s="595">
        <f t="shared" si="448"/>
        <v>0</v>
      </c>
    </row>
    <row r="14785" spans="5:10" hidden="1" x14ac:dyDescent="0.25">
      <c r="F14785" s="527">
        <v>465</v>
      </c>
      <c r="G14785" s="520" t="s">
        <v>4192</v>
      </c>
      <c r="J14785" s="595">
        <f t="shared" si="448"/>
        <v>0</v>
      </c>
    </row>
    <row r="14786" spans="5:10" hidden="1" x14ac:dyDescent="0.25">
      <c r="F14786" s="527">
        <v>472</v>
      </c>
      <c r="G14786" s="520" t="s">
        <v>3833</v>
      </c>
      <c r="J14786" s="595">
        <f t="shared" si="448"/>
        <v>0</v>
      </c>
    </row>
    <row r="14787" spans="5:10" hidden="1" x14ac:dyDescent="0.25">
      <c r="F14787" s="527">
        <v>481</v>
      </c>
      <c r="G14787" s="520" t="s">
        <v>4211</v>
      </c>
      <c r="J14787" s="595">
        <f t="shared" si="448"/>
        <v>0</v>
      </c>
    </row>
    <row r="14788" spans="5:10" hidden="1" x14ac:dyDescent="0.25">
      <c r="F14788" s="527">
        <v>482</v>
      </c>
      <c r="G14788" s="520" t="s">
        <v>4212</v>
      </c>
      <c r="J14788" s="595">
        <f t="shared" si="448"/>
        <v>0</v>
      </c>
    </row>
    <row r="14789" spans="5:10" hidden="1" x14ac:dyDescent="0.25">
      <c r="F14789" s="527">
        <v>483</v>
      </c>
      <c r="G14789" s="524" t="s">
        <v>4213</v>
      </c>
      <c r="J14789" s="595">
        <f t="shared" si="448"/>
        <v>0</v>
      </c>
    </row>
    <row r="14790" spans="5:10" ht="30" hidden="1" x14ac:dyDescent="0.25">
      <c r="F14790" s="527">
        <v>484</v>
      </c>
      <c r="G14790" s="520" t="s">
        <v>4214</v>
      </c>
      <c r="J14790" s="595">
        <f t="shared" si="448"/>
        <v>0</v>
      </c>
    </row>
    <row r="14791" spans="5:10" ht="30" hidden="1" x14ac:dyDescent="0.25">
      <c r="F14791" s="527">
        <v>485</v>
      </c>
      <c r="G14791" s="520" t="s">
        <v>4215</v>
      </c>
      <c r="J14791" s="595">
        <f t="shared" si="448"/>
        <v>0</v>
      </c>
    </row>
    <row r="14792" spans="5:10" ht="30" hidden="1" x14ac:dyDescent="0.25">
      <c r="F14792" s="527">
        <v>489</v>
      </c>
      <c r="G14792" s="520" t="s">
        <v>3841</v>
      </c>
      <c r="J14792" s="595">
        <f t="shared" si="448"/>
        <v>0</v>
      </c>
    </row>
    <row r="14793" spans="5:10" hidden="1" x14ac:dyDescent="0.25">
      <c r="F14793" s="527">
        <v>494</v>
      </c>
      <c r="G14793" s="520" t="s">
        <v>4193</v>
      </c>
      <c r="J14793" s="595">
        <f t="shared" si="448"/>
        <v>0</v>
      </c>
    </row>
    <row r="14794" spans="5:10" ht="30" hidden="1" x14ac:dyDescent="0.25">
      <c r="F14794" s="527">
        <v>495</v>
      </c>
      <c r="G14794" s="520" t="s">
        <v>4194</v>
      </c>
      <c r="J14794" s="595">
        <f t="shared" si="448"/>
        <v>0</v>
      </c>
    </row>
    <row r="14795" spans="5:10" ht="30" hidden="1" x14ac:dyDescent="0.25">
      <c r="F14795" s="527">
        <v>496</v>
      </c>
      <c r="G14795" s="520" t="s">
        <v>4195</v>
      </c>
      <c r="J14795" s="595">
        <f t="shared" si="448"/>
        <v>0</v>
      </c>
    </row>
    <row r="14796" spans="5:10" hidden="1" x14ac:dyDescent="0.25">
      <c r="F14796" s="527">
        <v>499</v>
      </c>
      <c r="G14796" s="520" t="s">
        <v>4196</v>
      </c>
      <c r="J14796" s="595">
        <f t="shared" si="448"/>
        <v>0</v>
      </c>
    </row>
    <row r="14797" spans="5:10" ht="15.75" thickBot="1" x14ac:dyDescent="0.3">
      <c r="E14797" s="218">
        <v>170</v>
      </c>
      <c r="F14797" s="527">
        <v>511</v>
      </c>
      <c r="G14797" s="524" t="s">
        <v>4216</v>
      </c>
      <c r="H14797" s="594">
        <v>10000000</v>
      </c>
      <c r="J14797" s="595">
        <f t="shared" si="448"/>
        <v>10000000</v>
      </c>
    </row>
    <row r="14798" spans="5:10" hidden="1" x14ac:dyDescent="0.25">
      <c r="F14798" s="527">
        <v>512</v>
      </c>
      <c r="G14798" s="524" t="s">
        <v>4217</v>
      </c>
      <c r="J14798" s="595">
        <f t="shared" si="448"/>
        <v>0</v>
      </c>
    </row>
    <row r="14799" spans="5:10" hidden="1" x14ac:dyDescent="0.25">
      <c r="F14799" s="527">
        <v>513</v>
      </c>
      <c r="G14799" s="524" t="s">
        <v>4218</v>
      </c>
      <c r="J14799" s="595">
        <f t="shared" si="448"/>
        <v>0</v>
      </c>
    </row>
    <row r="14800" spans="5:10" hidden="1" x14ac:dyDescent="0.25">
      <c r="F14800" s="527">
        <v>514</v>
      </c>
      <c r="G14800" s="520" t="s">
        <v>4219</v>
      </c>
      <c r="J14800" s="595">
        <f t="shared" si="448"/>
        <v>0</v>
      </c>
    </row>
    <row r="14801" spans="5:10" hidden="1" x14ac:dyDescent="0.25">
      <c r="F14801" s="527">
        <v>515</v>
      </c>
      <c r="G14801" s="520" t="s">
        <v>3852</v>
      </c>
      <c r="J14801" s="595">
        <f t="shared" si="448"/>
        <v>0</v>
      </c>
    </row>
    <row r="14802" spans="5:10" hidden="1" x14ac:dyDescent="0.25">
      <c r="F14802" s="527">
        <v>521</v>
      </c>
      <c r="G14802" s="520" t="s">
        <v>4220</v>
      </c>
      <c r="J14802" s="595">
        <f t="shared" si="448"/>
        <v>0</v>
      </c>
    </row>
    <row r="14803" spans="5:10" hidden="1" x14ac:dyDescent="0.25">
      <c r="F14803" s="527">
        <v>522</v>
      </c>
      <c r="G14803" s="520" t="s">
        <v>4221</v>
      </c>
      <c r="J14803" s="595">
        <f t="shared" si="448"/>
        <v>0</v>
      </c>
    </row>
    <row r="14804" spans="5:10" hidden="1" x14ac:dyDescent="0.25">
      <c r="F14804" s="527">
        <v>523</v>
      </c>
      <c r="G14804" s="520" t="s">
        <v>3857</v>
      </c>
      <c r="J14804" s="595">
        <f t="shared" si="448"/>
        <v>0</v>
      </c>
    </row>
    <row r="14805" spans="5:10" hidden="1" x14ac:dyDescent="0.25">
      <c r="F14805" s="527">
        <v>531</v>
      </c>
      <c r="G14805" s="516" t="s">
        <v>4197</v>
      </c>
      <c r="J14805" s="595">
        <f t="shared" si="448"/>
        <v>0</v>
      </c>
    </row>
    <row r="14806" spans="5:10" hidden="1" x14ac:dyDescent="0.25">
      <c r="F14806" s="527">
        <v>541</v>
      </c>
      <c r="G14806" s="520" t="s">
        <v>4222</v>
      </c>
      <c r="J14806" s="595">
        <f t="shared" si="448"/>
        <v>0</v>
      </c>
    </row>
    <row r="14807" spans="5:10" hidden="1" x14ac:dyDescent="0.25">
      <c r="F14807" s="527">
        <v>542</v>
      </c>
      <c r="G14807" s="520" t="s">
        <v>4223</v>
      </c>
      <c r="J14807" s="595">
        <f t="shared" si="448"/>
        <v>0</v>
      </c>
    </row>
    <row r="14808" spans="5:10" hidden="1" x14ac:dyDescent="0.25">
      <c r="F14808" s="527">
        <v>543</v>
      </c>
      <c r="G14808" s="520" t="s">
        <v>3862</v>
      </c>
      <c r="J14808" s="595">
        <f t="shared" si="448"/>
        <v>0</v>
      </c>
    </row>
    <row r="14809" spans="5:10" ht="30" hidden="1" x14ac:dyDescent="0.25">
      <c r="F14809" s="527">
        <v>551</v>
      </c>
      <c r="G14809" s="520" t="s">
        <v>4198</v>
      </c>
      <c r="J14809" s="595">
        <f t="shared" si="448"/>
        <v>0</v>
      </c>
    </row>
    <row r="14810" spans="5:10" hidden="1" x14ac:dyDescent="0.25">
      <c r="F14810" s="528">
        <v>611</v>
      </c>
      <c r="G14810" s="526" t="s">
        <v>3868</v>
      </c>
      <c r="J14810" s="595">
        <f t="shared" si="448"/>
        <v>0</v>
      </c>
    </row>
    <row r="14811" spans="5:10" ht="15.75" hidden="1" thickBot="1" x14ac:dyDescent="0.3">
      <c r="F14811" s="528">
        <v>620</v>
      </c>
      <c r="G14811" s="526" t="s">
        <v>88</v>
      </c>
      <c r="J14811" s="595">
        <f t="shared" si="448"/>
        <v>0</v>
      </c>
    </row>
    <row r="14812" spans="5:10" x14ac:dyDescent="0.25">
      <c r="E14812" s="517"/>
      <c r="F14812" s="528"/>
      <c r="G14812" s="327" t="s">
        <v>5222</v>
      </c>
      <c r="H14812" s="596"/>
      <c r="I14812" s="622"/>
      <c r="J14812" s="597"/>
    </row>
    <row r="14813" spans="5:10" ht="15.75" thickBot="1" x14ac:dyDescent="0.3">
      <c r="E14813" s="222"/>
      <c r="F14813" s="642" t="s">
        <v>234</v>
      </c>
      <c r="G14813" s="643" t="s">
        <v>235</v>
      </c>
      <c r="H14813" s="598">
        <f>SUM(H14752:H14811)</f>
        <v>10000000</v>
      </c>
      <c r="I14813" s="599"/>
      <c r="J14813" s="599">
        <f t="shared" ref="J14813:J14828" si="449">SUM(H14813:I14813)</f>
        <v>10000000</v>
      </c>
    </row>
    <row r="14814" spans="5:10" hidden="1" x14ac:dyDescent="0.25">
      <c r="F14814" s="642" t="s">
        <v>236</v>
      </c>
      <c r="G14814" s="643" t="s">
        <v>237</v>
      </c>
      <c r="J14814" s="599">
        <f t="shared" si="449"/>
        <v>0</v>
      </c>
    </row>
    <row r="14815" spans="5:10" hidden="1" x14ac:dyDescent="0.25">
      <c r="F14815" s="642" t="s">
        <v>238</v>
      </c>
      <c r="G14815" s="643" t="s">
        <v>239</v>
      </c>
      <c r="J14815" s="599">
        <f t="shared" si="449"/>
        <v>0</v>
      </c>
    </row>
    <row r="14816" spans="5:10" hidden="1" x14ac:dyDescent="0.25">
      <c r="F14816" s="642" t="s">
        <v>240</v>
      </c>
      <c r="G14816" s="643" t="s">
        <v>241</v>
      </c>
      <c r="J14816" s="599">
        <f t="shared" si="449"/>
        <v>0</v>
      </c>
    </row>
    <row r="14817" spans="5:10" hidden="1" x14ac:dyDescent="0.25">
      <c r="F14817" s="642" t="s">
        <v>242</v>
      </c>
      <c r="G14817" s="643" t="s">
        <v>243</v>
      </c>
      <c r="J14817" s="599">
        <f t="shared" si="449"/>
        <v>0</v>
      </c>
    </row>
    <row r="14818" spans="5:10" hidden="1" x14ac:dyDescent="0.25">
      <c r="F14818" s="642" t="s">
        <v>244</v>
      </c>
      <c r="G14818" s="643" t="s">
        <v>245</v>
      </c>
      <c r="J14818" s="599">
        <f t="shared" si="449"/>
        <v>0</v>
      </c>
    </row>
    <row r="14819" spans="5:10" hidden="1" x14ac:dyDescent="0.25">
      <c r="F14819" s="642" t="s">
        <v>246</v>
      </c>
      <c r="G14819" s="643" t="s">
        <v>247</v>
      </c>
      <c r="J14819" s="599">
        <f t="shared" si="449"/>
        <v>0</v>
      </c>
    </row>
    <row r="14820" spans="5:10" hidden="1" x14ac:dyDescent="0.25">
      <c r="F14820" s="642" t="s">
        <v>248</v>
      </c>
      <c r="G14820" s="643" t="s">
        <v>249</v>
      </c>
      <c r="J14820" s="599">
        <f t="shared" si="449"/>
        <v>0</v>
      </c>
    </row>
    <row r="14821" spans="5:10" hidden="1" x14ac:dyDescent="0.25">
      <c r="F14821" s="642" t="s">
        <v>250</v>
      </c>
      <c r="G14821" s="643" t="s">
        <v>57</v>
      </c>
      <c r="J14821" s="599">
        <f t="shared" si="449"/>
        <v>0</v>
      </c>
    </row>
    <row r="14822" spans="5:10" hidden="1" x14ac:dyDescent="0.25">
      <c r="F14822" s="642" t="s">
        <v>251</v>
      </c>
      <c r="G14822" s="643" t="s">
        <v>252</v>
      </c>
      <c r="J14822" s="599">
        <f t="shared" si="449"/>
        <v>0</v>
      </c>
    </row>
    <row r="14823" spans="5:10" hidden="1" x14ac:dyDescent="0.25">
      <c r="F14823" s="642" t="s">
        <v>253</v>
      </c>
      <c r="G14823" s="643" t="s">
        <v>254</v>
      </c>
      <c r="J14823" s="599">
        <f t="shared" si="449"/>
        <v>0</v>
      </c>
    </row>
    <row r="14824" spans="5:10" ht="30" hidden="1" x14ac:dyDescent="0.25">
      <c r="F14824" s="642" t="s">
        <v>255</v>
      </c>
      <c r="G14824" s="643" t="s">
        <v>256</v>
      </c>
      <c r="J14824" s="599">
        <f t="shared" si="449"/>
        <v>0</v>
      </c>
    </row>
    <row r="14825" spans="5:10" hidden="1" x14ac:dyDescent="0.25">
      <c r="F14825" s="642" t="s">
        <v>257</v>
      </c>
      <c r="G14825" s="643" t="s">
        <v>258</v>
      </c>
      <c r="J14825" s="599">
        <f t="shared" si="449"/>
        <v>0</v>
      </c>
    </row>
    <row r="14826" spans="5:10" ht="30" hidden="1" x14ac:dyDescent="0.25">
      <c r="F14826" s="642" t="s">
        <v>259</v>
      </c>
      <c r="G14826" s="643" t="s">
        <v>260</v>
      </c>
      <c r="J14826" s="599">
        <f t="shared" si="449"/>
        <v>0</v>
      </c>
    </row>
    <row r="14827" spans="5:10" hidden="1" x14ac:dyDescent="0.25">
      <c r="F14827" s="642" t="s">
        <v>261</v>
      </c>
      <c r="G14827" s="643" t="s">
        <v>262</v>
      </c>
      <c r="J14827" s="599">
        <f t="shared" si="449"/>
        <v>0</v>
      </c>
    </row>
    <row r="14828" spans="5:10" ht="15.75" hidden="1" thickBot="1" x14ac:dyDescent="0.3">
      <c r="F14828" s="642" t="s">
        <v>263</v>
      </c>
      <c r="G14828" s="643" t="s">
        <v>264</v>
      </c>
      <c r="H14828" s="598"/>
      <c r="I14828" s="599"/>
      <c r="J14828" s="599">
        <f t="shared" si="449"/>
        <v>0</v>
      </c>
    </row>
    <row r="14829" spans="5:10" ht="15.75" thickBot="1" x14ac:dyDescent="0.3">
      <c r="G14829" s="229" t="s">
        <v>4423</v>
      </c>
      <c r="H14829" s="600">
        <f>SUM(H14813:H14828)</f>
        <v>10000000</v>
      </c>
      <c r="I14829" s="601">
        <f>SUM(I14814:I14828)</f>
        <v>0</v>
      </c>
      <c r="J14829" s="601">
        <f>SUM(J14813:J14828)</f>
        <v>10000000</v>
      </c>
    </row>
    <row r="14830" spans="5:10" x14ac:dyDescent="0.25">
      <c r="E14830" s="517"/>
      <c r="F14830" s="528"/>
      <c r="G14830" s="231" t="s">
        <v>5193</v>
      </c>
      <c r="H14830" s="602"/>
      <c r="I14830" s="623"/>
      <c r="J14830" s="603"/>
    </row>
    <row r="14831" spans="5:10" ht="15.75" thickBot="1" x14ac:dyDescent="0.3">
      <c r="E14831" s="222"/>
      <c r="F14831" s="642" t="s">
        <v>234</v>
      </c>
      <c r="G14831" s="643" t="s">
        <v>235</v>
      </c>
      <c r="H14831" s="598">
        <f>SUM(H14752:H14811)</f>
        <v>10000000</v>
      </c>
      <c r="I14831" s="599"/>
      <c r="J14831" s="599">
        <f>SUM(H14831:I14831)</f>
        <v>10000000</v>
      </c>
    </row>
    <row r="14832" spans="5:10" hidden="1" x14ac:dyDescent="0.25">
      <c r="F14832" s="642" t="s">
        <v>236</v>
      </c>
      <c r="G14832" s="643" t="s">
        <v>237</v>
      </c>
      <c r="J14832" s="599">
        <f t="shared" ref="J14832:J14846" si="450">SUM(H14832:I14832)</f>
        <v>0</v>
      </c>
    </row>
    <row r="14833" spans="6:10" hidden="1" x14ac:dyDescent="0.25">
      <c r="F14833" s="642" t="s">
        <v>238</v>
      </c>
      <c r="G14833" s="643" t="s">
        <v>239</v>
      </c>
      <c r="J14833" s="599">
        <f t="shared" si="450"/>
        <v>0</v>
      </c>
    </row>
    <row r="14834" spans="6:10" hidden="1" x14ac:dyDescent="0.25">
      <c r="F14834" s="642" t="s">
        <v>240</v>
      </c>
      <c r="G14834" s="643" t="s">
        <v>241</v>
      </c>
      <c r="J14834" s="599">
        <f t="shared" si="450"/>
        <v>0</v>
      </c>
    </row>
    <row r="14835" spans="6:10" hidden="1" x14ac:dyDescent="0.25">
      <c r="F14835" s="642" t="s">
        <v>242</v>
      </c>
      <c r="G14835" s="643" t="s">
        <v>243</v>
      </c>
      <c r="J14835" s="599">
        <f t="shared" si="450"/>
        <v>0</v>
      </c>
    </row>
    <row r="14836" spans="6:10" hidden="1" x14ac:dyDescent="0.25">
      <c r="F14836" s="642" t="s">
        <v>244</v>
      </c>
      <c r="G14836" s="643" t="s">
        <v>245</v>
      </c>
      <c r="J14836" s="599">
        <f t="shared" si="450"/>
        <v>0</v>
      </c>
    </row>
    <row r="14837" spans="6:10" hidden="1" x14ac:dyDescent="0.25">
      <c r="F14837" s="642" t="s">
        <v>246</v>
      </c>
      <c r="G14837" s="643" t="s">
        <v>247</v>
      </c>
      <c r="J14837" s="599">
        <f t="shared" si="450"/>
        <v>0</v>
      </c>
    </row>
    <row r="14838" spans="6:10" hidden="1" x14ac:dyDescent="0.25">
      <c r="F14838" s="642" t="s">
        <v>248</v>
      </c>
      <c r="G14838" s="643" t="s">
        <v>249</v>
      </c>
      <c r="J14838" s="599">
        <f t="shared" si="450"/>
        <v>0</v>
      </c>
    </row>
    <row r="14839" spans="6:10" hidden="1" x14ac:dyDescent="0.25">
      <c r="F14839" s="642" t="s">
        <v>250</v>
      </c>
      <c r="G14839" s="643" t="s">
        <v>57</v>
      </c>
      <c r="J14839" s="599">
        <f t="shared" si="450"/>
        <v>0</v>
      </c>
    </row>
    <row r="14840" spans="6:10" hidden="1" x14ac:dyDescent="0.25">
      <c r="F14840" s="642" t="s">
        <v>251</v>
      </c>
      <c r="G14840" s="643" t="s">
        <v>252</v>
      </c>
      <c r="J14840" s="599">
        <f t="shared" si="450"/>
        <v>0</v>
      </c>
    </row>
    <row r="14841" spans="6:10" hidden="1" x14ac:dyDescent="0.25">
      <c r="F14841" s="642" t="s">
        <v>253</v>
      </c>
      <c r="G14841" s="643" t="s">
        <v>254</v>
      </c>
      <c r="J14841" s="599">
        <f t="shared" si="450"/>
        <v>0</v>
      </c>
    </row>
    <row r="14842" spans="6:10" ht="30" hidden="1" x14ac:dyDescent="0.25">
      <c r="F14842" s="642" t="s">
        <v>255</v>
      </c>
      <c r="G14842" s="643" t="s">
        <v>256</v>
      </c>
      <c r="J14842" s="599">
        <f t="shared" si="450"/>
        <v>0</v>
      </c>
    </row>
    <row r="14843" spans="6:10" hidden="1" x14ac:dyDescent="0.25">
      <c r="F14843" s="642" t="s">
        <v>257</v>
      </c>
      <c r="G14843" s="643" t="s">
        <v>258</v>
      </c>
      <c r="J14843" s="599">
        <f t="shared" si="450"/>
        <v>0</v>
      </c>
    </row>
    <row r="14844" spans="6:10" ht="30" hidden="1" x14ac:dyDescent="0.25">
      <c r="F14844" s="642" t="s">
        <v>259</v>
      </c>
      <c r="G14844" s="643" t="s">
        <v>260</v>
      </c>
      <c r="J14844" s="599">
        <f t="shared" si="450"/>
        <v>0</v>
      </c>
    </row>
    <row r="14845" spans="6:10" hidden="1" x14ac:dyDescent="0.25">
      <c r="F14845" s="642" t="s">
        <v>261</v>
      </c>
      <c r="G14845" s="643" t="s">
        <v>262</v>
      </c>
      <c r="J14845" s="599">
        <f t="shared" si="450"/>
        <v>0</v>
      </c>
    </row>
    <row r="14846" spans="6:10" ht="15.75" hidden="1" thickBot="1" x14ac:dyDescent="0.3">
      <c r="F14846" s="642" t="s">
        <v>263</v>
      </c>
      <c r="G14846" s="643" t="s">
        <v>264</v>
      </c>
      <c r="H14846" s="598"/>
      <c r="I14846" s="599"/>
      <c r="J14846" s="599">
        <f t="shared" si="450"/>
        <v>0</v>
      </c>
    </row>
    <row r="14847" spans="6:10" ht="15.75" thickBot="1" x14ac:dyDescent="0.3">
      <c r="G14847" s="229" t="s">
        <v>5194</v>
      </c>
      <c r="H14847" s="600">
        <f>SUM(H14831:H14846)</f>
        <v>10000000</v>
      </c>
      <c r="I14847" s="601">
        <f>SUM(I14832:I14846)</f>
        <v>0</v>
      </c>
      <c r="J14847" s="601">
        <f>SUM(J14831:J14846)</f>
        <v>10000000</v>
      </c>
    </row>
    <row r="14848" spans="6:10" x14ac:dyDescent="0.25">
      <c r="G14848" s="286"/>
      <c r="H14848" s="604"/>
      <c r="I14848" s="605"/>
      <c r="J14848" s="605"/>
    </row>
    <row r="14849" spans="3:10" x14ac:dyDescent="0.25">
      <c r="C14849" s="228" t="s">
        <v>4535</v>
      </c>
      <c r="D14849" s="219"/>
      <c r="G14849" s="521" t="s">
        <v>5226</v>
      </c>
    </row>
    <row r="14850" spans="3:10" x14ac:dyDescent="0.25">
      <c r="C14850" s="228"/>
      <c r="D14850" s="312">
        <v>520</v>
      </c>
      <c r="E14850" s="312"/>
      <c r="F14850" s="312"/>
      <c r="G14850" s="338" t="s">
        <v>175</v>
      </c>
    </row>
    <row r="14851" spans="3:10" hidden="1" x14ac:dyDescent="0.25">
      <c r="F14851" s="527">
        <v>411</v>
      </c>
      <c r="G14851" s="520" t="s">
        <v>4189</v>
      </c>
      <c r="J14851" s="595">
        <f>SUM(H14851:I14851)</f>
        <v>0</v>
      </c>
    </row>
    <row r="14852" spans="3:10" hidden="1" x14ac:dyDescent="0.25">
      <c r="F14852" s="527">
        <v>412</v>
      </c>
      <c r="G14852" s="516" t="s">
        <v>3784</v>
      </c>
      <c r="J14852" s="595">
        <f t="shared" ref="J14852:J14859" si="451">SUM(H14852:I14852)</f>
        <v>0</v>
      </c>
    </row>
    <row r="14853" spans="3:10" hidden="1" x14ac:dyDescent="0.25">
      <c r="F14853" s="527">
        <v>413</v>
      </c>
      <c r="G14853" s="520" t="s">
        <v>4190</v>
      </c>
      <c r="J14853" s="595">
        <f t="shared" si="451"/>
        <v>0</v>
      </c>
    </row>
    <row r="14854" spans="3:10" hidden="1" x14ac:dyDescent="0.25">
      <c r="F14854" s="527">
        <v>414</v>
      </c>
      <c r="G14854" s="520" t="s">
        <v>3787</v>
      </c>
      <c r="J14854" s="595">
        <f t="shared" si="451"/>
        <v>0</v>
      </c>
    </row>
    <row r="14855" spans="3:10" hidden="1" x14ac:dyDescent="0.25">
      <c r="F14855" s="527">
        <v>415</v>
      </c>
      <c r="G14855" s="520" t="s">
        <v>4199</v>
      </c>
      <c r="J14855" s="595">
        <f t="shared" si="451"/>
        <v>0</v>
      </c>
    </row>
    <row r="14856" spans="3:10" hidden="1" x14ac:dyDescent="0.25">
      <c r="F14856" s="527">
        <v>416</v>
      </c>
      <c r="G14856" s="520" t="s">
        <v>4200</v>
      </c>
      <c r="J14856" s="595">
        <f t="shared" si="451"/>
        <v>0</v>
      </c>
    </row>
    <row r="14857" spans="3:10" hidden="1" x14ac:dyDescent="0.25">
      <c r="F14857" s="527">
        <v>417</v>
      </c>
      <c r="G14857" s="520" t="s">
        <v>4201</v>
      </c>
      <c r="J14857" s="595">
        <f t="shared" si="451"/>
        <v>0</v>
      </c>
    </row>
    <row r="14858" spans="3:10" hidden="1" x14ac:dyDescent="0.25">
      <c r="F14858" s="527">
        <v>418</v>
      </c>
      <c r="G14858" s="520" t="s">
        <v>3793</v>
      </c>
      <c r="J14858" s="595">
        <f t="shared" si="451"/>
        <v>0</v>
      </c>
    </row>
    <row r="14859" spans="3:10" hidden="1" x14ac:dyDescent="0.25">
      <c r="F14859" s="527">
        <v>421</v>
      </c>
      <c r="G14859" s="520" t="s">
        <v>3797</v>
      </c>
      <c r="J14859" s="595">
        <f t="shared" si="451"/>
        <v>0</v>
      </c>
    </row>
    <row r="14860" spans="3:10" hidden="1" x14ac:dyDescent="0.25">
      <c r="F14860" s="527">
        <v>422</v>
      </c>
      <c r="G14860" s="520" t="s">
        <v>3798</v>
      </c>
      <c r="J14860" s="595">
        <f>SUM(H14860:I14860)</f>
        <v>0</v>
      </c>
    </row>
    <row r="14861" spans="3:10" ht="19.5" hidden="1" customHeight="1" x14ac:dyDescent="0.25">
      <c r="F14861" s="527">
        <v>423</v>
      </c>
      <c r="G14861" s="520" t="s">
        <v>3799</v>
      </c>
      <c r="J14861" s="595">
        <f t="shared" ref="J14861:J14910" si="452">SUM(H14861:I14861)</f>
        <v>0</v>
      </c>
    </row>
    <row r="14862" spans="3:10" hidden="1" x14ac:dyDescent="0.25">
      <c r="F14862" s="527">
        <v>424</v>
      </c>
      <c r="G14862" s="520" t="s">
        <v>3801</v>
      </c>
      <c r="J14862" s="595">
        <f t="shared" si="452"/>
        <v>0</v>
      </c>
    </row>
    <row r="14863" spans="3:10" hidden="1" x14ac:dyDescent="0.25">
      <c r="F14863" s="527">
        <v>425</v>
      </c>
      <c r="G14863" s="520" t="s">
        <v>4202</v>
      </c>
      <c r="J14863" s="595">
        <f t="shared" si="452"/>
        <v>0</v>
      </c>
    </row>
    <row r="14864" spans="3:10" hidden="1" x14ac:dyDescent="0.25">
      <c r="F14864" s="527">
        <v>426</v>
      </c>
      <c r="G14864" s="520" t="s">
        <v>3805</v>
      </c>
      <c r="J14864" s="595">
        <f t="shared" si="452"/>
        <v>0</v>
      </c>
    </row>
    <row r="14865" spans="6:10" hidden="1" x14ac:dyDescent="0.25">
      <c r="F14865" s="527">
        <v>431</v>
      </c>
      <c r="G14865" s="520" t="s">
        <v>4203</v>
      </c>
      <c r="J14865" s="595">
        <f t="shared" si="452"/>
        <v>0</v>
      </c>
    </row>
    <row r="14866" spans="6:10" hidden="1" x14ac:dyDescent="0.25">
      <c r="F14866" s="527">
        <v>432</v>
      </c>
      <c r="G14866" s="520" t="s">
        <v>4204</v>
      </c>
      <c r="J14866" s="595">
        <f t="shared" si="452"/>
        <v>0</v>
      </c>
    </row>
    <row r="14867" spans="6:10" hidden="1" x14ac:dyDescent="0.25">
      <c r="F14867" s="527">
        <v>433</v>
      </c>
      <c r="G14867" s="520" t="s">
        <v>4205</v>
      </c>
      <c r="J14867" s="595">
        <f t="shared" si="452"/>
        <v>0</v>
      </c>
    </row>
    <row r="14868" spans="6:10" hidden="1" x14ac:dyDescent="0.25">
      <c r="F14868" s="527">
        <v>434</v>
      </c>
      <c r="G14868" s="520" t="s">
        <v>4206</v>
      </c>
      <c r="J14868" s="595">
        <f t="shared" si="452"/>
        <v>0</v>
      </c>
    </row>
    <row r="14869" spans="6:10" hidden="1" x14ac:dyDescent="0.25">
      <c r="F14869" s="527">
        <v>435</v>
      </c>
      <c r="G14869" s="520" t="s">
        <v>3812</v>
      </c>
      <c r="J14869" s="595">
        <f t="shared" si="452"/>
        <v>0</v>
      </c>
    </row>
    <row r="14870" spans="6:10" hidden="1" x14ac:dyDescent="0.25">
      <c r="F14870" s="527">
        <v>441</v>
      </c>
      <c r="G14870" s="520" t="s">
        <v>4207</v>
      </c>
      <c r="J14870" s="595">
        <f t="shared" si="452"/>
        <v>0</v>
      </c>
    </row>
    <row r="14871" spans="6:10" hidden="1" x14ac:dyDescent="0.25">
      <c r="F14871" s="527">
        <v>442</v>
      </c>
      <c r="G14871" s="520" t="s">
        <v>4208</v>
      </c>
      <c r="J14871" s="595">
        <f t="shared" si="452"/>
        <v>0</v>
      </c>
    </row>
    <row r="14872" spans="6:10" hidden="1" x14ac:dyDescent="0.25">
      <c r="F14872" s="527">
        <v>443</v>
      </c>
      <c r="G14872" s="520" t="s">
        <v>3817</v>
      </c>
      <c r="J14872" s="595">
        <f t="shared" si="452"/>
        <v>0</v>
      </c>
    </row>
    <row r="14873" spans="6:10" hidden="1" x14ac:dyDescent="0.25">
      <c r="F14873" s="527">
        <v>444</v>
      </c>
      <c r="G14873" s="520" t="s">
        <v>3818</v>
      </c>
      <c r="J14873" s="595">
        <f t="shared" si="452"/>
        <v>0</v>
      </c>
    </row>
    <row r="14874" spans="6:10" ht="30" hidden="1" x14ac:dyDescent="0.25">
      <c r="F14874" s="527">
        <v>4511</v>
      </c>
      <c r="G14874" s="223" t="s">
        <v>1692</v>
      </c>
      <c r="J14874" s="595">
        <f t="shared" si="452"/>
        <v>0</v>
      </c>
    </row>
    <row r="14875" spans="6:10" ht="30" hidden="1" x14ac:dyDescent="0.25">
      <c r="F14875" s="527">
        <v>4512</v>
      </c>
      <c r="G14875" s="223" t="s">
        <v>1701</v>
      </c>
      <c r="J14875" s="595">
        <f t="shared" si="452"/>
        <v>0</v>
      </c>
    </row>
    <row r="14876" spans="6:10" hidden="1" x14ac:dyDescent="0.25">
      <c r="F14876" s="527">
        <v>452</v>
      </c>
      <c r="G14876" s="520" t="s">
        <v>4209</v>
      </c>
      <c r="J14876" s="595">
        <f t="shared" si="452"/>
        <v>0</v>
      </c>
    </row>
    <row r="14877" spans="6:10" hidden="1" x14ac:dyDescent="0.25">
      <c r="F14877" s="527">
        <v>453</v>
      </c>
      <c r="G14877" s="520" t="s">
        <v>4210</v>
      </c>
      <c r="J14877" s="595">
        <f t="shared" si="452"/>
        <v>0</v>
      </c>
    </row>
    <row r="14878" spans="6:10" hidden="1" x14ac:dyDescent="0.25">
      <c r="F14878" s="527">
        <v>454</v>
      </c>
      <c r="G14878" s="520" t="s">
        <v>3823</v>
      </c>
      <c r="J14878" s="595">
        <f t="shared" si="452"/>
        <v>0</v>
      </c>
    </row>
    <row r="14879" spans="6:10" hidden="1" x14ac:dyDescent="0.25">
      <c r="F14879" s="527">
        <v>461</v>
      </c>
      <c r="G14879" s="520" t="s">
        <v>4191</v>
      </c>
      <c r="J14879" s="595">
        <f t="shared" si="452"/>
        <v>0</v>
      </c>
    </row>
    <row r="14880" spans="6:10" hidden="1" x14ac:dyDescent="0.25">
      <c r="F14880" s="527">
        <v>462</v>
      </c>
      <c r="G14880" s="520" t="s">
        <v>3826</v>
      </c>
      <c r="J14880" s="595">
        <f t="shared" si="452"/>
        <v>0</v>
      </c>
    </row>
    <row r="14881" spans="5:10" hidden="1" x14ac:dyDescent="0.25">
      <c r="F14881" s="527">
        <v>4631</v>
      </c>
      <c r="G14881" s="520" t="s">
        <v>3827</v>
      </c>
      <c r="J14881" s="595">
        <f t="shared" si="452"/>
        <v>0</v>
      </c>
    </row>
    <row r="14882" spans="5:10" hidden="1" x14ac:dyDescent="0.25">
      <c r="F14882" s="527">
        <v>4632</v>
      </c>
      <c r="G14882" s="520" t="s">
        <v>3828</v>
      </c>
      <c r="J14882" s="595">
        <f t="shared" si="452"/>
        <v>0</v>
      </c>
    </row>
    <row r="14883" spans="5:10" hidden="1" x14ac:dyDescent="0.25">
      <c r="F14883" s="527">
        <v>464</v>
      </c>
      <c r="G14883" s="520" t="s">
        <v>3829</v>
      </c>
      <c r="J14883" s="595">
        <f t="shared" si="452"/>
        <v>0</v>
      </c>
    </row>
    <row r="14884" spans="5:10" hidden="1" x14ac:dyDescent="0.25">
      <c r="F14884" s="527">
        <v>465</v>
      </c>
      <c r="G14884" s="520" t="s">
        <v>4192</v>
      </c>
      <c r="J14884" s="595">
        <f t="shared" si="452"/>
        <v>0</v>
      </c>
    </row>
    <row r="14885" spans="5:10" hidden="1" x14ac:dyDescent="0.25">
      <c r="F14885" s="527">
        <v>472</v>
      </c>
      <c r="G14885" s="520" t="s">
        <v>3833</v>
      </c>
      <c r="J14885" s="595">
        <f t="shared" si="452"/>
        <v>0</v>
      </c>
    </row>
    <row r="14886" spans="5:10" hidden="1" x14ac:dyDescent="0.25">
      <c r="F14886" s="527">
        <v>481</v>
      </c>
      <c r="G14886" s="520" t="s">
        <v>4211</v>
      </c>
      <c r="J14886" s="595">
        <f t="shared" si="452"/>
        <v>0</v>
      </c>
    </row>
    <row r="14887" spans="5:10" hidden="1" x14ac:dyDescent="0.25">
      <c r="F14887" s="527">
        <v>482</v>
      </c>
      <c r="G14887" s="520" t="s">
        <v>4212</v>
      </c>
      <c r="J14887" s="595">
        <f t="shared" si="452"/>
        <v>0</v>
      </c>
    </row>
    <row r="14888" spans="5:10" hidden="1" x14ac:dyDescent="0.25">
      <c r="F14888" s="527">
        <v>483</v>
      </c>
      <c r="G14888" s="524" t="s">
        <v>4213</v>
      </c>
      <c r="J14888" s="595">
        <f t="shared" si="452"/>
        <v>0</v>
      </c>
    </row>
    <row r="14889" spans="5:10" ht="30" hidden="1" x14ac:dyDescent="0.25">
      <c r="F14889" s="527">
        <v>484</v>
      </c>
      <c r="G14889" s="520" t="s">
        <v>4214</v>
      </c>
      <c r="J14889" s="595">
        <f t="shared" si="452"/>
        <v>0</v>
      </c>
    </row>
    <row r="14890" spans="5:10" ht="30" hidden="1" x14ac:dyDescent="0.25">
      <c r="F14890" s="527">
        <v>485</v>
      </c>
      <c r="G14890" s="520" t="s">
        <v>4215</v>
      </c>
      <c r="J14890" s="595">
        <f t="shared" si="452"/>
        <v>0</v>
      </c>
    </row>
    <row r="14891" spans="5:10" ht="30" hidden="1" x14ac:dyDescent="0.25">
      <c r="F14891" s="527">
        <v>489</v>
      </c>
      <c r="G14891" s="520" t="s">
        <v>3841</v>
      </c>
      <c r="J14891" s="595">
        <f t="shared" si="452"/>
        <v>0</v>
      </c>
    </row>
    <row r="14892" spans="5:10" hidden="1" x14ac:dyDescent="0.25">
      <c r="F14892" s="527">
        <v>494</v>
      </c>
      <c r="G14892" s="520" t="s">
        <v>4193</v>
      </c>
      <c r="J14892" s="595">
        <f t="shared" si="452"/>
        <v>0</v>
      </c>
    </row>
    <row r="14893" spans="5:10" ht="30" hidden="1" x14ac:dyDescent="0.25">
      <c r="F14893" s="527">
        <v>495</v>
      </c>
      <c r="G14893" s="520" t="s">
        <v>4194</v>
      </c>
      <c r="J14893" s="595">
        <f t="shared" si="452"/>
        <v>0</v>
      </c>
    </row>
    <row r="14894" spans="5:10" ht="30" hidden="1" x14ac:dyDescent="0.25">
      <c r="F14894" s="527">
        <v>496</v>
      </c>
      <c r="G14894" s="520" t="s">
        <v>4195</v>
      </c>
      <c r="J14894" s="595">
        <f t="shared" si="452"/>
        <v>0</v>
      </c>
    </row>
    <row r="14895" spans="5:10" hidden="1" x14ac:dyDescent="0.25">
      <c r="F14895" s="527">
        <v>499</v>
      </c>
      <c r="G14895" s="520" t="s">
        <v>4196</v>
      </c>
      <c r="J14895" s="595">
        <f t="shared" si="452"/>
        <v>0</v>
      </c>
    </row>
    <row r="14896" spans="5:10" ht="15.75" thickBot="1" x14ac:dyDescent="0.3">
      <c r="E14896" s="218">
        <v>171</v>
      </c>
      <c r="F14896" s="527">
        <v>511</v>
      </c>
      <c r="G14896" s="524" t="s">
        <v>4216</v>
      </c>
      <c r="H14896" s="594">
        <v>10600000</v>
      </c>
      <c r="J14896" s="595">
        <f t="shared" si="452"/>
        <v>10600000</v>
      </c>
    </row>
    <row r="14897" spans="5:10" hidden="1" x14ac:dyDescent="0.25">
      <c r="F14897" s="527">
        <v>512</v>
      </c>
      <c r="G14897" s="524" t="s">
        <v>4217</v>
      </c>
      <c r="J14897" s="595">
        <f t="shared" si="452"/>
        <v>0</v>
      </c>
    </row>
    <row r="14898" spans="5:10" hidden="1" x14ac:dyDescent="0.25">
      <c r="F14898" s="527">
        <v>513</v>
      </c>
      <c r="G14898" s="524" t="s">
        <v>4218</v>
      </c>
      <c r="J14898" s="595">
        <f t="shared" si="452"/>
        <v>0</v>
      </c>
    </row>
    <row r="14899" spans="5:10" hidden="1" x14ac:dyDescent="0.25">
      <c r="F14899" s="527">
        <v>514</v>
      </c>
      <c r="G14899" s="520" t="s">
        <v>4219</v>
      </c>
      <c r="J14899" s="595">
        <f t="shared" si="452"/>
        <v>0</v>
      </c>
    </row>
    <row r="14900" spans="5:10" hidden="1" x14ac:dyDescent="0.25">
      <c r="F14900" s="527">
        <v>515</v>
      </c>
      <c r="G14900" s="520" t="s">
        <v>3852</v>
      </c>
      <c r="J14900" s="595">
        <f t="shared" si="452"/>
        <v>0</v>
      </c>
    </row>
    <row r="14901" spans="5:10" hidden="1" x14ac:dyDescent="0.25">
      <c r="F14901" s="527">
        <v>521</v>
      </c>
      <c r="G14901" s="520" t="s">
        <v>4220</v>
      </c>
      <c r="J14901" s="595">
        <f t="shared" si="452"/>
        <v>0</v>
      </c>
    </row>
    <row r="14902" spans="5:10" hidden="1" x14ac:dyDescent="0.25">
      <c r="F14902" s="527">
        <v>522</v>
      </c>
      <c r="G14902" s="520" t="s">
        <v>4221</v>
      </c>
      <c r="J14902" s="595">
        <f t="shared" si="452"/>
        <v>0</v>
      </c>
    </row>
    <row r="14903" spans="5:10" hidden="1" x14ac:dyDescent="0.25">
      <c r="F14903" s="527">
        <v>523</v>
      </c>
      <c r="G14903" s="520" t="s">
        <v>3857</v>
      </c>
      <c r="J14903" s="595">
        <f t="shared" si="452"/>
        <v>0</v>
      </c>
    </row>
    <row r="14904" spans="5:10" hidden="1" x14ac:dyDescent="0.25">
      <c r="F14904" s="527">
        <v>531</v>
      </c>
      <c r="G14904" s="516" t="s">
        <v>4197</v>
      </c>
      <c r="J14904" s="595">
        <f t="shared" si="452"/>
        <v>0</v>
      </c>
    </row>
    <row r="14905" spans="5:10" hidden="1" x14ac:dyDescent="0.25">
      <c r="F14905" s="527">
        <v>541</v>
      </c>
      <c r="G14905" s="520" t="s">
        <v>4222</v>
      </c>
      <c r="J14905" s="595">
        <f t="shared" si="452"/>
        <v>0</v>
      </c>
    </row>
    <row r="14906" spans="5:10" hidden="1" x14ac:dyDescent="0.25">
      <c r="F14906" s="527">
        <v>542</v>
      </c>
      <c r="G14906" s="520" t="s">
        <v>4223</v>
      </c>
      <c r="J14906" s="595">
        <f t="shared" si="452"/>
        <v>0</v>
      </c>
    </row>
    <row r="14907" spans="5:10" hidden="1" x14ac:dyDescent="0.25">
      <c r="F14907" s="527">
        <v>543</v>
      </c>
      <c r="G14907" s="520" t="s">
        <v>3862</v>
      </c>
      <c r="J14907" s="595">
        <f t="shared" si="452"/>
        <v>0</v>
      </c>
    </row>
    <row r="14908" spans="5:10" ht="30" hidden="1" x14ac:dyDescent="0.25">
      <c r="F14908" s="527">
        <v>551</v>
      </c>
      <c r="G14908" s="520" t="s">
        <v>4198</v>
      </c>
      <c r="J14908" s="595">
        <f t="shared" si="452"/>
        <v>0</v>
      </c>
    </row>
    <row r="14909" spans="5:10" hidden="1" x14ac:dyDescent="0.25">
      <c r="F14909" s="528">
        <v>611</v>
      </c>
      <c r="G14909" s="526" t="s">
        <v>3868</v>
      </c>
      <c r="J14909" s="595">
        <f t="shared" si="452"/>
        <v>0</v>
      </c>
    </row>
    <row r="14910" spans="5:10" ht="15.75" hidden="1" thickBot="1" x14ac:dyDescent="0.3">
      <c r="F14910" s="528">
        <v>620</v>
      </c>
      <c r="G14910" s="526" t="s">
        <v>88</v>
      </c>
      <c r="J14910" s="595">
        <f t="shared" si="452"/>
        <v>0</v>
      </c>
    </row>
    <row r="14911" spans="5:10" x14ac:dyDescent="0.25">
      <c r="E14911" s="517"/>
      <c r="F14911" s="528"/>
      <c r="G14911" s="327" t="s">
        <v>5223</v>
      </c>
      <c r="H14911" s="596"/>
      <c r="I14911" s="622"/>
      <c r="J14911" s="597"/>
    </row>
    <row r="14912" spans="5:10" ht="15.75" thickBot="1" x14ac:dyDescent="0.3">
      <c r="E14912" s="222"/>
      <c r="F14912" s="642" t="s">
        <v>234</v>
      </c>
      <c r="G14912" s="643" t="s">
        <v>235</v>
      </c>
      <c r="H14912" s="598">
        <f>SUM(H14851:H14910)</f>
        <v>10600000</v>
      </c>
      <c r="I14912" s="599"/>
      <c r="J14912" s="599">
        <f t="shared" ref="J14912:J14927" si="453">SUM(H14912:I14912)</f>
        <v>10600000</v>
      </c>
    </row>
    <row r="14913" spans="6:10" hidden="1" x14ac:dyDescent="0.25">
      <c r="F14913" s="642" t="s">
        <v>236</v>
      </c>
      <c r="G14913" s="643" t="s">
        <v>237</v>
      </c>
      <c r="J14913" s="599">
        <f t="shared" si="453"/>
        <v>0</v>
      </c>
    </row>
    <row r="14914" spans="6:10" hidden="1" x14ac:dyDescent="0.25">
      <c r="F14914" s="642" t="s">
        <v>238</v>
      </c>
      <c r="G14914" s="643" t="s">
        <v>239</v>
      </c>
      <c r="J14914" s="599">
        <f t="shared" si="453"/>
        <v>0</v>
      </c>
    </row>
    <row r="14915" spans="6:10" hidden="1" x14ac:dyDescent="0.25">
      <c r="F14915" s="642" t="s">
        <v>240</v>
      </c>
      <c r="G14915" s="643" t="s">
        <v>241</v>
      </c>
      <c r="J14915" s="599">
        <f t="shared" si="453"/>
        <v>0</v>
      </c>
    </row>
    <row r="14916" spans="6:10" hidden="1" x14ac:dyDescent="0.25">
      <c r="F14916" s="642" t="s">
        <v>242</v>
      </c>
      <c r="G14916" s="643" t="s">
        <v>243</v>
      </c>
      <c r="J14916" s="599">
        <f t="shared" si="453"/>
        <v>0</v>
      </c>
    </row>
    <row r="14917" spans="6:10" hidden="1" x14ac:dyDescent="0.25">
      <c r="F14917" s="642" t="s">
        <v>244</v>
      </c>
      <c r="G14917" s="643" t="s">
        <v>245</v>
      </c>
      <c r="J14917" s="599">
        <f t="shared" si="453"/>
        <v>0</v>
      </c>
    </row>
    <row r="14918" spans="6:10" hidden="1" x14ac:dyDescent="0.25">
      <c r="F14918" s="642" t="s">
        <v>246</v>
      </c>
      <c r="G14918" s="643" t="s">
        <v>247</v>
      </c>
      <c r="J14918" s="599">
        <f t="shared" si="453"/>
        <v>0</v>
      </c>
    </row>
    <row r="14919" spans="6:10" hidden="1" x14ac:dyDescent="0.25">
      <c r="F14919" s="642" t="s">
        <v>248</v>
      </c>
      <c r="G14919" s="643" t="s">
        <v>249</v>
      </c>
      <c r="J14919" s="599">
        <f t="shared" si="453"/>
        <v>0</v>
      </c>
    </row>
    <row r="14920" spans="6:10" hidden="1" x14ac:dyDescent="0.25">
      <c r="F14920" s="642" t="s">
        <v>250</v>
      </c>
      <c r="G14920" s="643" t="s">
        <v>57</v>
      </c>
      <c r="J14920" s="599">
        <f t="shared" si="453"/>
        <v>0</v>
      </c>
    </row>
    <row r="14921" spans="6:10" hidden="1" x14ac:dyDescent="0.25">
      <c r="F14921" s="642" t="s">
        <v>251</v>
      </c>
      <c r="G14921" s="643" t="s">
        <v>252</v>
      </c>
      <c r="J14921" s="599">
        <f t="shared" si="453"/>
        <v>0</v>
      </c>
    </row>
    <row r="14922" spans="6:10" hidden="1" x14ac:dyDescent="0.25">
      <c r="F14922" s="642" t="s">
        <v>253</v>
      </c>
      <c r="G14922" s="643" t="s">
        <v>254</v>
      </c>
      <c r="J14922" s="599">
        <f t="shared" si="453"/>
        <v>0</v>
      </c>
    </row>
    <row r="14923" spans="6:10" ht="30" hidden="1" x14ac:dyDescent="0.25">
      <c r="F14923" s="642" t="s">
        <v>255</v>
      </c>
      <c r="G14923" s="643" t="s">
        <v>256</v>
      </c>
      <c r="J14923" s="599">
        <f t="shared" si="453"/>
        <v>0</v>
      </c>
    </row>
    <row r="14924" spans="6:10" hidden="1" x14ac:dyDescent="0.25">
      <c r="F14924" s="642" t="s">
        <v>257</v>
      </c>
      <c r="G14924" s="643" t="s">
        <v>258</v>
      </c>
      <c r="J14924" s="599">
        <f t="shared" si="453"/>
        <v>0</v>
      </c>
    </row>
    <row r="14925" spans="6:10" ht="30" hidden="1" x14ac:dyDescent="0.25">
      <c r="F14925" s="642" t="s">
        <v>259</v>
      </c>
      <c r="G14925" s="643" t="s">
        <v>260</v>
      </c>
      <c r="J14925" s="599">
        <f t="shared" si="453"/>
        <v>0</v>
      </c>
    </row>
    <row r="14926" spans="6:10" hidden="1" x14ac:dyDescent="0.25">
      <c r="F14926" s="642" t="s">
        <v>261</v>
      </c>
      <c r="G14926" s="643" t="s">
        <v>262</v>
      </c>
      <c r="J14926" s="599">
        <f t="shared" si="453"/>
        <v>0</v>
      </c>
    </row>
    <row r="14927" spans="6:10" ht="15.75" hidden="1" thickBot="1" x14ac:dyDescent="0.3">
      <c r="F14927" s="642" t="s">
        <v>263</v>
      </c>
      <c r="G14927" s="643" t="s">
        <v>264</v>
      </c>
      <c r="H14927" s="598"/>
      <c r="I14927" s="599"/>
      <c r="J14927" s="599">
        <f t="shared" si="453"/>
        <v>0</v>
      </c>
    </row>
    <row r="14928" spans="6:10" ht="15.75" thickBot="1" x14ac:dyDescent="0.3">
      <c r="G14928" s="229" t="s">
        <v>5213</v>
      </c>
      <c r="H14928" s="600">
        <f>SUM(H14912:H14927)</f>
        <v>10600000</v>
      </c>
      <c r="I14928" s="601">
        <f>SUM(I14913:I14927)</f>
        <v>0</v>
      </c>
      <c r="J14928" s="601">
        <f>SUM(J14912:J14927)</f>
        <v>10600000</v>
      </c>
    </row>
    <row r="14929" spans="5:10" x14ac:dyDescent="0.25">
      <c r="E14929" s="517"/>
      <c r="F14929" s="528"/>
      <c r="G14929" s="231" t="s">
        <v>5224</v>
      </c>
      <c r="H14929" s="602"/>
      <c r="I14929" s="623"/>
      <c r="J14929" s="603"/>
    </row>
    <row r="14930" spans="5:10" ht="15.75" thickBot="1" x14ac:dyDescent="0.3">
      <c r="E14930" s="222"/>
      <c r="F14930" s="642" t="s">
        <v>234</v>
      </c>
      <c r="G14930" s="643" t="s">
        <v>235</v>
      </c>
      <c r="H14930" s="598">
        <f>SUM(H14851:H14910)</f>
        <v>10600000</v>
      </c>
      <c r="I14930" s="599"/>
      <c r="J14930" s="599">
        <f>SUM(H14930:I14930)</f>
        <v>10600000</v>
      </c>
    </row>
    <row r="14931" spans="5:10" hidden="1" x14ac:dyDescent="0.25">
      <c r="F14931" s="642" t="s">
        <v>236</v>
      </c>
      <c r="G14931" s="643" t="s">
        <v>237</v>
      </c>
      <c r="J14931" s="599">
        <f t="shared" ref="J14931:J14945" si="454">SUM(H14931:I14931)</f>
        <v>0</v>
      </c>
    </row>
    <row r="14932" spans="5:10" hidden="1" x14ac:dyDescent="0.25">
      <c r="F14932" s="642" t="s">
        <v>238</v>
      </c>
      <c r="G14932" s="643" t="s">
        <v>239</v>
      </c>
      <c r="J14932" s="599">
        <f t="shared" si="454"/>
        <v>0</v>
      </c>
    </row>
    <row r="14933" spans="5:10" hidden="1" x14ac:dyDescent="0.25">
      <c r="F14933" s="642" t="s">
        <v>240</v>
      </c>
      <c r="G14933" s="643" t="s">
        <v>241</v>
      </c>
      <c r="J14933" s="599">
        <f t="shared" si="454"/>
        <v>0</v>
      </c>
    </row>
    <row r="14934" spans="5:10" hidden="1" x14ac:dyDescent="0.25">
      <c r="F14934" s="642" t="s">
        <v>242</v>
      </c>
      <c r="G14934" s="643" t="s">
        <v>243</v>
      </c>
      <c r="J14934" s="599">
        <f t="shared" si="454"/>
        <v>0</v>
      </c>
    </row>
    <row r="14935" spans="5:10" hidden="1" x14ac:dyDescent="0.25">
      <c r="F14935" s="642" t="s">
        <v>244</v>
      </c>
      <c r="G14935" s="643" t="s">
        <v>245</v>
      </c>
      <c r="J14935" s="599">
        <f t="shared" si="454"/>
        <v>0</v>
      </c>
    </row>
    <row r="14936" spans="5:10" hidden="1" x14ac:dyDescent="0.25">
      <c r="F14936" s="642" t="s">
        <v>246</v>
      </c>
      <c r="G14936" s="643" t="s">
        <v>247</v>
      </c>
      <c r="J14936" s="599">
        <f t="shared" si="454"/>
        <v>0</v>
      </c>
    </row>
    <row r="14937" spans="5:10" hidden="1" x14ac:dyDescent="0.25">
      <c r="F14937" s="642" t="s">
        <v>248</v>
      </c>
      <c r="G14937" s="643" t="s">
        <v>249</v>
      </c>
      <c r="J14937" s="599">
        <f t="shared" si="454"/>
        <v>0</v>
      </c>
    </row>
    <row r="14938" spans="5:10" hidden="1" x14ac:dyDescent="0.25">
      <c r="F14938" s="642" t="s">
        <v>250</v>
      </c>
      <c r="G14938" s="643" t="s">
        <v>57</v>
      </c>
      <c r="J14938" s="599">
        <f t="shared" si="454"/>
        <v>0</v>
      </c>
    </row>
    <row r="14939" spans="5:10" hidden="1" x14ac:dyDescent="0.25">
      <c r="F14939" s="642" t="s">
        <v>251</v>
      </c>
      <c r="G14939" s="643" t="s">
        <v>252</v>
      </c>
      <c r="J14939" s="599">
        <f t="shared" si="454"/>
        <v>0</v>
      </c>
    </row>
    <row r="14940" spans="5:10" hidden="1" x14ac:dyDescent="0.25">
      <c r="F14940" s="642" t="s">
        <v>253</v>
      </c>
      <c r="G14940" s="643" t="s">
        <v>254</v>
      </c>
      <c r="J14940" s="599">
        <f t="shared" si="454"/>
        <v>0</v>
      </c>
    </row>
    <row r="14941" spans="5:10" ht="30" hidden="1" x14ac:dyDescent="0.25">
      <c r="F14941" s="642" t="s">
        <v>255</v>
      </c>
      <c r="G14941" s="643" t="s">
        <v>256</v>
      </c>
      <c r="J14941" s="599">
        <f t="shared" si="454"/>
        <v>0</v>
      </c>
    </row>
    <row r="14942" spans="5:10" hidden="1" x14ac:dyDescent="0.25">
      <c r="F14942" s="642" t="s">
        <v>257</v>
      </c>
      <c r="G14942" s="643" t="s">
        <v>258</v>
      </c>
      <c r="J14942" s="599">
        <f t="shared" si="454"/>
        <v>0</v>
      </c>
    </row>
    <row r="14943" spans="5:10" ht="30" hidden="1" x14ac:dyDescent="0.25">
      <c r="F14943" s="642" t="s">
        <v>259</v>
      </c>
      <c r="G14943" s="643" t="s">
        <v>260</v>
      </c>
      <c r="J14943" s="599">
        <f t="shared" si="454"/>
        <v>0</v>
      </c>
    </row>
    <row r="14944" spans="5:10" hidden="1" x14ac:dyDescent="0.25">
      <c r="F14944" s="642" t="s">
        <v>261</v>
      </c>
      <c r="G14944" s="643" t="s">
        <v>262</v>
      </c>
      <c r="J14944" s="599">
        <f t="shared" si="454"/>
        <v>0</v>
      </c>
    </row>
    <row r="14945" spans="3:10" ht="15.75" hidden="1" thickBot="1" x14ac:dyDescent="0.3">
      <c r="F14945" s="642" t="s">
        <v>263</v>
      </c>
      <c r="G14945" s="643" t="s">
        <v>264</v>
      </c>
      <c r="H14945" s="598"/>
      <c r="I14945" s="599"/>
      <c r="J14945" s="599">
        <f t="shared" si="454"/>
        <v>0</v>
      </c>
    </row>
    <row r="14946" spans="3:10" ht="15.75" thickBot="1" x14ac:dyDescent="0.3">
      <c r="G14946" s="229" t="s">
        <v>5225</v>
      </c>
      <c r="H14946" s="600">
        <f>SUM(H14930:H14945)</f>
        <v>10600000</v>
      </c>
      <c r="I14946" s="601">
        <f>SUM(I14931:I14945)</f>
        <v>0</v>
      </c>
      <c r="J14946" s="601">
        <f>SUM(J14930:J14945)</f>
        <v>10600000</v>
      </c>
    </row>
    <row r="14947" spans="3:10" x14ac:dyDescent="0.25">
      <c r="G14947" s="286"/>
      <c r="H14947" s="604"/>
      <c r="I14947" s="605"/>
      <c r="J14947" s="605"/>
    </row>
    <row r="14948" spans="3:10" ht="28.5" x14ac:dyDescent="0.25">
      <c r="C14948" s="228" t="s">
        <v>4536</v>
      </c>
      <c r="D14948" s="219"/>
      <c r="G14948" s="521" t="s">
        <v>5227</v>
      </c>
    </row>
    <row r="14949" spans="3:10" x14ac:dyDescent="0.25">
      <c r="C14949" s="228"/>
      <c r="D14949" s="312">
        <v>520</v>
      </c>
      <c r="E14949" s="312"/>
      <c r="F14949" s="312"/>
      <c r="G14949" s="338" t="s">
        <v>175</v>
      </c>
    </row>
    <row r="14950" spans="3:10" hidden="1" x14ac:dyDescent="0.25">
      <c r="F14950" s="527">
        <v>411</v>
      </c>
      <c r="G14950" s="520" t="s">
        <v>4189</v>
      </c>
      <c r="J14950" s="595">
        <f>SUM(H14950:I14950)</f>
        <v>0</v>
      </c>
    </row>
    <row r="14951" spans="3:10" hidden="1" x14ac:dyDescent="0.25">
      <c r="F14951" s="527">
        <v>412</v>
      </c>
      <c r="G14951" s="516" t="s">
        <v>3784</v>
      </c>
      <c r="J14951" s="595">
        <f t="shared" ref="J14951:J14958" si="455">SUM(H14951:I14951)</f>
        <v>0</v>
      </c>
    </row>
    <row r="14952" spans="3:10" hidden="1" x14ac:dyDescent="0.25">
      <c r="F14952" s="527">
        <v>413</v>
      </c>
      <c r="G14952" s="520" t="s">
        <v>4190</v>
      </c>
      <c r="J14952" s="595">
        <f t="shared" si="455"/>
        <v>0</v>
      </c>
    </row>
    <row r="14953" spans="3:10" hidden="1" x14ac:dyDescent="0.25">
      <c r="F14953" s="527">
        <v>414</v>
      </c>
      <c r="G14953" s="520" t="s">
        <v>3787</v>
      </c>
      <c r="J14953" s="595">
        <f t="shared" si="455"/>
        <v>0</v>
      </c>
    </row>
    <row r="14954" spans="3:10" hidden="1" x14ac:dyDescent="0.25">
      <c r="F14954" s="527">
        <v>415</v>
      </c>
      <c r="G14954" s="520" t="s">
        <v>4199</v>
      </c>
      <c r="J14954" s="595">
        <f t="shared" si="455"/>
        <v>0</v>
      </c>
    </row>
    <row r="14955" spans="3:10" hidden="1" x14ac:dyDescent="0.25">
      <c r="F14955" s="527">
        <v>416</v>
      </c>
      <c r="G14955" s="520" t="s">
        <v>4200</v>
      </c>
      <c r="J14955" s="595">
        <f t="shared" si="455"/>
        <v>0</v>
      </c>
    </row>
    <row r="14956" spans="3:10" hidden="1" x14ac:dyDescent="0.25">
      <c r="F14956" s="527">
        <v>417</v>
      </c>
      <c r="G14956" s="520" t="s">
        <v>4201</v>
      </c>
      <c r="J14956" s="595">
        <f t="shared" si="455"/>
        <v>0</v>
      </c>
    </row>
    <row r="14957" spans="3:10" hidden="1" x14ac:dyDescent="0.25">
      <c r="F14957" s="527">
        <v>418</v>
      </c>
      <c r="G14957" s="520" t="s">
        <v>3793</v>
      </c>
      <c r="J14957" s="595">
        <f t="shared" si="455"/>
        <v>0</v>
      </c>
    </row>
    <row r="14958" spans="3:10" hidden="1" x14ac:dyDescent="0.25">
      <c r="F14958" s="527">
        <v>421</v>
      </c>
      <c r="G14958" s="520" t="s">
        <v>3797</v>
      </c>
      <c r="J14958" s="595">
        <f t="shared" si="455"/>
        <v>0</v>
      </c>
    </row>
    <row r="14959" spans="3:10" hidden="1" x14ac:dyDescent="0.25">
      <c r="F14959" s="527">
        <v>422</v>
      </c>
      <c r="G14959" s="520" t="s">
        <v>3798</v>
      </c>
      <c r="J14959" s="595">
        <f>SUM(H14959:I14959)</f>
        <v>0</v>
      </c>
    </row>
    <row r="14960" spans="3:10" hidden="1" x14ac:dyDescent="0.25">
      <c r="F14960" s="527">
        <v>423</v>
      </c>
      <c r="G14960" s="520" t="s">
        <v>3799</v>
      </c>
      <c r="J14960" s="595">
        <f t="shared" ref="J14960:J15009" si="456">SUM(H14960:I14960)</f>
        <v>0</v>
      </c>
    </row>
    <row r="14961" spans="6:10" hidden="1" x14ac:dyDescent="0.25">
      <c r="F14961" s="527">
        <v>424</v>
      </c>
      <c r="G14961" s="520" t="s">
        <v>3801</v>
      </c>
      <c r="J14961" s="595">
        <f t="shared" si="456"/>
        <v>0</v>
      </c>
    </row>
    <row r="14962" spans="6:10" hidden="1" x14ac:dyDescent="0.25">
      <c r="F14962" s="527">
        <v>425</v>
      </c>
      <c r="G14962" s="520" t="s">
        <v>4202</v>
      </c>
      <c r="J14962" s="595">
        <f t="shared" si="456"/>
        <v>0</v>
      </c>
    </row>
    <row r="14963" spans="6:10" hidden="1" x14ac:dyDescent="0.25">
      <c r="F14963" s="527">
        <v>426</v>
      </c>
      <c r="G14963" s="520" t="s">
        <v>3805</v>
      </c>
      <c r="J14963" s="595">
        <f t="shared" si="456"/>
        <v>0</v>
      </c>
    </row>
    <row r="14964" spans="6:10" hidden="1" x14ac:dyDescent="0.25">
      <c r="F14964" s="527">
        <v>431</v>
      </c>
      <c r="G14964" s="520" t="s">
        <v>4203</v>
      </c>
      <c r="J14964" s="595">
        <f t="shared" si="456"/>
        <v>0</v>
      </c>
    </row>
    <row r="14965" spans="6:10" hidden="1" x14ac:dyDescent="0.25">
      <c r="F14965" s="527">
        <v>432</v>
      </c>
      <c r="G14965" s="520" t="s">
        <v>4204</v>
      </c>
      <c r="J14965" s="595">
        <f t="shared" si="456"/>
        <v>0</v>
      </c>
    </row>
    <row r="14966" spans="6:10" hidden="1" x14ac:dyDescent="0.25">
      <c r="F14966" s="527">
        <v>433</v>
      </c>
      <c r="G14966" s="520" t="s">
        <v>4205</v>
      </c>
      <c r="J14966" s="595">
        <f t="shared" si="456"/>
        <v>0</v>
      </c>
    </row>
    <row r="14967" spans="6:10" hidden="1" x14ac:dyDescent="0.25">
      <c r="F14967" s="527">
        <v>434</v>
      </c>
      <c r="G14967" s="520" t="s">
        <v>4206</v>
      </c>
      <c r="J14967" s="595">
        <f t="shared" si="456"/>
        <v>0</v>
      </c>
    </row>
    <row r="14968" spans="6:10" hidden="1" x14ac:dyDescent="0.25">
      <c r="F14968" s="527">
        <v>435</v>
      </c>
      <c r="G14968" s="520" t="s">
        <v>3812</v>
      </c>
      <c r="J14968" s="595">
        <f t="shared" si="456"/>
        <v>0</v>
      </c>
    </row>
    <row r="14969" spans="6:10" hidden="1" x14ac:dyDescent="0.25">
      <c r="F14969" s="527">
        <v>441</v>
      </c>
      <c r="G14969" s="520" t="s">
        <v>4207</v>
      </c>
      <c r="J14969" s="595">
        <f t="shared" si="456"/>
        <v>0</v>
      </c>
    </row>
    <row r="14970" spans="6:10" hidden="1" x14ac:dyDescent="0.25">
      <c r="F14970" s="527">
        <v>442</v>
      </c>
      <c r="G14970" s="520" t="s">
        <v>4208</v>
      </c>
      <c r="J14970" s="595">
        <f t="shared" si="456"/>
        <v>0</v>
      </c>
    </row>
    <row r="14971" spans="6:10" hidden="1" x14ac:dyDescent="0.25">
      <c r="F14971" s="527">
        <v>443</v>
      </c>
      <c r="G14971" s="520" t="s">
        <v>3817</v>
      </c>
      <c r="J14971" s="595">
        <f t="shared" si="456"/>
        <v>0</v>
      </c>
    </row>
    <row r="14972" spans="6:10" hidden="1" x14ac:dyDescent="0.25">
      <c r="F14972" s="527">
        <v>444</v>
      </c>
      <c r="G14972" s="520" t="s">
        <v>3818</v>
      </c>
      <c r="J14972" s="595">
        <f t="shared" si="456"/>
        <v>0</v>
      </c>
    </row>
    <row r="14973" spans="6:10" ht="30" hidden="1" x14ac:dyDescent="0.25">
      <c r="F14973" s="527">
        <v>4511</v>
      </c>
      <c r="G14973" s="223" t="s">
        <v>1692</v>
      </c>
      <c r="J14973" s="595">
        <f t="shared" si="456"/>
        <v>0</v>
      </c>
    </row>
    <row r="14974" spans="6:10" ht="30" hidden="1" x14ac:dyDescent="0.25">
      <c r="F14974" s="527">
        <v>4512</v>
      </c>
      <c r="G14974" s="223" t="s">
        <v>1701</v>
      </c>
      <c r="J14974" s="595">
        <f t="shared" si="456"/>
        <v>0</v>
      </c>
    </row>
    <row r="14975" spans="6:10" hidden="1" x14ac:dyDescent="0.25">
      <c r="F14975" s="527">
        <v>452</v>
      </c>
      <c r="G14975" s="520" t="s">
        <v>4209</v>
      </c>
      <c r="J14975" s="595">
        <f t="shared" si="456"/>
        <v>0</v>
      </c>
    </row>
    <row r="14976" spans="6:10" hidden="1" x14ac:dyDescent="0.25">
      <c r="F14976" s="527">
        <v>453</v>
      </c>
      <c r="G14976" s="520" t="s">
        <v>4210</v>
      </c>
      <c r="J14976" s="595">
        <f t="shared" si="456"/>
        <v>0</v>
      </c>
    </row>
    <row r="14977" spans="6:10" hidden="1" x14ac:dyDescent="0.25">
      <c r="F14977" s="527">
        <v>454</v>
      </c>
      <c r="G14977" s="520" t="s">
        <v>3823</v>
      </c>
      <c r="J14977" s="595">
        <f t="shared" si="456"/>
        <v>0</v>
      </c>
    </row>
    <row r="14978" spans="6:10" hidden="1" x14ac:dyDescent="0.25">
      <c r="F14978" s="527">
        <v>461</v>
      </c>
      <c r="G14978" s="520" t="s">
        <v>4191</v>
      </c>
      <c r="J14978" s="595">
        <f t="shared" si="456"/>
        <v>0</v>
      </c>
    </row>
    <row r="14979" spans="6:10" hidden="1" x14ac:dyDescent="0.25">
      <c r="F14979" s="527">
        <v>462</v>
      </c>
      <c r="G14979" s="520" t="s">
        <v>3826</v>
      </c>
      <c r="J14979" s="595">
        <f t="shared" si="456"/>
        <v>0</v>
      </c>
    </row>
    <row r="14980" spans="6:10" hidden="1" x14ac:dyDescent="0.25">
      <c r="F14980" s="527">
        <v>4631</v>
      </c>
      <c r="G14980" s="520" t="s">
        <v>3827</v>
      </c>
      <c r="J14980" s="595">
        <f t="shared" si="456"/>
        <v>0</v>
      </c>
    </row>
    <row r="14981" spans="6:10" hidden="1" x14ac:dyDescent="0.25">
      <c r="F14981" s="527">
        <v>4632</v>
      </c>
      <c r="G14981" s="520" t="s">
        <v>3828</v>
      </c>
      <c r="J14981" s="595">
        <f t="shared" si="456"/>
        <v>0</v>
      </c>
    </row>
    <row r="14982" spans="6:10" hidden="1" x14ac:dyDescent="0.25">
      <c r="F14982" s="527">
        <v>464</v>
      </c>
      <c r="G14982" s="520" t="s">
        <v>3829</v>
      </c>
      <c r="J14982" s="595">
        <f t="shared" si="456"/>
        <v>0</v>
      </c>
    </row>
    <row r="14983" spans="6:10" hidden="1" x14ac:dyDescent="0.25">
      <c r="F14983" s="527">
        <v>465</v>
      </c>
      <c r="G14983" s="520" t="s">
        <v>4192</v>
      </c>
      <c r="J14983" s="595">
        <f t="shared" si="456"/>
        <v>0</v>
      </c>
    </row>
    <row r="14984" spans="6:10" hidden="1" x14ac:dyDescent="0.25">
      <c r="F14984" s="527">
        <v>472</v>
      </c>
      <c r="G14984" s="520" t="s">
        <v>3833</v>
      </c>
      <c r="J14984" s="595">
        <f t="shared" si="456"/>
        <v>0</v>
      </c>
    </row>
    <row r="14985" spans="6:10" hidden="1" x14ac:dyDescent="0.25">
      <c r="F14985" s="527">
        <v>481</v>
      </c>
      <c r="G14985" s="520" t="s">
        <v>4211</v>
      </c>
      <c r="J14985" s="595">
        <f t="shared" si="456"/>
        <v>0</v>
      </c>
    </row>
    <row r="14986" spans="6:10" hidden="1" x14ac:dyDescent="0.25">
      <c r="F14986" s="527">
        <v>482</v>
      </c>
      <c r="G14986" s="520" t="s">
        <v>4212</v>
      </c>
      <c r="J14986" s="595">
        <f t="shared" si="456"/>
        <v>0</v>
      </c>
    </row>
    <row r="14987" spans="6:10" hidden="1" x14ac:dyDescent="0.25">
      <c r="F14987" s="527">
        <v>483</v>
      </c>
      <c r="G14987" s="524" t="s">
        <v>4213</v>
      </c>
      <c r="J14987" s="595">
        <f t="shared" si="456"/>
        <v>0</v>
      </c>
    </row>
    <row r="14988" spans="6:10" ht="30" hidden="1" x14ac:dyDescent="0.25">
      <c r="F14988" s="527">
        <v>484</v>
      </c>
      <c r="G14988" s="520" t="s">
        <v>4214</v>
      </c>
      <c r="J14988" s="595">
        <f t="shared" si="456"/>
        <v>0</v>
      </c>
    </row>
    <row r="14989" spans="6:10" ht="30" hidden="1" x14ac:dyDescent="0.25">
      <c r="F14989" s="527">
        <v>485</v>
      </c>
      <c r="G14989" s="520" t="s">
        <v>4215</v>
      </c>
      <c r="J14989" s="595">
        <f t="shared" si="456"/>
        <v>0</v>
      </c>
    </row>
    <row r="14990" spans="6:10" ht="30" hidden="1" x14ac:dyDescent="0.25">
      <c r="F14990" s="527">
        <v>489</v>
      </c>
      <c r="G14990" s="520" t="s">
        <v>3841</v>
      </c>
      <c r="J14990" s="595">
        <f t="shared" si="456"/>
        <v>0</v>
      </c>
    </row>
    <row r="14991" spans="6:10" hidden="1" x14ac:dyDescent="0.25">
      <c r="F14991" s="527">
        <v>494</v>
      </c>
      <c r="G14991" s="520" t="s">
        <v>4193</v>
      </c>
      <c r="J14991" s="595">
        <f t="shared" si="456"/>
        <v>0</v>
      </c>
    </row>
    <row r="14992" spans="6:10" ht="30" hidden="1" x14ac:dyDescent="0.25">
      <c r="F14992" s="527">
        <v>495</v>
      </c>
      <c r="G14992" s="520" t="s">
        <v>4194</v>
      </c>
      <c r="J14992" s="595">
        <f t="shared" si="456"/>
        <v>0</v>
      </c>
    </row>
    <row r="14993" spans="5:10" ht="30" hidden="1" x14ac:dyDescent="0.25">
      <c r="F14993" s="527">
        <v>496</v>
      </c>
      <c r="G14993" s="520" t="s">
        <v>4195</v>
      </c>
      <c r="J14993" s="595">
        <f t="shared" si="456"/>
        <v>0</v>
      </c>
    </row>
    <row r="14994" spans="5:10" hidden="1" x14ac:dyDescent="0.25">
      <c r="F14994" s="527">
        <v>499</v>
      </c>
      <c r="G14994" s="520" t="s">
        <v>4196</v>
      </c>
      <c r="J14994" s="595">
        <f t="shared" si="456"/>
        <v>0</v>
      </c>
    </row>
    <row r="14995" spans="5:10" ht="15.75" thickBot="1" x14ac:dyDescent="0.3">
      <c r="E14995" s="218">
        <v>172</v>
      </c>
      <c r="F14995" s="527">
        <v>511</v>
      </c>
      <c r="G14995" s="524" t="s">
        <v>4216</v>
      </c>
      <c r="H14995" s="594">
        <v>7500000</v>
      </c>
      <c r="J14995" s="595">
        <f t="shared" si="456"/>
        <v>7500000</v>
      </c>
    </row>
    <row r="14996" spans="5:10" hidden="1" x14ac:dyDescent="0.25">
      <c r="F14996" s="527">
        <v>512</v>
      </c>
      <c r="G14996" s="524" t="s">
        <v>4217</v>
      </c>
      <c r="J14996" s="595">
        <f t="shared" si="456"/>
        <v>0</v>
      </c>
    </row>
    <row r="14997" spans="5:10" hidden="1" x14ac:dyDescent="0.25">
      <c r="F14997" s="527">
        <v>513</v>
      </c>
      <c r="G14997" s="524" t="s">
        <v>4218</v>
      </c>
      <c r="J14997" s="595">
        <f t="shared" si="456"/>
        <v>0</v>
      </c>
    </row>
    <row r="14998" spans="5:10" hidden="1" x14ac:dyDescent="0.25">
      <c r="F14998" s="527">
        <v>514</v>
      </c>
      <c r="G14998" s="520" t="s">
        <v>4219</v>
      </c>
      <c r="J14998" s="595">
        <f t="shared" si="456"/>
        <v>0</v>
      </c>
    </row>
    <row r="14999" spans="5:10" hidden="1" x14ac:dyDescent="0.25">
      <c r="F14999" s="527">
        <v>515</v>
      </c>
      <c r="G14999" s="520" t="s">
        <v>3852</v>
      </c>
      <c r="J14999" s="595">
        <f t="shared" si="456"/>
        <v>0</v>
      </c>
    </row>
    <row r="15000" spans="5:10" hidden="1" x14ac:dyDescent="0.25">
      <c r="F15000" s="527">
        <v>521</v>
      </c>
      <c r="G15000" s="520" t="s">
        <v>4220</v>
      </c>
      <c r="J15000" s="595">
        <f t="shared" si="456"/>
        <v>0</v>
      </c>
    </row>
    <row r="15001" spans="5:10" hidden="1" x14ac:dyDescent="0.25">
      <c r="F15001" s="527">
        <v>522</v>
      </c>
      <c r="G15001" s="520" t="s">
        <v>4221</v>
      </c>
      <c r="J15001" s="595">
        <f t="shared" si="456"/>
        <v>0</v>
      </c>
    </row>
    <row r="15002" spans="5:10" hidden="1" x14ac:dyDescent="0.25">
      <c r="F15002" s="527">
        <v>523</v>
      </c>
      <c r="G15002" s="520" t="s">
        <v>3857</v>
      </c>
      <c r="J15002" s="595">
        <f t="shared" si="456"/>
        <v>0</v>
      </c>
    </row>
    <row r="15003" spans="5:10" hidden="1" x14ac:dyDescent="0.25">
      <c r="F15003" s="527">
        <v>531</v>
      </c>
      <c r="G15003" s="516" t="s">
        <v>4197</v>
      </c>
      <c r="J15003" s="595">
        <f t="shared" si="456"/>
        <v>0</v>
      </c>
    </row>
    <row r="15004" spans="5:10" hidden="1" x14ac:dyDescent="0.25">
      <c r="F15004" s="527">
        <v>541</v>
      </c>
      <c r="G15004" s="520" t="s">
        <v>4222</v>
      </c>
      <c r="J15004" s="595">
        <f t="shared" si="456"/>
        <v>0</v>
      </c>
    </row>
    <row r="15005" spans="5:10" hidden="1" x14ac:dyDescent="0.25">
      <c r="F15005" s="527">
        <v>542</v>
      </c>
      <c r="G15005" s="520" t="s">
        <v>4223</v>
      </c>
      <c r="J15005" s="595">
        <f t="shared" si="456"/>
        <v>0</v>
      </c>
    </row>
    <row r="15006" spans="5:10" hidden="1" x14ac:dyDescent="0.25">
      <c r="F15006" s="527">
        <v>543</v>
      </c>
      <c r="G15006" s="520" t="s">
        <v>3862</v>
      </c>
      <c r="J15006" s="595">
        <f t="shared" si="456"/>
        <v>0</v>
      </c>
    </row>
    <row r="15007" spans="5:10" ht="30" hidden="1" x14ac:dyDescent="0.25">
      <c r="F15007" s="527">
        <v>551</v>
      </c>
      <c r="G15007" s="520" t="s">
        <v>4198</v>
      </c>
      <c r="J15007" s="595">
        <f t="shared" si="456"/>
        <v>0</v>
      </c>
    </row>
    <row r="15008" spans="5:10" hidden="1" x14ac:dyDescent="0.25">
      <c r="F15008" s="528">
        <v>611</v>
      </c>
      <c r="G15008" s="526" t="s">
        <v>3868</v>
      </c>
      <c r="J15008" s="595">
        <f t="shared" si="456"/>
        <v>0</v>
      </c>
    </row>
    <row r="15009" spans="5:10" ht="15.75" hidden="1" thickBot="1" x14ac:dyDescent="0.3">
      <c r="F15009" s="528">
        <v>620</v>
      </c>
      <c r="G15009" s="526" t="s">
        <v>88</v>
      </c>
      <c r="J15009" s="595">
        <f t="shared" si="456"/>
        <v>0</v>
      </c>
    </row>
    <row r="15010" spans="5:10" x14ac:dyDescent="0.25">
      <c r="E15010" s="517"/>
      <c r="F15010" s="528"/>
      <c r="G15010" s="327" t="s">
        <v>5223</v>
      </c>
      <c r="H15010" s="596"/>
      <c r="I15010" s="622"/>
      <c r="J15010" s="597"/>
    </row>
    <row r="15011" spans="5:10" ht="15.75" thickBot="1" x14ac:dyDescent="0.3">
      <c r="E15011" s="222"/>
      <c r="F15011" s="642" t="s">
        <v>234</v>
      </c>
      <c r="G15011" s="643" t="s">
        <v>235</v>
      </c>
      <c r="H15011" s="598">
        <f>SUM(H14950:H15009)</f>
        <v>7500000</v>
      </c>
      <c r="I15011" s="599"/>
      <c r="J15011" s="599">
        <f t="shared" ref="J15011:J15026" si="457">SUM(H15011:I15011)</f>
        <v>7500000</v>
      </c>
    </row>
    <row r="15012" spans="5:10" hidden="1" x14ac:dyDescent="0.25">
      <c r="F15012" s="642" t="s">
        <v>236</v>
      </c>
      <c r="G15012" s="643" t="s">
        <v>237</v>
      </c>
      <c r="J15012" s="599">
        <f t="shared" si="457"/>
        <v>0</v>
      </c>
    </row>
    <row r="15013" spans="5:10" hidden="1" x14ac:dyDescent="0.25">
      <c r="F15013" s="642" t="s">
        <v>238</v>
      </c>
      <c r="G15013" s="643" t="s">
        <v>239</v>
      </c>
      <c r="J15013" s="599">
        <f t="shared" si="457"/>
        <v>0</v>
      </c>
    </row>
    <row r="15014" spans="5:10" hidden="1" x14ac:dyDescent="0.25">
      <c r="F15014" s="642" t="s">
        <v>240</v>
      </c>
      <c r="G15014" s="643" t="s">
        <v>241</v>
      </c>
      <c r="J15014" s="599">
        <f t="shared" si="457"/>
        <v>0</v>
      </c>
    </row>
    <row r="15015" spans="5:10" hidden="1" x14ac:dyDescent="0.25">
      <c r="F15015" s="642" t="s">
        <v>242</v>
      </c>
      <c r="G15015" s="643" t="s">
        <v>243</v>
      </c>
      <c r="J15015" s="599">
        <f t="shared" si="457"/>
        <v>0</v>
      </c>
    </row>
    <row r="15016" spans="5:10" hidden="1" x14ac:dyDescent="0.25">
      <c r="F15016" s="642" t="s">
        <v>244</v>
      </c>
      <c r="G15016" s="643" t="s">
        <v>245</v>
      </c>
      <c r="J15016" s="599">
        <f t="shared" si="457"/>
        <v>0</v>
      </c>
    </row>
    <row r="15017" spans="5:10" hidden="1" x14ac:dyDescent="0.25">
      <c r="F15017" s="642" t="s">
        <v>246</v>
      </c>
      <c r="G15017" s="643" t="s">
        <v>247</v>
      </c>
      <c r="J15017" s="599">
        <f t="shared" si="457"/>
        <v>0</v>
      </c>
    </row>
    <row r="15018" spans="5:10" hidden="1" x14ac:dyDescent="0.25">
      <c r="F15018" s="642" t="s">
        <v>248</v>
      </c>
      <c r="G15018" s="643" t="s">
        <v>249</v>
      </c>
      <c r="J15018" s="599">
        <f t="shared" si="457"/>
        <v>0</v>
      </c>
    </row>
    <row r="15019" spans="5:10" hidden="1" x14ac:dyDescent="0.25">
      <c r="F15019" s="642" t="s">
        <v>250</v>
      </c>
      <c r="G15019" s="643" t="s">
        <v>57</v>
      </c>
      <c r="J15019" s="599">
        <f t="shared" si="457"/>
        <v>0</v>
      </c>
    </row>
    <row r="15020" spans="5:10" hidden="1" x14ac:dyDescent="0.25">
      <c r="F15020" s="642" t="s">
        <v>251</v>
      </c>
      <c r="G15020" s="643" t="s">
        <v>252</v>
      </c>
      <c r="J15020" s="599">
        <f t="shared" si="457"/>
        <v>0</v>
      </c>
    </row>
    <row r="15021" spans="5:10" hidden="1" x14ac:dyDescent="0.25">
      <c r="F15021" s="642" t="s">
        <v>253</v>
      </c>
      <c r="G15021" s="643" t="s">
        <v>254</v>
      </c>
      <c r="J15021" s="599">
        <f t="shared" si="457"/>
        <v>0</v>
      </c>
    </row>
    <row r="15022" spans="5:10" ht="30" hidden="1" x14ac:dyDescent="0.25">
      <c r="F15022" s="642" t="s">
        <v>255</v>
      </c>
      <c r="G15022" s="643" t="s">
        <v>256</v>
      </c>
      <c r="J15022" s="599">
        <f t="shared" si="457"/>
        <v>0</v>
      </c>
    </row>
    <row r="15023" spans="5:10" hidden="1" x14ac:dyDescent="0.25">
      <c r="F15023" s="642" t="s">
        <v>257</v>
      </c>
      <c r="G15023" s="643" t="s">
        <v>258</v>
      </c>
      <c r="J15023" s="599">
        <f t="shared" si="457"/>
        <v>0</v>
      </c>
    </row>
    <row r="15024" spans="5:10" ht="30" hidden="1" x14ac:dyDescent="0.25">
      <c r="F15024" s="642" t="s">
        <v>259</v>
      </c>
      <c r="G15024" s="643" t="s">
        <v>260</v>
      </c>
      <c r="J15024" s="599">
        <f t="shared" si="457"/>
        <v>0</v>
      </c>
    </row>
    <row r="15025" spans="5:10" hidden="1" x14ac:dyDescent="0.25">
      <c r="F15025" s="642" t="s">
        <v>261</v>
      </c>
      <c r="G15025" s="643" t="s">
        <v>262</v>
      </c>
      <c r="J15025" s="599">
        <f t="shared" si="457"/>
        <v>0</v>
      </c>
    </row>
    <row r="15026" spans="5:10" ht="15.75" hidden="1" thickBot="1" x14ac:dyDescent="0.3">
      <c r="F15026" s="642" t="s">
        <v>263</v>
      </c>
      <c r="G15026" s="643" t="s">
        <v>264</v>
      </c>
      <c r="H15026" s="598"/>
      <c r="I15026" s="599"/>
      <c r="J15026" s="599">
        <f t="shared" si="457"/>
        <v>0</v>
      </c>
    </row>
    <row r="15027" spans="5:10" ht="15.75" thickBot="1" x14ac:dyDescent="0.3">
      <c r="G15027" s="229" t="s">
        <v>5213</v>
      </c>
      <c r="H15027" s="600">
        <f>SUM(H15011:H15026)</f>
        <v>7500000</v>
      </c>
      <c r="I15027" s="601">
        <f>SUM(I15012:I15026)</f>
        <v>0</v>
      </c>
      <c r="J15027" s="601">
        <f>SUM(J15011:J15026)</f>
        <v>7500000</v>
      </c>
    </row>
    <row r="15028" spans="5:10" x14ac:dyDescent="0.25">
      <c r="E15028" s="517"/>
      <c r="F15028" s="528"/>
      <c r="G15028" s="231" t="s">
        <v>5228</v>
      </c>
      <c r="H15028" s="602"/>
      <c r="I15028" s="623"/>
      <c r="J15028" s="603"/>
    </row>
    <row r="15029" spans="5:10" ht="15.75" thickBot="1" x14ac:dyDescent="0.3">
      <c r="E15029" s="222"/>
      <c r="F15029" s="642" t="s">
        <v>234</v>
      </c>
      <c r="G15029" s="643" t="s">
        <v>235</v>
      </c>
      <c r="H15029" s="598">
        <f>SUM(H14950:H15009)</f>
        <v>7500000</v>
      </c>
      <c r="I15029" s="599"/>
      <c r="J15029" s="599">
        <f>SUM(H15029:I15029)</f>
        <v>7500000</v>
      </c>
    </row>
    <row r="15030" spans="5:10" hidden="1" x14ac:dyDescent="0.25">
      <c r="F15030" s="642" t="s">
        <v>236</v>
      </c>
      <c r="G15030" s="643" t="s">
        <v>237</v>
      </c>
      <c r="J15030" s="599">
        <f t="shared" ref="J15030:J15044" si="458">SUM(H15030:I15030)</f>
        <v>0</v>
      </c>
    </row>
    <row r="15031" spans="5:10" hidden="1" x14ac:dyDescent="0.25">
      <c r="F15031" s="642" t="s">
        <v>238</v>
      </c>
      <c r="G15031" s="643" t="s">
        <v>239</v>
      </c>
      <c r="J15031" s="599">
        <f t="shared" si="458"/>
        <v>0</v>
      </c>
    </row>
    <row r="15032" spans="5:10" hidden="1" x14ac:dyDescent="0.25">
      <c r="F15032" s="642" t="s">
        <v>240</v>
      </c>
      <c r="G15032" s="643" t="s">
        <v>241</v>
      </c>
      <c r="J15032" s="599">
        <f t="shared" si="458"/>
        <v>0</v>
      </c>
    </row>
    <row r="15033" spans="5:10" hidden="1" x14ac:dyDescent="0.25">
      <c r="F15033" s="642" t="s">
        <v>242</v>
      </c>
      <c r="G15033" s="643" t="s">
        <v>243</v>
      </c>
      <c r="J15033" s="599">
        <f t="shared" si="458"/>
        <v>0</v>
      </c>
    </row>
    <row r="15034" spans="5:10" hidden="1" x14ac:dyDescent="0.25">
      <c r="F15034" s="642" t="s">
        <v>244</v>
      </c>
      <c r="G15034" s="643" t="s">
        <v>245</v>
      </c>
      <c r="J15034" s="599">
        <f t="shared" si="458"/>
        <v>0</v>
      </c>
    </row>
    <row r="15035" spans="5:10" hidden="1" x14ac:dyDescent="0.25">
      <c r="F15035" s="642" t="s">
        <v>246</v>
      </c>
      <c r="G15035" s="643" t="s">
        <v>247</v>
      </c>
      <c r="J15035" s="599">
        <f t="shared" si="458"/>
        <v>0</v>
      </c>
    </row>
    <row r="15036" spans="5:10" hidden="1" x14ac:dyDescent="0.25">
      <c r="F15036" s="642" t="s">
        <v>248</v>
      </c>
      <c r="G15036" s="643" t="s">
        <v>249</v>
      </c>
      <c r="J15036" s="599">
        <f t="shared" si="458"/>
        <v>0</v>
      </c>
    </row>
    <row r="15037" spans="5:10" hidden="1" x14ac:dyDescent="0.25">
      <c r="F15037" s="642" t="s">
        <v>250</v>
      </c>
      <c r="G15037" s="643" t="s">
        <v>57</v>
      </c>
      <c r="J15037" s="599">
        <f t="shared" si="458"/>
        <v>0</v>
      </c>
    </row>
    <row r="15038" spans="5:10" hidden="1" x14ac:dyDescent="0.25">
      <c r="F15038" s="642" t="s">
        <v>251</v>
      </c>
      <c r="G15038" s="643" t="s">
        <v>252</v>
      </c>
      <c r="J15038" s="599">
        <f t="shared" si="458"/>
        <v>0</v>
      </c>
    </row>
    <row r="15039" spans="5:10" hidden="1" x14ac:dyDescent="0.25">
      <c r="F15039" s="642" t="s">
        <v>253</v>
      </c>
      <c r="G15039" s="643" t="s">
        <v>254</v>
      </c>
      <c r="J15039" s="599">
        <f t="shared" si="458"/>
        <v>0</v>
      </c>
    </row>
    <row r="15040" spans="5:10" ht="30" hidden="1" x14ac:dyDescent="0.25">
      <c r="F15040" s="642" t="s">
        <v>255</v>
      </c>
      <c r="G15040" s="643" t="s">
        <v>256</v>
      </c>
      <c r="J15040" s="599">
        <f t="shared" si="458"/>
        <v>0</v>
      </c>
    </row>
    <row r="15041" spans="3:10" hidden="1" x14ac:dyDescent="0.25">
      <c r="F15041" s="642" t="s">
        <v>257</v>
      </c>
      <c r="G15041" s="643" t="s">
        <v>258</v>
      </c>
      <c r="J15041" s="599">
        <f t="shared" si="458"/>
        <v>0</v>
      </c>
    </row>
    <row r="15042" spans="3:10" ht="30" hidden="1" x14ac:dyDescent="0.25">
      <c r="F15042" s="642" t="s">
        <v>259</v>
      </c>
      <c r="G15042" s="643" t="s">
        <v>260</v>
      </c>
      <c r="J15042" s="599">
        <f t="shared" si="458"/>
        <v>0</v>
      </c>
    </row>
    <row r="15043" spans="3:10" hidden="1" x14ac:dyDescent="0.25">
      <c r="F15043" s="642" t="s">
        <v>261</v>
      </c>
      <c r="G15043" s="643" t="s">
        <v>262</v>
      </c>
      <c r="J15043" s="599">
        <f t="shared" si="458"/>
        <v>0</v>
      </c>
    </row>
    <row r="15044" spans="3:10" ht="15.75" hidden="1" thickBot="1" x14ac:dyDescent="0.3">
      <c r="F15044" s="642" t="s">
        <v>263</v>
      </c>
      <c r="G15044" s="643" t="s">
        <v>264</v>
      </c>
      <c r="H15044" s="598"/>
      <c r="I15044" s="599"/>
      <c r="J15044" s="599">
        <f t="shared" si="458"/>
        <v>0</v>
      </c>
    </row>
    <row r="15045" spans="3:10" ht="15.75" thickBot="1" x14ac:dyDescent="0.3">
      <c r="G15045" s="229" t="s">
        <v>5229</v>
      </c>
      <c r="H15045" s="600">
        <f>SUM(H15029:H15044)</f>
        <v>7500000</v>
      </c>
      <c r="I15045" s="601">
        <f>SUM(I15030:I15044)</f>
        <v>0</v>
      </c>
      <c r="J15045" s="601">
        <f>SUM(J15029:J15044)</f>
        <v>7500000</v>
      </c>
    </row>
    <row r="15046" spans="3:10" x14ac:dyDescent="0.25">
      <c r="G15046" s="286"/>
      <c r="H15046" s="604"/>
      <c r="I15046" s="605"/>
      <c r="J15046" s="605"/>
    </row>
    <row r="15047" spans="3:10" x14ac:dyDescent="0.25">
      <c r="C15047" s="228" t="s">
        <v>4537</v>
      </c>
      <c r="D15047" s="219"/>
      <c r="G15047" s="521" t="s">
        <v>5230</v>
      </c>
    </row>
    <row r="15048" spans="3:10" x14ac:dyDescent="0.25">
      <c r="C15048" s="228"/>
      <c r="D15048" s="312">
        <v>630</v>
      </c>
      <c r="E15048" s="312"/>
      <c r="F15048" s="312"/>
      <c r="G15048" s="338" t="s">
        <v>183</v>
      </c>
    </row>
    <row r="15049" spans="3:10" hidden="1" x14ac:dyDescent="0.25">
      <c r="F15049" s="527">
        <v>411</v>
      </c>
      <c r="G15049" s="520" t="s">
        <v>4189</v>
      </c>
      <c r="J15049" s="595">
        <f>SUM(H15049:I15049)</f>
        <v>0</v>
      </c>
    </row>
    <row r="15050" spans="3:10" hidden="1" x14ac:dyDescent="0.25">
      <c r="F15050" s="527">
        <v>412</v>
      </c>
      <c r="G15050" s="516" t="s">
        <v>3784</v>
      </c>
      <c r="J15050" s="595">
        <f t="shared" ref="J15050:J15057" si="459">SUM(H15050:I15050)</f>
        <v>0</v>
      </c>
    </row>
    <row r="15051" spans="3:10" hidden="1" x14ac:dyDescent="0.25">
      <c r="F15051" s="527">
        <v>413</v>
      </c>
      <c r="G15051" s="520" t="s">
        <v>4190</v>
      </c>
      <c r="J15051" s="595">
        <f t="shared" si="459"/>
        <v>0</v>
      </c>
    </row>
    <row r="15052" spans="3:10" hidden="1" x14ac:dyDescent="0.25">
      <c r="F15052" s="527">
        <v>414</v>
      </c>
      <c r="G15052" s="520" t="s">
        <v>3787</v>
      </c>
      <c r="J15052" s="595">
        <f t="shared" si="459"/>
        <v>0</v>
      </c>
    </row>
    <row r="15053" spans="3:10" hidden="1" x14ac:dyDescent="0.25">
      <c r="F15053" s="527">
        <v>415</v>
      </c>
      <c r="G15053" s="520" t="s">
        <v>4199</v>
      </c>
      <c r="J15053" s="595">
        <f t="shared" si="459"/>
        <v>0</v>
      </c>
    </row>
    <row r="15054" spans="3:10" hidden="1" x14ac:dyDescent="0.25">
      <c r="F15054" s="527">
        <v>416</v>
      </c>
      <c r="G15054" s="520" t="s">
        <v>4200</v>
      </c>
      <c r="J15054" s="595">
        <f t="shared" si="459"/>
        <v>0</v>
      </c>
    </row>
    <row r="15055" spans="3:10" hidden="1" x14ac:dyDescent="0.25">
      <c r="F15055" s="527">
        <v>417</v>
      </c>
      <c r="G15055" s="520" t="s">
        <v>4201</v>
      </c>
      <c r="J15055" s="595">
        <f t="shared" si="459"/>
        <v>0</v>
      </c>
    </row>
    <row r="15056" spans="3:10" hidden="1" x14ac:dyDescent="0.25">
      <c r="F15056" s="527">
        <v>418</v>
      </c>
      <c r="G15056" s="520" t="s">
        <v>3793</v>
      </c>
      <c r="J15056" s="595">
        <f t="shared" si="459"/>
        <v>0</v>
      </c>
    </row>
    <row r="15057" spans="6:10" hidden="1" x14ac:dyDescent="0.25">
      <c r="F15057" s="527">
        <v>421</v>
      </c>
      <c r="G15057" s="520" t="s">
        <v>3797</v>
      </c>
      <c r="J15057" s="595">
        <f t="shared" si="459"/>
        <v>0</v>
      </c>
    </row>
    <row r="15058" spans="6:10" hidden="1" x14ac:dyDescent="0.25">
      <c r="F15058" s="527">
        <v>422</v>
      </c>
      <c r="G15058" s="520" t="s">
        <v>3798</v>
      </c>
      <c r="J15058" s="595">
        <f>SUM(H15058:I15058)</f>
        <v>0</v>
      </c>
    </row>
    <row r="15059" spans="6:10" hidden="1" x14ac:dyDescent="0.25">
      <c r="F15059" s="527">
        <v>423</v>
      </c>
      <c r="G15059" s="520" t="s">
        <v>3799</v>
      </c>
      <c r="J15059" s="595">
        <f t="shared" ref="J15059:J15108" si="460">SUM(H15059:I15059)</f>
        <v>0</v>
      </c>
    </row>
    <row r="15060" spans="6:10" hidden="1" x14ac:dyDescent="0.25">
      <c r="F15060" s="527">
        <v>424</v>
      </c>
      <c r="G15060" s="520" t="s">
        <v>3801</v>
      </c>
      <c r="J15060" s="595">
        <f t="shared" si="460"/>
        <v>0</v>
      </c>
    </row>
    <row r="15061" spans="6:10" hidden="1" x14ac:dyDescent="0.25">
      <c r="F15061" s="527">
        <v>425</v>
      </c>
      <c r="G15061" s="520" t="s">
        <v>4202</v>
      </c>
      <c r="J15061" s="595">
        <f t="shared" si="460"/>
        <v>0</v>
      </c>
    </row>
    <row r="15062" spans="6:10" hidden="1" x14ac:dyDescent="0.25">
      <c r="F15062" s="527">
        <v>426</v>
      </c>
      <c r="G15062" s="520" t="s">
        <v>3805</v>
      </c>
      <c r="J15062" s="595">
        <f t="shared" si="460"/>
        <v>0</v>
      </c>
    </row>
    <row r="15063" spans="6:10" hidden="1" x14ac:dyDescent="0.25">
      <c r="F15063" s="527">
        <v>431</v>
      </c>
      <c r="G15063" s="520" t="s">
        <v>4203</v>
      </c>
      <c r="J15063" s="595">
        <f t="shared" si="460"/>
        <v>0</v>
      </c>
    </row>
    <row r="15064" spans="6:10" hidden="1" x14ac:dyDescent="0.25">
      <c r="F15064" s="527">
        <v>432</v>
      </c>
      <c r="G15064" s="520" t="s">
        <v>4204</v>
      </c>
      <c r="J15064" s="595">
        <f t="shared" si="460"/>
        <v>0</v>
      </c>
    </row>
    <row r="15065" spans="6:10" hidden="1" x14ac:dyDescent="0.25">
      <c r="F15065" s="527">
        <v>433</v>
      </c>
      <c r="G15065" s="520" t="s">
        <v>4205</v>
      </c>
      <c r="J15065" s="595">
        <f t="shared" si="460"/>
        <v>0</v>
      </c>
    </row>
    <row r="15066" spans="6:10" hidden="1" x14ac:dyDescent="0.25">
      <c r="F15066" s="527">
        <v>434</v>
      </c>
      <c r="G15066" s="520" t="s">
        <v>4206</v>
      </c>
      <c r="J15066" s="595">
        <f t="shared" si="460"/>
        <v>0</v>
      </c>
    </row>
    <row r="15067" spans="6:10" hidden="1" x14ac:dyDescent="0.25">
      <c r="F15067" s="527">
        <v>435</v>
      </c>
      <c r="G15067" s="520" t="s">
        <v>3812</v>
      </c>
      <c r="J15067" s="595">
        <f t="shared" si="460"/>
        <v>0</v>
      </c>
    </row>
    <row r="15068" spans="6:10" hidden="1" x14ac:dyDescent="0.25">
      <c r="F15068" s="527">
        <v>441</v>
      </c>
      <c r="G15068" s="520" t="s">
        <v>4207</v>
      </c>
      <c r="J15068" s="595">
        <f t="shared" si="460"/>
        <v>0</v>
      </c>
    </row>
    <row r="15069" spans="6:10" hidden="1" x14ac:dyDescent="0.25">
      <c r="F15069" s="527">
        <v>442</v>
      </c>
      <c r="G15069" s="520" t="s">
        <v>4208</v>
      </c>
      <c r="J15069" s="595">
        <f t="shared" si="460"/>
        <v>0</v>
      </c>
    </row>
    <row r="15070" spans="6:10" hidden="1" x14ac:dyDescent="0.25">
      <c r="F15070" s="527">
        <v>443</v>
      </c>
      <c r="G15070" s="520" t="s">
        <v>3817</v>
      </c>
      <c r="J15070" s="595">
        <f t="shared" si="460"/>
        <v>0</v>
      </c>
    </row>
    <row r="15071" spans="6:10" hidden="1" x14ac:dyDescent="0.25">
      <c r="F15071" s="527">
        <v>444</v>
      </c>
      <c r="G15071" s="520" t="s">
        <v>3818</v>
      </c>
      <c r="J15071" s="595">
        <f t="shared" si="460"/>
        <v>0</v>
      </c>
    </row>
    <row r="15072" spans="6:10" ht="30" hidden="1" x14ac:dyDescent="0.25">
      <c r="F15072" s="527">
        <v>4511</v>
      </c>
      <c r="G15072" s="223" t="s">
        <v>1692</v>
      </c>
      <c r="J15072" s="595">
        <f t="shared" si="460"/>
        <v>0</v>
      </c>
    </row>
    <row r="15073" spans="6:10" ht="30" hidden="1" x14ac:dyDescent="0.25">
      <c r="F15073" s="527">
        <v>4512</v>
      </c>
      <c r="G15073" s="223" t="s">
        <v>1701</v>
      </c>
      <c r="J15073" s="595">
        <f t="shared" si="460"/>
        <v>0</v>
      </c>
    </row>
    <row r="15074" spans="6:10" hidden="1" x14ac:dyDescent="0.25">
      <c r="F15074" s="527">
        <v>452</v>
      </c>
      <c r="G15074" s="520" t="s">
        <v>4209</v>
      </c>
      <c r="J15074" s="595">
        <f t="shared" si="460"/>
        <v>0</v>
      </c>
    </row>
    <row r="15075" spans="6:10" hidden="1" x14ac:dyDescent="0.25">
      <c r="F15075" s="527">
        <v>453</v>
      </c>
      <c r="G15075" s="520" t="s">
        <v>4210</v>
      </c>
      <c r="J15075" s="595">
        <f t="shared" si="460"/>
        <v>0</v>
      </c>
    </row>
    <row r="15076" spans="6:10" hidden="1" x14ac:dyDescent="0.25">
      <c r="F15076" s="527">
        <v>454</v>
      </c>
      <c r="G15076" s="520" t="s">
        <v>3823</v>
      </c>
      <c r="J15076" s="595">
        <f t="shared" si="460"/>
        <v>0</v>
      </c>
    </row>
    <row r="15077" spans="6:10" hidden="1" x14ac:dyDescent="0.25">
      <c r="F15077" s="527">
        <v>461</v>
      </c>
      <c r="G15077" s="520" t="s">
        <v>4191</v>
      </c>
      <c r="J15077" s="595">
        <f t="shared" si="460"/>
        <v>0</v>
      </c>
    </row>
    <row r="15078" spans="6:10" hidden="1" x14ac:dyDescent="0.25">
      <c r="F15078" s="527">
        <v>462</v>
      </c>
      <c r="G15078" s="520" t="s">
        <v>3826</v>
      </c>
      <c r="J15078" s="595">
        <f t="shared" si="460"/>
        <v>0</v>
      </c>
    </row>
    <row r="15079" spans="6:10" hidden="1" x14ac:dyDescent="0.25">
      <c r="F15079" s="527">
        <v>4631</v>
      </c>
      <c r="G15079" s="520" t="s">
        <v>3827</v>
      </c>
      <c r="J15079" s="595">
        <f t="shared" si="460"/>
        <v>0</v>
      </c>
    </row>
    <row r="15080" spans="6:10" hidden="1" x14ac:dyDescent="0.25">
      <c r="F15080" s="527">
        <v>4632</v>
      </c>
      <c r="G15080" s="520" t="s">
        <v>3828</v>
      </c>
      <c r="J15080" s="595">
        <f t="shared" si="460"/>
        <v>0</v>
      </c>
    </row>
    <row r="15081" spans="6:10" hidden="1" x14ac:dyDescent="0.25">
      <c r="F15081" s="527">
        <v>464</v>
      </c>
      <c r="G15081" s="520" t="s">
        <v>3829</v>
      </c>
      <c r="J15081" s="595">
        <f t="shared" si="460"/>
        <v>0</v>
      </c>
    </row>
    <row r="15082" spans="6:10" hidden="1" x14ac:dyDescent="0.25">
      <c r="F15082" s="527">
        <v>465</v>
      </c>
      <c r="G15082" s="520" t="s">
        <v>4192</v>
      </c>
      <c r="J15082" s="595">
        <f t="shared" si="460"/>
        <v>0</v>
      </c>
    </row>
    <row r="15083" spans="6:10" hidden="1" x14ac:dyDescent="0.25">
      <c r="F15083" s="527">
        <v>472</v>
      </c>
      <c r="G15083" s="520" t="s">
        <v>3833</v>
      </c>
      <c r="J15083" s="595">
        <f t="shared" si="460"/>
        <v>0</v>
      </c>
    </row>
    <row r="15084" spans="6:10" hidden="1" x14ac:dyDescent="0.25">
      <c r="F15084" s="527">
        <v>481</v>
      </c>
      <c r="G15084" s="520" t="s">
        <v>4211</v>
      </c>
      <c r="J15084" s="595">
        <f t="shared" si="460"/>
        <v>0</v>
      </c>
    </row>
    <row r="15085" spans="6:10" hidden="1" x14ac:dyDescent="0.25">
      <c r="F15085" s="527">
        <v>482</v>
      </c>
      <c r="G15085" s="520" t="s">
        <v>4212</v>
      </c>
      <c r="J15085" s="595">
        <f t="shared" si="460"/>
        <v>0</v>
      </c>
    </row>
    <row r="15086" spans="6:10" hidden="1" x14ac:dyDescent="0.25">
      <c r="F15086" s="527">
        <v>483</v>
      </c>
      <c r="G15086" s="524" t="s">
        <v>4213</v>
      </c>
      <c r="J15086" s="595">
        <f t="shared" si="460"/>
        <v>0</v>
      </c>
    </row>
    <row r="15087" spans="6:10" ht="30" hidden="1" x14ac:dyDescent="0.25">
      <c r="F15087" s="527">
        <v>484</v>
      </c>
      <c r="G15087" s="520" t="s">
        <v>4214</v>
      </c>
      <c r="J15087" s="595">
        <f t="shared" si="460"/>
        <v>0</v>
      </c>
    </row>
    <row r="15088" spans="6:10" ht="30" hidden="1" x14ac:dyDescent="0.25">
      <c r="F15088" s="527">
        <v>485</v>
      </c>
      <c r="G15088" s="520" t="s">
        <v>4215</v>
      </c>
      <c r="J15088" s="595">
        <f t="shared" si="460"/>
        <v>0</v>
      </c>
    </row>
    <row r="15089" spans="5:10" ht="30" hidden="1" x14ac:dyDescent="0.25">
      <c r="F15089" s="527">
        <v>489</v>
      </c>
      <c r="G15089" s="520" t="s">
        <v>3841</v>
      </c>
      <c r="J15089" s="595">
        <f t="shared" si="460"/>
        <v>0</v>
      </c>
    </row>
    <row r="15090" spans="5:10" hidden="1" x14ac:dyDescent="0.25">
      <c r="F15090" s="527">
        <v>494</v>
      </c>
      <c r="G15090" s="520" t="s">
        <v>4193</v>
      </c>
      <c r="J15090" s="595">
        <f t="shared" si="460"/>
        <v>0</v>
      </c>
    </row>
    <row r="15091" spans="5:10" ht="30" hidden="1" x14ac:dyDescent="0.25">
      <c r="F15091" s="527">
        <v>495</v>
      </c>
      <c r="G15091" s="520" t="s">
        <v>4194</v>
      </c>
      <c r="J15091" s="595">
        <f t="shared" si="460"/>
        <v>0</v>
      </c>
    </row>
    <row r="15092" spans="5:10" ht="30" hidden="1" x14ac:dyDescent="0.25">
      <c r="F15092" s="527">
        <v>496</v>
      </c>
      <c r="G15092" s="520" t="s">
        <v>4195</v>
      </c>
      <c r="J15092" s="595">
        <f t="shared" si="460"/>
        <v>0</v>
      </c>
    </row>
    <row r="15093" spans="5:10" hidden="1" x14ac:dyDescent="0.25">
      <c r="F15093" s="527">
        <v>499</v>
      </c>
      <c r="G15093" s="520" t="s">
        <v>4196</v>
      </c>
      <c r="J15093" s="595">
        <f t="shared" si="460"/>
        <v>0</v>
      </c>
    </row>
    <row r="15094" spans="5:10" ht="15.75" thickBot="1" x14ac:dyDescent="0.3">
      <c r="E15094" s="218">
        <v>173</v>
      </c>
      <c r="F15094" s="527">
        <v>511</v>
      </c>
      <c r="G15094" s="524" t="s">
        <v>4216</v>
      </c>
      <c r="H15094" s="594">
        <v>9200000</v>
      </c>
      <c r="J15094" s="595">
        <f t="shared" si="460"/>
        <v>9200000</v>
      </c>
    </row>
    <row r="15095" spans="5:10" hidden="1" x14ac:dyDescent="0.25">
      <c r="F15095" s="527">
        <v>512</v>
      </c>
      <c r="G15095" s="524" t="s">
        <v>4217</v>
      </c>
      <c r="J15095" s="595">
        <f t="shared" si="460"/>
        <v>0</v>
      </c>
    </row>
    <row r="15096" spans="5:10" hidden="1" x14ac:dyDescent="0.25">
      <c r="F15096" s="527">
        <v>513</v>
      </c>
      <c r="G15096" s="524" t="s">
        <v>4218</v>
      </c>
      <c r="J15096" s="595">
        <f t="shared" si="460"/>
        <v>0</v>
      </c>
    </row>
    <row r="15097" spans="5:10" hidden="1" x14ac:dyDescent="0.25">
      <c r="F15097" s="527">
        <v>514</v>
      </c>
      <c r="G15097" s="520" t="s">
        <v>4219</v>
      </c>
      <c r="J15097" s="595">
        <f t="shared" si="460"/>
        <v>0</v>
      </c>
    </row>
    <row r="15098" spans="5:10" hidden="1" x14ac:dyDescent="0.25">
      <c r="F15098" s="527">
        <v>515</v>
      </c>
      <c r="G15098" s="520" t="s">
        <v>3852</v>
      </c>
      <c r="J15098" s="595">
        <f t="shared" si="460"/>
        <v>0</v>
      </c>
    </row>
    <row r="15099" spans="5:10" hidden="1" x14ac:dyDescent="0.25">
      <c r="F15099" s="527">
        <v>521</v>
      </c>
      <c r="G15099" s="520" t="s">
        <v>4220</v>
      </c>
      <c r="J15099" s="595">
        <f t="shared" si="460"/>
        <v>0</v>
      </c>
    </row>
    <row r="15100" spans="5:10" hidden="1" x14ac:dyDescent="0.25">
      <c r="F15100" s="527">
        <v>522</v>
      </c>
      <c r="G15100" s="520" t="s">
        <v>4221</v>
      </c>
      <c r="J15100" s="595">
        <f t="shared" si="460"/>
        <v>0</v>
      </c>
    </row>
    <row r="15101" spans="5:10" hidden="1" x14ac:dyDescent="0.25">
      <c r="F15101" s="527">
        <v>523</v>
      </c>
      <c r="G15101" s="520" t="s">
        <v>3857</v>
      </c>
      <c r="J15101" s="595">
        <f t="shared" si="460"/>
        <v>0</v>
      </c>
    </row>
    <row r="15102" spans="5:10" hidden="1" x14ac:dyDescent="0.25">
      <c r="F15102" s="527">
        <v>531</v>
      </c>
      <c r="G15102" s="516" t="s">
        <v>4197</v>
      </c>
      <c r="J15102" s="595">
        <f t="shared" si="460"/>
        <v>0</v>
      </c>
    </row>
    <row r="15103" spans="5:10" hidden="1" x14ac:dyDescent="0.25">
      <c r="F15103" s="527">
        <v>541</v>
      </c>
      <c r="G15103" s="520" t="s">
        <v>4222</v>
      </c>
      <c r="J15103" s="595">
        <f t="shared" si="460"/>
        <v>0</v>
      </c>
    </row>
    <row r="15104" spans="5:10" hidden="1" x14ac:dyDescent="0.25">
      <c r="F15104" s="527">
        <v>542</v>
      </c>
      <c r="G15104" s="520" t="s">
        <v>4223</v>
      </c>
      <c r="J15104" s="595">
        <f t="shared" si="460"/>
        <v>0</v>
      </c>
    </row>
    <row r="15105" spans="5:10" hidden="1" x14ac:dyDescent="0.25">
      <c r="F15105" s="527">
        <v>543</v>
      </c>
      <c r="G15105" s="520" t="s">
        <v>3862</v>
      </c>
      <c r="J15105" s="595">
        <f t="shared" si="460"/>
        <v>0</v>
      </c>
    </row>
    <row r="15106" spans="5:10" ht="30" hidden="1" x14ac:dyDescent="0.25">
      <c r="F15106" s="527">
        <v>551</v>
      </c>
      <c r="G15106" s="520" t="s">
        <v>4198</v>
      </c>
      <c r="J15106" s="595">
        <f t="shared" si="460"/>
        <v>0</v>
      </c>
    </row>
    <row r="15107" spans="5:10" hidden="1" x14ac:dyDescent="0.25">
      <c r="F15107" s="528">
        <v>611</v>
      </c>
      <c r="G15107" s="526" t="s">
        <v>3868</v>
      </c>
      <c r="J15107" s="595">
        <f t="shared" si="460"/>
        <v>0</v>
      </c>
    </row>
    <row r="15108" spans="5:10" ht="15.75" hidden="1" thickBot="1" x14ac:dyDescent="0.3">
      <c r="F15108" s="528">
        <v>620</v>
      </c>
      <c r="G15108" s="526" t="s">
        <v>88</v>
      </c>
      <c r="J15108" s="595">
        <f t="shared" si="460"/>
        <v>0</v>
      </c>
    </row>
    <row r="15109" spans="5:10" x14ac:dyDescent="0.25">
      <c r="E15109" s="517"/>
      <c r="F15109" s="528"/>
      <c r="G15109" s="327" t="s">
        <v>5222</v>
      </c>
      <c r="H15109" s="596"/>
      <c r="I15109" s="622"/>
      <c r="J15109" s="597"/>
    </row>
    <row r="15110" spans="5:10" ht="15.75" thickBot="1" x14ac:dyDescent="0.3">
      <c r="E15110" s="222"/>
      <c r="F15110" s="642" t="s">
        <v>234</v>
      </c>
      <c r="G15110" s="643" t="s">
        <v>235</v>
      </c>
      <c r="H15110" s="598">
        <f>SUM(H15049:H15108)</f>
        <v>9200000</v>
      </c>
      <c r="I15110" s="599"/>
      <c r="J15110" s="599">
        <f t="shared" ref="J15110:J15125" si="461">SUM(H15110:I15110)</f>
        <v>9200000</v>
      </c>
    </row>
    <row r="15111" spans="5:10" hidden="1" x14ac:dyDescent="0.25">
      <c r="F15111" s="642" t="s">
        <v>236</v>
      </c>
      <c r="G15111" s="643" t="s">
        <v>237</v>
      </c>
      <c r="J15111" s="599">
        <f t="shared" si="461"/>
        <v>0</v>
      </c>
    </row>
    <row r="15112" spans="5:10" hidden="1" x14ac:dyDescent="0.25">
      <c r="F15112" s="642" t="s">
        <v>238</v>
      </c>
      <c r="G15112" s="643" t="s">
        <v>239</v>
      </c>
      <c r="J15112" s="599">
        <f t="shared" si="461"/>
        <v>0</v>
      </c>
    </row>
    <row r="15113" spans="5:10" hidden="1" x14ac:dyDescent="0.25">
      <c r="F15113" s="642" t="s">
        <v>240</v>
      </c>
      <c r="G15113" s="643" t="s">
        <v>241</v>
      </c>
      <c r="J15113" s="599">
        <f t="shared" si="461"/>
        <v>0</v>
      </c>
    </row>
    <row r="15114" spans="5:10" hidden="1" x14ac:dyDescent="0.25">
      <c r="F15114" s="642" t="s">
        <v>242</v>
      </c>
      <c r="G15114" s="643" t="s">
        <v>243</v>
      </c>
      <c r="J15114" s="599">
        <f t="shared" si="461"/>
        <v>0</v>
      </c>
    </row>
    <row r="15115" spans="5:10" hidden="1" x14ac:dyDescent="0.25">
      <c r="F15115" s="642" t="s">
        <v>244</v>
      </c>
      <c r="G15115" s="643" t="s">
        <v>245</v>
      </c>
      <c r="J15115" s="599">
        <f t="shared" si="461"/>
        <v>0</v>
      </c>
    </row>
    <row r="15116" spans="5:10" hidden="1" x14ac:dyDescent="0.25">
      <c r="F15116" s="642" t="s">
        <v>246</v>
      </c>
      <c r="G15116" s="643" t="s">
        <v>247</v>
      </c>
      <c r="J15116" s="599">
        <f t="shared" si="461"/>
        <v>0</v>
      </c>
    </row>
    <row r="15117" spans="5:10" hidden="1" x14ac:dyDescent="0.25">
      <c r="F15117" s="642" t="s">
        <v>248</v>
      </c>
      <c r="G15117" s="643" t="s">
        <v>249</v>
      </c>
      <c r="J15117" s="599">
        <f t="shared" si="461"/>
        <v>0</v>
      </c>
    </row>
    <row r="15118" spans="5:10" hidden="1" x14ac:dyDescent="0.25">
      <c r="F15118" s="642" t="s">
        <v>250</v>
      </c>
      <c r="G15118" s="643" t="s">
        <v>57</v>
      </c>
      <c r="J15118" s="599">
        <f t="shared" si="461"/>
        <v>0</v>
      </c>
    </row>
    <row r="15119" spans="5:10" hidden="1" x14ac:dyDescent="0.25">
      <c r="F15119" s="642" t="s">
        <v>251</v>
      </c>
      <c r="G15119" s="643" t="s">
        <v>252</v>
      </c>
      <c r="J15119" s="599">
        <f t="shared" si="461"/>
        <v>0</v>
      </c>
    </row>
    <row r="15120" spans="5:10" hidden="1" x14ac:dyDescent="0.25">
      <c r="F15120" s="642" t="s">
        <v>253</v>
      </c>
      <c r="G15120" s="643" t="s">
        <v>254</v>
      </c>
      <c r="J15120" s="599">
        <f t="shared" si="461"/>
        <v>0</v>
      </c>
    </row>
    <row r="15121" spans="5:10" ht="30" hidden="1" x14ac:dyDescent="0.25">
      <c r="F15121" s="642" t="s">
        <v>255</v>
      </c>
      <c r="G15121" s="643" t="s">
        <v>256</v>
      </c>
      <c r="J15121" s="599">
        <f t="shared" si="461"/>
        <v>0</v>
      </c>
    </row>
    <row r="15122" spans="5:10" hidden="1" x14ac:dyDescent="0.25">
      <c r="F15122" s="642" t="s">
        <v>257</v>
      </c>
      <c r="G15122" s="643" t="s">
        <v>258</v>
      </c>
      <c r="J15122" s="599">
        <f t="shared" si="461"/>
        <v>0</v>
      </c>
    </row>
    <row r="15123" spans="5:10" ht="30" hidden="1" x14ac:dyDescent="0.25">
      <c r="F15123" s="642" t="s">
        <v>259</v>
      </c>
      <c r="G15123" s="643" t="s">
        <v>260</v>
      </c>
      <c r="J15123" s="599">
        <f t="shared" si="461"/>
        <v>0</v>
      </c>
    </row>
    <row r="15124" spans="5:10" hidden="1" x14ac:dyDescent="0.25">
      <c r="F15124" s="642" t="s">
        <v>261</v>
      </c>
      <c r="G15124" s="643" t="s">
        <v>262</v>
      </c>
      <c r="J15124" s="599">
        <f t="shared" si="461"/>
        <v>0</v>
      </c>
    </row>
    <row r="15125" spans="5:10" ht="15.75" hidden="1" thickBot="1" x14ac:dyDescent="0.3">
      <c r="F15125" s="642" t="s">
        <v>263</v>
      </c>
      <c r="G15125" s="643" t="s">
        <v>264</v>
      </c>
      <c r="H15125" s="598"/>
      <c r="I15125" s="599"/>
      <c r="J15125" s="599">
        <f t="shared" si="461"/>
        <v>0</v>
      </c>
    </row>
    <row r="15126" spans="5:10" ht="15.75" thickBot="1" x14ac:dyDescent="0.3">
      <c r="G15126" s="229" t="s">
        <v>4423</v>
      </c>
      <c r="H15126" s="600">
        <f>SUM(H15110:H15125)</f>
        <v>9200000</v>
      </c>
      <c r="I15126" s="601">
        <f>SUM(I15111:I15125)</f>
        <v>0</v>
      </c>
      <c r="J15126" s="601">
        <f>SUM(J15110:J15125)</f>
        <v>9200000</v>
      </c>
    </row>
    <row r="15127" spans="5:10" x14ac:dyDescent="0.25">
      <c r="E15127" s="517"/>
      <c r="F15127" s="528"/>
      <c r="G15127" s="231" t="s">
        <v>5231</v>
      </c>
      <c r="H15127" s="602"/>
      <c r="I15127" s="623"/>
      <c r="J15127" s="603"/>
    </row>
    <row r="15128" spans="5:10" ht="15.75" thickBot="1" x14ac:dyDescent="0.3">
      <c r="E15128" s="222"/>
      <c r="F15128" s="642" t="s">
        <v>234</v>
      </c>
      <c r="G15128" s="643" t="s">
        <v>235</v>
      </c>
      <c r="H15128" s="598">
        <f>SUM(H15049:H15108)</f>
        <v>9200000</v>
      </c>
      <c r="I15128" s="599"/>
      <c r="J15128" s="599">
        <f>SUM(H15128:I15128)</f>
        <v>9200000</v>
      </c>
    </row>
    <row r="15129" spans="5:10" hidden="1" x14ac:dyDescent="0.25">
      <c r="F15129" s="642" t="s">
        <v>236</v>
      </c>
      <c r="G15129" s="643" t="s">
        <v>237</v>
      </c>
      <c r="J15129" s="599">
        <f t="shared" ref="J15129:J15143" si="462">SUM(H15129:I15129)</f>
        <v>0</v>
      </c>
    </row>
    <row r="15130" spans="5:10" hidden="1" x14ac:dyDescent="0.25">
      <c r="F15130" s="642" t="s">
        <v>238</v>
      </c>
      <c r="G15130" s="643" t="s">
        <v>239</v>
      </c>
      <c r="J15130" s="599">
        <f t="shared" si="462"/>
        <v>0</v>
      </c>
    </row>
    <row r="15131" spans="5:10" hidden="1" x14ac:dyDescent="0.25">
      <c r="F15131" s="642" t="s">
        <v>240</v>
      </c>
      <c r="G15131" s="643" t="s">
        <v>241</v>
      </c>
      <c r="J15131" s="599">
        <f t="shared" si="462"/>
        <v>0</v>
      </c>
    </row>
    <row r="15132" spans="5:10" hidden="1" x14ac:dyDescent="0.25">
      <c r="F15132" s="642" t="s">
        <v>242</v>
      </c>
      <c r="G15132" s="643" t="s">
        <v>243</v>
      </c>
      <c r="J15132" s="599">
        <f t="shared" si="462"/>
        <v>0</v>
      </c>
    </row>
    <row r="15133" spans="5:10" hidden="1" x14ac:dyDescent="0.25">
      <c r="F15133" s="642" t="s">
        <v>244</v>
      </c>
      <c r="G15133" s="643" t="s">
        <v>245</v>
      </c>
      <c r="J15133" s="599">
        <f t="shared" si="462"/>
        <v>0</v>
      </c>
    </row>
    <row r="15134" spans="5:10" hidden="1" x14ac:dyDescent="0.25">
      <c r="F15134" s="642" t="s">
        <v>246</v>
      </c>
      <c r="G15134" s="643" t="s">
        <v>247</v>
      </c>
      <c r="J15134" s="599">
        <f t="shared" si="462"/>
        <v>0</v>
      </c>
    </row>
    <row r="15135" spans="5:10" hidden="1" x14ac:dyDescent="0.25">
      <c r="F15135" s="642" t="s">
        <v>248</v>
      </c>
      <c r="G15135" s="643" t="s">
        <v>249</v>
      </c>
      <c r="J15135" s="599">
        <f t="shared" si="462"/>
        <v>0</v>
      </c>
    </row>
    <row r="15136" spans="5:10" hidden="1" x14ac:dyDescent="0.25">
      <c r="F15136" s="642" t="s">
        <v>250</v>
      </c>
      <c r="G15136" s="643" t="s">
        <v>57</v>
      </c>
      <c r="J15136" s="599">
        <f t="shared" si="462"/>
        <v>0</v>
      </c>
    </row>
    <row r="15137" spans="3:10" hidden="1" x14ac:dyDescent="0.25">
      <c r="F15137" s="642" t="s">
        <v>251</v>
      </c>
      <c r="G15137" s="643" t="s">
        <v>252</v>
      </c>
      <c r="J15137" s="599">
        <f t="shared" si="462"/>
        <v>0</v>
      </c>
    </row>
    <row r="15138" spans="3:10" hidden="1" x14ac:dyDescent="0.25">
      <c r="F15138" s="642" t="s">
        <v>253</v>
      </c>
      <c r="G15138" s="643" t="s">
        <v>254</v>
      </c>
      <c r="J15138" s="599">
        <f t="shared" si="462"/>
        <v>0</v>
      </c>
    </row>
    <row r="15139" spans="3:10" ht="30" hidden="1" x14ac:dyDescent="0.25">
      <c r="F15139" s="642" t="s">
        <v>255</v>
      </c>
      <c r="G15139" s="643" t="s">
        <v>256</v>
      </c>
      <c r="J15139" s="599">
        <f t="shared" si="462"/>
        <v>0</v>
      </c>
    </row>
    <row r="15140" spans="3:10" hidden="1" x14ac:dyDescent="0.25">
      <c r="F15140" s="642" t="s">
        <v>257</v>
      </c>
      <c r="G15140" s="643" t="s">
        <v>258</v>
      </c>
      <c r="J15140" s="599">
        <f t="shared" si="462"/>
        <v>0</v>
      </c>
    </row>
    <row r="15141" spans="3:10" ht="30" hidden="1" x14ac:dyDescent="0.25">
      <c r="F15141" s="642" t="s">
        <v>259</v>
      </c>
      <c r="G15141" s="643" t="s">
        <v>260</v>
      </c>
      <c r="J15141" s="599">
        <f t="shared" si="462"/>
        <v>0</v>
      </c>
    </row>
    <row r="15142" spans="3:10" hidden="1" x14ac:dyDescent="0.25">
      <c r="F15142" s="642" t="s">
        <v>261</v>
      </c>
      <c r="G15142" s="643" t="s">
        <v>262</v>
      </c>
      <c r="J15142" s="599">
        <f t="shared" si="462"/>
        <v>0</v>
      </c>
    </row>
    <row r="15143" spans="3:10" ht="15.75" hidden="1" thickBot="1" x14ac:dyDescent="0.3">
      <c r="F15143" s="642" t="s">
        <v>263</v>
      </c>
      <c r="G15143" s="643" t="s">
        <v>264</v>
      </c>
      <c r="H15143" s="598"/>
      <c r="I15143" s="599"/>
      <c r="J15143" s="599">
        <f t="shared" si="462"/>
        <v>0</v>
      </c>
    </row>
    <row r="15144" spans="3:10" ht="15.75" thickBot="1" x14ac:dyDescent="0.3">
      <c r="G15144" s="229" t="s">
        <v>5232</v>
      </c>
      <c r="H15144" s="600">
        <f>SUM(H15128:H15143)</f>
        <v>9200000</v>
      </c>
      <c r="I15144" s="601">
        <f>SUM(I15129:I15143)</f>
        <v>0</v>
      </c>
      <c r="J15144" s="601">
        <f>SUM(J15128:J15143)</f>
        <v>9200000</v>
      </c>
    </row>
    <row r="15145" spans="3:10" hidden="1" x14ac:dyDescent="0.25">
      <c r="G15145" s="286"/>
      <c r="H15145" s="604"/>
      <c r="I15145" s="605"/>
      <c r="J15145" s="605"/>
    </row>
    <row r="15146" spans="3:10" hidden="1" x14ac:dyDescent="0.25">
      <c r="C15146" s="228" t="s">
        <v>4538</v>
      </c>
      <c r="D15146" s="219"/>
      <c r="G15146" s="521" t="s">
        <v>5233</v>
      </c>
    </row>
    <row r="15147" spans="3:10" hidden="1" x14ac:dyDescent="0.25">
      <c r="C15147" s="228"/>
      <c r="D15147" s="312">
        <v>630</v>
      </c>
      <c r="E15147" s="312"/>
      <c r="F15147" s="312"/>
      <c r="G15147" s="338" t="s">
        <v>183</v>
      </c>
    </row>
    <row r="15148" spans="3:10" hidden="1" x14ac:dyDescent="0.25">
      <c r="F15148" s="527">
        <v>411</v>
      </c>
      <c r="G15148" s="520" t="s">
        <v>4189</v>
      </c>
      <c r="J15148" s="595">
        <f>SUM(H15148:I15148)</f>
        <v>0</v>
      </c>
    </row>
    <row r="15149" spans="3:10" hidden="1" x14ac:dyDescent="0.25">
      <c r="F15149" s="527">
        <v>412</v>
      </c>
      <c r="G15149" s="516" t="s">
        <v>3784</v>
      </c>
      <c r="J15149" s="595">
        <f t="shared" ref="J15149:J15156" si="463">SUM(H15149:I15149)</f>
        <v>0</v>
      </c>
    </row>
    <row r="15150" spans="3:10" hidden="1" x14ac:dyDescent="0.25">
      <c r="F15150" s="527">
        <v>413</v>
      </c>
      <c r="G15150" s="520" t="s">
        <v>4190</v>
      </c>
      <c r="J15150" s="595">
        <f t="shared" si="463"/>
        <v>0</v>
      </c>
    </row>
    <row r="15151" spans="3:10" hidden="1" x14ac:dyDescent="0.25">
      <c r="F15151" s="527">
        <v>414</v>
      </c>
      <c r="G15151" s="520" t="s">
        <v>3787</v>
      </c>
      <c r="J15151" s="595">
        <f t="shared" si="463"/>
        <v>0</v>
      </c>
    </row>
    <row r="15152" spans="3:10" hidden="1" x14ac:dyDescent="0.25">
      <c r="F15152" s="527">
        <v>415</v>
      </c>
      <c r="G15152" s="520" t="s">
        <v>4199</v>
      </c>
      <c r="J15152" s="595">
        <f t="shared" si="463"/>
        <v>0</v>
      </c>
    </row>
    <row r="15153" spans="6:10" hidden="1" x14ac:dyDescent="0.25">
      <c r="F15153" s="527">
        <v>416</v>
      </c>
      <c r="G15153" s="520" t="s">
        <v>4200</v>
      </c>
      <c r="J15153" s="595">
        <f t="shared" si="463"/>
        <v>0</v>
      </c>
    </row>
    <row r="15154" spans="6:10" hidden="1" x14ac:dyDescent="0.25">
      <c r="F15154" s="527">
        <v>417</v>
      </c>
      <c r="G15154" s="520" t="s">
        <v>4201</v>
      </c>
      <c r="J15154" s="595">
        <f t="shared" si="463"/>
        <v>0</v>
      </c>
    </row>
    <row r="15155" spans="6:10" hidden="1" x14ac:dyDescent="0.25">
      <c r="F15155" s="527">
        <v>418</v>
      </c>
      <c r="G15155" s="520" t="s">
        <v>3793</v>
      </c>
      <c r="J15155" s="595">
        <f t="shared" si="463"/>
        <v>0</v>
      </c>
    </row>
    <row r="15156" spans="6:10" hidden="1" x14ac:dyDescent="0.25">
      <c r="F15156" s="527">
        <v>421</v>
      </c>
      <c r="G15156" s="520" t="s">
        <v>3797</v>
      </c>
      <c r="J15156" s="595">
        <f t="shared" si="463"/>
        <v>0</v>
      </c>
    </row>
    <row r="15157" spans="6:10" hidden="1" x14ac:dyDescent="0.25">
      <c r="F15157" s="527">
        <v>422</v>
      </c>
      <c r="G15157" s="520" t="s">
        <v>3798</v>
      </c>
      <c r="J15157" s="595">
        <f>SUM(H15157:I15157)</f>
        <v>0</v>
      </c>
    </row>
    <row r="15158" spans="6:10" hidden="1" x14ac:dyDescent="0.25">
      <c r="F15158" s="527">
        <v>423</v>
      </c>
      <c r="G15158" s="520" t="s">
        <v>3799</v>
      </c>
      <c r="J15158" s="595">
        <f t="shared" ref="J15158:J15207" si="464">SUM(H15158:I15158)</f>
        <v>0</v>
      </c>
    </row>
    <row r="15159" spans="6:10" hidden="1" x14ac:dyDescent="0.25">
      <c r="F15159" s="527">
        <v>424</v>
      </c>
      <c r="G15159" s="520" t="s">
        <v>3801</v>
      </c>
      <c r="J15159" s="595">
        <f t="shared" si="464"/>
        <v>0</v>
      </c>
    </row>
    <row r="15160" spans="6:10" hidden="1" x14ac:dyDescent="0.25">
      <c r="F15160" s="527">
        <v>425</v>
      </c>
      <c r="G15160" s="520" t="s">
        <v>4202</v>
      </c>
      <c r="J15160" s="595">
        <f t="shared" si="464"/>
        <v>0</v>
      </c>
    </row>
    <row r="15161" spans="6:10" hidden="1" x14ac:dyDescent="0.25">
      <c r="F15161" s="527">
        <v>426</v>
      </c>
      <c r="G15161" s="520" t="s">
        <v>3805</v>
      </c>
      <c r="J15161" s="595">
        <f t="shared" si="464"/>
        <v>0</v>
      </c>
    </row>
    <row r="15162" spans="6:10" hidden="1" x14ac:dyDescent="0.25">
      <c r="F15162" s="527">
        <v>431</v>
      </c>
      <c r="G15162" s="520" t="s">
        <v>4203</v>
      </c>
      <c r="J15162" s="595">
        <f t="shared" si="464"/>
        <v>0</v>
      </c>
    </row>
    <row r="15163" spans="6:10" hidden="1" x14ac:dyDescent="0.25">
      <c r="F15163" s="527">
        <v>432</v>
      </c>
      <c r="G15163" s="520" t="s">
        <v>4204</v>
      </c>
      <c r="J15163" s="595">
        <f t="shared" si="464"/>
        <v>0</v>
      </c>
    </row>
    <row r="15164" spans="6:10" hidden="1" x14ac:dyDescent="0.25">
      <c r="F15164" s="527">
        <v>433</v>
      </c>
      <c r="G15164" s="520" t="s">
        <v>4205</v>
      </c>
      <c r="J15164" s="595">
        <f t="shared" si="464"/>
        <v>0</v>
      </c>
    </row>
    <row r="15165" spans="6:10" hidden="1" x14ac:dyDescent="0.25">
      <c r="F15165" s="527">
        <v>434</v>
      </c>
      <c r="G15165" s="520" t="s">
        <v>4206</v>
      </c>
      <c r="J15165" s="595">
        <f t="shared" si="464"/>
        <v>0</v>
      </c>
    </row>
    <row r="15166" spans="6:10" hidden="1" x14ac:dyDescent="0.25">
      <c r="F15166" s="527">
        <v>435</v>
      </c>
      <c r="G15166" s="520" t="s">
        <v>3812</v>
      </c>
      <c r="J15166" s="595">
        <f t="shared" si="464"/>
        <v>0</v>
      </c>
    </row>
    <row r="15167" spans="6:10" hidden="1" x14ac:dyDescent="0.25">
      <c r="F15167" s="527">
        <v>441</v>
      </c>
      <c r="G15167" s="520" t="s">
        <v>4207</v>
      </c>
      <c r="J15167" s="595">
        <f t="shared" si="464"/>
        <v>0</v>
      </c>
    </row>
    <row r="15168" spans="6:10" hidden="1" x14ac:dyDescent="0.25">
      <c r="F15168" s="527">
        <v>442</v>
      </c>
      <c r="G15168" s="520" t="s">
        <v>4208</v>
      </c>
      <c r="J15168" s="595">
        <f t="shared" si="464"/>
        <v>0</v>
      </c>
    </row>
    <row r="15169" spans="6:10" hidden="1" x14ac:dyDescent="0.25">
      <c r="F15169" s="527">
        <v>443</v>
      </c>
      <c r="G15169" s="520" t="s">
        <v>3817</v>
      </c>
      <c r="J15169" s="595">
        <f t="shared" si="464"/>
        <v>0</v>
      </c>
    </row>
    <row r="15170" spans="6:10" hidden="1" x14ac:dyDescent="0.25">
      <c r="F15170" s="527">
        <v>444</v>
      </c>
      <c r="G15170" s="520" t="s">
        <v>3818</v>
      </c>
      <c r="J15170" s="595">
        <f t="shared" si="464"/>
        <v>0</v>
      </c>
    </row>
    <row r="15171" spans="6:10" ht="30" hidden="1" x14ac:dyDescent="0.25">
      <c r="F15171" s="527">
        <v>4511</v>
      </c>
      <c r="G15171" s="223" t="s">
        <v>1692</v>
      </c>
      <c r="J15171" s="595">
        <f t="shared" si="464"/>
        <v>0</v>
      </c>
    </row>
    <row r="15172" spans="6:10" ht="30" hidden="1" x14ac:dyDescent="0.25">
      <c r="F15172" s="527">
        <v>4512</v>
      </c>
      <c r="G15172" s="223" t="s">
        <v>1701</v>
      </c>
      <c r="J15172" s="595">
        <f t="shared" si="464"/>
        <v>0</v>
      </c>
    </row>
    <row r="15173" spans="6:10" hidden="1" x14ac:dyDescent="0.25">
      <c r="F15173" s="527">
        <v>452</v>
      </c>
      <c r="G15173" s="520" t="s">
        <v>4209</v>
      </c>
      <c r="J15173" s="595">
        <f t="shared" si="464"/>
        <v>0</v>
      </c>
    </row>
    <row r="15174" spans="6:10" hidden="1" x14ac:dyDescent="0.25">
      <c r="F15174" s="527">
        <v>453</v>
      </c>
      <c r="G15174" s="520" t="s">
        <v>4210</v>
      </c>
      <c r="J15174" s="595">
        <f t="shared" si="464"/>
        <v>0</v>
      </c>
    </row>
    <row r="15175" spans="6:10" hidden="1" x14ac:dyDescent="0.25">
      <c r="F15175" s="527">
        <v>454</v>
      </c>
      <c r="G15175" s="520" t="s">
        <v>3823</v>
      </c>
      <c r="J15175" s="595">
        <f t="shared" si="464"/>
        <v>0</v>
      </c>
    </row>
    <row r="15176" spans="6:10" hidden="1" x14ac:dyDescent="0.25">
      <c r="F15176" s="527">
        <v>461</v>
      </c>
      <c r="G15176" s="520" t="s">
        <v>4191</v>
      </c>
      <c r="J15176" s="595">
        <f t="shared" si="464"/>
        <v>0</v>
      </c>
    </row>
    <row r="15177" spans="6:10" hidden="1" x14ac:dyDescent="0.25">
      <c r="F15177" s="527">
        <v>462</v>
      </c>
      <c r="G15177" s="520" t="s">
        <v>3826</v>
      </c>
      <c r="J15177" s="595">
        <f t="shared" si="464"/>
        <v>0</v>
      </c>
    </row>
    <row r="15178" spans="6:10" hidden="1" x14ac:dyDescent="0.25">
      <c r="F15178" s="527">
        <v>4631</v>
      </c>
      <c r="G15178" s="520" t="s">
        <v>3827</v>
      </c>
      <c r="J15178" s="595">
        <f t="shared" si="464"/>
        <v>0</v>
      </c>
    </row>
    <row r="15179" spans="6:10" hidden="1" x14ac:dyDescent="0.25">
      <c r="F15179" s="527">
        <v>4632</v>
      </c>
      <c r="G15179" s="520" t="s">
        <v>3828</v>
      </c>
      <c r="J15179" s="595">
        <f t="shared" si="464"/>
        <v>0</v>
      </c>
    </row>
    <row r="15180" spans="6:10" hidden="1" x14ac:dyDescent="0.25">
      <c r="F15180" s="527">
        <v>464</v>
      </c>
      <c r="G15180" s="520" t="s">
        <v>3829</v>
      </c>
      <c r="J15180" s="595">
        <f t="shared" si="464"/>
        <v>0</v>
      </c>
    </row>
    <row r="15181" spans="6:10" hidden="1" x14ac:dyDescent="0.25">
      <c r="F15181" s="527">
        <v>465</v>
      </c>
      <c r="G15181" s="520" t="s">
        <v>4192</v>
      </c>
      <c r="J15181" s="595">
        <f t="shared" si="464"/>
        <v>0</v>
      </c>
    </row>
    <row r="15182" spans="6:10" hidden="1" x14ac:dyDescent="0.25">
      <c r="F15182" s="527">
        <v>472</v>
      </c>
      <c r="G15182" s="520" t="s">
        <v>3833</v>
      </c>
      <c r="J15182" s="595">
        <f t="shared" si="464"/>
        <v>0</v>
      </c>
    </row>
    <row r="15183" spans="6:10" hidden="1" x14ac:dyDescent="0.25">
      <c r="F15183" s="527">
        <v>481</v>
      </c>
      <c r="G15183" s="520" t="s">
        <v>4211</v>
      </c>
      <c r="J15183" s="595">
        <f t="shared" si="464"/>
        <v>0</v>
      </c>
    </row>
    <row r="15184" spans="6:10" hidden="1" x14ac:dyDescent="0.25">
      <c r="F15184" s="527">
        <v>482</v>
      </c>
      <c r="G15184" s="520" t="s">
        <v>4212</v>
      </c>
      <c r="J15184" s="595">
        <f t="shared" si="464"/>
        <v>0</v>
      </c>
    </row>
    <row r="15185" spans="5:10" hidden="1" x14ac:dyDescent="0.25">
      <c r="F15185" s="527">
        <v>483</v>
      </c>
      <c r="G15185" s="524" t="s">
        <v>4213</v>
      </c>
      <c r="J15185" s="595">
        <f t="shared" si="464"/>
        <v>0</v>
      </c>
    </row>
    <row r="15186" spans="5:10" ht="30" hidden="1" x14ac:dyDescent="0.25">
      <c r="F15186" s="527">
        <v>484</v>
      </c>
      <c r="G15186" s="520" t="s">
        <v>4214</v>
      </c>
      <c r="J15186" s="595">
        <f t="shared" si="464"/>
        <v>0</v>
      </c>
    </row>
    <row r="15187" spans="5:10" ht="30" hidden="1" x14ac:dyDescent="0.25">
      <c r="F15187" s="527">
        <v>485</v>
      </c>
      <c r="G15187" s="520" t="s">
        <v>4215</v>
      </c>
      <c r="J15187" s="595">
        <f t="shared" si="464"/>
        <v>0</v>
      </c>
    </row>
    <row r="15188" spans="5:10" ht="30" hidden="1" x14ac:dyDescent="0.25">
      <c r="F15188" s="527">
        <v>489</v>
      </c>
      <c r="G15188" s="520" t="s">
        <v>3841</v>
      </c>
      <c r="J15188" s="595">
        <f t="shared" si="464"/>
        <v>0</v>
      </c>
    </row>
    <row r="15189" spans="5:10" hidden="1" x14ac:dyDescent="0.25">
      <c r="F15189" s="527">
        <v>494</v>
      </c>
      <c r="G15189" s="520" t="s">
        <v>4193</v>
      </c>
      <c r="J15189" s="595">
        <f t="shared" si="464"/>
        <v>0</v>
      </c>
    </row>
    <row r="15190" spans="5:10" ht="30" hidden="1" x14ac:dyDescent="0.25">
      <c r="F15190" s="527">
        <v>495</v>
      </c>
      <c r="G15190" s="520" t="s">
        <v>4194</v>
      </c>
      <c r="J15190" s="595">
        <f t="shared" si="464"/>
        <v>0</v>
      </c>
    </row>
    <row r="15191" spans="5:10" ht="30" hidden="1" x14ac:dyDescent="0.25">
      <c r="F15191" s="527">
        <v>496</v>
      </c>
      <c r="G15191" s="520" t="s">
        <v>4195</v>
      </c>
      <c r="J15191" s="595">
        <f t="shared" si="464"/>
        <v>0</v>
      </c>
    </row>
    <row r="15192" spans="5:10" hidden="1" x14ac:dyDescent="0.25">
      <c r="F15192" s="527">
        <v>499</v>
      </c>
      <c r="G15192" s="520" t="s">
        <v>4196</v>
      </c>
      <c r="J15192" s="595">
        <f t="shared" si="464"/>
        <v>0</v>
      </c>
    </row>
    <row r="15193" spans="5:10" ht="15.75" hidden="1" thickBot="1" x14ac:dyDescent="0.3">
      <c r="E15193" s="218">
        <v>174</v>
      </c>
      <c r="F15193" s="527">
        <v>511</v>
      </c>
      <c r="G15193" s="524" t="s">
        <v>4216</v>
      </c>
      <c r="J15193" s="595">
        <f t="shared" si="464"/>
        <v>0</v>
      </c>
    </row>
    <row r="15194" spans="5:10" hidden="1" x14ac:dyDescent="0.25">
      <c r="F15194" s="527">
        <v>512</v>
      </c>
      <c r="G15194" s="524" t="s">
        <v>4217</v>
      </c>
      <c r="J15194" s="595">
        <f t="shared" si="464"/>
        <v>0</v>
      </c>
    </row>
    <row r="15195" spans="5:10" hidden="1" x14ac:dyDescent="0.25">
      <c r="F15195" s="527">
        <v>513</v>
      </c>
      <c r="G15195" s="524" t="s">
        <v>4218</v>
      </c>
      <c r="J15195" s="595">
        <f t="shared" si="464"/>
        <v>0</v>
      </c>
    </row>
    <row r="15196" spans="5:10" hidden="1" x14ac:dyDescent="0.25">
      <c r="F15196" s="527">
        <v>514</v>
      </c>
      <c r="G15196" s="520" t="s">
        <v>4219</v>
      </c>
      <c r="J15196" s="595">
        <f t="shared" si="464"/>
        <v>0</v>
      </c>
    </row>
    <row r="15197" spans="5:10" hidden="1" x14ac:dyDescent="0.25">
      <c r="F15197" s="527">
        <v>515</v>
      </c>
      <c r="G15197" s="520" t="s">
        <v>3852</v>
      </c>
      <c r="J15197" s="595">
        <f t="shared" si="464"/>
        <v>0</v>
      </c>
    </row>
    <row r="15198" spans="5:10" hidden="1" x14ac:dyDescent="0.25">
      <c r="F15198" s="527">
        <v>521</v>
      </c>
      <c r="G15198" s="520" t="s">
        <v>4220</v>
      </c>
      <c r="J15198" s="595">
        <f t="shared" si="464"/>
        <v>0</v>
      </c>
    </row>
    <row r="15199" spans="5:10" hidden="1" x14ac:dyDescent="0.25">
      <c r="F15199" s="527">
        <v>522</v>
      </c>
      <c r="G15199" s="520" t="s">
        <v>4221</v>
      </c>
      <c r="J15199" s="595">
        <f t="shared" si="464"/>
        <v>0</v>
      </c>
    </row>
    <row r="15200" spans="5:10" hidden="1" x14ac:dyDescent="0.25">
      <c r="F15200" s="527">
        <v>523</v>
      </c>
      <c r="G15200" s="520" t="s">
        <v>3857</v>
      </c>
      <c r="J15200" s="595">
        <f t="shared" si="464"/>
        <v>0</v>
      </c>
    </row>
    <row r="15201" spans="5:10" hidden="1" x14ac:dyDescent="0.25">
      <c r="F15201" s="527">
        <v>531</v>
      </c>
      <c r="G15201" s="516" t="s">
        <v>4197</v>
      </c>
      <c r="J15201" s="595">
        <f t="shared" si="464"/>
        <v>0</v>
      </c>
    </row>
    <row r="15202" spans="5:10" hidden="1" x14ac:dyDescent="0.25">
      <c r="F15202" s="527">
        <v>541</v>
      </c>
      <c r="G15202" s="520" t="s">
        <v>4222</v>
      </c>
      <c r="J15202" s="595">
        <f t="shared" si="464"/>
        <v>0</v>
      </c>
    </row>
    <row r="15203" spans="5:10" hidden="1" x14ac:dyDescent="0.25">
      <c r="F15203" s="527">
        <v>542</v>
      </c>
      <c r="G15203" s="520" t="s">
        <v>4223</v>
      </c>
      <c r="J15203" s="595">
        <f t="shared" si="464"/>
        <v>0</v>
      </c>
    </row>
    <row r="15204" spans="5:10" hidden="1" x14ac:dyDescent="0.25">
      <c r="F15204" s="527">
        <v>543</v>
      </c>
      <c r="G15204" s="520" t="s">
        <v>3862</v>
      </c>
      <c r="J15204" s="595">
        <f t="shared" si="464"/>
        <v>0</v>
      </c>
    </row>
    <row r="15205" spans="5:10" ht="30" hidden="1" x14ac:dyDescent="0.25">
      <c r="F15205" s="527">
        <v>551</v>
      </c>
      <c r="G15205" s="520" t="s">
        <v>4198</v>
      </c>
      <c r="J15205" s="595">
        <f t="shared" si="464"/>
        <v>0</v>
      </c>
    </row>
    <row r="15206" spans="5:10" hidden="1" x14ac:dyDescent="0.25">
      <c r="F15206" s="528">
        <v>611</v>
      </c>
      <c r="G15206" s="526" t="s">
        <v>3868</v>
      </c>
      <c r="J15206" s="595">
        <f t="shared" si="464"/>
        <v>0</v>
      </c>
    </row>
    <row r="15207" spans="5:10" ht="15.75" hidden="1" thickBot="1" x14ac:dyDescent="0.3">
      <c r="F15207" s="528">
        <v>620</v>
      </c>
      <c r="G15207" s="526" t="s">
        <v>88</v>
      </c>
      <c r="J15207" s="595">
        <f t="shared" si="464"/>
        <v>0</v>
      </c>
    </row>
    <row r="15208" spans="5:10" hidden="1" x14ac:dyDescent="0.25">
      <c r="E15208" s="517"/>
      <c r="F15208" s="528"/>
      <c r="G15208" s="327" t="s">
        <v>5222</v>
      </c>
      <c r="H15208" s="596"/>
      <c r="I15208" s="622"/>
      <c r="J15208" s="597"/>
    </row>
    <row r="15209" spans="5:10" ht="15.75" hidden="1" thickBot="1" x14ac:dyDescent="0.3">
      <c r="E15209" s="222"/>
      <c r="F15209" s="642" t="s">
        <v>234</v>
      </c>
      <c r="G15209" s="643" t="s">
        <v>235</v>
      </c>
      <c r="H15209" s="598">
        <f>SUM(H15148:H15207)</f>
        <v>0</v>
      </c>
      <c r="I15209" s="599"/>
      <c r="J15209" s="599">
        <f t="shared" ref="J15209:J15224" si="465">SUM(H15209:I15209)</f>
        <v>0</v>
      </c>
    </row>
    <row r="15210" spans="5:10" hidden="1" x14ac:dyDescent="0.25">
      <c r="F15210" s="642" t="s">
        <v>236</v>
      </c>
      <c r="G15210" s="643" t="s">
        <v>237</v>
      </c>
      <c r="J15210" s="599">
        <f t="shared" si="465"/>
        <v>0</v>
      </c>
    </row>
    <row r="15211" spans="5:10" hidden="1" x14ac:dyDescent="0.25">
      <c r="F15211" s="642" t="s">
        <v>238</v>
      </c>
      <c r="G15211" s="643" t="s">
        <v>239</v>
      </c>
      <c r="J15211" s="599">
        <f t="shared" si="465"/>
        <v>0</v>
      </c>
    </row>
    <row r="15212" spans="5:10" hidden="1" x14ac:dyDescent="0.25">
      <c r="F15212" s="642" t="s">
        <v>240</v>
      </c>
      <c r="G15212" s="643" t="s">
        <v>241</v>
      </c>
      <c r="J15212" s="599">
        <f t="shared" si="465"/>
        <v>0</v>
      </c>
    </row>
    <row r="15213" spans="5:10" hidden="1" x14ac:dyDescent="0.25">
      <c r="F15213" s="642" t="s">
        <v>242</v>
      </c>
      <c r="G15213" s="643" t="s">
        <v>243</v>
      </c>
      <c r="J15213" s="599">
        <f t="shared" si="465"/>
        <v>0</v>
      </c>
    </row>
    <row r="15214" spans="5:10" hidden="1" x14ac:dyDescent="0.25">
      <c r="F15214" s="642" t="s">
        <v>244</v>
      </c>
      <c r="G15214" s="643" t="s">
        <v>245</v>
      </c>
      <c r="J15214" s="599">
        <f t="shared" si="465"/>
        <v>0</v>
      </c>
    </row>
    <row r="15215" spans="5:10" hidden="1" x14ac:dyDescent="0.25">
      <c r="F15215" s="642" t="s">
        <v>246</v>
      </c>
      <c r="G15215" s="643" t="s">
        <v>247</v>
      </c>
      <c r="J15215" s="599">
        <f t="shared" si="465"/>
        <v>0</v>
      </c>
    </row>
    <row r="15216" spans="5:10" hidden="1" x14ac:dyDescent="0.25">
      <c r="F15216" s="642" t="s">
        <v>248</v>
      </c>
      <c r="G15216" s="643" t="s">
        <v>249</v>
      </c>
      <c r="J15216" s="599">
        <f t="shared" si="465"/>
        <v>0</v>
      </c>
    </row>
    <row r="15217" spans="5:10" hidden="1" x14ac:dyDescent="0.25">
      <c r="F15217" s="642" t="s">
        <v>250</v>
      </c>
      <c r="G15217" s="643" t="s">
        <v>57</v>
      </c>
      <c r="J15217" s="599">
        <f t="shared" si="465"/>
        <v>0</v>
      </c>
    </row>
    <row r="15218" spans="5:10" hidden="1" x14ac:dyDescent="0.25">
      <c r="F15218" s="642" t="s">
        <v>251</v>
      </c>
      <c r="G15218" s="643" t="s">
        <v>252</v>
      </c>
      <c r="J15218" s="599">
        <f t="shared" si="465"/>
        <v>0</v>
      </c>
    </row>
    <row r="15219" spans="5:10" hidden="1" x14ac:dyDescent="0.25">
      <c r="F15219" s="642" t="s">
        <v>253</v>
      </c>
      <c r="G15219" s="643" t="s">
        <v>254</v>
      </c>
      <c r="J15219" s="599">
        <f t="shared" si="465"/>
        <v>0</v>
      </c>
    </row>
    <row r="15220" spans="5:10" ht="30" hidden="1" x14ac:dyDescent="0.25">
      <c r="F15220" s="642" t="s">
        <v>255</v>
      </c>
      <c r="G15220" s="643" t="s">
        <v>256</v>
      </c>
      <c r="J15220" s="599">
        <f t="shared" si="465"/>
        <v>0</v>
      </c>
    </row>
    <row r="15221" spans="5:10" hidden="1" x14ac:dyDescent="0.25">
      <c r="F15221" s="642" t="s">
        <v>257</v>
      </c>
      <c r="G15221" s="643" t="s">
        <v>258</v>
      </c>
      <c r="J15221" s="599">
        <f t="shared" si="465"/>
        <v>0</v>
      </c>
    </row>
    <row r="15222" spans="5:10" ht="30" hidden="1" x14ac:dyDescent="0.25">
      <c r="F15222" s="642" t="s">
        <v>259</v>
      </c>
      <c r="G15222" s="643" t="s">
        <v>260</v>
      </c>
      <c r="J15222" s="599">
        <f t="shared" si="465"/>
        <v>0</v>
      </c>
    </row>
    <row r="15223" spans="5:10" hidden="1" x14ac:dyDescent="0.25">
      <c r="F15223" s="642" t="s">
        <v>261</v>
      </c>
      <c r="G15223" s="643" t="s">
        <v>262</v>
      </c>
      <c r="J15223" s="599">
        <f t="shared" si="465"/>
        <v>0</v>
      </c>
    </row>
    <row r="15224" spans="5:10" ht="15.75" hidden="1" thickBot="1" x14ac:dyDescent="0.3">
      <c r="F15224" s="642" t="s">
        <v>263</v>
      </c>
      <c r="G15224" s="643" t="s">
        <v>264</v>
      </c>
      <c r="H15224" s="598"/>
      <c r="I15224" s="599"/>
      <c r="J15224" s="599">
        <f t="shared" si="465"/>
        <v>0</v>
      </c>
    </row>
    <row r="15225" spans="5:10" ht="15.75" hidden="1" thickBot="1" x14ac:dyDescent="0.3">
      <c r="G15225" s="229" t="s">
        <v>4423</v>
      </c>
      <c r="H15225" s="600">
        <f>SUM(H15209:H15224)</f>
        <v>0</v>
      </c>
      <c r="I15225" s="601">
        <f>SUM(I15210:I15224)</f>
        <v>0</v>
      </c>
      <c r="J15225" s="601">
        <f>SUM(J15209:J15224)</f>
        <v>0</v>
      </c>
    </row>
    <row r="15226" spans="5:10" hidden="1" x14ac:dyDescent="0.25">
      <c r="E15226" s="517"/>
      <c r="F15226" s="528"/>
      <c r="G15226" s="231" t="s">
        <v>5234</v>
      </c>
      <c r="H15226" s="602"/>
      <c r="I15226" s="623"/>
      <c r="J15226" s="603"/>
    </row>
    <row r="15227" spans="5:10" ht="15.75" hidden="1" thickBot="1" x14ac:dyDescent="0.3">
      <c r="E15227" s="222"/>
      <c r="F15227" s="642" t="s">
        <v>234</v>
      </c>
      <c r="G15227" s="643" t="s">
        <v>235</v>
      </c>
      <c r="H15227" s="598">
        <f>SUM(H15148:H15207)</f>
        <v>0</v>
      </c>
      <c r="I15227" s="599"/>
      <c r="J15227" s="599">
        <f>SUM(H15227:I15227)</f>
        <v>0</v>
      </c>
    </row>
    <row r="15228" spans="5:10" hidden="1" x14ac:dyDescent="0.25">
      <c r="F15228" s="642" t="s">
        <v>236</v>
      </c>
      <c r="G15228" s="643" t="s">
        <v>237</v>
      </c>
      <c r="J15228" s="599">
        <f t="shared" ref="J15228:J15242" si="466">SUM(H15228:I15228)</f>
        <v>0</v>
      </c>
    </row>
    <row r="15229" spans="5:10" hidden="1" x14ac:dyDescent="0.25">
      <c r="F15229" s="642" t="s">
        <v>238</v>
      </c>
      <c r="G15229" s="643" t="s">
        <v>239</v>
      </c>
      <c r="J15229" s="599">
        <f t="shared" si="466"/>
        <v>0</v>
      </c>
    </row>
    <row r="15230" spans="5:10" hidden="1" x14ac:dyDescent="0.25">
      <c r="F15230" s="642" t="s">
        <v>240</v>
      </c>
      <c r="G15230" s="643" t="s">
        <v>241</v>
      </c>
      <c r="J15230" s="599">
        <f t="shared" si="466"/>
        <v>0</v>
      </c>
    </row>
    <row r="15231" spans="5:10" hidden="1" x14ac:dyDescent="0.25">
      <c r="F15231" s="642" t="s">
        <v>242</v>
      </c>
      <c r="G15231" s="643" t="s">
        <v>243</v>
      </c>
      <c r="J15231" s="599">
        <f t="shared" si="466"/>
        <v>0</v>
      </c>
    </row>
    <row r="15232" spans="5:10" hidden="1" x14ac:dyDescent="0.25">
      <c r="F15232" s="642" t="s">
        <v>244</v>
      </c>
      <c r="G15232" s="643" t="s">
        <v>245</v>
      </c>
      <c r="J15232" s="599">
        <f t="shared" si="466"/>
        <v>0</v>
      </c>
    </row>
    <row r="15233" spans="3:10" hidden="1" x14ac:dyDescent="0.25">
      <c r="F15233" s="642" t="s">
        <v>246</v>
      </c>
      <c r="G15233" s="643" t="s">
        <v>247</v>
      </c>
      <c r="J15233" s="599">
        <f t="shared" si="466"/>
        <v>0</v>
      </c>
    </row>
    <row r="15234" spans="3:10" hidden="1" x14ac:dyDescent="0.25">
      <c r="F15234" s="642" t="s">
        <v>248</v>
      </c>
      <c r="G15234" s="643" t="s">
        <v>249</v>
      </c>
      <c r="J15234" s="599">
        <f t="shared" si="466"/>
        <v>0</v>
      </c>
    </row>
    <row r="15235" spans="3:10" hidden="1" x14ac:dyDescent="0.25">
      <c r="F15235" s="642" t="s">
        <v>250</v>
      </c>
      <c r="G15235" s="643" t="s">
        <v>57</v>
      </c>
      <c r="J15235" s="599">
        <f t="shared" si="466"/>
        <v>0</v>
      </c>
    </row>
    <row r="15236" spans="3:10" hidden="1" x14ac:dyDescent="0.25">
      <c r="F15236" s="642" t="s">
        <v>251</v>
      </c>
      <c r="G15236" s="643" t="s">
        <v>252</v>
      </c>
      <c r="J15236" s="599">
        <f t="shared" si="466"/>
        <v>0</v>
      </c>
    </row>
    <row r="15237" spans="3:10" hidden="1" x14ac:dyDescent="0.25">
      <c r="F15237" s="642" t="s">
        <v>253</v>
      </c>
      <c r="G15237" s="643" t="s">
        <v>254</v>
      </c>
      <c r="J15237" s="599">
        <f t="shared" si="466"/>
        <v>0</v>
      </c>
    </row>
    <row r="15238" spans="3:10" ht="30" hidden="1" x14ac:dyDescent="0.25">
      <c r="F15238" s="642" t="s">
        <v>255</v>
      </c>
      <c r="G15238" s="643" t="s">
        <v>256</v>
      </c>
      <c r="J15238" s="599">
        <f t="shared" si="466"/>
        <v>0</v>
      </c>
    </row>
    <row r="15239" spans="3:10" hidden="1" x14ac:dyDescent="0.25">
      <c r="F15239" s="642" t="s">
        <v>257</v>
      </c>
      <c r="G15239" s="643" t="s">
        <v>258</v>
      </c>
      <c r="J15239" s="599">
        <f t="shared" si="466"/>
        <v>0</v>
      </c>
    </row>
    <row r="15240" spans="3:10" ht="30" hidden="1" x14ac:dyDescent="0.25">
      <c r="F15240" s="642" t="s">
        <v>259</v>
      </c>
      <c r="G15240" s="643" t="s">
        <v>260</v>
      </c>
      <c r="J15240" s="599">
        <f t="shared" si="466"/>
        <v>0</v>
      </c>
    </row>
    <row r="15241" spans="3:10" hidden="1" x14ac:dyDescent="0.25">
      <c r="F15241" s="642" t="s">
        <v>261</v>
      </c>
      <c r="G15241" s="643" t="s">
        <v>262</v>
      </c>
      <c r="J15241" s="599">
        <f t="shared" si="466"/>
        <v>0</v>
      </c>
    </row>
    <row r="15242" spans="3:10" ht="15.75" hidden="1" thickBot="1" x14ac:dyDescent="0.3">
      <c r="F15242" s="642" t="s">
        <v>263</v>
      </c>
      <c r="G15242" s="643" t="s">
        <v>264</v>
      </c>
      <c r="H15242" s="598"/>
      <c r="I15242" s="599"/>
      <c r="J15242" s="599">
        <f t="shared" si="466"/>
        <v>0</v>
      </c>
    </row>
    <row r="15243" spans="3:10" ht="15.75" hidden="1" thickBot="1" x14ac:dyDescent="0.3">
      <c r="G15243" s="229" t="s">
        <v>5235</v>
      </c>
      <c r="H15243" s="600">
        <f>SUM(H15227:H15242)</f>
        <v>0</v>
      </c>
      <c r="I15243" s="601">
        <f>SUM(I15228:I15242)</f>
        <v>0</v>
      </c>
      <c r="J15243" s="601">
        <f>SUM(J15227:J15242)</f>
        <v>0</v>
      </c>
    </row>
    <row r="15244" spans="3:10" hidden="1" x14ac:dyDescent="0.25">
      <c r="G15244" s="286"/>
      <c r="H15244" s="604"/>
      <c r="I15244" s="605"/>
      <c r="J15244" s="605"/>
    </row>
    <row r="15245" spans="3:10" hidden="1" x14ac:dyDescent="0.25">
      <c r="C15245" s="228" t="s">
        <v>4539</v>
      </c>
      <c r="D15245" s="219"/>
      <c r="G15245" s="521" t="s">
        <v>5239</v>
      </c>
    </row>
    <row r="15246" spans="3:10" ht="30" hidden="1" x14ac:dyDescent="0.25">
      <c r="C15246" s="228"/>
      <c r="D15246" s="312">
        <v>660</v>
      </c>
      <c r="E15246" s="312"/>
      <c r="F15246" s="312"/>
      <c r="G15246" s="313" t="s">
        <v>186</v>
      </c>
    </row>
    <row r="15247" spans="3:10" hidden="1" x14ac:dyDescent="0.25">
      <c r="F15247" s="527">
        <v>411</v>
      </c>
      <c r="G15247" s="520" t="s">
        <v>4189</v>
      </c>
      <c r="J15247" s="595">
        <f>SUM(H15247:I15247)</f>
        <v>0</v>
      </c>
    </row>
    <row r="15248" spans="3:10" hidden="1" x14ac:dyDescent="0.25">
      <c r="F15248" s="527">
        <v>412</v>
      </c>
      <c r="G15248" s="516" t="s">
        <v>3784</v>
      </c>
      <c r="J15248" s="595">
        <f t="shared" ref="J15248:J15255" si="467">SUM(H15248:I15248)</f>
        <v>0</v>
      </c>
    </row>
    <row r="15249" spans="6:10" hidden="1" x14ac:dyDescent="0.25">
      <c r="F15249" s="527">
        <v>413</v>
      </c>
      <c r="G15249" s="520" t="s">
        <v>4190</v>
      </c>
      <c r="J15249" s="595">
        <f t="shared" si="467"/>
        <v>0</v>
      </c>
    </row>
    <row r="15250" spans="6:10" hidden="1" x14ac:dyDescent="0.25">
      <c r="F15250" s="527">
        <v>414</v>
      </c>
      <c r="G15250" s="520" t="s">
        <v>3787</v>
      </c>
      <c r="J15250" s="595">
        <f t="shared" si="467"/>
        <v>0</v>
      </c>
    </row>
    <row r="15251" spans="6:10" hidden="1" x14ac:dyDescent="0.25">
      <c r="F15251" s="527">
        <v>415</v>
      </c>
      <c r="G15251" s="520" t="s">
        <v>4199</v>
      </c>
      <c r="J15251" s="595">
        <f t="shared" si="467"/>
        <v>0</v>
      </c>
    </row>
    <row r="15252" spans="6:10" hidden="1" x14ac:dyDescent="0.25">
      <c r="F15252" s="527">
        <v>416</v>
      </c>
      <c r="G15252" s="520" t="s">
        <v>4200</v>
      </c>
      <c r="J15252" s="595">
        <f t="shared" si="467"/>
        <v>0</v>
      </c>
    </row>
    <row r="15253" spans="6:10" hidden="1" x14ac:dyDescent="0.25">
      <c r="F15253" s="527">
        <v>417</v>
      </c>
      <c r="G15253" s="520" t="s">
        <v>4201</v>
      </c>
      <c r="J15253" s="595">
        <f t="shared" si="467"/>
        <v>0</v>
      </c>
    </row>
    <row r="15254" spans="6:10" hidden="1" x14ac:dyDescent="0.25">
      <c r="F15254" s="527">
        <v>418</v>
      </c>
      <c r="G15254" s="520" t="s">
        <v>3793</v>
      </c>
      <c r="J15254" s="595">
        <f t="shared" si="467"/>
        <v>0</v>
      </c>
    </row>
    <row r="15255" spans="6:10" hidden="1" x14ac:dyDescent="0.25">
      <c r="F15255" s="527">
        <v>421</v>
      </c>
      <c r="G15255" s="520" t="s">
        <v>3797</v>
      </c>
      <c r="J15255" s="595">
        <f t="shared" si="467"/>
        <v>0</v>
      </c>
    </row>
    <row r="15256" spans="6:10" hidden="1" x14ac:dyDescent="0.25">
      <c r="F15256" s="527">
        <v>422</v>
      </c>
      <c r="G15256" s="520" t="s">
        <v>3798</v>
      </c>
      <c r="J15256" s="595">
        <f>SUM(H15256:I15256)</f>
        <v>0</v>
      </c>
    </row>
    <row r="15257" spans="6:10" hidden="1" x14ac:dyDescent="0.25">
      <c r="F15257" s="527">
        <v>423</v>
      </c>
      <c r="G15257" s="520" t="s">
        <v>3799</v>
      </c>
      <c r="J15257" s="595">
        <f t="shared" ref="J15257:J15306" si="468">SUM(H15257:I15257)</f>
        <v>0</v>
      </c>
    </row>
    <row r="15258" spans="6:10" hidden="1" x14ac:dyDescent="0.25">
      <c r="F15258" s="527">
        <v>424</v>
      </c>
      <c r="G15258" s="520" t="s">
        <v>3801</v>
      </c>
      <c r="J15258" s="595">
        <f t="shared" si="468"/>
        <v>0</v>
      </c>
    </row>
    <row r="15259" spans="6:10" hidden="1" x14ac:dyDescent="0.25">
      <c r="F15259" s="527">
        <v>425</v>
      </c>
      <c r="G15259" s="520" t="s">
        <v>4202</v>
      </c>
      <c r="J15259" s="595">
        <f t="shared" si="468"/>
        <v>0</v>
      </c>
    </row>
    <row r="15260" spans="6:10" hidden="1" x14ac:dyDescent="0.25">
      <c r="F15260" s="527">
        <v>426</v>
      </c>
      <c r="G15260" s="520" t="s">
        <v>3805</v>
      </c>
      <c r="J15260" s="595">
        <f t="shared" si="468"/>
        <v>0</v>
      </c>
    </row>
    <row r="15261" spans="6:10" hidden="1" x14ac:dyDescent="0.25">
      <c r="F15261" s="527">
        <v>431</v>
      </c>
      <c r="G15261" s="520" t="s">
        <v>4203</v>
      </c>
      <c r="J15261" s="595">
        <f t="shared" si="468"/>
        <v>0</v>
      </c>
    </row>
    <row r="15262" spans="6:10" hidden="1" x14ac:dyDescent="0.25">
      <c r="F15262" s="527">
        <v>432</v>
      </c>
      <c r="G15262" s="520" t="s">
        <v>4204</v>
      </c>
      <c r="J15262" s="595">
        <f t="shared" si="468"/>
        <v>0</v>
      </c>
    </row>
    <row r="15263" spans="6:10" hidden="1" x14ac:dyDescent="0.25">
      <c r="F15263" s="527">
        <v>433</v>
      </c>
      <c r="G15263" s="520" t="s">
        <v>4205</v>
      </c>
      <c r="J15263" s="595">
        <f t="shared" si="468"/>
        <v>0</v>
      </c>
    </row>
    <row r="15264" spans="6:10" hidden="1" x14ac:dyDescent="0.25">
      <c r="F15264" s="527">
        <v>434</v>
      </c>
      <c r="G15264" s="520" t="s">
        <v>4206</v>
      </c>
      <c r="J15264" s="595">
        <f t="shared" si="468"/>
        <v>0</v>
      </c>
    </row>
    <row r="15265" spans="6:10" hidden="1" x14ac:dyDescent="0.25">
      <c r="F15265" s="527">
        <v>435</v>
      </c>
      <c r="G15265" s="520" t="s">
        <v>3812</v>
      </c>
      <c r="J15265" s="595">
        <f t="shared" si="468"/>
        <v>0</v>
      </c>
    </row>
    <row r="15266" spans="6:10" hidden="1" x14ac:dyDescent="0.25">
      <c r="F15266" s="527">
        <v>441</v>
      </c>
      <c r="G15266" s="520" t="s">
        <v>4207</v>
      </c>
      <c r="J15266" s="595">
        <f t="shared" si="468"/>
        <v>0</v>
      </c>
    </row>
    <row r="15267" spans="6:10" hidden="1" x14ac:dyDescent="0.25">
      <c r="F15267" s="527">
        <v>442</v>
      </c>
      <c r="G15267" s="520" t="s">
        <v>4208</v>
      </c>
      <c r="J15267" s="595">
        <f t="shared" si="468"/>
        <v>0</v>
      </c>
    </row>
    <row r="15268" spans="6:10" hidden="1" x14ac:dyDescent="0.25">
      <c r="F15268" s="527">
        <v>443</v>
      </c>
      <c r="G15268" s="520" t="s">
        <v>3817</v>
      </c>
      <c r="J15268" s="595">
        <f t="shared" si="468"/>
        <v>0</v>
      </c>
    </row>
    <row r="15269" spans="6:10" hidden="1" x14ac:dyDescent="0.25">
      <c r="F15269" s="527">
        <v>444</v>
      </c>
      <c r="G15269" s="520" t="s">
        <v>3818</v>
      </c>
      <c r="J15269" s="595">
        <f t="shared" si="468"/>
        <v>0</v>
      </c>
    </row>
    <row r="15270" spans="6:10" ht="30" hidden="1" x14ac:dyDescent="0.25">
      <c r="F15270" s="527">
        <v>4511</v>
      </c>
      <c r="G15270" s="223" t="s">
        <v>1692</v>
      </c>
      <c r="J15270" s="595">
        <f t="shared" si="468"/>
        <v>0</v>
      </c>
    </row>
    <row r="15271" spans="6:10" ht="30" hidden="1" x14ac:dyDescent="0.25">
      <c r="F15271" s="527">
        <v>4512</v>
      </c>
      <c r="G15271" s="223" t="s">
        <v>1701</v>
      </c>
      <c r="J15271" s="595">
        <f t="shared" si="468"/>
        <v>0</v>
      </c>
    </row>
    <row r="15272" spans="6:10" hidden="1" x14ac:dyDescent="0.25">
      <c r="F15272" s="527">
        <v>452</v>
      </c>
      <c r="G15272" s="520" t="s">
        <v>4209</v>
      </c>
      <c r="J15272" s="595">
        <f t="shared" si="468"/>
        <v>0</v>
      </c>
    </row>
    <row r="15273" spans="6:10" hidden="1" x14ac:dyDescent="0.25">
      <c r="F15273" s="527">
        <v>453</v>
      </c>
      <c r="G15273" s="520" t="s">
        <v>4210</v>
      </c>
      <c r="J15273" s="595">
        <f t="shared" si="468"/>
        <v>0</v>
      </c>
    </row>
    <row r="15274" spans="6:10" hidden="1" x14ac:dyDescent="0.25">
      <c r="F15274" s="527">
        <v>454</v>
      </c>
      <c r="G15274" s="520" t="s">
        <v>3823</v>
      </c>
      <c r="J15274" s="595">
        <f t="shared" si="468"/>
        <v>0</v>
      </c>
    </row>
    <row r="15275" spans="6:10" hidden="1" x14ac:dyDescent="0.25">
      <c r="F15275" s="527">
        <v>461</v>
      </c>
      <c r="G15275" s="520" t="s">
        <v>4191</v>
      </c>
      <c r="J15275" s="595">
        <f t="shared" si="468"/>
        <v>0</v>
      </c>
    </row>
    <row r="15276" spans="6:10" hidden="1" x14ac:dyDescent="0.25">
      <c r="F15276" s="527">
        <v>462</v>
      </c>
      <c r="G15276" s="520" t="s">
        <v>3826</v>
      </c>
      <c r="J15276" s="595">
        <f t="shared" si="468"/>
        <v>0</v>
      </c>
    </row>
    <row r="15277" spans="6:10" hidden="1" x14ac:dyDescent="0.25">
      <c r="F15277" s="527">
        <v>4631</v>
      </c>
      <c r="G15277" s="520" t="s">
        <v>3827</v>
      </c>
      <c r="J15277" s="595">
        <f t="shared" si="468"/>
        <v>0</v>
      </c>
    </row>
    <row r="15278" spans="6:10" hidden="1" x14ac:dyDescent="0.25">
      <c r="F15278" s="527">
        <v>4632</v>
      </c>
      <c r="G15278" s="520" t="s">
        <v>3828</v>
      </c>
      <c r="J15278" s="595">
        <f t="shared" si="468"/>
        <v>0</v>
      </c>
    </row>
    <row r="15279" spans="6:10" hidden="1" x14ac:dyDescent="0.25">
      <c r="F15279" s="527">
        <v>464</v>
      </c>
      <c r="G15279" s="520" t="s">
        <v>3829</v>
      </c>
      <c r="J15279" s="595">
        <f t="shared" si="468"/>
        <v>0</v>
      </c>
    </row>
    <row r="15280" spans="6:10" hidden="1" x14ac:dyDescent="0.25">
      <c r="F15280" s="527">
        <v>465</v>
      </c>
      <c r="G15280" s="520" t="s">
        <v>4192</v>
      </c>
      <c r="J15280" s="595">
        <f t="shared" si="468"/>
        <v>0</v>
      </c>
    </row>
    <row r="15281" spans="5:10" hidden="1" x14ac:dyDescent="0.25">
      <c r="F15281" s="527">
        <v>472</v>
      </c>
      <c r="G15281" s="520" t="s">
        <v>3833</v>
      </c>
      <c r="J15281" s="595">
        <f t="shared" si="468"/>
        <v>0</v>
      </c>
    </row>
    <row r="15282" spans="5:10" hidden="1" x14ac:dyDescent="0.25">
      <c r="F15282" s="527">
        <v>481</v>
      </c>
      <c r="G15282" s="520" t="s">
        <v>4211</v>
      </c>
      <c r="J15282" s="595">
        <f t="shared" si="468"/>
        <v>0</v>
      </c>
    </row>
    <row r="15283" spans="5:10" hidden="1" x14ac:dyDescent="0.25">
      <c r="F15283" s="527">
        <v>482</v>
      </c>
      <c r="G15283" s="520" t="s">
        <v>4212</v>
      </c>
      <c r="J15283" s="595">
        <f t="shared" si="468"/>
        <v>0</v>
      </c>
    </row>
    <row r="15284" spans="5:10" hidden="1" x14ac:dyDescent="0.25">
      <c r="F15284" s="527">
        <v>483</v>
      </c>
      <c r="G15284" s="524" t="s">
        <v>4213</v>
      </c>
      <c r="J15284" s="595">
        <f t="shared" si="468"/>
        <v>0</v>
      </c>
    </row>
    <row r="15285" spans="5:10" ht="30" hidden="1" x14ac:dyDescent="0.25">
      <c r="F15285" s="527">
        <v>484</v>
      </c>
      <c r="G15285" s="520" t="s">
        <v>4214</v>
      </c>
      <c r="J15285" s="595">
        <f t="shared" si="468"/>
        <v>0</v>
      </c>
    </row>
    <row r="15286" spans="5:10" ht="30" hidden="1" x14ac:dyDescent="0.25">
      <c r="F15286" s="527">
        <v>485</v>
      </c>
      <c r="G15286" s="520" t="s">
        <v>4215</v>
      </c>
      <c r="J15286" s="595">
        <f t="shared" si="468"/>
        <v>0</v>
      </c>
    </row>
    <row r="15287" spans="5:10" ht="30" hidden="1" x14ac:dyDescent="0.25">
      <c r="F15287" s="527">
        <v>489</v>
      </c>
      <c r="G15287" s="520" t="s">
        <v>3841</v>
      </c>
      <c r="J15287" s="595">
        <f t="shared" si="468"/>
        <v>0</v>
      </c>
    </row>
    <row r="15288" spans="5:10" hidden="1" x14ac:dyDescent="0.25">
      <c r="F15288" s="527">
        <v>494</v>
      </c>
      <c r="G15288" s="520" t="s">
        <v>4193</v>
      </c>
      <c r="J15288" s="595">
        <f t="shared" si="468"/>
        <v>0</v>
      </c>
    </row>
    <row r="15289" spans="5:10" ht="30" hidden="1" x14ac:dyDescent="0.25">
      <c r="F15289" s="527">
        <v>495</v>
      </c>
      <c r="G15289" s="520" t="s">
        <v>4194</v>
      </c>
      <c r="J15289" s="595">
        <f t="shared" si="468"/>
        <v>0</v>
      </c>
    </row>
    <row r="15290" spans="5:10" ht="30" hidden="1" x14ac:dyDescent="0.25">
      <c r="F15290" s="527">
        <v>496</v>
      </c>
      <c r="G15290" s="520" t="s">
        <v>4195</v>
      </c>
      <c r="J15290" s="595">
        <f t="shared" si="468"/>
        <v>0</v>
      </c>
    </row>
    <row r="15291" spans="5:10" hidden="1" x14ac:dyDescent="0.25">
      <c r="F15291" s="527">
        <v>499</v>
      </c>
      <c r="G15291" s="520" t="s">
        <v>4196</v>
      </c>
      <c r="J15291" s="595">
        <f t="shared" si="468"/>
        <v>0</v>
      </c>
    </row>
    <row r="15292" spans="5:10" ht="15.75" hidden="1" thickBot="1" x14ac:dyDescent="0.3">
      <c r="E15292" s="218">
        <v>175</v>
      </c>
      <c r="F15292" s="527">
        <v>511</v>
      </c>
      <c r="G15292" s="524" t="s">
        <v>4216</v>
      </c>
      <c r="J15292" s="595">
        <f t="shared" si="468"/>
        <v>0</v>
      </c>
    </row>
    <row r="15293" spans="5:10" hidden="1" x14ac:dyDescent="0.25">
      <c r="F15293" s="527">
        <v>512</v>
      </c>
      <c r="G15293" s="524" t="s">
        <v>4217</v>
      </c>
      <c r="J15293" s="595">
        <f t="shared" si="468"/>
        <v>0</v>
      </c>
    </row>
    <row r="15294" spans="5:10" hidden="1" x14ac:dyDescent="0.25">
      <c r="F15294" s="527">
        <v>513</v>
      </c>
      <c r="G15294" s="524" t="s">
        <v>4218</v>
      </c>
      <c r="J15294" s="595">
        <f t="shared" si="468"/>
        <v>0</v>
      </c>
    </row>
    <row r="15295" spans="5:10" hidden="1" x14ac:dyDescent="0.25">
      <c r="F15295" s="527">
        <v>514</v>
      </c>
      <c r="G15295" s="520" t="s">
        <v>4219</v>
      </c>
      <c r="J15295" s="595">
        <f t="shared" si="468"/>
        <v>0</v>
      </c>
    </row>
    <row r="15296" spans="5:10" hidden="1" x14ac:dyDescent="0.25">
      <c r="F15296" s="527">
        <v>515</v>
      </c>
      <c r="G15296" s="520" t="s">
        <v>3852</v>
      </c>
      <c r="J15296" s="595">
        <f t="shared" si="468"/>
        <v>0</v>
      </c>
    </row>
    <row r="15297" spans="5:10" hidden="1" x14ac:dyDescent="0.25">
      <c r="F15297" s="527">
        <v>521</v>
      </c>
      <c r="G15297" s="520" t="s">
        <v>4220</v>
      </c>
      <c r="J15297" s="595">
        <f t="shared" si="468"/>
        <v>0</v>
      </c>
    </row>
    <row r="15298" spans="5:10" hidden="1" x14ac:dyDescent="0.25">
      <c r="F15298" s="527">
        <v>522</v>
      </c>
      <c r="G15298" s="520" t="s">
        <v>4221</v>
      </c>
      <c r="J15298" s="595">
        <f t="shared" si="468"/>
        <v>0</v>
      </c>
    </row>
    <row r="15299" spans="5:10" hidden="1" x14ac:dyDescent="0.25">
      <c r="F15299" s="527">
        <v>523</v>
      </c>
      <c r="G15299" s="520" t="s">
        <v>3857</v>
      </c>
      <c r="J15299" s="595">
        <f t="shared" si="468"/>
        <v>0</v>
      </c>
    </row>
    <row r="15300" spans="5:10" hidden="1" x14ac:dyDescent="0.25">
      <c r="F15300" s="527">
        <v>531</v>
      </c>
      <c r="G15300" s="516" t="s">
        <v>4197</v>
      </c>
      <c r="J15300" s="595">
        <f t="shared" si="468"/>
        <v>0</v>
      </c>
    </row>
    <row r="15301" spans="5:10" hidden="1" x14ac:dyDescent="0.25">
      <c r="F15301" s="527">
        <v>541</v>
      </c>
      <c r="G15301" s="520" t="s">
        <v>4222</v>
      </c>
      <c r="J15301" s="595">
        <f t="shared" si="468"/>
        <v>0</v>
      </c>
    </row>
    <row r="15302" spans="5:10" hidden="1" x14ac:dyDescent="0.25">
      <c r="F15302" s="527">
        <v>542</v>
      </c>
      <c r="G15302" s="520" t="s">
        <v>4223</v>
      </c>
      <c r="J15302" s="595">
        <f t="shared" si="468"/>
        <v>0</v>
      </c>
    </row>
    <row r="15303" spans="5:10" hidden="1" x14ac:dyDescent="0.25">
      <c r="F15303" s="527">
        <v>543</v>
      </c>
      <c r="G15303" s="520" t="s">
        <v>3862</v>
      </c>
      <c r="J15303" s="595">
        <f t="shared" si="468"/>
        <v>0</v>
      </c>
    </row>
    <row r="15304" spans="5:10" ht="30" hidden="1" x14ac:dyDescent="0.25">
      <c r="F15304" s="527">
        <v>551</v>
      </c>
      <c r="G15304" s="520" t="s">
        <v>4198</v>
      </c>
      <c r="J15304" s="595">
        <f t="shared" si="468"/>
        <v>0</v>
      </c>
    </row>
    <row r="15305" spans="5:10" hidden="1" x14ac:dyDescent="0.25">
      <c r="F15305" s="528">
        <v>611</v>
      </c>
      <c r="G15305" s="526" t="s">
        <v>3868</v>
      </c>
      <c r="J15305" s="595">
        <f t="shared" si="468"/>
        <v>0</v>
      </c>
    </row>
    <row r="15306" spans="5:10" ht="15.75" hidden="1" thickBot="1" x14ac:dyDescent="0.3">
      <c r="F15306" s="528">
        <v>620</v>
      </c>
      <c r="G15306" s="526" t="s">
        <v>88</v>
      </c>
      <c r="J15306" s="595">
        <f t="shared" si="468"/>
        <v>0</v>
      </c>
    </row>
    <row r="15307" spans="5:10" hidden="1" x14ac:dyDescent="0.25">
      <c r="E15307" s="517"/>
      <c r="F15307" s="528"/>
      <c r="G15307" s="327" t="s">
        <v>5236</v>
      </c>
      <c r="H15307" s="596"/>
      <c r="I15307" s="622"/>
      <c r="J15307" s="597"/>
    </row>
    <row r="15308" spans="5:10" ht="15.75" hidden="1" thickBot="1" x14ac:dyDescent="0.3">
      <c r="E15308" s="222"/>
      <c r="F15308" s="642" t="s">
        <v>234</v>
      </c>
      <c r="G15308" s="643" t="s">
        <v>235</v>
      </c>
      <c r="H15308" s="598">
        <f>SUM(H15247:H15306)</f>
        <v>0</v>
      </c>
      <c r="I15308" s="599"/>
      <c r="J15308" s="599">
        <f t="shared" ref="J15308:J15323" si="469">SUM(H15308:I15308)</f>
        <v>0</v>
      </c>
    </row>
    <row r="15309" spans="5:10" hidden="1" x14ac:dyDescent="0.25">
      <c r="F15309" s="642" t="s">
        <v>236</v>
      </c>
      <c r="G15309" s="643" t="s">
        <v>237</v>
      </c>
      <c r="J15309" s="599">
        <f t="shared" si="469"/>
        <v>0</v>
      </c>
    </row>
    <row r="15310" spans="5:10" hidden="1" x14ac:dyDescent="0.25">
      <c r="F15310" s="642" t="s">
        <v>238</v>
      </c>
      <c r="G15310" s="643" t="s">
        <v>239</v>
      </c>
      <c r="J15310" s="599">
        <f t="shared" si="469"/>
        <v>0</v>
      </c>
    </row>
    <row r="15311" spans="5:10" hidden="1" x14ac:dyDescent="0.25">
      <c r="F15311" s="642" t="s">
        <v>240</v>
      </c>
      <c r="G15311" s="643" t="s">
        <v>241</v>
      </c>
      <c r="J15311" s="599">
        <f t="shared" si="469"/>
        <v>0</v>
      </c>
    </row>
    <row r="15312" spans="5:10" hidden="1" x14ac:dyDescent="0.25">
      <c r="F15312" s="642" t="s">
        <v>242</v>
      </c>
      <c r="G15312" s="643" t="s">
        <v>243</v>
      </c>
      <c r="J15312" s="599">
        <f t="shared" si="469"/>
        <v>0</v>
      </c>
    </row>
    <row r="15313" spans="5:10" hidden="1" x14ac:dyDescent="0.25">
      <c r="F15313" s="642" t="s">
        <v>244</v>
      </c>
      <c r="G15313" s="643" t="s">
        <v>245</v>
      </c>
      <c r="J15313" s="599">
        <f t="shared" si="469"/>
        <v>0</v>
      </c>
    </row>
    <row r="15314" spans="5:10" hidden="1" x14ac:dyDescent="0.25">
      <c r="F15314" s="642" t="s">
        <v>246</v>
      </c>
      <c r="G15314" s="643" t="s">
        <v>247</v>
      </c>
      <c r="J15314" s="599">
        <f t="shared" si="469"/>
        <v>0</v>
      </c>
    </row>
    <row r="15315" spans="5:10" hidden="1" x14ac:dyDescent="0.25">
      <c r="F15315" s="642" t="s">
        <v>248</v>
      </c>
      <c r="G15315" s="643" t="s">
        <v>249</v>
      </c>
      <c r="J15315" s="599">
        <f t="shared" si="469"/>
        <v>0</v>
      </c>
    </row>
    <row r="15316" spans="5:10" hidden="1" x14ac:dyDescent="0.25">
      <c r="F15316" s="642" t="s">
        <v>250</v>
      </c>
      <c r="G15316" s="643" t="s">
        <v>57</v>
      </c>
      <c r="J15316" s="599">
        <f t="shared" si="469"/>
        <v>0</v>
      </c>
    </row>
    <row r="15317" spans="5:10" hidden="1" x14ac:dyDescent="0.25">
      <c r="F15317" s="642" t="s">
        <v>251</v>
      </c>
      <c r="G15317" s="643" t="s">
        <v>252</v>
      </c>
      <c r="J15317" s="599">
        <f t="shared" si="469"/>
        <v>0</v>
      </c>
    </row>
    <row r="15318" spans="5:10" hidden="1" x14ac:dyDescent="0.25">
      <c r="F15318" s="642" t="s">
        <v>253</v>
      </c>
      <c r="G15318" s="643" t="s">
        <v>254</v>
      </c>
      <c r="J15318" s="599">
        <f t="shared" si="469"/>
        <v>0</v>
      </c>
    </row>
    <row r="15319" spans="5:10" ht="30" hidden="1" x14ac:dyDescent="0.25">
      <c r="F15319" s="642" t="s">
        <v>255</v>
      </c>
      <c r="G15319" s="643" t="s">
        <v>256</v>
      </c>
      <c r="J15319" s="599">
        <f t="shared" si="469"/>
        <v>0</v>
      </c>
    </row>
    <row r="15320" spans="5:10" hidden="1" x14ac:dyDescent="0.25">
      <c r="F15320" s="642" t="s">
        <v>257</v>
      </c>
      <c r="G15320" s="643" t="s">
        <v>258</v>
      </c>
      <c r="J15320" s="599">
        <f t="shared" si="469"/>
        <v>0</v>
      </c>
    </row>
    <row r="15321" spans="5:10" ht="30" hidden="1" x14ac:dyDescent="0.25">
      <c r="F15321" s="642" t="s">
        <v>259</v>
      </c>
      <c r="G15321" s="643" t="s">
        <v>260</v>
      </c>
      <c r="J15321" s="599">
        <f t="shared" si="469"/>
        <v>0</v>
      </c>
    </row>
    <row r="15322" spans="5:10" hidden="1" x14ac:dyDescent="0.25">
      <c r="F15322" s="642" t="s">
        <v>261</v>
      </c>
      <c r="G15322" s="643" t="s">
        <v>262</v>
      </c>
      <c r="J15322" s="599">
        <f t="shared" si="469"/>
        <v>0</v>
      </c>
    </row>
    <row r="15323" spans="5:10" ht="15.75" hidden="1" thickBot="1" x14ac:dyDescent="0.3">
      <c r="F15323" s="642" t="s">
        <v>263</v>
      </c>
      <c r="G15323" s="643" t="s">
        <v>264</v>
      </c>
      <c r="H15323" s="598"/>
      <c r="I15323" s="599"/>
      <c r="J15323" s="599">
        <f t="shared" si="469"/>
        <v>0</v>
      </c>
    </row>
    <row r="15324" spans="5:10" ht="15.75" hidden="1" thickBot="1" x14ac:dyDescent="0.3">
      <c r="G15324" s="229" t="s">
        <v>4427</v>
      </c>
      <c r="H15324" s="600">
        <f>SUM(H15308:H15323)</f>
        <v>0</v>
      </c>
      <c r="I15324" s="601">
        <f>SUM(I15309:I15323)</f>
        <v>0</v>
      </c>
      <c r="J15324" s="601">
        <f>SUM(J15308:J15323)</f>
        <v>0</v>
      </c>
    </row>
    <row r="15325" spans="5:10" hidden="1" x14ac:dyDescent="0.25">
      <c r="E15325" s="517"/>
      <c r="F15325" s="528"/>
      <c r="G15325" s="231" t="s">
        <v>5237</v>
      </c>
      <c r="H15325" s="602"/>
      <c r="I15325" s="623"/>
      <c r="J15325" s="603"/>
    </row>
    <row r="15326" spans="5:10" ht="15.75" hidden="1" thickBot="1" x14ac:dyDescent="0.3">
      <c r="E15326" s="222"/>
      <c r="F15326" s="642" t="s">
        <v>234</v>
      </c>
      <c r="G15326" s="643" t="s">
        <v>235</v>
      </c>
      <c r="H15326" s="598">
        <f>SUM(H15247:H15306)</f>
        <v>0</v>
      </c>
      <c r="I15326" s="599"/>
      <c r="J15326" s="599">
        <f>SUM(H15326:I15326)</f>
        <v>0</v>
      </c>
    </row>
    <row r="15327" spans="5:10" hidden="1" x14ac:dyDescent="0.25">
      <c r="F15327" s="642" t="s">
        <v>236</v>
      </c>
      <c r="G15327" s="643" t="s">
        <v>237</v>
      </c>
      <c r="J15327" s="599">
        <f t="shared" ref="J15327:J15341" si="470">SUM(H15327:I15327)</f>
        <v>0</v>
      </c>
    </row>
    <row r="15328" spans="5:10" hidden="1" x14ac:dyDescent="0.25">
      <c r="F15328" s="642" t="s">
        <v>238</v>
      </c>
      <c r="G15328" s="643" t="s">
        <v>239</v>
      </c>
      <c r="J15328" s="599">
        <f t="shared" si="470"/>
        <v>0</v>
      </c>
    </row>
    <row r="15329" spans="3:10" hidden="1" x14ac:dyDescent="0.25">
      <c r="F15329" s="642" t="s">
        <v>240</v>
      </c>
      <c r="G15329" s="643" t="s">
        <v>241</v>
      </c>
      <c r="J15329" s="599">
        <f t="shared" si="470"/>
        <v>0</v>
      </c>
    </row>
    <row r="15330" spans="3:10" hidden="1" x14ac:dyDescent="0.25">
      <c r="F15330" s="642" t="s">
        <v>242</v>
      </c>
      <c r="G15330" s="643" t="s">
        <v>243</v>
      </c>
      <c r="J15330" s="599">
        <f t="shared" si="470"/>
        <v>0</v>
      </c>
    </row>
    <row r="15331" spans="3:10" hidden="1" x14ac:dyDescent="0.25">
      <c r="F15331" s="642" t="s">
        <v>244</v>
      </c>
      <c r="G15331" s="643" t="s">
        <v>245</v>
      </c>
      <c r="J15331" s="599">
        <f t="shared" si="470"/>
        <v>0</v>
      </c>
    </row>
    <row r="15332" spans="3:10" hidden="1" x14ac:dyDescent="0.25">
      <c r="F15332" s="642" t="s">
        <v>246</v>
      </c>
      <c r="G15332" s="643" t="s">
        <v>247</v>
      </c>
      <c r="J15332" s="599">
        <f t="shared" si="470"/>
        <v>0</v>
      </c>
    </row>
    <row r="15333" spans="3:10" hidden="1" x14ac:dyDescent="0.25">
      <c r="F15333" s="642" t="s">
        <v>248</v>
      </c>
      <c r="G15333" s="643" t="s">
        <v>249</v>
      </c>
      <c r="J15333" s="599">
        <f t="shared" si="470"/>
        <v>0</v>
      </c>
    </row>
    <row r="15334" spans="3:10" hidden="1" x14ac:dyDescent="0.25">
      <c r="F15334" s="642" t="s">
        <v>250</v>
      </c>
      <c r="G15334" s="643" t="s">
        <v>57</v>
      </c>
      <c r="J15334" s="599">
        <f t="shared" si="470"/>
        <v>0</v>
      </c>
    </row>
    <row r="15335" spans="3:10" hidden="1" x14ac:dyDescent="0.25">
      <c r="F15335" s="642" t="s">
        <v>251</v>
      </c>
      <c r="G15335" s="643" t="s">
        <v>252</v>
      </c>
      <c r="J15335" s="599">
        <f t="shared" si="470"/>
        <v>0</v>
      </c>
    </row>
    <row r="15336" spans="3:10" hidden="1" x14ac:dyDescent="0.25">
      <c r="F15336" s="642" t="s">
        <v>253</v>
      </c>
      <c r="G15336" s="643" t="s">
        <v>254</v>
      </c>
      <c r="J15336" s="599">
        <f t="shared" si="470"/>
        <v>0</v>
      </c>
    </row>
    <row r="15337" spans="3:10" ht="30" hidden="1" x14ac:dyDescent="0.25">
      <c r="F15337" s="642" t="s">
        <v>255</v>
      </c>
      <c r="G15337" s="643" t="s">
        <v>256</v>
      </c>
      <c r="J15337" s="599">
        <f t="shared" si="470"/>
        <v>0</v>
      </c>
    </row>
    <row r="15338" spans="3:10" hidden="1" x14ac:dyDescent="0.25">
      <c r="F15338" s="642" t="s">
        <v>257</v>
      </c>
      <c r="G15338" s="643" t="s">
        <v>258</v>
      </c>
      <c r="J15338" s="599">
        <f t="shared" si="470"/>
        <v>0</v>
      </c>
    </row>
    <row r="15339" spans="3:10" ht="30" hidden="1" x14ac:dyDescent="0.25">
      <c r="F15339" s="642" t="s">
        <v>259</v>
      </c>
      <c r="G15339" s="643" t="s">
        <v>260</v>
      </c>
      <c r="J15339" s="599">
        <f t="shared" si="470"/>
        <v>0</v>
      </c>
    </row>
    <row r="15340" spans="3:10" hidden="1" x14ac:dyDescent="0.25">
      <c r="F15340" s="642" t="s">
        <v>261</v>
      </c>
      <c r="G15340" s="643" t="s">
        <v>262</v>
      </c>
      <c r="J15340" s="599">
        <f t="shared" si="470"/>
        <v>0</v>
      </c>
    </row>
    <row r="15341" spans="3:10" ht="15.75" hidden="1" thickBot="1" x14ac:dyDescent="0.3">
      <c r="F15341" s="642" t="s">
        <v>263</v>
      </c>
      <c r="G15341" s="643" t="s">
        <v>264</v>
      </c>
      <c r="H15341" s="598"/>
      <c r="I15341" s="599"/>
      <c r="J15341" s="599">
        <f t="shared" si="470"/>
        <v>0</v>
      </c>
    </row>
    <row r="15342" spans="3:10" ht="15.75" hidden="1" thickBot="1" x14ac:dyDescent="0.3">
      <c r="G15342" s="229" t="s">
        <v>5238</v>
      </c>
      <c r="H15342" s="600">
        <f>SUM(H15326:H15341)</f>
        <v>0</v>
      </c>
      <c r="I15342" s="601">
        <f>SUM(I15327:I15341)</f>
        <v>0</v>
      </c>
      <c r="J15342" s="601">
        <f>SUM(J15326:J15341)</f>
        <v>0</v>
      </c>
    </row>
    <row r="15343" spans="3:10" x14ac:dyDescent="0.25">
      <c r="G15343" s="286"/>
      <c r="H15343" s="604"/>
      <c r="I15343" s="605"/>
      <c r="J15343" s="605"/>
    </row>
    <row r="15344" spans="3:10" x14ac:dyDescent="0.25">
      <c r="C15344" s="228" t="s">
        <v>4540</v>
      </c>
      <c r="D15344" s="219"/>
      <c r="G15344" s="521" t="s">
        <v>5240</v>
      </c>
    </row>
    <row r="15345" spans="3:10" x14ac:dyDescent="0.25">
      <c r="C15345" s="228"/>
      <c r="D15345" s="312">
        <v>630</v>
      </c>
      <c r="E15345" s="312"/>
      <c r="F15345" s="312"/>
      <c r="G15345" s="313" t="s">
        <v>183</v>
      </c>
    </row>
    <row r="15346" spans="3:10" hidden="1" x14ac:dyDescent="0.25">
      <c r="F15346" s="527">
        <v>411</v>
      </c>
      <c r="G15346" s="520" t="s">
        <v>4189</v>
      </c>
      <c r="J15346" s="595">
        <f>SUM(H15346:I15346)</f>
        <v>0</v>
      </c>
    </row>
    <row r="15347" spans="3:10" hidden="1" x14ac:dyDescent="0.25">
      <c r="F15347" s="527">
        <v>412</v>
      </c>
      <c r="G15347" s="516" t="s">
        <v>3784</v>
      </c>
      <c r="J15347" s="595">
        <f t="shared" ref="J15347:J15354" si="471">SUM(H15347:I15347)</f>
        <v>0</v>
      </c>
    </row>
    <row r="15348" spans="3:10" hidden="1" x14ac:dyDescent="0.25">
      <c r="F15348" s="527">
        <v>413</v>
      </c>
      <c r="G15348" s="520" t="s">
        <v>4190</v>
      </c>
      <c r="J15348" s="595">
        <f t="shared" si="471"/>
        <v>0</v>
      </c>
    </row>
    <row r="15349" spans="3:10" hidden="1" x14ac:dyDescent="0.25">
      <c r="F15349" s="527">
        <v>414</v>
      </c>
      <c r="G15349" s="520" t="s">
        <v>3787</v>
      </c>
      <c r="J15349" s="595">
        <f t="shared" si="471"/>
        <v>0</v>
      </c>
    </row>
    <row r="15350" spans="3:10" hidden="1" x14ac:dyDescent="0.25">
      <c r="F15350" s="527">
        <v>415</v>
      </c>
      <c r="G15350" s="520" t="s">
        <v>4199</v>
      </c>
      <c r="J15350" s="595">
        <f t="shared" si="471"/>
        <v>0</v>
      </c>
    </row>
    <row r="15351" spans="3:10" hidden="1" x14ac:dyDescent="0.25">
      <c r="F15351" s="527">
        <v>416</v>
      </c>
      <c r="G15351" s="520" t="s">
        <v>4200</v>
      </c>
      <c r="J15351" s="595">
        <f t="shared" si="471"/>
        <v>0</v>
      </c>
    </row>
    <row r="15352" spans="3:10" hidden="1" x14ac:dyDescent="0.25">
      <c r="F15352" s="527">
        <v>417</v>
      </c>
      <c r="G15352" s="520" t="s">
        <v>4201</v>
      </c>
      <c r="J15352" s="595">
        <f t="shared" si="471"/>
        <v>0</v>
      </c>
    </row>
    <row r="15353" spans="3:10" hidden="1" x14ac:dyDescent="0.25">
      <c r="F15353" s="527">
        <v>418</v>
      </c>
      <c r="G15353" s="520" t="s">
        <v>3793</v>
      </c>
      <c r="J15353" s="595">
        <f t="shared" si="471"/>
        <v>0</v>
      </c>
    </row>
    <row r="15354" spans="3:10" hidden="1" x14ac:dyDescent="0.25">
      <c r="F15354" s="527">
        <v>421</v>
      </c>
      <c r="G15354" s="520" t="s">
        <v>3797</v>
      </c>
      <c r="J15354" s="595">
        <f t="shared" si="471"/>
        <v>0</v>
      </c>
    </row>
    <row r="15355" spans="3:10" hidden="1" x14ac:dyDescent="0.25">
      <c r="F15355" s="527">
        <v>422</v>
      </c>
      <c r="G15355" s="520" t="s">
        <v>3798</v>
      </c>
      <c r="J15355" s="595">
        <f>SUM(H15355:I15355)</f>
        <v>0</v>
      </c>
    </row>
    <row r="15356" spans="3:10" hidden="1" x14ac:dyDescent="0.25">
      <c r="F15356" s="527">
        <v>423</v>
      </c>
      <c r="G15356" s="520" t="s">
        <v>3799</v>
      </c>
      <c r="J15356" s="595">
        <f t="shared" ref="J15356:J15405" si="472">SUM(H15356:I15356)</f>
        <v>0</v>
      </c>
    </row>
    <row r="15357" spans="3:10" hidden="1" x14ac:dyDescent="0.25">
      <c r="F15357" s="527">
        <v>424</v>
      </c>
      <c r="G15357" s="520" t="s">
        <v>3801</v>
      </c>
      <c r="J15357" s="595">
        <f t="shared" si="472"/>
        <v>0</v>
      </c>
    </row>
    <row r="15358" spans="3:10" hidden="1" x14ac:dyDescent="0.25">
      <c r="F15358" s="527">
        <v>425</v>
      </c>
      <c r="G15358" s="520" t="s">
        <v>4202</v>
      </c>
      <c r="J15358" s="595">
        <f t="shared" si="472"/>
        <v>0</v>
      </c>
    </row>
    <row r="15359" spans="3:10" hidden="1" x14ac:dyDescent="0.25">
      <c r="F15359" s="527">
        <v>426</v>
      </c>
      <c r="G15359" s="520" t="s">
        <v>3805</v>
      </c>
      <c r="J15359" s="595">
        <f t="shared" si="472"/>
        <v>0</v>
      </c>
    </row>
    <row r="15360" spans="3:10" hidden="1" x14ac:dyDescent="0.25">
      <c r="F15360" s="527">
        <v>431</v>
      </c>
      <c r="G15360" s="520" t="s">
        <v>4203</v>
      </c>
      <c r="J15360" s="595">
        <f t="shared" si="472"/>
        <v>0</v>
      </c>
    </row>
    <row r="15361" spans="6:10" hidden="1" x14ac:dyDescent="0.25">
      <c r="F15361" s="527">
        <v>432</v>
      </c>
      <c r="G15361" s="520" t="s">
        <v>4204</v>
      </c>
      <c r="J15361" s="595">
        <f t="shared" si="472"/>
        <v>0</v>
      </c>
    </row>
    <row r="15362" spans="6:10" hidden="1" x14ac:dyDescent="0.25">
      <c r="F15362" s="527">
        <v>433</v>
      </c>
      <c r="G15362" s="520" t="s">
        <v>4205</v>
      </c>
      <c r="J15362" s="595">
        <f t="shared" si="472"/>
        <v>0</v>
      </c>
    </row>
    <row r="15363" spans="6:10" hidden="1" x14ac:dyDescent="0.25">
      <c r="F15363" s="527">
        <v>434</v>
      </c>
      <c r="G15363" s="520" t="s">
        <v>4206</v>
      </c>
      <c r="J15363" s="595">
        <f t="shared" si="472"/>
        <v>0</v>
      </c>
    </row>
    <row r="15364" spans="6:10" hidden="1" x14ac:dyDescent="0.25">
      <c r="F15364" s="527">
        <v>435</v>
      </c>
      <c r="G15364" s="520" t="s">
        <v>3812</v>
      </c>
      <c r="J15364" s="595">
        <f t="shared" si="472"/>
        <v>0</v>
      </c>
    </row>
    <row r="15365" spans="6:10" hidden="1" x14ac:dyDescent="0.25">
      <c r="F15365" s="527">
        <v>441</v>
      </c>
      <c r="G15365" s="520" t="s">
        <v>4207</v>
      </c>
      <c r="J15365" s="595">
        <f t="shared" si="472"/>
        <v>0</v>
      </c>
    </row>
    <row r="15366" spans="6:10" hidden="1" x14ac:dyDescent="0.25">
      <c r="F15366" s="527">
        <v>442</v>
      </c>
      <c r="G15366" s="520" t="s">
        <v>4208</v>
      </c>
      <c r="J15366" s="595">
        <f t="shared" si="472"/>
        <v>0</v>
      </c>
    </row>
    <row r="15367" spans="6:10" hidden="1" x14ac:dyDescent="0.25">
      <c r="F15367" s="527">
        <v>443</v>
      </c>
      <c r="G15367" s="520" t="s">
        <v>3817</v>
      </c>
      <c r="J15367" s="595">
        <f t="shared" si="472"/>
        <v>0</v>
      </c>
    </row>
    <row r="15368" spans="6:10" hidden="1" x14ac:dyDescent="0.25">
      <c r="F15368" s="527">
        <v>444</v>
      </c>
      <c r="G15368" s="520" t="s">
        <v>3818</v>
      </c>
      <c r="J15368" s="595">
        <f t="shared" si="472"/>
        <v>0</v>
      </c>
    </row>
    <row r="15369" spans="6:10" ht="30" hidden="1" x14ac:dyDescent="0.25">
      <c r="F15369" s="527">
        <v>4511</v>
      </c>
      <c r="G15369" s="223" t="s">
        <v>1692</v>
      </c>
      <c r="J15369" s="595">
        <f t="shared" si="472"/>
        <v>0</v>
      </c>
    </row>
    <row r="15370" spans="6:10" ht="30" hidden="1" x14ac:dyDescent="0.25">
      <c r="F15370" s="527">
        <v>4512</v>
      </c>
      <c r="G15370" s="223" t="s">
        <v>1701</v>
      </c>
      <c r="J15370" s="595">
        <f t="shared" si="472"/>
        <v>0</v>
      </c>
    </row>
    <row r="15371" spans="6:10" hidden="1" x14ac:dyDescent="0.25">
      <c r="F15371" s="527">
        <v>452</v>
      </c>
      <c r="G15371" s="520" t="s">
        <v>4209</v>
      </c>
      <c r="J15371" s="595">
        <f t="shared" si="472"/>
        <v>0</v>
      </c>
    </row>
    <row r="15372" spans="6:10" hidden="1" x14ac:dyDescent="0.25">
      <c r="F15372" s="527">
        <v>453</v>
      </c>
      <c r="G15372" s="520" t="s">
        <v>4210</v>
      </c>
      <c r="J15372" s="595">
        <f t="shared" si="472"/>
        <v>0</v>
      </c>
    </row>
    <row r="15373" spans="6:10" hidden="1" x14ac:dyDescent="0.25">
      <c r="F15373" s="527">
        <v>454</v>
      </c>
      <c r="G15373" s="520" t="s">
        <v>3823</v>
      </c>
      <c r="J15373" s="595">
        <f t="shared" si="472"/>
        <v>0</v>
      </c>
    </row>
    <row r="15374" spans="6:10" hidden="1" x14ac:dyDescent="0.25">
      <c r="F15374" s="527">
        <v>461</v>
      </c>
      <c r="G15374" s="520" t="s">
        <v>4191</v>
      </c>
      <c r="J15374" s="595">
        <f t="shared" si="472"/>
        <v>0</v>
      </c>
    </row>
    <row r="15375" spans="6:10" hidden="1" x14ac:dyDescent="0.25">
      <c r="F15375" s="527">
        <v>462</v>
      </c>
      <c r="G15375" s="520" t="s">
        <v>3826</v>
      </c>
      <c r="J15375" s="595">
        <f t="shared" si="472"/>
        <v>0</v>
      </c>
    </row>
    <row r="15376" spans="6:10" hidden="1" x14ac:dyDescent="0.25">
      <c r="F15376" s="527">
        <v>4631</v>
      </c>
      <c r="G15376" s="520" t="s">
        <v>3827</v>
      </c>
      <c r="J15376" s="595">
        <f t="shared" si="472"/>
        <v>0</v>
      </c>
    </row>
    <row r="15377" spans="5:10" hidden="1" x14ac:dyDescent="0.25">
      <c r="F15377" s="527">
        <v>4632</v>
      </c>
      <c r="G15377" s="520" t="s">
        <v>3828</v>
      </c>
      <c r="J15377" s="595">
        <f t="shared" si="472"/>
        <v>0</v>
      </c>
    </row>
    <row r="15378" spans="5:10" hidden="1" x14ac:dyDescent="0.25">
      <c r="F15378" s="527">
        <v>464</v>
      </c>
      <c r="G15378" s="520" t="s">
        <v>3829</v>
      </c>
      <c r="J15378" s="595">
        <f t="shared" si="472"/>
        <v>0</v>
      </c>
    </row>
    <row r="15379" spans="5:10" hidden="1" x14ac:dyDescent="0.25">
      <c r="F15379" s="527">
        <v>465</v>
      </c>
      <c r="G15379" s="520" t="s">
        <v>4192</v>
      </c>
      <c r="J15379" s="595">
        <f t="shared" si="472"/>
        <v>0</v>
      </c>
    </row>
    <row r="15380" spans="5:10" hidden="1" x14ac:dyDescent="0.25">
      <c r="F15380" s="527">
        <v>472</v>
      </c>
      <c r="G15380" s="520" t="s">
        <v>3833</v>
      </c>
      <c r="J15380" s="595">
        <f t="shared" si="472"/>
        <v>0</v>
      </c>
    </row>
    <row r="15381" spans="5:10" hidden="1" x14ac:dyDescent="0.25">
      <c r="F15381" s="527">
        <v>481</v>
      </c>
      <c r="G15381" s="520" t="s">
        <v>4211</v>
      </c>
      <c r="J15381" s="595">
        <f t="shared" si="472"/>
        <v>0</v>
      </c>
    </row>
    <row r="15382" spans="5:10" hidden="1" x14ac:dyDescent="0.25">
      <c r="F15382" s="527">
        <v>482</v>
      </c>
      <c r="G15382" s="520" t="s">
        <v>4212</v>
      </c>
      <c r="J15382" s="595">
        <f t="shared" si="472"/>
        <v>0</v>
      </c>
    </row>
    <row r="15383" spans="5:10" hidden="1" x14ac:dyDescent="0.25">
      <c r="F15383" s="527">
        <v>483</v>
      </c>
      <c r="G15383" s="524" t="s">
        <v>4213</v>
      </c>
      <c r="J15383" s="595">
        <f t="shared" si="472"/>
        <v>0</v>
      </c>
    </row>
    <row r="15384" spans="5:10" ht="30" hidden="1" x14ac:dyDescent="0.25">
      <c r="F15384" s="527">
        <v>484</v>
      </c>
      <c r="G15384" s="520" t="s">
        <v>4214</v>
      </c>
      <c r="J15384" s="595">
        <f t="shared" si="472"/>
        <v>0</v>
      </c>
    </row>
    <row r="15385" spans="5:10" ht="30" hidden="1" x14ac:dyDescent="0.25">
      <c r="F15385" s="527">
        <v>485</v>
      </c>
      <c r="G15385" s="520" t="s">
        <v>4215</v>
      </c>
      <c r="J15385" s="595">
        <f t="shared" si="472"/>
        <v>0</v>
      </c>
    </row>
    <row r="15386" spans="5:10" ht="30" hidden="1" x14ac:dyDescent="0.25">
      <c r="F15386" s="527">
        <v>489</v>
      </c>
      <c r="G15386" s="520" t="s">
        <v>3841</v>
      </c>
      <c r="J15386" s="595">
        <f t="shared" si="472"/>
        <v>0</v>
      </c>
    </row>
    <row r="15387" spans="5:10" hidden="1" x14ac:dyDescent="0.25">
      <c r="F15387" s="527">
        <v>494</v>
      </c>
      <c r="G15387" s="520" t="s">
        <v>4193</v>
      </c>
      <c r="J15387" s="595">
        <f t="shared" si="472"/>
        <v>0</v>
      </c>
    </row>
    <row r="15388" spans="5:10" ht="30" hidden="1" x14ac:dyDescent="0.25">
      <c r="F15388" s="527">
        <v>495</v>
      </c>
      <c r="G15388" s="520" t="s">
        <v>4194</v>
      </c>
      <c r="J15388" s="595">
        <f t="shared" si="472"/>
        <v>0</v>
      </c>
    </row>
    <row r="15389" spans="5:10" ht="30" hidden="1" x14ac:dyDescent="0.25">
      <c r="F15389" s="527">
        <v>496</v>
      </c>
      <c r="G15389" s="520" t="s">
        <v>4195</v>
      </c>
      <c r="J15389" s="595">
        <f t="shared" si="472"/>
        <v>0</v>
      </c>
    </row>
    <row r="15390" spans="5:10" hidden="1" x14ac:dyDescent="0.25">
      <c r="F15390" s="527">
        <v>499</v>
      </c>
      <c r="G15390" s="520" t="s">
        <v>4196</v>
      </c>
      <c r="J15390" s="595">
        <f t="shared" si="472"/>
        <v>0</v>
      </c>
    </row>
    <row r="15391" spans="5:10" ht="15.75" thickBot="1" x14ac:dyDescent="0.3">
      <c r="E15391" s="218">
        <v>174</v>
      </c>
      <c r="F15391" s="527">
        <v>511</v>
      </c>
      <c r="G15391" s="524" t="s">
        <v>4216</v>
      </c>
      <c r="H15391" s="594">
        <v>640000</v>
      </c>
      <c r="J15391" s="595">
        <f t="shared" si="472"/>
        <v>640000</v>
      </c>
    </row>
    <row r="15392" spans="5:10" hidden="1" x14ac:dyDescent="0.25">
      <c r="F15392" s="527">
        <v>512</v>
      </c>
      <c r="G15392" s="524" t="s">
        <v>4217</v>
      </c>
      <c r="J15392" s="595">
        <f t="shared" si="472"/>
        <v>0</v>
      </c>
    </row>
    <row r="15393" spans="5:10" hidden="1" x14ac:dyDescent="0.25">
      <c r="F15393" s="527">
        <v>513</v>
      </c>
      <c r="G15393" s="524" t="s">
        <v>4218</v>
      </c>
      <c r="J15393" s="595">
        <f t="shared" si="472"/>
        <v>0</v>
      </c>
    </row>
    <row r="15394" spans="5:10" hidden="1" x14ac:dyDescent="0.25">
      <c r="F15394" s="527">
        <v>514</v>
      </c>
      <c r="G15394" s="520" t="s">
        <v>4219</v>
      </c>
      <c r="J15394" s="595">
        <f t="shared" si="472"/>
        <v>0</v>
      </c>
    </row>
    <row r="15395" spans="5:10" hidden="1" x14ac:dyDescent="0.25">
      <c r="F15395" s="527">
        <v>515</v>
      </c>
      <c r="G15395" s="520" t="s">
        <v>3852</v>
      </c>
      <c r="J15395" s="595">
        <f t="shared" si="472"/>
        <v>0</v>
      </c>
    </row>
    <row r="15396" spans="5:10" hidden="1" x14ac:dyDescent="0.25">
      <c r="F15396" s="527">
        <v>521</v>
      </c>
      <c r="G15396" s="520" t="s">
        <v>4220</v>
      </c>
      <c r="J15396" s="595">
        <f t="shared" si="472"/>
        <v>0</v>
      </c>
    </row>
    <row r="15397" spans="5:10" hidden="1" x14ac:dyDescent="0.25">
      <c r="F15397" s="527">
        <v>522</v>
      </c>
      <c r="G15397" s="520" t="s">
        <v>4221</v>
      </c>
      <c r="J15397" s="595">
        <f t="shared" si="472"/>
        <v>0</v>
      </c>
    </row>
    <row r="15398" spans="5:10" hidden="1" x14ac:dyDescent="0.25">
      <c r="F15398" s="527">
        <v>523</v>
      </c>
      <c r="G15398" s="520" t="s">
        <v>3857</v>
      </c>
      <c r="J15398" s="595">
        <f t="shared" si="472"/>
        <v>0</v>
      </c>
    </row>
    <row r="15399" spans="5:10" hidden="1" x14ac:dyDescent="0.25">
      <c r="F15399" s="527">
        <v>531</v>
      </c>
      <c r="G15399" s="516" t="s">
        <v>4197</v>
      </c>
      <c r="J15399" s="595">
        <f t="shared" si="472"/>
        <v>0</v>
      </c>
    </row>
    <row r="15400" spans="5:10" hidden="1" x14ac:dyDescent="0.25">
      <c r="F15400" s="527">
        <v>541</v>
      </c>
      <c r="G15400" s="520" t="s">
        <v>4222</v>
      </c>
      <c r="J15400" s="595">
        <f t="shared" si="472"/>
        <v>0</v>
      </c>
    </row>
    <row r="15401" spans="5:10" hidden="1" x14ac:dyDescent="0.25">
      <c r="F15401" s="527">
        <v>542</v>
      </c>
      <c r="G15401" s="520" t="s">
        <v>4223</v>
      </c>
      <c r="J15401" s="595">
        <f t="shared" si="472"/>
        <v>0</v>
      </c>
    </row>
    <row r="15402" spans="5:10" hidden="1" x14ac:dyDescent="0.25">
      <c r="F15402" s="527">
        <v>543</v>
      </c>
      <c r="G15402" s="520" t="s">
        <v>3862</v>
      </c>
      <c r="J15402" s="595">
        <f t="shared" si="472"/>
        <v>0</v>
      </c>
    </row>
    <row r="15403" spans="5:10" ht="30" hidden="1" x14ac:dyDescent="0.25">
      <c r="F15403" s="527">
        <v>551</v>
      </c>
      <c r="G15403" s="520" t="s">
        <v>4198</v>
      </c>
      <c r="J15403" s="595">
        <f t="shared" si="472"/>
        <v>0</v>
      </c>
    </row>
    <row r="15404" spans="5:10" hidden="1" x14ac:dyDescent="0.25">
      <c r="F15404" s="528">
        <v>611</v>
      </c>
      <c r="G15404" s="526" t="s">
        <v>3868</v>
      </c>
      <c r="J15404" s="595">
        <f t="shared" si="472"/>
        <v>0</v>
      </c>
    </row>
    <row r="15405" spans="5:10" ht="15.75" hidden="1" thickBot="1" x14ac:dyDescent="0.3">
      <c r="F15405" s="528">
        <v>620</v>
      </c>
      <c r="G15405" s="526" t="s">
        <v>88</v>
      </c>
      <c r="J15405" s="595">
        <f t="shared" si="472"/>
        <v>0</v>
      </c>
    </row>
    <row r="15406" spans="5:10" x14ac:dyDescent="0.25">
      <c r="E15406" s="517"/>
      <c r="F15406" s="528"/>
      <c r="G15406" s="327" t="s">
        <v>5222</v>
      </c>
      <c r="H15406" s="596"/>
      <c r="I15406" s="622"/>
      <c r="J15406" s="597"/>
    </row>
    <row r="15407" spans="5:10" ht="15.75" thickBot="1" x14ac:dyDescent="0.3">
      <c r="E15407" s="222"/>
      <c r="F15407" s="642" t="s">
        <v>234</v>
      </c>
      <c r="G15407" s="643" t="s">
        <v>235</v>
      </c>
      <c r="H15407" s="598">
        <f>SUM(H15346:H15405)</f>
        <v>640000</v>
      </c>
      <c r="I15407" s="599"/>
      <c r="J15407" s="599">
        <f t="shared" ref="J15407:J15422" si="473">SUM(H15407:I15407)</f>
        <v>640000</v>
      </c>
    </row>
    <row r="15408" spans="5:10" hidden="1" x14ac:dyDescent="0.25">
      <c r="F15408" s="642" t="s">
        <v>236</v>
      </c>
      <c r="G15408" s="643" t="s">
        <v>237</v>
      </c>
      <c r="J15408" s="599">
        <f t="shared" si="473"/>
        <v>0</v>
      </c>
    </row>
    <row r="15409" spans="5:10" hidden="1" x14ac:dyDescent="0.25">
      <c r="F15409" s="642" t="s">
        <v>238</v>
      </c>
      <c r="G15409" s="643" t="s">
        <v>239</v>
      </c>
      <c r="J15409" s="599">
        <f t="shared" si="473"/>
        <v>0</v>
      </c>
    </row>
    <row r="15410" spans="5:10" hidden="1" x14ac:dyDescent="0.25">
      <c r="F15410" s="642" t="s">
        <v>240</v>
      </c>
      <c r="G15410" s="643" t="s">
        <v>241</v>
      </c>
      <c r="J15410" s="599">
        <f t="shared" si="473"/>
        <v>0</v>
      </c>
    </row>
    <row r="15411" spans="5:10" hidden="1" x14ac:dyDescent="0.25">
      <c r="F15411" s="642" t="s">
        <v>242</v>
      </c>
      <c r="G15411" s="643" t="s">
        <v>243</v>
      </c>
      <c r="J15411" s="599">
        <f t="shared" si="473"/>
        <v>0</v>
      </c>
    </row>
    <row r="15412" spans="5:10" hidden="1" x14ac:dyDescent="0.25">
      <c r="F15412" s="642" t="s">
        <v>244</v>
      </c>
      <c r="G15412" s="643" t="s">
        <v>245</v>
      </c>
      <c r="J15412" s="599">
        <f t="shared" si="473"/>
        <v>0</v>
      </c>
    </row>
    <row r="15413" spans="5:10" hidden="1" x14ac:dyDescent="0.25">
      <c r="F15413" s="642" t="s">
        <v>246</v>
      </c>
      <c r="G15413" s="643" t="s">
        <v>247</v>
      </c>
      <c r="J15413" s="599">
        <f t="shared" si="473"/>
        <v>0</v>
      </c>
    </row>
    <row r="15414" spans="5:10" hidden="1" x14ac:dyDescent="0.25">
      <c r="F15414" s="642" t="s">
        <v>248</v>
      </c>
      <c r="G15414" s="643" t="s">
        <v>249</v>
      </c>
      <c r="J15414" s="599">
        <f t="shared" si="473"/>
        <v>0</v>
      </c>
    </row>
    <row r="15415" spans="5:10" hidden="1" x14ac:dyDescent="0.25">
      <c r="F15415" s="642" t="s">
        <v>250</v>
      </c>
      <c r="G15415" s="643" t="s">
        <v>57</v>
      </c>
      <c r="J15415" s="599">
        <f t="shared" si="473"/>
        <v>0</v>
      </c>
    </row>
    <row r="15416" spans="5:10" hidden="1" x14ac:dyDescent="0.25">
      <c r="F15416" s="642" t="s">
        <v>251</v>
      </c>
      <c r="G15416" s="643" t="s">
        <v>252</v>
      </c>
      <c r="J15416" s="599">
        <f t="shared" si="473"/>
        <v>0</v>
      </c>
    </row>
    <row r="15417" spans="5:10" hidden="1" x14ac:dyDescent="0.25">
      <c r="F15417" s="642" t="s">
        <v>253</v>
      </c>
      <c r="G15417" s="643" t="s">
        <v>254</v>
      </c>
      <c r="J15417" s="599">
        <f t="shared" si="473"/>
        <v>0</v>
      </c>
    </row>
    <row r="15418" spans="5:10" ht="30" hidden="1" x14ac:dyDescent="0.25">
      <c r="F15418" s="642" t="s">
        <v>255</v>
      </c>
      <c r="G15418" s="643" t="s">
        <v>256</v>
      </c>
      <c r="J15418" s="599">
        <f t="shared" si="473"/>
        <v>0</v>
      </c>
    </row>
    <row r="15419" spans="5:10" hidden="1" x14ac:dyDescent="0.25">
      <c r="F15419" s="642" t="s">
        <v>257</v>
      </c>
      <c r="G15419" s="643" t="s">
        <v>258</v>
      </c>
      <c r="J15419" s="599">
        <f t="shared" si="473"/>
        <v>0</v>
      </c>
    </row>
    <row r="15420" spans="5:10" ht="30" hidden="1" x14ac:dyDescent="0.25">
      <c r="F15420" s="642" t="s">
        <v>259</v>
      </c>
      <c r="G15420" s="643" t="s">
        <v>260</v>
      </c>
      <c r="J15420" s="599">
        <f t="shared" si="473"/>
        <v>0</v>
      </c>
    </row>
    <row r="15421" spans="5:10" hidden="1" x14ac:dyDescent="0.25">
      <c r="F15421" s="642" t="s">
        <v>261</v>
      </c>
      <c r="G15421" s="643" t="s">
        <v>262</v>
      </c>
      <c r="J15421" s="599">
        <f t="shared" si="473"/>
        <v>0</v>
      </c>
    </row>
    <row r="15422" spans="5:10" ht="15.75" hidden="1" thickBot="1" x14ac:dyDescent="0.3">
      <c r="F15422" s="642" t="s">
        <v>263</v>
      </c>
      <c r="G15422" s="643" t="s">
        <v>264</v>
      </c>
      <c r="H15422" s="598"/>
      <c r="I15422" s="599"/>
      <c r="J15422" s="599">
        <f t="shared" si="473"/>
        <v>0</v>
      </c>
    </row>
    <row r="15423" spans="5:10" ht="15.75" thickBot="1" x14ac:dyDescent="0.3">
      <c r="G15423" s="229" t="s">
        <v>4423</v>
      </c>
      <c r="H15423" s="600">
        <f>SUM(H15407:H15422)</f>
        <v>640000</v>
      </c>
      <c r="I15423" s="601">
        <f>SUM(I15408:I15422)</f>
        <v>0</v>
      </c>
      <c r="J15423" s="601">
        <f>SUM(J15407:J15422)</f>
        <v>640000</v>
      </c>
    </row>
    <row r="15424" spans="5:10" x14ac:dyDescent="0.25">
      <c r="E15424" s="517"/>
      <c r="F15424" s="528"/>
      <c r="G15424" s="231" t="s">
        <v>5241</v>
      </c>
      <c r="H15424" s="602"/>
      <c r="I15424" s="623"/>
      <c r="J15424" s="603"/>
    </row>
    <row r="15425" spans="5:10" ht="15.75" thickBot="1" x14ac:dyDescent="0.3">
      <c r="E15425" s="222"/>
      <c r="F15425" s="642" t="s">
        <v>234</v>
      </c>
      <c r="G15425" s="643" t="s">
        <v>235</v>
      </c>
      <c r="H15425" s="598">
        <f>SUM(H15346:H15405)</f>
        <v>640000</v>
      </c>
      <c r="I15425" s="599"/>
      <c r="J15425" s="599">
        <f>SUM(H15425:I15425)</f>
        <v>640000</v>
      </c>
    </row>
    <row r="15426" spans="5:10" hidden="1" x14ac:dyDescent="0.25">
      <c r="F15426" s="642" t="s">
        <v>236</v>
      </c>
      <c r="G15426" s="643" t="s">
        <v>237</v>
      </c>
      <c r="J15426" s="599">
        <f t="shared" ref="J15426:J15440" si="474">SUM(H15426:I15426)</f>
        <v>0</v>
      </c>
    </row>
    <row r="15427" spans="5:10" hidden="1" x14ac:dyDescent="0.25">
      <c r="F15427" s="642" t="s">
        <v>238</v>
      </c>
      <c r="G15427" s="643" t="s">
        <v>239</v>
      </c>
      <c r="J15427" s="599">
        <f t="shared" si="474"/>
        <v>0</v>
      </c>
    </row>
    <row r="15428" spans="5:10" hidden="1" x14ac:dyDescent="0.25">
      <c r="F15428" s="642" t="s">
        <v>240</v>
      </c>
      <c r="G15428" s="643" t="s">
        <v>241</v>
      </c>
      <c r="J15428" s="599">
        <f t="shared" si="474"/>
        <v>0</v>
      </c>
    </row>
    <row r="15429" spans="5:10" hidden="1" x14ac:dyDescent="0.25">
      <c r="F15429" s="642" t="s">
        <v>242</v>
      </c>
      <c r="G15429" s="643" t="s">
        <v>243</v>
      </c>
      <c r="J15429" s="599">
        <f t="shared" si="474"/>
        <v>0</v>
      </c>
    </row>
    <row r="15430" spans="5:10" hidden="1" x14ac:dyDescent="0.25">
      <c r="F15430" s="642" t="s">
        <v>244</v>
      </c>
      <c r="G15430" s="643" t="s">
        <v>245</v>
      </c>
      <c r="J15430" s="599">
        <f t="shared" si="474"/>
        <v>0</v>
      </c>
    </row>
    <row r="15431" spans="5:10" hidden="1" x14ac:dyDescent="0.25">
      <c r="F15431" s="642" t="s">
        <v>246</v>
      </c>
      <c r="G15431" s="643" t="s">
        <v>247</v>
      </c>
      <c r="J15431" s="599">
        <f t="shared" si="474"/>
        <v>0</v>
      </c>
    </row>
    <row r="15432" spans="5:10" hidden="1" x14ac:dyDescent="0.25">
      <c r="F15432" s="642" t="s">
        <v>248</v>
      </c>
      <c r="G15432" s="643" t="s">
        <v>249</v>
      </c>
      <c r="J15432" s="599">
        <f t="shared" si="474"/>
        <v>0</v>
      </c>
    </row>
    <row r="15433" spans="5:10" hidden="1" x14ac:dyDescent="0.25">
      <c r="F15433" s="642" t="s">
        <v>250</v>
      </c>
      <c r="G15433" s="643" t="s">
        <v>57</v>
      </c>
      <c r="J15433" s="599">
        <f t="shared" si="474"/>
        <v>0</v>
      </c>
    </row>
    <row r="15434" spans="5:10" hidden="1" x14ac:dyDescent="0.25">
      <c r="F15434" s="642" t="s">
        <v>251</v>
      </c>
      <c r="G15434" s="643" t="s">
        <v>252</v>
      </c>
      <c r="J15434" s="599">
        <f t="shared" si="474"/>
        <v>0</v>
      </c>
    </row>
    <row r="15435" spans="5:10" hidden="1" x14ac:dyDescent="0.25">
      <c r="F15435" s="642" t="s">
        <v>253</v>
      </c>
      <c r="G15435" s="643" t="s">
        <v>254</v>
      </c>
      <c r="J15435" s="599">
        <f t="shared" si="474"/>
        <v>0</v>
      </c>
    </row>
    <row r="15436" spans="5:10" ht="30" hidden="1" x14ac:dyDescent="0.25">
      <c r="F15436" s="642" t="s">
        <v>255</v>
      </c>
      <c r="G15436" s="643" t="s">
        <v>256</v>
      </c>
      <c r="J15436" s="599">
        <f t="shared" si="474"/>
        <v>0</v>
      </c>
    </row>
    <row r="15437" spans="5:10" hidden="1" x14ac:dyDescent="0.25">
      <c r="F15437" s="642" t="s">
        <v>257</v>
      </c>
      <c r="G15437" s="643" t="s">
        <v>258</v>
      </c>
      <c r="J15437" s="599">
        <f t="shared" si="474"/>
        <v>0</v>
      </c>
    </row>
    <row r="15438" spans="5:10" ht="30" hidden="1" x14ac:dyDescent="0.25">
      <c r="F15438" s="642" t="s">
        <v>259</v>
      </c>
      <c r="G15438" s="643" t="s">
        <v>260</v>
      </c>
      <c r="J15438" s="599">
        <f t="shared" si="474"/>
        <v>0</v>
      </c>
    </row>
    <row r="15439" spans="5:10" hidden="1" x14ac:dyDescent="0.25">
      <c r="F15439" s="642" t="s">
        <v>261</v>
      </c>
      <c r="G15439" s="643" t="s">
        <v>262</v>
      </c>
      <c r="J15439" s="599">
        <f t="shared" si="474"/>
        <v>0</v>
      </c>
    </row>
    <row r="15440" spans="5:10" ht="15.75" hidden="1" thickBot="1" x14ac:dyDescent="0.3">
      <c r="F15440" s="642" t="s">
        <v>263</v>
      </c>
      <c r="G15440" s="643" t="s">
        <v>264</v>
      </c>
      <c r="H15440" s="598"/>
      <c r="I15440" s="599"/>
      <c r="J15440" s="599">
        <f t="shared" si="474"/>
        <v>0</v>
      </c>
    </row>
    <row r="15441" spans="7:10" ht="15.75" thickBot="1" x14ac:dyDescent="0.3">
      <c r="G15441" s="229" t="s">
        <v>5242</v>
      </c>
      <c r="H15441" s="600">
        <f>SUM(H15425:H15440)</f>
        <v>640000</v>
      </c>
      <c r="I15441" s="601">
        <f>SUM(I15426:I15440)</f>
        <v>0</v>
      </c>
      <c r="J15441" s="601">
        <f>SUM(J15425:J15440)</f>
        <v>640000</v>
      </c>
    </row>
    <row r="15442" spans="7:10" x14ac:dyDescent="0.25">
      <c r="G15442" s="286"/>
      <c r="H15442" s="604"/>
      <c r="I15442" s="605"/>
      <c r="J15442" s="605"/>
    </row>
    <row r="15443" spans="7:10" hidden="1" x14ac:dyDescent="0.25">
      <c r="G15443" s="286"/>
      <c r="H15443" s="604"/>
      <c r="I15443" s="605"/>
      <c r="J15443" s="605"/>
    </row>
    <row r="15444" spans="7:10" hidden="1" x14ac:dyDescent="0.25">
      <c r="G15444" s="286"/>
      <c r="H15444" s="604"/>
      <c r="I15444" s="605"/>
      <c r="J15444" s="605"/>
    </row>
    <row r="15445" spans="7:10" hidden="1" x14ac:dyDescent="0.25">
      <c r="G15445" s="286"/>
      <c r="H15445" s="604"/>
      <c r="I15445" s="605"/>
      <c r="J15445" s="605"/>
    </row>
    <row r="15446" spans="7:10" hidden="1" x14ac:dyDescent="0.25">
      <c r="G15446" s="286"/>
      <c r="H15446" s="604"/>
      <c r="I15446" s="605"/>
      <c r="J15446" s="605"/>
    </row>
    <row r="15447" spans="7:10" hidden="1" x14ac:dyDescent="0.25">
      <c r="G15447" s="286"/>
      <c r="H15447" s="604"/>
      <c r="I15447" s="605"/>
      <c r="J15447" s="605"/>
    </row>
    <row r="15448" spans="7:10" hidden="1" x14ac:dyDescent="0.25">
      <c r="G15448" s="286"/>
      <c r="H15448" s="604"/>
      <c r="I15448" s="605"/>
      <c r="J15448" s="605"/>
    </row>
    <row r="15449" spans="7:10" hidden="1" x14ac:dyDescent="0.25">
      <c r="G15449" s="286"/>
      <c r="H15449" s="604"/>
      <c r="I15449" s="605"/>
      <c r="J15449" s="605"/>
    </row>
    <row r="15450" spans="7:10" hidden="1" x14ac:dyDescent="0.25">
      <c r="G15450" s="286"/>
      <c r="H15450" s="604"/>
      <c r="I15450" s="605"/>
      <c r="J15450" s="605"/>
    </row>
    <row r="15451" spans="7:10" hidden="1" x14ac:dyDescent="0.25">
      <c r="G15451" s="286"/>
      <c r="H15451" s="604"/>
      <c r="I15451" s="605"/>
      <c r="J15451" s="605"/>
    </row>
    <row r="15452" spans="7:10" hidden="1" x14ac:dyDescent="0.25">
      <c r="G15452" s="286"/>
      <c r="H15452" s="604"/>
      <c r="I15452" s="605"/>
      <c r="J15452" s="605"/>
    </row>
    <row r="15453" spans="7:10" hidden="1" x14ac:dyDescent="0.25">
      <c r="G15453" s="286"/>
      <c r="H15453" s="604"/>
      <c r="I15453" s="605"/>
      <c r="J15453" s="605"/>
    </row>
    <row r="15454" spans="7:10" hidden="1" x14ac:dyDescent="0.25">
      <c r="G15454" s="286"/>
      <c r="H15454" s="604"/>
      <c r="I15454" s="605"/>
      <c r="J15454" s="605"/>
    </row>
    <row r="15455" spans="7:10" hidden="1" x14ac:dyDescent="0.25">
      <c r="G15455" s="286"/>
      <c r="H15455" s="604"/>
      <c r="I15455" s="605"/>
      <c r="J15455" s="605"/>
    </row>
    <row r="15456" spans="7:10" hidden="1" x14ac:dyDescent="0.25">
      <c r="G15456" s="286"/>
      <c r="H15456" s="604"/>
      <c r="I15456" s="605"/>
      <c r="J15456" s="605"/>
    </row>
    <row r="15457" spans="7:10" hidden="1" x14ac:dyDescent="0.25">
      <c r="G15457" s="286"/>
      <c r="H15457" s="604"/>
      <c r="I15457" s="605"/>
      <c r="J15457" s="605"/>
    </row>
    <row r="15458" spans="7:10" hidden="1" x14ac:dyDescent="0.25">
      <c r="G15458" s="286"/>
      <c r="H15458" s="604"/>
      <c r="I15458" s="605"/>
      <c r="J15458" s="605"/>
    </row>
    <row r="15459" spans="7:10" hidden="1" x14ac:dyDescent="0.25">
      <c r="G15459" s="286"/>
      <c r="H15459" s="604"/>
      <c r="I15459" s="605"/>
      <c r="J15459" s="605"/>
    </row>
    <row r="15460" spans="7:10" hidden="1" x14ac:dyDescent="0.25">
      <c r="G15460" s="286"/>
      <c r="H15460" s="604"/>
      <c r="I15460" s="605"/>
      <c r="J15460" s="605"/>
    </row>
    <row r="15461" spans="7:10" hidden="1" x14ac:dyDescent="0.25">
      <c r="G15461" s="286"/>
      <c r="H15461" s="604"/>
      <c r="I15461" s="605"/>
      <c r="J15461" s="605"/>
    </row>
    <row r="15462" spans="7:10" hidden="1" x14ac:dyDescent="0.25">
      <c r="G15462" s="286"/>
      <c r="H15462" s="604"/>
      <c r="I15462" s="605"/>
      <c r="J15462" s="605"/>
    </row>
    <row r="15463" spans="7:10" hidden="1" x14ac:dyDescent="0.25">
      <c r="G15463" s="286"/>
      <c r="H15463" s="604"/>
      <c r="I15463" s="605"/>
      <c r="J15463" s="605"/>
    </row>
    <row r="15464" spans="7:10" hidden="1" x14ac:dyDescent="0.25">
      <c r="G15464" s="286"/>
      <c r="H15464" s="604"/>
      <c r="I15464" s="605"/>
      <c r="J15464" s="605"/>
    </row>
    <row r="15465" spans="7:10" hidden="1" x14ac:dyDescent="0.25">
      <c r="G15465" s="286"/>
      <c r="H15465" s="604"/>
      <c r="I15465" s="605"/>
      <c r="J15465" s="605"/>
    </row>
    <row r="15466" spans="7:10" hidden="1" x14ac:dyDescent="0.25">
      <c r="G15466" s="286"/>
      <c r="H15466" s="604"/>
      <c r="I15466" s="605"/>
      <c r="J15466" s="605"/>
    </row>
    <row r="15467" spans="7:10" hidden="1" x14ac:dyDescent="0.25">
      <c r="G15467" s="286"/>
      <c r="H15467" s="604"/>
      <c r="I15467" s="605"/>
      <c r="J15467" s="605"/>
    </row>
    <row r="15468" spans="7:10" hidden="1" x14ac:dyDescent="0.25">
      <c r="G15468" s="286"/>
      <c r="H15468" s="604"/>
      <c r="I15468" s="605"/>
      <c r="J15468" s="605"/>
    </row>
    <row r="15469" spans="7:10" hidden="1" x14ac:dyDescent="0.25">
      <c r="G15469" s="286"/>
      <c r="H15469" s="604"/>
      <c r="I15469" s="605"/>
      <c r="J15469" s="605"/>
    </row>
    <row r="15470" spans="7:10" hidden="1" x14ac:dyDescent="0.25">
      <c r="G15470" s="286"/>
      <c r="H15470" s="604"/>
      <c r="I15470" s="605"/>
      <c r="J15470" s="605"/>
    </row>
    <row r="15471" spans="7:10" hidden="1" x14ac:dyDescent="0.25">
      <c r="G15471" s="286"/>
      <c r="H15471" s="604"/>
      <c r="I15471" s="605"/>
      <c r="J15471" s="605"/>
    </row>
    <row r="15472" spans="7:10" hidden="1" x14ac:dyDescent="0.25">
      <c r="G15472" s="286"/>
      <c r="H15472" s="604"/>
      <c r="I15472" s="605"/>
      <c r="J15472" s="605"/>
    </row>
    <row r="15473" spans="7:10" hidden="1" x14ac:dyDescent="0.25">
      <c r="G15473" s="286"/>
      <c r="H15473" s="604"/>
      <c r="I15473" s="605"/>
      <c r="J15473" s="605"/>
    </row>
    <row r="15474" spans="7:10" hidden="1" x14ac:dyDescent="0.25">
      <c r="G15474" s="286"/>
      <c r="H15474" s="604"/>
      <c r="I15474" s="605"/>
      <c r="J15474" s="605"/>
    </row>
    <row r="15475" spans="7:10" hidden="1" x14ac:dyDescent="0.25">
      <c r="G15475" s="286"/>
      <c r="H15475" s="604"/>
      <c r="I15475" s="605"/>
      <c r="J15475" s="605"/>
    </row>
    <row r="15476" spans="7:10" hidden="1" x14ac:dyDescent="0.25">
      <c r="G15476" s="286"/>
      <c r="H15476" s="604"/>
      <c r="I15476" s="605"/>
      <c r="J15476" s="605"/>
    </row>
    <row r="15477" spans="7:10" hidden="1" x14ac:dyDescent="0.25">
      <c r="G15477" s="286"/>
      <c r="H15477" s="604"/>
      <c r="I15477" s="605"/>
      <c r="J15477" s="605"/>
    </row>
    <row r="15478" spans="7:10" hidden="1" x14ac:dyDescent="0.25">
      <c r="G15478" s="286"/>
      <c r="H15478" s="604"/>
      <c r="I15478" s="605"/>
      <c r="J15478" s="605"/>
    </row>
    <row r="15479" spans="7:10" hidden="1" x14ac:dyDescent="0.25">
      <c r="G15479" s="286"/>
      <c r="H15479" s="604"/>
      <c r="I15479" s="605"/>
      <c r="J15479" s="605"/>
    </row>
    <row r="15480" spans="7:10" hidden="1" x14ac:dyDescent="0.25">
      <c r="G15480" s="286"/>
      <c r="H15480" s="604"/>
      <c r="I15480" s="605"/>
      <c r="J15480" s="605"/>
    </row>
    <row r="15481" spans="7:10" hidden="1" x14ac:dyDescent="0.25">
      <c r="G15481" s="286"/>
      <c r="H15481" s="604"/>
      <c r="I15481" s="605"/>
      <c r="J15481" s="605"/>
    </row>
    <row r="15482" spans="7:10" hidden="1" x14ac:dyDescent="0.25">
      <c r="G15482" s="286"/>
      <c r="H15482" s="604"/>
      <c r="I15482" s="605"/>
      <c r="J15482" s="605"/>
    </row>
    <row r="15483" spans="7:10" hidden="1" x14ac:dyDescent="0.25">
      <c r="G15483" s="286"/>
      <c r="H15483" s="604"/>
      <c r="I15483" s="605"/>
      <c r="J15483" s="605"/>
    </row>
    <row r="15484" spans="7:10" hidden="1" x14ac:dyDescent="0.25">
      <c r="G15484" s="286"/>
      <c r="H15484" s="604"/>
      <c r="I15484" s="605"/>
      <c r="J15484" s="605"/>
    </row>
    <row r="15485" spans="7:10" hidden="1" x14ac:dyDescent="0.25">
      <c r="G15485" s="286"/>
      <c r="H15485" s="604"/>
      <c r="I15485" s="605"/>
      <c r="J15485" s="605"/>
    </row>
    <row r="15486" spans="7:10" hidden="1" x14ac:dyDescent="0.25">
      <c r="G15486" s="286"/>
      <c r="H15486" s="604"/>
      <c r="I15486" s="605"/>
      <c r="J15486" s="605"/>
    </row>
    <row r="15487" spans="7:10" hidden="1" x14ac:dyDescent="0.25">
      <c r="G15487" s="286"/>
      <c r="H15487" s="604"/>
      <c r="I15487" s="605"/>
      <c r="J15487" s="605"/>
    </row>
    <row r="15488" spans="7:10" hidden="1" x14ac:dyDescent="0.25">
      <c r="G15488" s="286"/>
      <c r="H15488" s="604"/>
      <c r="I15488" s="605"/>
      <c r="J15488" s="605"/>
    </row>
    <row r="15489" spans="7:10" hidden="1" x14ac:dyDescent="0.25">
      <c r="G15489" s="286"/>
      <c r="H15489" s="604"/>
      <c r="I15489" s="605"/>
      <c r="J15489" s="605"/>
    </row>
    <row r="15490" spans="7:10" hidden="1" x14ac:dyDescent="0.25">
      <c r="G15490" s="286"/>
      <c r="H15490" s="604"/>
      <c r="I15490" s="605"/>
      <c r="J15490" s="605"/>
    </row>
    <row r="15491" spans="7:10" hidden="1" x14ac:dyDescent="0.25">
      <c r="G15491" s="286"/>
      <c r="H15491" s="604"/>
      <c r="I15491" s="605"/>
      <c r="J15491" s="605"/>
    </row>
    <row r="15492" spans="7:10" hidden="1" x14ac:dyDescent="0.25">
      <c r="G15492" s="286"/>
      <c r="H15492" s="604"/>
      <c r="I15492" s="605"/>
      <c r="J15492" s="605"/>
    </row>
    <row r="15493" spans="7:10" hidden="1" x14ac:dyDescent="0.25">
      <c r="G15493" s="286"/>
      <c r="H15493" s="604"/>
      <c r="I15493" s="605"/>
      <c r="J15493" s="605"/>
    </row>
    <row r="15494" spans="7:10" hidden="1" x14ac:dyDescent="0.25">
      <c r="G15494" s="286"/>
      <c r="H15494" s="604"/>
      <c r="I15494" s="605"/>
      <c r="J15494" s="605"/>
    </row>
    <row r="15495" spans="7:10" hidden="1" x14ac:dyDescent="0.25">
      <c r="G15495" s="286"/>
      <c r="H15495" s="604"/>
      <c r="I15495" s="605"/>
      <c r="J15495" s="605"/>
    </row>
    <row r="15496" spans="7:10" hidden="1" x14ac:dyDescent="0.25">
      <c r="G15496" s="286"/>
      <c r="H15496" s="604"/>
      <c r="I15496" s="605"/>
      <c r="J15496" s="605"/>
    </row>
    <row r="15497" spans="7:10" hidden="1" x14ac:dyDescent="0.25">
      <c r="G15497" s="286"/>
      <c r="H15497" s="604"/>
      <c r="I15497" s="605"/>
      <c r="J15497" s="605"/>
    </row>
    <row r="15498" spans="7:10" hidden="1" x14ac:dyDescent="0.25">
      <c r="G15498" s="286"/>
      <c r="H15498" s="604"/>
      <c r="I15498" s="605"/>
      <c r="J15498" s="605"/>
    </row>
    <row r="15499" spans="7:10" hidden="1" x14ac:dyDescent="0.25">
      <c r="G15499" s="286"/>
      <c r="H15499" s="604"/>
      <c r="I15499" s="605"/>
      <c r="J15499" s="605"/>
    </row>
    <row r="15500" spans="7:10" hidden="1" x14ac:dyDescent="0.25">
      <c r="G15500" s="286"/>
      <c r="H15500" s="604"/>
      <c r="I15500" s="605"/>
      <c r="J15500" s="605"/>
    </row>
    <row r="15501" spans="7:10" hidden="1" x14ac:dyDescent="0.25">
      <c r="G15501" s="286"/>
      <c r="H15501" s="604"/>
      <c r="I15501" s="605"/>
      <c r="J15501" s="605"/>
    </row>
    <row r="15502" spans="7:10" hidden="1" x14ac:dyDescent="0.25">
      <c r="G15502" s="286"/>
      <c r="H15502" s="604"/>
      <c r="I15502" s="605"/>
      <c r="J15502" s="605"/>
    </row>
    <row r="15503" spans="7:10" hidden="1" x14ac:dyDescent="0.25">
      <c r="G15503" s="286"/>
      <c r="H15503" s="604"/>
      <c r="I15503" s="605"/>
      <c r="J15503" s="605"/>
    </row>
    <row r="15504" spans="7:10" hidden="1" x14ac:dyDescent="0.25">
      <c r="G15504" s="286"/>
      <c r="H15504" s="604"/>
      <c r="I15504" s="605"/>
      <c r="J15504" s="605"/>
    </row>
    <row r="15505" spans="5:10" hidden="1" x14ac:dyDescent="0.25">
      <c r="G15505" s="286"/>
      <c r="H15505" s="604"/>
      <c r="I15505" s="605"/>
      <c r="J15505" s="605"/>
    </row>
    <row r="15506" spans="5:10" hidden="1" x14ac:dyDescent="0.25">
      <c r="G15506" s="286"/>
      <c r="H15506" s="604"/>
      <c r="I15506" s="605"/>
      <c r="J15506" s="605"/>
    </row>
    <row r="15507" spans="5:10" hidden="1" x14ac:dyDescent="0.25">
      <c r="G15507" s="286"/>
      <c r="H15507" s="604"/>
      <c r="I15507" s="605"/>
      <c r="J15507" s="605"/>
    </row>
    <row r="15508" spans="5:10" hidden="1" x14ac:dyDescent="0.25">
      <c r="G15508" s="286"/>
      <c r="H15508" s="604"/>
      <c r="I15508" s="605"/>
      <c r="J15508" s="605"/>
    </row>
    <row r="15509" spans="5:10" hidden="1" x14ac:dyDescent="0.25">
      <c r="G15509" s="286"/>
      <c r="H15509" s="604"/>
      <c r="I15509" s="605"/>
      <c r="J15509" s="605"/>
    </row>
    <row r="15510" spans="5:10" hidden="1" x14ac:dyDescent="0.25">
      <c r="G15510" s="286"/>
      <c r="H15510" s="604"/>
      <c r="I15510" s="605"/>
      <c r="J15510" s="605"/>
    </row>
    <row r="15511" spans="5:10" hidden="1" x14ac:dyDescent="0.25">
      <c r="G15511" s="286"/>
      <c r="H15511" s="604"/>
      <c r="I15511" s="605"/>
      <c r="J15511" s="605"/>
    </row>
    <row r="15512" spans="5:10" x14ac:dyDescent="0.25">
      <c r="E15512" s="517"/>
      <c r="F15512" s="528"/>
      <c r="G15512" s="250" t="s">
        <v>4330</v>
      </c>
      <c r="H15512" s="606"/>
      <c r="I15512" s="624"/>
      <c r="J15512" s="607"/>
    </row>
    <row r="15513" spans="5:10" ht="15.75" thickBot="1" x14ac:dyDescent="0.3">
      <c r="E15513" s="222"/>
      <c r="F15513" s="642" t="s">
        <v>234</v>
      </c>
      <c r="G15513" s="643" t="s">
        <v>235</v>
      </c>
      <c r="H15513" s="598">
        <f>SUM(H15441,H15342,H15243,H15144,H15045,H14946,H14847,H14709,H14610,H14313,H14214,H14115,H14016)</f>
        <v>109282000</v>
      </c>
      <c r="I15513" s="599"/>
      <c r="J15513" s="599">
        <f t="shared" ref="J15513:J15528" si="475">SUM(H15513:I15513)</f>
        <v>109282000</v>
      </c>
    </row>
    <row r="15514" spans="5:10" hidden="1" x14ac:dyDescent="0.25">
      <c r="F15514" s="642" t="s">
        <v>236</v>
      </c>
      <c r="G15514" s="643" t="s">
        <v>237</v>
      </c>
      <c r="J15514" s="599">
        <f t="shared" si="475"/>
        <v>0</v>
      </c>
    </row>
    <row r="15515" spans="5:10" hidden="1" x14ac:dyDescent="0.25">
      <c r="F15515" s="642" t="s">
        <v>238</v>
      </c>
      <c r="G15515" s="643" t="s">
        <v>239</v>
      </c>
      <c r="J15515" s="599">
        <f t="shared" si="475"/>
        <v>0</v>
      </c>
    </row>
    <row r="15516" spans="5:10" hidden="1" x14ac:dyDescent="0.25">
      <c r="F15516" s="642" t="s">
        <v>240</v>
      </c>
      <c r="G15516" s="643" t="s">
        <v>241</v>
      </c>
      <c r="J15516" s="599">
        <f t="shared" si="475"/>
        <v>0</v>
      </c>
    </row>
    <row r="15517" spans="5:10" hidden="1" x14ac:dyDescent="0.25">
      <c r="F15517" s="642" t="s">
        <v>242</v>
      </c>
      <c r="G15517" s="643" t="s">
        <v>243</v>
      </c>
      <c r="J15517" s="599">
        <f t="shared" si="475"/>
        <v>0</v>
      </c>
    </row>
    <row r="15518" spans="5:10" hidden="1" x14ac:dyDescent="0.25">
      <c r="F15518" s="642" t="s">
        <v>244</v>
      </c>
      <c r="G15518" s="643" t="s">
        <v>245</v>
      </c>
      <c r="J15518" s="599">
        <f t="shared" si="475"/>
        <v>0</v>
      </c>
    </row>
    <row r="15519" spans="5:10" hidden="1" x14ac:dyDescent="0.25">
      <c r="F15519" s="642" t="s">
        <v>246</v>
      </c>
      <c r="G15519" s="643" t="s">
        <v>247</v>
      </c>
      <c r="J15519" s="599">
        <f t="shared" si="475"/>
        <v>0</v>
      </c>
    </row>
    <row r="15520" spans="5:10" hidden="1" x14ac:dyDescent="0.25">
      <c r="F15520" s="642" t="s">
        <v>248</v>
      </c>
      <c r="G15520" s="643" t="s">
        <v>249</v>
      </c>
      <c r="J15520" s="599">
        <f t="shared" si="475"/>
        <v>0</v>
      </c>
    </row>
    <row r="15521" spans="6:10" hidden="1" x14ac:dyDescent="0.25">
      <c r="F15521" s="642" t="s">
        <v>250</v>
      </c>
      <c r="G15521" s="643" t="s">
        <v>57</v>
      </c>
      <c r="J15521" s="599">
        <f t="shared" si="475"/>
        <v>0</v>
      </c>
    </row>
    <row r="15522" spans="6:10" hidden="1" x14ac:dyDescent="0.25">
      <c r="F15522" s="642" t="s">
        <v>251</v>
      </c>
      <c r="G15522" s="643" t="s">
        <v>252</v>
      </c>
      <c r="J15522" s="599">
        <f t="shared" si="475"/>
        <v>0</v>
      </c>
    </row>
    <row r="15523" spans="6:10" hidden="1" x14ac:dyDescent="0.25">
      <c r="F15523" s="642" t="s">
        <v>253</v>
      </c>
      <c r="G15523" s="643" t="s">
        <v>254</v>
      </c>
      <c r="J15523" s="599">
        <f t="shared" si="475"/>
        <v>0</v>
      </c>
    </row>
    <row r="15524" spans="6:10" ht="30" hidden="1" x14ac:dyDescent="0.25">
      <c r="F15524" s="642" t="s">
        <v>255</v>
      </c>
      <c r="G15524" s="643" t="s">
        <v>256</v>
      </c>
      <c r="J15524" s="599">
        <f t="shared" si="475"/>
        <v>0</v>
      </c>
    </row>
    <row r="15525" spans="6:10" hidden="1" x14ac:dyDescent="0.25">
      <c r="F15525" s="642" t="s">
        <v>257</v>
      </c>
      <c r="G15525" s="643" t="s">
        <v>258</v>
      </c>
      <c r="J15525" s="599">
        <f t="shared" si="475"/>
        <v>0</v>
      </c>
    </row>
    <row r="15526" spans="6:10" ht="30" hidden="1" x14ac:dyDescent="0.25">
      <c r="F15526" s="642" t="s">
        <v>259</v>
      </c>
      <c r="G15526" s="643" t="s">
        <v>260</v>
      </c>
      <c r="J15526" s="599">
        <f t="shared" si="475"/>
        <v>0</v>
      </c>
    </row>
    <row r="15527" spans="6:10" hidden="1" x14ac:dyDescent="0.25">
      <c r="F15527" s="642" t="s">
        <v>261</v>
      </c>
      <c r="G15527" s="643" t="s">
        <v>262</v>
      </c>
      <c r="J15527" s="599">
        <f t="shared" si="475"/>
        <v>0</v>
      </c>
    </row>
    <row r="15528" spans="6:10" ht="15.75" hidden="1" thickBot="1" x14ac:dyDescent="0.3">
      <c r="F15528" s="642" t="s">
        <v>263</v>
      </c>
      <c r="G15528" s="643" t="s">
        <v>264</v>
      </c>
      <c r="H15528" s="598"/>
      <c r="I15528" s="599"/>
      <c r="J15528" s="599">
        <f t="shared" si="475"/>
        <v>0</v>
      </c>
    </row>
    <row r="15529" spans="6:10" ht="15.75" thickBot="1" x14ac:dyDescent="0.3">
      <c r="G15529" s="229" t="s">
        <v>4331</v>
      </c>
      <c r="H15529" s="600">
        <f>SUM(H15513:H15528)</f>
        <v>109282000</v>
      </c>
      <c r="I15529" s="601">
        <f>SUM(I15514:I15528)</f>
        <v>0</v>
      </c>
      <c r="J15529" s="601">
        <f>SUM(J15513:J15528)</f>
        <v>109282000</v>
      </c>
    </row>
    <row r="15530" spans="6:10" x14ac:dyDescent="0.25">
      <c r="G15530" s="286"/>
      <c r="H15530" s="604"/>
      <c r="I15530" s="605"/>
      <c r="J15530" s="605"/>
    </row>
    <row r="15531" spans="6:10" hidden="1" x14ac:dyDescent="0.25">
      <c r="G15531" s="286"/>
      <c r="H15531" s="604"/>
      <c r="I15531" s="605"/>
      <c r="J15531" s="605"/>
    </row>
    <row r="15532" spans="6:10" hidden="1" x14ac:dyDescent="0.25">
      <c r="G15532" s="286"/>
      <c r="H15532" s="604"/>
      <c r="I15532" s="605"/>
      <c r="J15532" s="605"/>
    </row>
    <row r="15533" spans="6:10" hidden="1" x14ac:dyDescent="0.25">
      <c r="G15533" s="286"/>
      <c r="H15533" s="604"/>
      <c r="I15533" s="605"/>
      <c r="J15533" s="605"/>
    </row>
    <row r="15534" spans="6:10" hidden="1" x14ac:dyDescent="0.25">
      <c r="G15534" s="286"/>
      <c r="H15534" s="604"/>
      <c r="I15534" s="605"/>
      <c r="J15534" s="605"/>
    </row>
    <row r="15535" spans="6:10" hidden="1" x14ac:dyDescent="0.25">
      <c r="G15535" s="286"/>
      <c r="H15535" s="604"/>
      <c r="I15535" s="605"/>
      <c r="J15535" s="605"/>
    </row>
    <row r="15536" spans="6:10" hidden="1" x14ac:dyDescent="0.25">
      <c r="G15536" s="286"/>
      <c r="H15536" s="604"/>
      <c r="I15536" s="605"/>
      <c r="J15536" s="605"/>
    </row>
    <row r="15537" spans="5:10" x14ac:dyDescent="0.25">
      <c r="E15537" s="517"/>
      <c r="F15537" s="528"/>
      <c r="G15537" s="250" t="s">
        <v>4480</v>
      </c>
      <c r="H15537" s="606"/>
      <c r="I15537" s="624"/>
      <c r="J15537" s="607"/>
    </row>
    <row r="15538" spans="5:10" ht="15.75" thickBot="1" x14ac:dyDescent="0.3">
      <c r="E15538" s="222"/>
      <c r="F15538" s="642" t="s">
        <v>234</v>
      </c>
      <c r="G15538" s="643" t="s">
        <v>235</v>
      </c>
      <c r="H15538" s="598">
        <f>SUM(H15513,H14197,H13383)</f>
        <v>109282000</v>
      </c>
      <c r="I15538" s="599"/>
      <c r="J15538" s="599">
        <f t="shared" ref="J15538:J15553" si="476">SUM(H15538:I15538)</f>
        <v>109282000</v>
      </c>
    </row>
    <row r="15539" spans="5:10" hidden="1" x14ac:dyDescent="0.25">
      <c r="F15539" s="642" t="s">
        <v>236</v>
      </c>
      <c r="G15539" s="643" t="s">
        <v>237</v>
      </c>
      <c r="J15539" s="599">
        <f t="shared" si="476"/>
        <v>0</v>
      </c>
    </row>
    <row r="15540" spans="5:10" hidden="1" x14ac:dyDescent="0.25">
      <c r="F15540" s="642" t="s">
        <v>238</v>
      </c>
      <c r="G15540" s="643" t="s">
        <v>239</v>
      </c>
      <c r="J15540" s="599">
        <f t="shared" si="476"/>
        <v>0</v>
      </c>
    </row>
    <row r="15541" spans="5:10" hidden="1" x14ac:dyDescent="0.25">
      <c r="F15541" s="642" t="s">
        <v>240</v>
      </c>
      <c r="G15541" s="643" t="s">
        <v>241</v>
      </c>
      <c r="J15541" s="599">
        <f t="shared" si="476"/>
        <v>0</v>
      </c>
    </row>
    <row r="15542" spans="5:10" hidden="1" x14ac:dyDescent="0.25">
      <c r="F15542" s="642" t="s">
        <v>242</v>
      </c>
      <c r="G15542" s="643" t="s">
        <v>243</v>
      </c>
      <c r="J15542" s="599">
        <f t="shared" si="476"/>
        <v>0</v>
      </c>
    </row>
    <row r="15543" spans="5:10" hidden="1" x14ac:dyDescent="0.25">
      <c r="F15543" s="642" t="s">
        <v>244</v>
      </c>
      <c r="G15543" s="643" t="s">
        <v>245</v>
      </c>
      <c r="J15543" s="599">
        <f t="shared" si="476"/>
        <v>0</v>
      </c>
    </row>
    <row r="15544" spans="5:10" hidden="1" x14ac:dyDescent="0.25">
      <c r="F15544" s="642" t="s">
        <v>246</v>
      </c>
      <c r="G15544" s="643" t="s">
        <v>247</v>
      </c>
      <c r="J15544" s="599">
        <f t="shared" si="476"/>
        <v>0</v>
      </c>
    </row>
    <row r="15545" spans="5:10" hidden="1" x14ac:dyDescent="0.25">
      <c r="F15545" s="642" t="s">
        <v>248</v>
      </c>
      <c r="G15545" s="643" t="s">
        <v>249</v>
      </c>
      <c r="J15545" s="599">
        <f t="shared" si="476"/>
        <v>0</v>
      </c>
    </row>
    <row r="15546" spans="5:10" hidden="1" x14ac:dyDescent="0.25">
      <c r="F15546" s="642" t="s">
        <v>250</v>
      </c>
      <c r="G15546" s="643" t="s">
        <v>57</v>
      </c>
      <c r="J15546" s="599">
        <f t="shared" si="476"/>
        <v>0</v>
      </c>
    </row>
    <row r="15547" spans="5:10" hidden="1" x14ac:dyDescent="0.25">
      <c r="F15547" s="642" t="s">
        <v>251</v>
      </c>
      <c r="G15547" s="643" t="s">
        <v>252</v>
      </c>
      <c r="J15547" s="599">
        <f t="shared" si="476"/>
        <v>0</v>
      </c>
    </row>
    <row r="15548" spans="5:10" hidden="1" x14ac:dyDescent="0.25">
      <c r="F15548" s="642" t="s">
        <v>253</v>
      </c>
      <c r="G15548" s="643" t="s">
        <v>254</v>
      </c>
      <c r="J15548" s="599">
        <f t="shared" si="476"/>
        <v>0</v>
      </c>
    </row>
    <row r="15549" spans="5:10" ht="30" hidden="1" x14ac:dyDescent="0.25">
      <c r="F15549" s="642" t="s">
        <v>255</v>
      </c>
      <c r="G15549" s="643" t="s">
        <v>256</v>
      </c>
      <c r="J15549" s="599">
        <f t="shared" si="476"/>
        <v>0</v>
      </c>
    </row>
    <row r="15550" spans="5:10" hidden="1" x14ac:dyDescent="0.25">
      <c r="F15550" s="642" t="s">
        <v>257</v>
      </c>
      <c r="G15550" s="643" t="s">
        <v>258</v>
      </c>
      <c r="J15550" s="599">
        <f t="shared" si="476"/>
        <v>0</v>
      </c>
    </row>
    <row r="15551" spans="5:10" ht="30" hidden="1" x14ac:dyDescent="0.25">
      <c r="F15551" s="642" t="s">
        <v>259</v>
      </c>
      <c r="G15551" s="643" t="s">
        <v>260</v>
      </c>
      <c r="J15551" s="599">
        <f t="shared" si="476"/>
        <v>0</v>
      </c>
    </row>
    <row r="15552" spans="5:10" hidden="1" x14ac:dyDescent="0.25">
      <c r="F15552" s="642" t="s">
        <v>261</v>
      </c>
      <c r="G15552" s="643" t="s">
        <v>262</v>
      </c>
      <c r="J15552" s="599">
        <f t="shared" si="476"/>
        <v>0</v>
      </c>
    </row>
    <row r="15553" spans="6:10" ht="15.75" hidden="1" thickBot="1" x14ac:dyDescent="0.3">
      <c r="F15553" s="642" t="s">
        <v>263</v>
      </c>
      <c r="G15553" s="643" t="s">
        <v>264</v>
      </c>
      <c r="H15553" s="598"/>
      <c r="I15553" s="599"/>
      <c r="J15553" s="599">
        <f t="shared" si="476"/>
        <v>0</v>
      </c>
    </row>
    <row r="15554" spans="6:10" ht="15.75" thickBot="1" x14ac:dyDescent="0.3">
      <c r="G15554" s="229" t="s">
        <v>4481</v>
      </c>
      <c r="H15554" s="600">
        <f>SUM(H15538:H15553)</f>
        <v>109282000</v>
      </c>
      <c r="I15554" s="601">
        <f>SUM(I15539:I15553)</f>
        <v>0</v>
      </c>
      <c r="J15554" s="601">
        <f>SUM(J15538:J15553)</f>
        <v>109282000</v>
      </c>
    </row>
    <row r="15555" spans="6:10" x14ac:dyDescent="0.25">
      <c r="G15555" s="286"/>
      <c r="H15555" s="604"/>
      <c r="I15555" s="605"/>
      <c r="J15555" s="605"/>
    </row>
    <row r="15556" spans="6:10" hidden="1" x14ac:dyDescent="0.25">
      <c r="G15556" s="286"/>
      <c r="H15556" s="604"/>
      <c r="I15556" s="605"/>
      <c r="J15556" s="605"/>
    </row>
    <row r="15557" spans="6:10" hidden="1" x14ac:dyDescent="0.25">
      <c r="G15557" s="286"/>
      <c r="H15557" s="604"/>
      <c r="I15557" s="605"/>
      <c r="J15557" s="605"/>
    </row>
    <row r="15558" spans="6:10" hidden="1" x14ac:dyDescent="0.25">
      <c r="G15558" s="286"/>
      <c r="H15558" s="604"/>
      <c r="I15558" s="605"/>
      <c r="J15558" s="605"/>
    </row>
    <row r="15559" spans="6:10" hidden="1" x14ac:dyDescent="0.25">
      <c r="G15559" s="286"/>
      <c r="H15559" s="604"/>
      <c r="I15559" s="605"/>
      <c r="J15559" s="605"/>
    </row>
    <row r="15560" spans="6:10" hidden="1" x14ac:dyDescent="0.25">
      <c r="G15560" s="286"/>
      <c r="H15560" s="604"/>
      <c r="I15560" s="605"/>
      <c r="J15560" s="605"/>
    </row>
    <row r="15561" spans="6:10" hidden="1" x14ac:dyDescent="0.25">
      <c r="G15561" s="286"/>
      <c r="H15561" s="604"/>
      <c r="I15561" s="605"/>
      <c r="J15561" s="605"/>
    </row>
    <row r="15562" spans="6:10" hidden="1" x14ac:dyDescent="0.25">
      <c r="G15562" s="286"/>
      <c r="H15562" s="604"/>
      <c r="I15562" s="605"/>
      <c r="J15562" s="605"/>
    </row>
    <row r="15563" spans="6:10" hidden="1" x14ac:dyDescent="0.25">
      <c r="G15563" s="286"/>
      <c r="H15563" s="604"/>
      <c r="I15563" s="605"/>
      <c r="J15563" s="605"/>
    </row>
    <row r="15564" spans="6:10" hidden="1" x14ac:dyDescent="0.25">
      <c r="G15564" s="286"/>
      <c r="H15564" s="604"/>
      <c r="I15564" s="605"/>
      <c r="J15564" s="605"/>
    </row>
    <row r="15565" spans="6:10" hidden="1" x14ac:dyDescent="0.25">
      <c r="G15565" s="286"/>
      <c r="H15565" s="604"/>
      <c r="I15565" s="605"/>
      <c r="J15565" s="605"/>
    </row>
    <row r="15566" spans="6:10" hidden="1" x14ac:dyDescent="0.25">
      <c r="G15566" s="286"/>
      <c r="H15566" s="604"/>
      <c r="I15566" s="605"/>
      <c r="J15566" s="605"/>
    </row>
    <row r="15567" spans="6:10" hidden="1" x14ac:dyDescent="0.25">
      <c r="G15567" s="286"/>
      <c r="H15567" s="604"/>
      <c r="I15567" s="605"/>
      <c r="J15567" s="605"/>
    </row>
    <row r="15568" spans="6:10" hidden="1" x14ac:dyDescent="0.25">
      <c r="G15568" s="286"/>
      <c r="H15568" s="604"/>
      <c r="I15568" s="605"/>
      <c r="J15568" s="605"/>
    </row>
    <row r="15569" spans="7:10" hidden="1" x14ac:dyDescent="0.25">
      <c r="G15569" s="286"/>
      <c r="H15569" s="604"/>
      <c r="I15569" s="605"/>
      <c r="J15569" s="605"/>
    </row>
    <row r="15570" spans="7:10" hidden="1" x14ac:dyDescent="0.25">
      <c r="G15570" s="286"/>
      <c r="H15570" s="604"/>
      <c r="I15570" s="605"/>
      <c r="J15570" s="605"/>
    </row>
    <row r="15571" spans="7:10" hidden="1" x14ac:dyDescent="0.25">
      <c r="G15571" s="286"/>
      <c r="H15571" s="604"/>
      <c r="I15571" s="605"/>
      <c r="J15571" s="605"/>
    </row>
    <row r="15572" spans="7:10" hidden="1" x14ac:dyDescent="0.25">
      <c r="G15572" s="286"/>
      <c r="H15572" s="604"/>
      <c r="I15572" s="605"/>
      <c r="J15572" s="605"/>
    </row>
    <row r="15573" spans="7:10" hidden="1" x14ac:dyDescent="0.25">
      <c r="G15573" s="286"/>
      <c r="H15573" s="604"/>
      <c r="I15573" s="605"/>
      <c r="J15573" s="605"/>
    </row>
    <row r="15574" spans="7:10" hidden="1" x14ac:dyDescent="0.25">
      <c r="G15574" s="286"/>
      <c r="H15574" s="604"/>
      <c r="I15574" s="605"/>
      <c r="J15574" s="605"/>
    </row>
    <row r="15575" spans="7:10" hidden="1" x14ac:dyDescent="0.25">
      <c r="G15575" s="286"/>
      <c r="H15575" s="604"/>
      <c r="I15575" s="605"/>
      <c r="J15575" s="605"/>
    </row>
    <row r="15576" spans="7:10" hidden="1" x14ac:dyDescent="0.25">
      <c r="G15576" s="286"/>
      <c r="H15576" s="604"/>
      <c r="I15576" s="605"/>
      <c r="J15576" s="605"/>
    </row>
    <row r="15577" spans="7:10" hidden="1" x14ac:dyDescent="0.25">
      <c r="G15577" s="286"/>
      <c r="H15577" s="604"/>
      <c r="I15577" s="605"/>
      <c r="J15577" s="605"/>
    </row>
    <row r="15578" spans="7:10" hidden="1" x14ac:dyDescent="0.25">
      <c r="G15578" s="286"/>
      <c r="H15578" s="604"/>
      <c r="I15578" s="605"/>
      <c r="J15578" s="605"/>
    </row>
    <row r="15579" spans="7:10" hidden="1" x14ac:dyDescent="0.25">
      <c r="G15579" s="286"/>
      <c r="H15579" s="604"/>
      <c r="I15579" s="605"/>
      <c r="J15579" s="605"/>
    </row>
    <row r="15580" spans="7:10" hidden="1" x14ac:dyDescent="0.25">
      <c r="G15580" s="286"/>
      <c r="H15580" s="604"/>
      <c r="I15580" s="605"/>
      <c r="J15580" s="605"/>
    </row>
    <row r="15581" spans="7:10" hidden="1" x14ac:dyDescent="0.25">
      <c r="G15581" s="286"/>
      <c r="H15581" s="604"/>
      <c r="I15581" s="605"/>
      <c r="J15581" s="605"/>
    </row>
    <row r="15582" spans="7:10" hidden="1" x14ac:dyDescent="0.25">
      <c r="G15582" s="286"/>
      <c r="H15582" s="604"/>
      <c r="I15582" s="605"/>
      <c r="J15582" s="605"/>
    </row>
    <row r="15583" spans="7:10" hidden="1" x14ac:dyDescent="0.25">
      <c r="G15583" s="286"/>
      <c r="H15583" s="604"/>
      <c r="I15583" s="605"/>
      <c r="J15583" s="605"/>
    </row>
    <row r="15584" spans="7:10" hidden="1" x14ac:dyDescent="0.25">
      <c r="G15584" s="286"/>
      <c r="H15584" s="604"/>
      <c r="I15584" s="605"/>
      <c r="J15584" s="605"/>
    </row>
    <row r="15585" spans="7:10" hidden="1" x14ac:dyDescent="0.25">
      <c r="G15585" s="286"/>
      <c r="H15585" s="604"/>
      <c r="I15585" s="605"/>
      <c r="J15585" s="605"/>
    </row>
    <row r="15586" spans="7:10" hidden="1" x14ac:dyDescent="0.25">
      <c r="G15586" s="286"/>
      <c r="H15586" s="604"/>
      <c r="I15586" s="605"/>
      <c r="J15586" s="605"/>
    </row>
    <row r="15587" spans="7:10" hidden="1" x14ac:dyDescent="0.25">
      <c r="G15587" s="286"/>
      <c r="H15587" s="604"/>
      <c r="I15587" s="605"/>
      <c r="J15587" s="605"/>
    </row>
    <row r="15588" spans="7:10" hidden="1" x14ac:dyDescent="0.25">
      <c r="G15588" s="286"/>
      <c r="H15588" s="604"/>
      <c r="I15588" s="605"/>
      <c r="J15588" s="605"/>
    </row>
    <row r="15589" spans="7:10" hidden="1" x14ac:dyDescent="0.25">
      <c r="G15589" s="286"/>
      <c r="H15589" s="604"/>
      <c r="I15589" s="605"/>
      <c r="J15589" s="605"/>
    </row>
    <row r="15590" spans="7:10" hidden="1" x14ac:dyDescent="0.25">
      <c r="G15590" s="286"/>
      <c r="H15590" s="604"/>
      <c r="I15590" s="605"/>
      <c r="J15590" s="605"/>
    </row>
    <row r="15591" spans="7:10" hidden="1" x14ac:dyDescent="0.25">
      <c r="G15591" s="286"/>
      <c r="H15591" s="604"/>
      <c r="I15591" s="605"/>
      <c r="J15591" s="605"/>
    </row>
    <row r="15592" spans="7:10" hidden="1" x14ac:dyDescent="0.25">
      <c r="G15592" s="286"/>
      <c r="H15592" s="604"/>
      <c r="I15592" s="605"/>
      <c r="J15592" s="605"/>
    </row>
    <row r="15593" spans="7:10" hidden="1" x14ac:dyDescent="0.25">
      <c r="G15593" s="286"/>
      <c r="H15593" s="604"/>
      <c r="I15593" s="605"/>
      <c r="J15593" s="605"/>
    </row>
    <row r="15594" spans="7:10" hidden="1" x14ac:dyDescent="0.25">
      <c r="G15594" s="286"/>
      <c r="H15594" s="604"/>
      <c r="I15594" s="605"/>
      <c r="J15594" s="605"/>
    </row>
    <row r="15595" spans="7:10" hidden="1" x14ac:dyDescent="0.25">
      <c r="G15595" s="286"/>
      <c r="H15595" s="604"/>
      <c r="I15595" s="605"/>
      <c r="J15595" s="605"/>
    </row>
    <row r="15596" spans="7:10" hidden="1" x14ac:dyDescent="0.25">
      <c r="G15596" s="286"/>
      <c r="H15596" s="604"/>
      <c r="I15596" s="605"/>
      <c r="J15596" s="605"/>
    </row>
    <row r="15597" spans="7:10" hidden="1" x14ac:dyDescent="0.25">
      <c r="G15597" s="286"/>
      <c r="H15597" s="604"/>
      <c r="I15597" s="605"/>
      <c r="J15597" s="605"/>
    </row>
    <row r="15598" spans="7:10" hidden="1" x14ac:dyDescent="0.25">
      <c r="G15598" s="286"/>
      <c r="H15598" s="604"/>
      <c r="I15598" s="605"/>
      <c r="J15598" s="605"/>
    </row>
    <row r="15599" spans="7:10" hidden="1" x14ac:dyDescent="0.25">
      <c r="G15599" s="286"/>
      <c r="H15599" s="604"/>
      <c r="I15599" s="605"/>
      <c r="J15599" s="605"/>
    </row>
    <row r="15600" spans="7:10" hidden="1" x14ac:dyDescent="0.25">
      <c r="G15600" s="286"/>
      <c r="H15600" s="604"/>
      <c r="I15600" s="605"/>
      <c r="J15600" s="605"/>
    </row>
    <row r="15601" spans="7:10" hidden="1" x14ac:dyDescent="0.25">
      <c r="G15601" s="286"/>
      <c r="H15601" s="604"/>
      <c r="I15601" s="605"/>
      <c r="J15601" s="605"/>
    </row>
    <row r="15602" spans="7:10" hidden="1" x14ac:dyDescent="0.25">
      <c r="G15602" s="286"/>
      <c r="H15602" s="604"/>
      <c r="I15602" s="605"/>
      <c r="J15602" s="605"/>
    </row>
    <row r="15603" spans="7:10" hidden="1" x14ac:dyDescent="0.25">
      <c r="G15603" s="286"/>
      <c r="H15603" s="604"/>
      <c r="I15603" s="605"/>
      <c r="J15603" s="605"/>
    </row>
    <row r="15604" spans="7:10" hidden="1" x14ac:dyDescent="0.25">
      <c r="G15604" s="286"/>
      <c r="H15604" s="604"/>
      <c r="I15604" s="605"/>
      <c r="J15604" s="605"/>
    </row>
    <row r="15605" spans="7:10" hidden="1" x14ac:dyDescent="0.25">
      <c r="G15605" s="286"/>
      <c r="H15605" s="604"/>
      <c r="I15605" s="605"/>
      <c r="J15605" s="605"/>
    </row>
    <row r="15606" spans="7:10" hidden="1" x14ac:dyDescent="0.25">
      <c r="G15606" s="286"/>
      <c r="H15606" s="604"/>
      <c r="I15606" s="605"/>
      <c r="J15606" s="605"/>
    </row>
    <row r="15607" spans="7:10" hidden="1" x14ac:dyDescent="0.25">
      <c r="G15607" s="286"/>
      <c r="H15607" s="604"/>
      <c r="I15607" s="605"/>
      <c r="J15607" s="605"/>
    </row>
    <row r="15608" spans="7:10" hidden="1" x14ac:dyDescent="0.25">
      <c r="G15608" s="286"/>
      <c r="H15608" s="604"/>
      <c r="I15608" s="605"/>
      <c r="J15608" s="605"/>
    </row>
    <row r="15609" spans="7:10" hidden="1" x14ac:dyDescent="0.25">
      <c r="G15609" s="286"/>
      <c r="H15609" s="604"/>
      <c r="I15609" s="605"/>
      <c r="J15609" s="605"/>
    </row>
    <row r="15610" spans="7:10" hidden="1" x14ac:dyDescent="0.25">
      <c r="G15610" s="286"/>
      <c r="H15610" s="604"/>
      <c r="I15610" s="605"/>
      <c r="J15610" s="605"/>
    </row>
    <row r="15611" spans="7:10" hidden="1" x14ac:dyDescent="0.25">
      <c r="G15611" s="286"/>
      <c r="H15611" s="604"/>
      <c r="I15611" s="605"/>
      <c r="J15611" s="605"/>
    </row>
    <row r="15612" spans="7:10" hidden="1" x14ac:dyDescent="0.25">
      <c r="G15612" s="286"/>
      <c r="H15612" s="604"/>
      <c r="I15612" s="605"/>
      <c r="J15612" s="605"/>
    </row>
    <row r="15613" spans="7:10" hidden="1" x14ac:dyDescent="0.25">
      <c r="G15613" s="286"/>
      <c r="H15613" s="604"/>
      <c r="I15613" s="605"/>
      <c r="J15613" s="605"/>
    </row>
    <row r="15614" spans="7:10" hidden="1" x14ac:dyDescent="0.25">
      <c r="G15614" s="286"/>
      <c r="H15614" s="604"/>
      <c r="I15614" s="605"/>
      <c r="J15614" s="605"/>
    </row>
    <row r="15615" spans="7:10" hidden="1" x14ac:dyDescent="0.25">
      <c r="G15615" s="286"/>
      <c r="H15615" s="604"/>
      <c r="I15615" s="605"/>
      <c r="J15615" s="605"/>
    </row>
    <row r="15616" spans="7:10" hidden="1" x14ac:dyDescent="0.25">
      <c r="G15616" s="286"/>
      <c r="H15616" s="604"/>
      <c r="I15616" s="605"/>
      <c r="J15616" s="605"/>
    </row>
    <row r="15617" spans="7:10" hidden="1" x14ac:dyDescent="0.25">
      <c r="G15617" s="286"/>
      <c r="H15617" s="604"/>
      <c r="I15617" s="605"/>
      <c r="J15617" s="605"/>
    </row>
    <row r="15618" spans="7:10" hidden="1" x14ac:dyDescent="0.25">
      <c r="G15618" s="286"/>
      <c r="H15618" s="604"/>
      <c r="I15618" s="605"/>
      <c r="J15618" s="605"/>
    </row>
    <row r="15619" spans="7:10" hidden="1" x14ac:dyDescent="0.25">
      <c r="G15619" s="286"/>
      <c r="H15619" s="604"/>
      <c r="I15619" s="605"/>
      <c r="J15619" s="605"/>
    </row>
    <row r="15620" spans="7:10" hidden="1" x14ac:dyDescent="0.25">
      <c r="G15620" s="286"/>
      <c r="H15620" s="604"/>
      <c r="I15620" s="605"/>
      <c r="J15620" s="605"/>
    </row>
    <row r="15621" spans="7:10" hidden="1" x14ac:dyDescent="0.25">
      <c r="G15621" s="286"/>
      <c r="H15621" s="604"/>
      <c r="I15621" s="605"/>
      <c r="J15621" s="605"/>
    </row>
    <row r="15622" spans="7:10" hidden="1" x14ac:dyDescent="0.25">
      <c r="G15622" s="286"/>
      <c r="H15622" s="604"/>
      <c r="I15622" s="605"/>
      <c r="J15622" s="605"/>
    </row>
    <row r="15623" spans="7:10" hidden="1" x14ac:dyDescent="0.25">
      <c r="G15623" s="286"/>
      <c r="H15623" s="604"/>
      <c r="I15623" s="605"/>
      <c r="J15623" s="605"/>
    </row>
    <row r="15624" spans="7:10" hidden="1" x14ac:dyDescent="0.25">
      <c r="G15624" s="286"/>
      <c r="H15624" s="604"/>
      <c r="I15624" s="605"/>
      <c r="J15624" s="605"/>
    </row>
    <row r="15625" spans="7:10" hidden="1" x14ac:dyDescent="0.25">
      <c r="G15625" s="286"/>
      <c r="H15625" s="604"/>
      <c r="I15625" s="605"/>
      <c r="J15625" s="605"/>
    </row>
    <row r="15626" spans="7:10" hidden="1" x14ac:dyDescent="0.25">
      <c r="G15626" s="286"/>
      <c r="H15626" s="604"/>
      <c r="I15626" s="605"/>
      <c r="J15626" s="605"/>
    </row>
    <row r="15627" spans="7:10" hidden="1" x14ac:dyDescent="0.25">
      <c r="G15627" s="286"/>
      <c r="H15627" s="604"/>
      <c r="I15627" s="605"/>
      <c r="J15627" s="605"/>
    </row>
    <row r="15628" spans="7:10" hidden="1" x14ac:dyDescent="0.25">
      <c r="G15628" s="286"/>
      <c r="H15628" s="604"/>
      <c r="I15628" s="605"/>
      <c r="J15628" s="605"/>
    </row>
    <row r="15629" spans="7:10" hidden="1" x14ac:dyDescent="0.25">
      <c r="G15629" s="286"/>
      <c r="H15629" s="604"/>
      <c r="I15629" s="605"/>
      <c r="J15629" s="605"/>
    </row>
    <row r="15630" spans="7:10" hidden="1" x14ac:dyDescent="0.25">
      <c r="G15630" s="286"/>
      <c r="H15630" s="604"/>
      <c r="I15630" s="605"/>
      <c r="J15630" s="605"/>
    </row>
    <row r="15631" spans="7:10" hidden="1" x14ac:dyDescent="0.25">
      <c r="G15631" s="286"/>
      <c r="H15631" s="604"/>
      <c r="I15631" s="605"/>
      <c r="J15631" s="605"/>
    </row>
    <row r="15632" spans="7:10" hidden="1" x14ac:dyDescent="0.25">
      <c r="G15632" s="286"/>
      <c r="H15632" s="604"/>
      <c r="I15632" s="605"/>
      <c r="J15632" s="605"/>
    </row>
    <row r="15633" spans="1:10" hidden="1" x14ac:dyDescent="0.25">
      <c r="A15633" s="266"/>
      <c r="B15633" s="266"/>
      <c r="C15633" s="515"/>
      <c r="D15633" s="266"/>
      <c r="E15633" s="266"/>
      <c r="F15633" s="266"/>
      <c r="G15633" s="525"/>
      <c r="H15633" s="619"/>
      <c r="I15633" s="610"/>
      <c r="J15633" s="610"/>
    </row>
    <row r="15634" spans="1:10" hidden="1" x14ac:dyDescent="0.25">
      <c r="A15634" s="266"/>
      <c r="B15634" s="266"/>
      <c r="C15634" s="515"/>
      <c r="D15634" s="266"/>
      <c r="E15634" s="266"/>
      <c r="F15634" s="266"/>
      <c r="G15634" s="525"/>
      <c r="H15634" s="619"/>
      <c r="I15634" s="610"/>
      <c r="J15634" s="610"/>
    </row>
    <row r="15635" spans="1:10" hidden="1" x14ac:dyDescent="0.25">
      <c r="A15635" s="279"/>
      <c r="B15635" s="487"/>
      <c r="C15635" s="84"/>
      <c r="D15635" s="84"/>
      <c r="E15635" s="84"/>
      <c r="F15635" s="84"/>
      <c r="G15635" s="84"/>
      <c r="H15635" s="84"/>
      <c r="I15635" s="84"/>
      <c r="J15635" s="84"/>
    </row>
    <row r="15636" spans="1:10" ht="16.5" hidden="1" customHeight="1" x14ac:dyDescent="0.25">
      <c r="C15636" s="84"/>
      <c r="D15636" s="84"/>
      <c r="E15636" s="84"/>
      <c r="F15636" s="84"/>
      <c r="G15636" s="84"/>
      <c r="H15636" s="84"/>
      <c r="I15636" s="84"/>
      <c r="J15636" s="84"/>
    </row>
    <row r="15637" spans="1:10" hidden="1" x14ac:dyDescent="0.25">
      <c r="C15637" s="84"/>
      <c r="D15637" s="84"/>
      <c r="E15637" s="84"/>
      <c r="F15637" s="84"/>
      <c r="G15637" s="84"/>
      <c r="H15637" s="84"/>
      <c r="I15637" s="84"/>
      <c r="J15637" s="84"/>
    </row>
    <row r="15638" spans="1:10" hidden="1" x14ac:dyDescent="0.25">
      <c r="C15638" s="84"/>
      <c r="D15638" s="84"/>
      <c r="E15638" s="84"/>
      <c r="F15638" s="84"/>
      <c r="G15638" s="84"/>
      <c r="H15638" s="84"/>
      <c r="I15638" s="84"/>
      <c r="J15638" s="84"/>
    </row>
    <row r="15639" spans="1:10" hidden="1" x14ac:dyDescent="0.25">
      <c r="C15639" s="84"/>
      <c r="D15639" s="84"/>
      <c r="E15639" s="84"/>
      <c r="F15639" s="84"/>
      <c r="G15639" s="84"/>
      <c r="H15639" s="84"/>
      <c r="I15639" s="84"/>
      <c r="J15639" s="84"/>
    </row>
    <row r="15640" spans="1:10" hidden="1" x14ac:dyDescent="0.25">
      <c r="C15640" s="84"/>
      <c r="D15640" s="84"/>
      <c r="E15640" s="84"/>
      <c r="F15640" s="84"/>
      <c r="G15640" s="84"/>
      <c r="H15640" s="84"/>
      <c r="I15640" s="84"/>
      <c r="J15640" s="84"/>
    </row>
    <row r="15641" spans="1:10" hidden="1" x14ac:dyDescent="0.25">
      <c r="C15641" s="84"/>
      <c r="D15641" s="84"/>
      <c r="E15641" s="84"/>
      <c r="F15641" s="84"/>
      <c r="G15641" s="84"/>
      <c r="H15641" s="84"/>
      <c r="I15641" s="84"/>
      <c r="J15641" s="84"/>
    </row>
    <row r="15642" spans="1:10" hidden="1" x14ac:dyDescent="0.25">
      <c r="C15642" s="84"/>
      <c r="D15642" s="84"/>
      <c r="E15642" s="84"/>
      <c r="F15642" s="84"/>
      <c r="G15642" s="84"/>
      <c r="H15642" s="84"/>
      <c r="I15642" s="84"/>
      <c r="J15642" s="84"/>
    </row>
    <row r="15643" spans="1:10" hidden="1" x14ac:dyDescent="0.25">
      <c r="C15643" s="84"/>
      <c r="D15643" s="84"/>
      <c r="E15643" s="84"/>
      <c r="F15643" s="84"/>
      <c r="G15643" s="84"/>
      <c r="H15643" s="84"/>
      <c r="I15643" s="84"/>
      <c r="J15643" s="84"/>
    </row>
    <row r="15644" spans="1:10" hidden="1" x14ac:dyDescent="0.25">
      <c r="C15644" s="84"/>
      <c r="D15644" s="84"/>
      <c r="E15644" s="84"/>
      <c r="F15644" s="84"/>
      <c r="G15644" s="84"/>
      <c r="H15644" s="84"/>
      <c r="I15644" s="84"/>
      <c r="J15644" s="84"/>
    </row>
    <row r="15645" spans="1:10" hidden="1" x14ac:dyDescent="0.25">
      <c r="C15645" s="84"/>
      <c r="D15645" s="84"/>
      <c r="E15645" s="84"/>
      <c r="F15645" s="84"/>
      <c r="G15645" s="84"/>
      <c r="H15645" s="84"/>
      <c r="I15645" s="84"/>
      <c r="J15645" s="84"/>
    </row>
    <row r="15646" spans="1:10" hidden="1" x14ac:dyDescent="0.25">
      <c r="C15646" s="84"/>
      <c r="D15646" s="84"/>
      <c r="E15646" s="84"/>
      <c r="F15646" s="84"/>
      <c r="G15646" s="84"/>
      <c r="H15646" s="84"/>
      <c r="I15646" s="84"/>
      <c r="J15646" s="84"/>
    </row>
    <row r="15647" spans="1:10" hidden="1" x14ac:dyDescent="0.25">
      <c r="C15647" s="84"/>
      <c r="D15647" s="84"/>
      <c r="E15647" s="84"/>
      <c r="F15647" s="84"/>
      <c r="G15647" s="84"/>
      <c r="H15647" s="84"/>
      <c r="I15647" s="84"/>
      <c r="J15647" s="84"/>
    </row>
    <row r="15648" spans="1:10" hidden="1" x14ac:dyDescent="0.25">
      <c r="C15648" s="84"/>
      <c r="D15648" s="84"/>
      <c r="E15648" s="84"/>
      <c r="F15648" s="84"/>
      <c r="G15648" s="84"/>
      <c r="H15648" s="84"/>
      <c r="I15648" s="84"/>
      <c r="J15648" s="84"/>
    </row>
    <row r="15649" spans="3:10" hidden="1" x14ac:dyDescent="0.25">
      <c r="C15649" s="84"/>
      <c r="D15649" s="84"/>
      <c r="E15649" s="84"/>
      <c r="F15649" s="84"/>
      <c r="G15649" s="84"/>
      <c r="H15649" s="84"/>
      <c r="I15649" s="84"/>
      <c r="J15649" s="84"/>
    </row>
    <row r="15650" spans="3:10" hidden="1" x14ac:dyDescent="0.25">
      <c r="C15650" s="84"/>
      <c r="D15650" s="84"/>
      <c r="E15650" s="84"/>
      <c r="F15650" s="84"/>
      <c r="G15650" s="84"/>
      <c r="H15650" s="84"/>
      <c r="I15650" s="84"/>
      <c r="J15650" s="84"/>
    </row>
    <row r="15651" spans="3:10" hidden="1" x14ac:dyDescent="0.25">
      <c r="C15651" s="84"/>
      <c r="D15651" s="84"/>
      <c r="E15651" s="84"/>
      <c r="F15651" s="84"/>
      <c r="G15651" s="84"/>
      <c r="H15651" s="84"/>
      <c r="I15651" s="84"/>
      <c r="J15651" s="84"/>
    </row>
    <row r="15652" spans="3:10" hidden="1" x14ac:dyDescent="0.25">
      <c r="C15652" s="84"/>
      <c r="D15652" s="84"/>
      <c r="E15652" s="84"/>
      <c r="F15652" s="84"/>
      <c r="G15652" s="84"/>
      <c r="H15652" s="84"/>
      <c r="I15652" s="84"/>
      <c r="J15652" s="84"/>
    </row>
    <row r="15653" spans="3:10" hidden="1" x14ac:dyDescent="0.25">
      <c r="C15653" s="84"/>
      <c r="D15653" s="84"/>
      <c r="E15653" s="84"/>
      <c r="F15653" s="84"/>
      <c r="G15653" s="84"/>
      <c r="H15653" s="84"/>
      <c r="I15653" s="84"/>
      <c r="J15653" s="84"/>
    </row>
    <row r="15654" spans="3:10" hidden="1" x14ac:dyDescent="0.25">
      <c r="C15654" s="84"/>
      <c r="D15654" s="84"/>
      <c r="E15654" s="84"/>
      <c r="F15654" s="84"/>
      <c r="G15654" s="84"/>
      <c r="H15654" s="84"/>
      <c r="I15654" s="84"/>
      <c r="J15654" s="84"/>
    </row>
    <row r="15655" spans="3:10" hidden="1" x14ac:dyDescent="0.25">
      <c r="C15655" s="84"/>
      <c r="D15655" s="84"/>
      <c r="E15655" s="84"/>
      <c r="F15655" s="84"/>
      <c r="G15655" s="84"/>
      <c r="H15655" s="84"/>
      <c r="I15655" s="84"/>
      <c r="J15655" s="84"/>
    </row>
    <row r="15656" spans="3:10" hidden="1" x14ac:dyDescent="0.25">
      <c r="C15656" s="84"/>
      <c r="D15656" s="84"/>
      <c r="E15656" s="84"/>
      <c r="F15656" s="84"/>
      <c r="G15656" s="84"/>
      <c r="H15656" s="84"/>
      <c r="I15656" s="84"/>
      <c r="J15656" s="84"/>
    </row>
    <row r="15657" spans="3:10" hidden="1" x14ac:dyDescent="0.25">
      <c r="C15657" s="84"/>
      <c r="D15657" s="84"/>
      <c r="E15657" s="84"/>
      <c r="F15657" s="84"/>
      <c r="G15657" s="84"/>
      <c r="H15657" s="84"/>
      <c r="I15657" s="84"/>
      <c r="J15657" s="84"/>
    </row>
    <row r="15658" spans="3:10" hidden="1" x14ac:dyDescent="0.25">
      <c r="C15658" s="84"/>
      <c r="D15658" s="84"/>
      <c r="E15658" s="84"/>
      <c r="F15658" s="84"/>
      <c r="G15658" s="84"/>
      <c r="H15658" s="84"/>
      <c r="I15658" s="84"/>
      <c r="J15658" s="84"/>
    </row>
    <row r="15659" spans="3:10" hidden="1" x14ac:dyDescent="0.25">
      <c r="C15659" s="84"/>
      <c r="D15659" s="84"/>
      <c r="E15659" s="84"/>
      <c r="F15659" s="84"/>
      <c r="G15659" s="84"/>
      <c r="H15659" s="84"/>
      <c r="I15659" s="84"/>
      <c r="J15659" s="84"/>
    </row>
    <row r="15660" spans="3:10" hidden="1" x14ac:dyDescent="0.25">
      <c r="C15660" s="84"/>
      <c r="D15660" s="84"/>
      <c r="E15660" s="84"/>
      <c r="F15660" s="84"/>
      <c r="G15660" s="84"/>
      <c r="H15660" s="84"/>
      <c r="I15660" s="84"/>
      <c r="J15660" s="84"/>
    </row>
    <row r="15661" spans="3:10" hidden="1" x14ac:dyDescent="0.25">
      <c r="C15661" s="84"/>
      <c r="D15661" s="84"/>
      <c r="E15661" s="84"/>
      <c r="F15661" s="84"/>
      <c r="G15661" s="84"/>
      <c r="H15661" s="84"/>
      <c r="I15661" s="84"/>
      <c r="J15661" s="84"/>
    </row>
    <row r="15662" spans="3:10" hidden="1" x14ac:dyDescent="0.25">
      <c r="C15662" s="84"/>
      <c r="D15662" s="84"/>
      <c r="E15662" s="84"/>
      <c r="F15662" s="84"/>
      <c r="G15662" s="84"/>
      <c r="H15662" s="84"/>
      <c r="I15662" s="84"/>
      <c r="J15662" s="84"/>
    </row>
    <row r="15663" spans="3:10" ht="19.5" hidden="1" customHeight="1" x14ac:dyDescent="0.25">
      <c r="C15663" s="84"/>
      <c r="D15663" s="84"/>
      <c r="E15663" s="84"/>
      <c r="F15663" s="84"/>
      <c r="G15663" s="84"/>
      <c r="H15663" s="84"/>
      <c r="I15663" s="84"/>
      <c r="J15663" s="84"/>
    </row>
    <row r="15664" spans="3:10" hidden="1" x14ac:dyDescent="0.25">
      <c r="C15664" s="84"/>
      <c r="D15664" s="84"/>
      <c r="E15664" s="84"/>
      <c r="F15664" s="84"/>
      <c r="G15664" s="84"/>
      <c r="H15664" s="84"/>
      <c r="I15664" s="84"/>
      <c r="J15664" s="84"/>
    </row>
    <row r="15665" spans="3:10" hidden="1" x14ac:dyDescent="0.25">
      <c r="C15665" s="84"/>
      <c r="D15665" s="84"/>
      <c r="E15665" s="84"/>
      <c r="F15665" s="84"/>
      <c r="G15665" s="84"/>
      <c r="H15665" s="84"/>
      <c r="I15665" s="84"/>
      <c r="J15665" s="84"/>
    </row>
    <row r="15666" spans="3:10" hidden="1" x14ac:dyDescent="0.25">
      <c r="C15666" s="84"/>
      <c r="D15666" s="84"/>
      <c r="E15666" s="84"/>
      <c r="F15666" s="84"/>
      <c r="G15666" s="84"/>
      <c r="H15666" s="84"/>
      <c r="I15666" s="84"/>
      <c r="J15666" s="84"/>
    </row>
    <row r="15667" spans="3:10" hidden="1" x14ac:dyDescent="0.25">
      <c r="C15667" s="84"/>
      <c r="D15667" s="84"/>
      <c r="E15667" s="84"/>
      <c r="F15667" s="84"/>
      <c r="G15667" s="84"/>
      <c r="H15667" s="84"/>
      <c r="I15667" s="84"/>
      <c r="J15667" s="84"/>
    </row>
    <row r="15668" spans="3:10" hidden="1" x14ac:dyDescent="0.25">
      <c r="C15668" s="84"/>
      <c r="D15668" s="84"/>
      <c r="E15668" s="84"/>
      <c r="F15668" s="84"/>
      <c r="G15668" s="84"/>
      <c r="H15668" s="84"/>
      <c r="I15668" s="84"/>
      <c r="J15668" s="84"/>
    </row>
    <row r="15669" spans="3:10" hidden="1" x14ac:dyDescent="0.25">
      <c r="C15669" s="84"/>
      <c r="D15669" s="84"/>
      <c r="E15669" s="84"/>
      <c r="F15669" s="84"/>
      <c r="G15669" s="84"/>
      <c r="H15669" s="84"/>
      <c r="I15669" s="84"/>
      <c r="J15669" s="84"/>
    </row>
    <row r="15670" spans="3:10" hidden="1" x14ac:dyDescent="0.25">
      <c r="C15670" s="84"/>
      <c r="D15670" s="84"/>
      <c r="E15670" s="84"/>
      <c r="F15670" s="84"/>
      <c r="G15670" s="84"/>
      <c r="H15670" s="84"/>
      <c r="I15670" s="84"/>
      <c r="J15670" s="84"/>
    </row>
    <row r="15671" spans="3:10" hidden="1" x14ac:dyDescent="0.25">
      <c r="C15671" s="84"/>
      <c r="D15671" s="84"/>
      <c r="E15671" s="84"/>
      <c r="F15671" s="84"/>
      <c r="G15671" s="84"/>
      <c r="H15671" s="84"/>
      <c r="I15671" s="84"/>
      <c r="J15671" s="84"/>
    </row>
    <row r="15672" spans="3:10" hidden="1" x14ac:dyDescent="0.25">
      <c r="C15672" s="84"/>
      <c r="D15672" s="84"/>
      <c r="E15672" s="84"/>
      <c r="F15672" s="84"/>
      <c r="G15672" s="84"/>
      <c r="H15672" s="84"/>
      <c r="I15672" s="84"/>
      <c r="J15672" s="84"/>
    </row>
    <row r="15673" spans="3:10" hidden="1" x14ac:dyDescent="0.25">
      <c r="C15673" s="84"/>
      <c r="D15673" s="84"/>
      <c r="E15673" s="84"/>
      <c r="F15673" s="84"/>
      <c r="G15673" s="84"/>
      <c r="H15673" s="84"/>
      <c r="I15673" s="84"/>
      <c r="J15673" s="84"/>
    </row>
    <row r="15674" spans="3:10" hidden="1" x14ac:dyDescent="0.25">
      <c r="C15674" s="84"/>
      <c r="D15674" s="84"/>
      <c r="E15674" s="84"/>
      <c r="F15674" s="84"/>
      <c r="G15674" s="84"/>
      <c r="H15674" s="84"/>
      <c r="I15674" s="84"/>
      <c r="J15674" s="84"/>
    </row>
    <row r="15675" spans="3:10" hidden="1" x14ac:dyDescent="0.25">
      <c r="C15675" s="84"/>
      <c r="D15675" s="84"/>
      <c r="E15675" s="84"/>
      <c r="F15675" s="84"/>
      <c r="G15675" s="84"/>
      <c r="H15675" s="84"/>
      <c r="I15675" s="84"/>
      <c r="J15675" s="84"/>
    </row>
    <row r="15676" spans="3:10" hidden="1" x14ac:dyDescent="0.25">
      <c r="C15676" s="84"/>
      <c r="D15676" s="84"/>
      <c r="E15676" s="84"/>
      <c r="F15676" s="84"/>
      <c r="G15676" s="84"/>
      <c r="H15676" s="84"/>
      <c r="I15676" s="84"/>
      <c r="J15676" s="84"/>
    </row>
    <row r="15677" spans="3:10" hidden="1" x14ac:dyDescent="0.25">
      <c r="C15677" s="84"/>
      <c r="D15677" s="84"/>
      <c r="E15677" s="84"/>
      <c r="F15677" s="84"/>
      <c r="G15677" s="84"/>
      <c r="H15677" s="84"/>
      <c r="I15677" s="84"/>
      <c r="J15677" s="84"/>
    </row>
    <row r="15678" spans="3:10" hidden="1" x14ac:dyDescent="0.25">
      <c r="C15678" s="84"/>
      <c r="D15678" s="84"/>
      <c r="E15678" s="84"/>
      <c r="F15678" s="84"/>
      <c r="G15678" s="84"/>
      <c r="H15678" s="84"/>
      <c r="I15678" s="84"/>
      <c r="J15678" s="84"/>
    </row>
    <row r="15679" spans="3:10" hidden="1" x14ac:dyDescent="0.25">
      <c r="C15679" s="84"/>
      <c r="D15679" s="84"/>
      <c r="E15679" s="84"/>
      <c r="F15679" s="84"/>
      <c r="G15679" s="84"/>
      <c r="H15679" s="84"/>
      <c r="I15679" s="84"/>
      <c r="J15679" s="84"/>
    </row>
    <row r="15680" spans="3:10" hidden="1" x14ac:dyDescent="0.25">
      <c r="C15680" s="84"/>
      <c r="D15680" s="84"/>
      <c r="E15680" s="84"/>
      <c r="F15680" s="84"/>
      <c r="G15680" s="84"/>
      <c r="H15680" s="84"/>
      <c r="I15680" s="84"/>
      <c r="J15680" s="84"/>
    </row>
    <row r="15681" spans="3:10" hidden="1" x14ac:dyDescent="0.25">
      <c r="C15681" s="84"/>
      <c r="D15681" s="84"/>
      <c r="E15681" s="84"/>
      <c r="F15681" s="84"/>
      <c r="G15681" s="84"/>
      <c r="H15681" s="84"/>
      <c r="I15681" s="84"/>
      <c r="J15681" s="84"/>
    </row>
    <row r="15682" spans="3:10" hidden="1" x14ac:dyDescent="0.25">
      <c r="C15682" s="84"/>
      <c r="D15682" s="84"/>
      <c r="E15682" s="84"/>
      <c r="F15682" s="84"/>
      <c r="G15682" s="84"/>
      <c r="H15682" s="84"/>
      <c r="I15682" s="84"/>
      <c r="J15682" s="84"/>
    </row>
    <row r="15683" spans="3:10" hidden="1" x14ac:dyDescent="0.25">
      <c r="C15683" s="84"/>
      <c r="D15683" s="84"/>
      <c r="E15683" s="84"/>
      <c r="F15683" s="84"/>
      <c r="G15683" s="84"/>
      <c r="H15683" s="84"/>
      <c r="I15683" s="84"/>
      <c r="J15683" s="84"/>
    </row>
    <row r="15684" spans="3:10" hidden="1" x14ac:dyDescent="0.25">
      <c r="C15684" s="84"/>
      <c r="D15684" s="84"/>
      <c r="E15684" s="84"/>
      <c r="F15684" s="84"/>
      <c r="G15684" s="84"/>
      <c r="H15684" s="84"/>
      <c r="I15684" s="84"/>
      <c r="J15684" s="84"/>
    </row>
    <row r="15685" spans="3:10" hidden="1" x14ac:dyDescent="0.25">
      <c r="C15685" s="84"/>
      <c r="D15685" s="84"/>
      <c r="E15685" s="84"/>
      <c r="F15685" s="84"/>
      <c r="G15685" s="84"/>
      <c r="H15685" s="84"/>
      <c r="I15685" s="84"/>
      <c r="J15685" s="84"/>
    </row>
    <row r="15686" spans="3:10" hidden="1" x14ac:dyDescent="0.25">
      <c r="C15686" s="84"/>
      <c r="D15686" s="84"/>
      <c r="E15686" s="84"/>
      <c r="F15686" s="84"/>
      <c r="G15686" s="84"/>
      <c r="H15686" s="84"/>
      <c r="I15686" s="84"/>
      <c r="J15686" s="84"/>
    </row>
    <row r="15687" spans="3:10" hidden="1" x14ac:dyDescent="0.25">
      <c r="C15687" s="84"/>
      <c r="D15687" s="84"/>
      <c r="E15687" s="84"/>
      <c r="F15687" s="84"/>
      <c r="G15687" s="84"/>
      <c r="H15687" s="84"/>
      <c r="I15687" s="84"/>
      <c r="J15687" s="84"/>
    </row>
    <row r="15688" spans="3:10" hidden="1" x14ac:dyDescent="0.25">
      <c r="C15688" s="84"/>
      <c r="D15688" s="84"/>
      <c r="E15688" s="84"/>
      <c r="F15688" s="84"/>
      <c r="G15688" s="84"/>
      <c r="H15688" s="84"/>
      <c r="I15688" s="84"/>
      <c r="J15688" s="84"/>
    </row>
    <row r="15689" spans="3:10" hidden="1" x14ac:dyDescent="0.25">
      <c r="C15689" s="84"/>
      <c r="D15689" s="84"/>
      <c r="E15689" s="84"/>
      <c r="F15689" s="84"/>
      <c r="G15689" s="84"/>
      <c r="H15689" s="84"/>
      <c r="I15689" s="84"/>
      <c r="J15689" s="84"/>
    </row>
    <row r="15690" spans="3:10" hidden="1" x14ac:dyDescent="0.25">
      <c r="C15690" s="84"/>
      <c r="D15690" s="84"/>
      <c r="E15690" s="84"/>
      <c r="F15690" s="84"/>
      <c r="G15690" s="84"/>
      <c r="H15690" s="84"/>
      <c r="I15690" s="84"/>
      <c r="J15690" s="84"/>
    </row>
    <row r="15691" spans="3:10" hidden="1" x14ac:dyDescent="0.25">
      <c r="C15691" s="84"/>
      <c r="D15691" s="84"/>
      <c r="E15691" s="84"/>
      <c r="F15691" s="84"/>
      <c r="G15691" s="84"/>
      <c r="H15691" s="84"/>
      <c r="I15691" s="84"/>
      <c r="J15691" s="84"/>
    </row>
    <row r="15692" spans="3:10" hidden="1" x14ac:dyDescent="0.25">
      <c r="C15692" s="84"/>
      <c r="D15692" s="84"/>
      <c r="E15692" s="84"/>
      <c r="F15692" s="84"/>
      <c r="G15692" s="84"/>
      <c r="H15692" s="84"/>
      <c r="I15692" s="84"/>
      <c r="J15692" s="84"/>
    </row>
    <row r="15693" spans="3:10" hidden="1" x14ac:dyDescent="0.25">
      <c r="C15693" s="84"/>
      <c r="D15693" s="84"/>
      <c r="E15693" s="84"/>
      <c r="F15693" s="84"/>
      <c r="G15693" s="84"/>
      <c r="H15693" s="84"/>
      <c r="I15693" s="84"/>
      <c r="J15693" s="84"/>
    </row>
    <row r="15694" spans="3:10" hidden="1" x14ac:dyDescent="0.25">
      <c r="C15694" s="84"/>
      <c r="D15694" s="84"/>
      <c r="E15694" s="84"/>
      <c r="F15694" s="84"/>
      <c r="G15694" s="84"/>
      <c r="H15694" s="84"/>
      <c r="I15694" s="84"/>
      <c r="J15694" s="84"/>
    </row>
    <row r="15695" spans="3:10" hidden="1" x14ac:dyDescent="0.25">
      <c r="C15695" s="84"/>
      <c r="D15695" s="84"/>
      <c r="E15695" s="84"/>
      <c r="F15695" s="84"/>
      <c r="G15695" s="84"/>
      <c r="H15695" s="84"/>
      <c r="I15695" s="84"/>
      <c r="J15695" s="84"/>
    </row>
    <row r="15696" spans="3:10" hidden="1" x14ac:dyDescent="0.25">
      <c r="C15696" s="84"/>
      <c r="D15696" s="84"/>
      <c r="E15696" s="84"/>
      <c r="F15696" s="84"/>
      <c r="G15696" s="84"/>
      <c r="H15696" s="84"/>
      <c r="I15696" s="84"/>
      <c r="J15696" s="84"/>
    </row>
    <row r="15697" spans="3:10" hidden="1" x14ac:dyDescent="0.25">
      <c r="C15697" s="84"/>
      <c r="D15697" s="84"/>
      <c r="E15697" s="84"/>
      <c r="F15697" s="84"/>
      <c r="G15697" s="84"/>
      <c r="H15697" s="84"/>
      <c r="I15697" s="84"/>
      <c r="J15697" s="84"/>
    </row>
    <row r="15698" spans="3:10" hidden="1" x14ac:dyDescent="0.25">
      <c r="C15698" s="84"/>
      <c r="D15698" s="84"/>
      <c r="E15698" s="84"/>
      <c r="F15698" s="84"/>
      <c r="G15698" s="84"/>
      <c r="H15698" s="84"/>
      <c r="I15698" s="84"/>
      <c r="J15698" s="84"/>
    </row>
    <row r="15699" spans="3:10" hidden="1" x14ac:dyDescent="0.25">
      <c r="C15699" s="84"/>
      <c r="D15699" s="84"/>
      <c r="E15699" s="84"/>
      <c r="F15699" s="84"/>
      <c r="G15699" s="84"/>
      <c r="H15699" s="84"/>
      <c r="I15699" s="84"/>
      <c r="J15699" s="84"/>
    </row>
    <row r="15700" spans="3:10" hidden="1" x14ac:dyDescent="0.25">
      <c r="C15700" s="84"/>
      <c r="D15700" s="84"/>
      <c r="E15700" s="84"/>
      <c r="F15700" s="84"/>
      <c r="G15700" s="84"/>
      <c r="H15700" s="84"/>
      <c r="I15700" s="84"/>
      <c r="J15700" s="84"/>
    </row>
    <row r="15701" spans="3:10" hidden="1" x14ac:dyDescent="0.25">
      <c r="C15701" s="84"/>
      <c r="D15701" s="84"/>
      <c r="E15701" s="84"/>
      <c r="F15701" s="84"/>
      <c r="G15701" s="84"/>
      <c r="H15701" s="84"/>
      <c r="I15701" s="84"/>
      <c r="J15701" s="84"/>
    </row>
    <row r="15702" spans="3:10" hidden="1" x14ac:dyDescent="0.25">
      <c r="C15702" s="84"/>
      <c r="D15702" s="84"/>
      <c r="E15702" s="84"/>
      <c r="F15702" s="84"/>
      <c r="G15702" s="84"/>
      <c r="H15702" s="84"/>
      <c r="I15702" s="84"/>
      <c r="J15702" s="84"/>
    </row>
    <row r="15703" spans="3:10" hidden="1" x14ac:dyDescent="0.25">
      <c r="C15703" s="84"/>
      <c r="D15703" s="84"/>
      <c r="E15703" s="84"/>
      <c r="F15703" s="84"/>
      <c r="G15703" s="84"/>
      <c r="H15703" s="84"/>
      <c r="I15703" s="84"/>
      <c r="J15703" s="84"/>
    </row>
    <row r="15704" spans="3:10" hidden="1" x14ac:dyDescent="0.25">
      <c r="C15704" s="84"/>
      <c r="D15704" s="84"/>
      <c r="E15704" s="84"/>
      <c r="F15704" s="84"/>
      <c r="G15704" s="84"/>
      <c r="H15704" s="84"/>
      <c r="I15704" s="84"/>
      <c r="J15704" s="84"/>
    </row>
    <row r="15705" spans="3:10" hidden="1" x14ac:dyDescent="0.25">
      <c r="C15705" s="84"/>
      <c r="D15705" s="84"/>
      <c r="E15705" s="84"/>
      <c r="F15705" s="84"/>
      <c r="G15705" s="84"/>
      <c r="H15705" s="84"/>
      <c r="I15705" s="84"/>
      <c r="J15705" s="84"/>
    </row>
    <row r="15706" spans="3:10" hidden="1" x14ac:dyDescent="0.25">
      <c r="C15706" s="84"/>
      <c r="D15706" s="84"/>
      <c r="E15706" s="84"/>
      <c r="F15706" s="84"/>
      <c r="G15706" s="84"/>
      <c r="H15706" s="84"/>
      <c r="I15706" s="84"/>
      <c r="J15706" s="84"/>
    </row>
    <row r="15707" spans="3:10" hidden="1" x14ac:dyDescent="0.25">
      <c r="C15707" s="84"/>
      <c r="D15707" s="84"/>
      <c r="E15707" s="84"/>
      <c r="F15707" s="84"/>
      <c r="G15707" s="84"/>
      <c r="H15707" s="84"/>
      <c r="I15707" s="84"/>
      <c r="J15707" s="84"/>
    </row>
    <row r="15708" spans="3:10" hidden="1" x14ac:dyDescent="0.25">
      <c r="C15708" s="84"/>
      <c r="D15708" s="84"/>
      <c r="E15708" s="84"/>
      <c r="F15708" s="84"/>
      <c r="G15708" s="84"/>
      <c r="H15708" s="84"/>
      <c r="I15708" s="84"/>
      <c r="J15708" s="84"/>
    </row>
    <row r="15709" spans="3:10" hidden="1" x14ac:dyDescent="0.25">
      <c r="C15709" s="84"/>
      <c r="D15709" s="84"/>
      <c r="E15709" s="84"/>
      <c r="F15709" s="84"/>
      <c r="G15709" s="84"/>
      <c r="H15709" s="84"/>
      <c r="I15709" s="84"/>
      <c r="J15709" s="84"/>
    </row>
    <row r="15710" spans="3:10" hidden="1" x14ac:dyDescent="0.25">
      <c r="C15710" s="84"/>
      <c r="D15710" s="84"/>
      <c r="E15710" s="84"/>
      <c r="F15710" s="84"/>
      <c r="G15710" s="84"/>
      <c r="H15710" s="84"/>
      <c r="I15710" s="84"/>
      <c r="J15710" s="84"/>
    </row>
    <row r="15711" spans="3:10" hidden="1" x14ac:dyDescent="0.25">
      <c r="C15711" s="84"/>
      <c r="D15711" s="84"/>
      <c r="E15711" s="84"/>
      <c r="F15711" s="84"/>
      <c r="G15711" s="84"/>
      <c r="H15711" s="84"/>
      <c r="I15711" s="84"/>
      <c r="J15711" s="84"/>
    </row>
    <row r="15712" spans="3:10" hidden="1" x14ac:dyDescent="0.25">
      <c r="C15712" s="84"/>
      <c r="D15712" s="84"/>
      <c r="E15712" s="84"/>
      <c r="F15712" s="84"/>
      <c r="G15712" s="84"/>
      <c r="H15712" s="84"/>
      <c r="I15712" s="84"/>
      <c r="J15712" s="84"/>
    </row>
    <row r="15713" spans="3:10" hidden="1" x14ac:dyDescent="0.25">
      <c r="C15713" s="84"/>
      <c r="D15713" s="84"/>
      <c r="E15713" s="84"/>
      <c r="F15713" s="84"/>
      <c r="G15713" s="84"/>
      <c r="H15713" s="84"/>
      <c r="I15713" s="84"/>
      <c r="J15713" s="84"/>
    </row>
    <row r="15714" spans="3:10" hidden="1" x14ac:dyDescent="0.25">
      <c r="C15714" s="84"/>
      <c r="D15714" s="84"/>
      <c r="E15714" s="84"/>
      <c r="F15714" s="84"/>
      <c r="G15714" s="84"/>
      <c r="H15714" s="84"/>
      <c r="I15714" s="84"/>
      <c r="J15714" s="84"/>
    </row>
    <row r="15715" spans="3:10" hidden="1" x14ac:dyDescent="0.25">
      <c r="C15715" s="84"/>
      <c r="D15715" s="84"/>
      <c r="E15715" s="84"/>
      <c r="F15715" s="84"/>
      <c r="G15715" s="84"/>
      <c r="H15715" s="84"/>
      <c r="I15715" s="84"/>
      <c r="J15715" s="84"/>
    </row>
    <row r="15716" spans="3:10" hidden="1" x14ac:dyDescent="0.25">
      <c r="C15716" s="84"/>
      <c r="D15716" s="84"/>
      <c r="E15716" s="84"/>
      <c r="F15716" s="84"/>
      <c r="G15716" s="84"/>
      <c r="H15716" s="84"/>
      <c r="I15716" s="84"/>
      <c r="J15716" s="84"/>
    </row>
    <row r="15717" spans="3:10" hidden="1" collapsed="1" x14ac:dyDescent="0.25">
      <c r="C15717" s="84"/>
      <c r="D15717" s="84"/>
      <c r="E15717" s="84"/>
      <c r="F15717" s="84"/>
      <c r="G15717" s="84"/>
      <c r="H15717" s="84"/>
      <c r="I15717" s="84"/>
      <c r="J15717" s="84"/>
    </row>
    <row r="15718" spans="3:10" hidden="1" x14ac:dyDescent="0.25">
      <c r="C15718" s="84"/>
      <c r="D15718" s="84"/>
      <c r="E15718" s="84"/>
      <c r="F15718" s="84"/>
      <c r="G15718" s="84"/>
      <c r="H15718" s="84"/>
      <c r="I15718" s="84"/>
      <c r="J15718" s="84"/>
    </row>
    <row r="15719" spans="3:10" hidden="1" x14ac:dyDescent="0.25">
      <c r="C15719" s="84"/>
      <c r="D15719" s="84"/>
      <c r="E15719" s="84"/>
      <c r="F15719" s="84"/>
      <c r="G15719" s="84"/>
      <c r="H15719" s="84"/>
      <c r="I15719" s="84"/>
      <c r="J15719" s="84"/>
    </row>
    <row r="15720" spans="3:10" hidden="1" x14ac:dyDescent="0.25">
      <c r="C15720" s="84"/>
      <c r="D15720" s="84"/>
      <c r="E15720" s="84"/>
      <c r="F15720" s="84"/>
      <c r="G15720" s="84"/>
      <c r="H15720" s="84"/>
      <c r="I15720" s="84"/>
      <c r="J15720" s="84"/>
    </row>
    <row r="15721" spans="3:10" hidden="1" x14ac:dyDescent="0.25">
      <c r="C15721" s="84"/>
      <c r="D15721" s="84"/>
      <c r="E15721" s="84"/>
      <c r="F15721" s="84"/>
      <c r="G15721" s="84"/>
      <c r="H15721" s="84"/>
      <c r="I15721" s="84"/>
      <c r="J15721" s="84"/>
    </row>
    <row r="15722" spans="3:10" hidden="1" x14ac:dyDescent="0.25">
      <c r="C15722" s="84"/>
      <c r="D15722" s="84"/>
      <c r="E15722" s="84"/>
      <c r="F15722" s="84"/>
      <c r="G15722" s="84"/>
      <c r="H15722" s="84"/>
      <c r="I15722" s="84"/>
      <c r="J15722" s="84"/>
    </row>
    <row r="15723" spans="3:10" hidden="1" x14ac:dyDescent="0.25">
      <c r="C15723" s="84"/>
      <c r="D15723" s="84"/>
      <c r="E15723" s="84"/>
      <c r="F15723" s="84"/>
      <c r="G15723" s="84"/>
      <c r="H15723" s="84"/>
      <c r="I15723" s="84"/>
      <c r="J15723" s="84"/>
    </row>
    <row r="15724" spans="3:10" hidden="1" x14ac:dyDescent="0.25">
      <c r="C15724" s="84"/>
      <c r="D15724" s="84"/>
      <c r="E15724" s="84"/>
      <c r="F15724" s="84"/>
      <c r="G15724" s="84"/>
      <c r="H15724" s="84"/>
      <c r="I15724" s="84"/>
      <c r="J15724" s="84"/>
    </row>
    <row r="15725" spans="3:10" hidden="1" x14ac:dyDescent="0.25">
      <c r="C15725" s="84"/>
      <c r="D15725" s="84"/>
      <c r="E15725" s="84"/>
      <c r="F15725" s="84"/>
      <c r="G15725" s="84"/>
      <c r="H15725" s="84"/>
      <c r="I15725" s="84"/>
      <c r="J15725" s="84"/>
    </row>
    <row r="15726" spans="3:10" hidden="1" x14ac:dyDescent="0.25">
      <c r="C15726" s="84"/>
      <c r="D15726" s="84"/>
      <c r="E15726" s="84"/>
      <c r="F15726" s="84"/>
      <c r="G15726" s="84"/>
      <c r="H15726" s="84"/>
      <c r="I15726" s="84"/>
      <c r="J15726" s="84"/>
    </row>
    <row r="15727" spans="3:10" hidden="1" x14ac:dyDescent="0.25">
      <c r="C15727" s="84"/>
      <c r="D15727" s="84"/>
      <c r="E15727" s="84"/>
      <c r="F15727" s="84"/>
      <c r="G15727" s="84"/>
      <c r="H15727" s="84"/>
      <c r="I15727" s="84"/>
      <c r="J15727" s="84"/>
    </row>
    <row r="15728" spans="3:10" hidden="1" x14ac:dyDescent="0.25">
      <c r="C15728" s="84"/>
      <c r="D15728" s="84"/>
      <c r="E15728" s="84"/>
      <c r="F15728" s="84"/>
      <c r="G15728" s="84"/>
      <c r="H15728" s="84"/>
      <c r="I15728" s="84"/>
      <c r="J15728" s="84"/>
    </row>
    <row r="15729" spans="3:10" hidden="1" x14ac:dyDescent="0.25">
      <c r="C15729" s="84"/>
      <c r="D15729" s="84"/>
      <c r="E15729" s="84"/>
      <c r="F15729" s="84"/>
      <c r="G15729" s="84"/>
      <c r="H15729" s="84"/>
      <c r="I15729" s="84"/>
      <c r="J15729" s="84"/>
    </row>
    <row r="15730" spans="3:10" hidden="1" x14ac:dyDescent="0.25">
      <c r="C15730" s="84"/>
      <c r="D15730" s="84"/>
      <c r="E15730" s="84"/>
      <c r="F15730" s="84"/>
      <c r="G15730" s="84"/>
      <c r="H15730" s="84"/>
      <c r="I15730" s="84"/>
      <c r="J15730" s="84"/>
    </row>
    <row r="15731" spans="3:10" hidden="1" x14ac:dyDescent="0.25">
      <c r="C15731" s="84"/>
      <c r="D15731" s="84"/>
      <c r="E15731" s="84"/>
      <c r="F15731" s="84"/>
      <c r="G15731" s="84"/>
      <c r="H15731" s="84"/>
      <c r="I15731" s="84"/>
      <c r="J15731" s="84"/>
    </row>
    <row r="15732" spans="3:10" hidden="1" x14ac:dyDescent="0.25">
      <c r="C15732" s="84"/>
      <c r="D15732" s="84"/>
      <c r="E15732" s="84"/>
      <c r="F15732" s="84"/>
      <c r="G15732" s="84"/>
      <c r="H15732" s="84"/>
      <c r="I15732" s="84"/>
      <c r="J15732" s="84"/>
    </row>
    <row r="15733" spans="3:10" hidden="1" x14ac:dyDescent="0.25">
      <c r="C15733" s="84"/>
      <c r="D15733" s="84"/>
      <c r="E15733" s="84"/>
      <c r="F15733" s="84"/>
      <c r="G15733" s="84"/>
      <c r="H15733" s="84"/>
      <c r="I15733" s="84"/>
      <c r="J15733" s="84"/>
    </row>
    <row r="15734" spans="3:10" hidden="1" collapsed="1" x14ac:dyDescent="0.25">
      <c r="C15734" s="84"/>
      <c r="D15734" s="84"/>
      <c r="E15734" s="84"/>
      <c r="F15734" s="84"/>
      <c r="G15734" s="84"/>
      <c r="H15734" s="84"/>
      <c r="I15734" s="84"/>
      <c r="J15734" s="84"/>
    </row>
    <row r="15735" spans="3:10" hidden="1" x14ac:dyDescent="0.25">
      <c r="C15735" s="84"/>
      <c r="D15735" s="84"/>
      <c r="E15735" s="84"/>
      <c r="F15735" s="84"/>
      <c r="G15735" s="84"/>
      <c r="H15735" s="84"/>
      <c r="I15735" s="84"/>
      <c r="J15735" s="84"/>
    </row>
    <row r="15736" spans="3:10" hidden="1" x14ac:dyDescent="0.25">
      <c r="C15736" s="84"/>
      <c r="D15736" s="84"/>
      <c r="E15736" s="84"/>
      <c r="F15736" s="84"/>
      <c r="G15736" s="84"/>
      <c r="H15736" s="84"/>
      <c r="I15736" s="84"/>
      <c r="J15736" s="84"/>
    </row>
    <row r="15737" spans="3:10" hidden="1" x14ac:dyDescent="0.25">
      <c r="C15737" s="84"/>
      <c r="D15737" s="84"/>
      <c r="E15737" s="84"/>
      <c r="F15737" s="84"/>
      <c r="G15737" s="84"/>
      <c r="H15737" s="84"/>
      <c r="I15737" s="84"/>
      <c r="J15737" s="84"/>
    </row>
    <row r="15738" spans="3:10" hidden="1" x14ac:dyDescent="0.25">
      <c r="C15738" s="84"/>
      <c r="D15738" s="84"/>
      <c r="E15738" s="84"/>
      <c r="F15738" s="84"/>
      <c r="G15738" s="84"/>
      <c r="H15738" s="84"/>
      <c r="I15738" s="84"/>
      <c r="J15738" s="84"/>
    </row>
    <row r="15739" spans="3:10" hidden="1" x14ac:dyDescent="0.25">
      <c r="C15739" s="84"/>
      <c r="D15739" s="84"/>
      <c r="E15739" s="84"/>
      <c r="F15739" s="84"/>
      <c r="G15739" s="84"/>
      <c r="H15739" s="84"/>
      <c r="I15739" s="84"/>
      <c r="J15739" s="84"/>
    </row>
    <row r="15740" spans="3:10" hidden="1" x14ac:dyDescent="0.25">
      <c r="C15740" s="84"/>
      <c r="D15740" s="84"/>
      <c r="E15740" s="84"/>
      <c r="F15740" s="84"/>
      <c r="G15740" s="84"/>
      <c r="H15740" s="84"/>
      <c r="I15740" s="84"/>
      <c r="J15740" s="84"/>
    </row>
    <row r="15741" spans="3:10" hidden="1" x14ac:dyDescent="0.25">
      <c r="C15741" s="84"/>
      <c r="D15741" s="84"/>
      <c r="E15741" s="84"/>
      <c r="F15741" s="84"/>
      <c r="G15741" s="84"/>
      <c r="H15741" s="84"/>
      <c r="I15741" s="84"/>
      <c r="J15741" s="84"/>
    </row>
    <row r="15742" spans="3:10" hidden="1" x14ac:dyDescent="0.25">
      <c r="C15742" s="84"/>
      <c r="D15742" s="84"/>
      <c r="E15742" s="84"/>
      <c r="F15742" s="84"/>
      <c r="G15742" s="84"/>
      <c r="H15742" s="84"/>
      <c r="I15742" s="84"/>
      <c r="J15742" s="84"/>
    </row>
    <row r="15743" spans="3:10" hidden="1" x14ac:dyDescent="0.25">
      <c r="C15743" s="84"/>
      <c r="D15743" s="84"/>
      <c r="E15743" s="84"/>
      <c r="F15743" s="84"/>
      <c r="G15743" s="84"/>
      <c r="H15743" s="84"/>
      <c r="I15743" s="84"/>
      <c r="J15743" s="84"/>
    </row>
    <row r="15744" spans="3:10" hidden="1" x14ac:dyDescent="0.25">
      <c r="C15744" s="84"/>
      <c r="D15744" s="84"/>
      <c r="E15744" s="84"/>
      <c r="F15744" s="84"/>
      <c r="G15744" s="84"/>
      <c r="H15744" s="84"/>
      <c r="I15744" s="84"/>
      <c r="J15744" s="84"/>
    </row>
    <row r="15745" spans="3:10" hidden="1" x14ac:dyDescent="0.25">
      <c r="C15745" s="84"/>
      <c r="D15745" s="84"/>
      <c r="E15745" s="84"/>
      <c r="F15745" s="84"/>
      <c r="G15745" s="84"/>
      <c r="H15745" s="84"/>
      <c r="I15745" s="84"/>
      <c r="J15745" s="84"/>
    </row>
    <row r="15746" spans="3:10" hidden="1" x14ac:dyDescent="0.25">
      <c r="C15746" s="84"/>
      <c r="D15746" s="84"/>
      <c r="E15746" s="84"/>
      <c r="F15746" s="84"/>
      <c r="G15746" s="84"/>
      <c r="H15746" s="84"/>
      <c r="I15746" s="84"/>
      <c r="J15746" s="84"/>
    </row>
    <row r="15747" spans="3:10" hidden="1" x14ac:dyDescent="0.25">
      <c r="C15747" s="84"/>
      <c r="D15747" s="84"/>
      <c r="E15747" s="84"/>
      <c r="F15747" s="84"/>
      <c r="G15747" s="84"/>
      <c r="H15747" s="84"/>
      <c r="I15747" s="84"/>
      <c r="J15747" s="84"/>
    </row>
    <row r="15748" spans="3:10" hidden="1" x14ac:dyDescent="0.25">
      <c r="C15748" s="84"/>
      <c r="D15748" s="84"/>
      <c r="E15748" s="84"/>
      <c r="F15748" s="84"/>
      <c r="G15748" s="84"/>
      <c r="H15748" s="84"/>
      <c r="I15748" s="84"/>
      <c r="J15748" s="84"/>
    </row>
    <row r="15749" spans="3:10" hidden="1" x14ac:dyDescent="0.25">
      <c r="C15749" s="84"/>
      <c r="D15749" s="84"/>
      <c r="E15749" s="84"/>
      <c r="F15749" s="84"/>
      <c r="G15749" s="84"/>
      <c r="H15749" s="84"/>
      <c r="I15749" s="84"/>
      <c r="J15749" s="84"/>
    </row>
    <row r="15750" spans="3:10" hidden="1" x14ac:dyDescent="0.25">
      <c r="C15750" s="84"/>
      <c r="D15750" s="84"/>
      <c r="E15750" s="84"/>
      <c r="F15750" s="84"/>
      <c r="G15750" s="84"/>
      <c r="H15750" s="84"/>
      <c r="I15750" s="84"/>
      <c r="J15750" s="84"/>
    </row>
    <row r="15751" spans="3:10" hidden="1" x14ac:dyDescent="0.25">
      <c r="C15751" s="84"/>
      <c r="D15751" s="84"/>
      <c r="E15751" s="84"/>
      <c r="F15751" s="84"/>
      <c r="G15751" s="84"/>
      <c r="H15751" s="84"/>
      <c r="I15751" s="84"/>
      <c r="J15751" s="84"/>
    </row>
    <row r="15752" spans="3:10" hidden="1" x14ac:dyDescent="0.25">
      <c r="C15752" s="84"/>
      <c r="D15752" s="84"/>
      <c r="E15752" s="84"/>
      <c r="F15752" s="84"/>
      <c r="G15752" s="84"/>
      <c r="H15752" s="84"/>
      <c r="I15752" s="84"/>
      <c r="J15752" s="84"/>
    </row>
    <row r="15753" spans="3:10" hidden="1" x14ac:dyDescent="0.25">
      <c r="C15753" s="84"/>
      <c r="D15753" s="84"/>
      <c r="E15753" s="84"/>
      <c r="F15753" s="84"/>
      <c r="G15753" s="84"/>
      <c r="H15753" s="84"/>
      <c r="I15753" s="84"/>
      <c r="J15753" s="84"/>
    </row>
    <row r="15754" spans="3:10" hidden="1" x14ac:dyDescent="0.25">
      <c r="C15754" s="84"/>
      <c r="D15754" s="84"/>
      <c r="E15754" s="84"/>
      <c r="F15754" s="84"/>
      <c r="G15754" s="84"/>
      <c r="H15754" s="84"/>
      <c r="I15754" s="84"/>
      <c r="J15754" s="84"/>
    </row>
    <row r="15755" spans="3:10" hidden="1" x14ac:dyDescent="0.25">
      <c r="C15755" s="84"/>
      <c r="D15755" s="84"/>
      <c r="E15755" s="84"/>
      <c r="F15755" s="84"/>
      <c r="G15755" s="84"/>
      <c r="H15755" s="84"/>
      <c r="I15755" s="84"/>
      <c r="J15755" s="84"/>
    </row>
    <row r="15756" spans="3:10" hidden="1" x14ac:dyDescent="0.25">
      <c r="C15756" s="84"/>
      <c r="D15756" s="84"/>
      <c r="E15756" s="84"/>
      <c r="F15756" s="84"/>
      <c r="G15756" s="84"/>
      <c r="H15756" s="84"/>
      <c r="I15756" s="84"/>
      <c r="J15756" s="84"/>
    </row>
    <row r="15757" spans="3:10" hidden="1" x14ac:dyDescent="0.25">
      <c r="C15757" s="84"/>
      <c r="D15757" s="84"/>
      <c r="E15757" s="84"/>
      <c r="F15757" s="84"/>
      <c r="G15757" s="84"/>
      <c r="H15757" s="84"/>
      <c r="I15757" s="84"/>
      <c r="J15757" s="84"/>
    </row>
    <row r="15758" spans="3:10" hidden="1" x14ac:dyDescent="0.25">
      <c r="C15758" s="84"/>
      <c r="D15758" s="84"/>
      <c r="E15758" s="84"/>
      <c r="F15758" s="84"/>
      <c r="G15758" s="84"/>
      <c r="H15758" s="84"/>
      <c r="I15758" s="84"/>
      <c r="J15758" s="84"/>
    </row>
    <row r="15759" spans="3:10" hidden="1" x14ac:dyDescent="0.25">
      <c r="C15759" s="84"/>
      <c r="D15759" s="84"/>
      <c r="E15759" s="84"/>
      <c r="F15759" s="84"/>
      <c r="G15759" s="84"/>
      <c r="H15759" s="84"/>
      <c r="I15759" s="84"/>
      <c r="J15759" s="84"/>
    </row>
    <row r="15760" spans="3:10" hidden="1" x14ac:dyDescent="0.25">
      <c r="C15760" s="84"/>
      <c r="D15760" s="84"/>
      <c r="E15760" s="84"/>
      <c r="F15760" s="84"/>
      <c r="G15760" s="84"/>
      <c r="H15760" s="84"/>
      <c r="I15760" s="84"/>
      <c r="J15760" s="84"/>
    </row>
    <row r="15761" spans="3:10" hidden="1" x14ac:dyDescent="0.25">
      <c r="C15761" s="84"/>
      <c r="D15761" s="84"/>
      <c r="E15761" s="84"/>
      <c r="F15761" s="84"/>
      <c r="G15761" s="84"/>
      <c r="H15761" s="84"/>
      <c r="I15761" s="84"/>
      <c r="J15761" s="84"/>
    </row>
    <row r="15762" spans="3:10" hidden="1" x14ac:dyDescent="0.25">
      <c r="C15762" s="84"/>
      <c r="D15762" s="84"/>
      <c r="E15762" s="84"/>
      <c r="F15762" s="84"/>
      <c r="G15762" s="84"/>
      <c r="H15762" s="84"/>
      <c r="I15762" s="84"/>
      <c r="J15762" s="84"/>
    </row>
    <row r="15763" spans="3:10" hidden="1" x14ac:dyDescent="0.25">
      <c r="C15763" s="84"/>
      <c r="D15763" s="84"/>
      <c r="E15763" s="84"/>
      <c r="F15763" s="84"/>
      <c r="G15763" s="84"/>
      <c r="H15763" s="84"/>
      <c r="I15763" s="84"/>
      <c r="J15763" s="84"/>
    </row>
    <row r="15764" spans="3:10" hidden="1" x14ac:dyDescent="0.25">
      <c r="C15764" s="84"/>
      <c r="D15764" s="84"/>
      <c r="E15764" s="84"/>
      <c r="F15764" s="84"/>
      <c r="G15764" s="84"/>
      <c r="H15764" s="84"/>
      <c r="I15764" s="84"/>
      <c r="J15764" s="84"/>
    </row>
    <row r="15765" spans="3:10" hidden="1" x14ac:dyDescent="0.25">
      <c r="C15765" s="84"/>
      <c r="D15765" s="84"/>
      <c r="E15765" s="84"/>
      <c r="F15765" s="84"/>
      <c r="G15765" s="84"/>
      <c r="H15765" s="84"/>
      <c r="I15765" s="84"/>
      <c r="J15765" s="84"/>
    </row>
    <row r="15766" spans="3:10" hidden="1" x14ac:dyDescent="0.25">
      <c r="C15766" s="84"/>
      <c r="D15766" s="84"/>
      <c r="E15766" s="84"/>
      <c r="F15766" s="84"/>
      <c r="G15766" s="84"/>
      <c r="H15766" s="84"/>
      <c r="I15766" s="84"/>
      <c r="J15766" s="84"/>
    </row>
    <row r="15767" spans="3:10" hidden="1" x14ac:dyDescent="0.25">
      <c r="C15767" s="84"/>
      <c r="D15767" s="84"/>
      <c r="E15767" s="84"/>
      <c r="F15767" s="84"/>
      <c r="G15767" s="84"/>
      <c r="H15767" s="84"/>
      <c r="I15767" s="84"/>
      <c r="J15767" s="84"/>
    </row>
    <row r="15768" spans="3:10" hidden="1" x14ac:dyDescent="0.25">
      <c r="C15768" s="84"/>
      <c r="D15768" s="84"/>
      <c r="E15768" s="84"/>
      <c r="F15768" s="84"/>
      <c r="G15768" s="84"/>
      <c r="H15768" s="84"/>
      <c r="I15768" s="84"/>
      <c r="J15768" s="84"/>
    </row>
    <row r="15769" spans="3:10" hidden="1" x14ac:dyDescent="0.25">
      <c r="C15769" s="84"/>
      <c r="D15769" s="84"/>
      <c r="E15769" s="84"/>
      <c r="F15769" s="84"/>
      <c r="G15769" s="84"/>
      <c r="H15769" s="84"/>
      <c r="I15769" s="84"/>
      <c r="J15769" s="84"/>
    </row>
    <row r="15770" spans="3:10" hidden="1" x14ac:dyDescent="0.25">
      <c r="C15770" s="84"/>
      <c r="D15770" s="84"/>
      <c r="E15770" s="84"/>
      <c r="F15770" s="84"/>
      <c r="G15770" s="84"/>
      <c r="H15770" s="84"/>
      <c r="I15770" s="84"/>
      <c r="J15770" s="84"/>
    </row>
    <row r="15771" spans="3:10" hidden="1" x14ac:dyDescent="0.25">
      <c r="C15771" s="84"/>
      <c r="D15771" s="84"/>
      <c r="E15771" s="84"/>
      <c r="F15771" s="84"/>
      <c r="G15771" s="84"/>
      <c r="H15771" s="84"/>
      <c r="I15771" s="84"/>
      <c r="J15771" s="84"/>
    </row>
    <row r="15772" spans="3:10" hidden="1" x14ac:dyDescent="0.25">
      <c r="C15772" s="84"/>
      <c r="D15772" s="84"/>
      <c r="E15772" s="84"/>
      <c r="F15772" s="84"/>
      <c r="G15772" s="84"/>
      <c r="H15772" s="84"/>
      <c r="I15772" s="84"/>
      <c r="J15772" s="84"/>
    </row>
    <row r="15773" spans="3:10" hidden="1" x14ac:dyDescent="0.25">
      <c r="C15773" s="84"/>
      <c r="D15773" s="84"/>
      <c r="E15773" s="84"/>
      <c r="F15773" s="84"/>
      <c r="G15773" s="84"/>
      <c r="H15773" s="84"/>
      <c r="I15773" s="84"/>
      <c r="J15773" s="84"/>
    </row>
    <row r="15774" spans="3:10" hidden="1" x14ac:dyDescent="0.25">
      <c r="C15774" s="84"/>
      <c r="D15774" s="84"/>
      <c r="E15774" s="84"/>
      <c r="F15774" s="84"/>
      <c r="G15774" s="84"/>
      <c r="H15774" s="84"/>
      <c r="I15774" s="84"/>
      <c r="J15774" s="84"/>
    </row>
    <row r="15775" spans="3:10" hidden="1" x14ac:dyDescent="0.25">
      <c r="C15775" s="84"/>
      <c r="D15775" s="84"/>
      <c r="E15775" s="84"/>
      <c r="F15775" s="84"/>
      <c r="G15775" s="84"/>
      <c r="H15775" s="84"/>
      <c r="I15775" s="84"/>
      <c r="J15775" s="84"/>
    </row>
    <row r="15776" spans="3:10" hidden="1" x14ac:dyDescent="0.25">
      <c r="C15776" s="84"/>
      <c r="D15776" s="84"/>
      <c r="E15776" s="84"/>
      <c r="F15776" s="84"/>
      <c r="G15776" s="84"/>
      <c r="H15776" s="84"/>
      <c r="I15776" s="84"/>
      <c r="J15776" s="84"/>
    </row>
    <row r="15777" spans="3:10" hidden="1" x14ac:dyDescent="0.25">
      <c r="C15777" s="84"/>
      <c r="D15777" s="84"/>
      <c r="E15777" s="84"/>
      <c r="F15777" s="84"/>
      <c r="G15777" s="84"/>
      <c r="H15777" s="84"/>
      <c r="I15777" s="84"/>
      <c r="J15777" s="84"/>
    </row>
    <row r="15778" spans="3:10" hidden="1" x14ac:dyDescent="0.25">
      <c r="C15778" s="84"/>
      <c r="D15778" s="84"/>
      <c r="E15778" s="84"/>
      <c r="F15778" s="84"/>
      <c r="G15778" s="84"/>
      <c r="H15778" s="84"/>
      <c r="I15778" s="84"/>
      <c r="J15778" s="84"/>
    </row>
    <row r="15779" spans="3:10" hidden="1" x14ac:dyDescent="0.25">
      <c r="C15779" s="84"/>
      <c r="D15779" s="84"/>
      <c r="E15779" s="84"/>
      <c r="F15779" s="84"/>
      <c r="G15779" s="84"/>
      <c r="H15779" s="84"/>
      <c r="I15779" s="84"/>
      <c r="J15779" s="84"/>
    </row>
    <row r="15780" spans="3:10" hidden="1" x14ac:dyDescent="0.25">
      <c r="C15780" s="84"/>
      <c r="D15780" s="84"/>
      <c r="E15780" s="84"/>
      <c r="F15780" s="84"/>
      <c r="G15780" s="84"/>
      <c r="H15780" s="84"/>
      <c r="I15780" s="84"/>
      <c r="J15780" s="84"/>
    </row>
    <row r="15781" spans="3:10" hidden="1" x14ac:dyDescent="0.25">
      <c r="C15781" s="84"/>
      <c r="D15781" s="84"/>
      <c r="E15781" s="84"/>
      <c r="F15781" s="84"/>
      <c r="G15781" s="84"/>
      <c r="H15781" s="84"/>
      <c r="I15781" s="84"/>
      <c r="J15781" s="84"/>
    </row>
    <row r="15782" spans="3:10" hidden="1" x14ac:dyDescent="0.25">
      <c r="C15782" s="84"/>
      <c r="D15782" s="84"/>
      <c r="E15782" s="84"/>
      <c r="F15782" s="84"/>
      <c r="G15782" s="84"/>
      <c r="H15782" s="84"/>
      <c r="I15782" s="84"/>
      <c r="J15782" s="84"/>
    </row>
    <row r="15783" spans="3:10" hidden="1" x14ac:dyDescent="0.25">
      <c r="C15783" s="84"/>
      <c r="D15783" s="84"/>
      <c r="E15783" s="84"/>
      <c r="F15783" s="84"/>
      <c r="G15783" s="84"/>
      <c r="H15783" s="84"/>
      <c r="I15783" s="84"/>
      <c r="J15783" s="84"/>
    </row>
    <row r="15784" spans="3:10" hidden="1" x14ac:dyDescent="0.25">
      <c r="C15784" s="84"/>
      <c r="D15784" s="84"/>
      <c r="E15784" s="84"/>
      <c r="F15784" s="84"/>
      <c r="G15784" s="84"/>
      <c r="H15784" s="84"/>
      <c r="I15784" s="84"/>
      <c r="J15784" s="84"/>
    </row>
    <row r="15785" spans="3:10" hidden="1" x14ac:dyDescent="0.25">
      <c r="C15785" s="84"/>
      <c r="D15785" s="84"/>
      <c r="E15785" s="84"/>
      <c r="F15785" s="84"/>
      <c r="G15785" s="84"/>
      <c r="H15785" s="84"/>
      <c r="I15785" s="84"/>
      <c r="J15785" s="84"/>
    </row>
    <row r="15786" spans="3:10" hidden="1" x14ac:dyDescent="0.25">
      <c r="C15786" s="84"/>
      <c r="D15786" s="84"/>
      <c r="E15786" s="84"/>
      <c r="F15786" s="84"/>
      <c r="G15786" s="84"/>
      <c r="H15786" s="84"/>
      <c r="I15786" s="84"/>
      <c r="J15786" s="84"/>
    </row>
    <row r="15787" spans="3:10" hidden="1" x14ac:dyDescent="0.25">
      <c r="C15787" s="84"/>
      <c r="D15787" s="84"/>
      <c r="E15787" s="84"/>
      <c r="F15787" s="84"/>
      <c r="G15787" s="84"/>
      <c r="H15787" s="84"/>
      <c r="I15787" s="84"/>
      <c r="J15787" s="84"/>
    </row>
    <row r="15788" spans="3:10" hidden="1" x14ac:dyDescent="0.25">
      <c r="C15788" s="84"/>
      <c r="D15788" s="84"/>
      <c r="E15788" s="84"/>
      <c r="F15788" s="84"/>
      <c r="G15788" s="84"/>
      <c r="H15788" s="84"/>
      <c r="I15788" s="84"/>
      <c r="J15788" s="84"/>
    </row>
    <row r="15789" spans="3:10" hidden="1" x14ac:dyDescent="0.25">
      <c r="C15789" s="84"/>
      <c r="D15789" s="84"/>
      <c r="E15789" s="84"/>
      <c r="F15789" s="84"/>
      <c r="G15789" s="84"/>
      <c r="H15789" s="84"/>
      <c r="I15789" s="84"/>
      <c r="J15789" s="84"/>
    </row>
    <row r="15790" spans="3:10" hidden="1" x14ac:dyDescent="0.25">
      <c r="C15790" s="84"/>
      <c r="D15790" s="84"/>
      <c r="E15790" s="84"/>
      <c r="F15790" s="84"/>
      <c r="G15790" s="84"/>
      <c r="H15790" s="84"/>
      <c r="I15790" s="84"/>
      <c r="J15790" s="84"/>
    </row>
    <row r="15791" spans="3:10" hidden="1" x14ac:dyDescent="0.25">
      <c r="C15791" s="84"/>
      <c r="D15791" s="84"/>
      <c r="E15791" s="84"/>
      <c r="F15791" s="84"/>
      <c r="G15791" s="84"/>
      <c r="H15791" s="84"/>
      <c r="I15791" s="84"/>
      <c r="J15791" s="84"/>
    </row>
    <row r="15792" spans="3:10" hidden="1" x14ac:dyDescent="0.25">
      <c r="C15792" s="84"/>
      <c r="D15792" s="84"/>
      <c r="E15792" s="84"/>
      <c r="F15792" s="84"/>
      <c r="G15792" s="84"/>
      <c r="H15792" s="84"/>
      <c r="I15792" s="84"/>
      <c r="J15792" s="84"/>
    </row>
    <row r="15793" spans="3:10" hidden="1" x14ac:dyDescent="0.25">
      <c r="C15793" s="84"/>
      <c r="D15793" s="84"/>
      <c r="E15793" s="84"/>
      <c r="F15793" s="84"/>
      <c r="G15793" s="84"/>
      <c r="H15793" s="84"/>
      <c r="I15793" s="84"/>
      <c r="J15793" s="84"/>
    </row>
    <row r="15794" spans="3:10" hidden="1" x14ac:dyDescent="0.25">
      <c r="C15794" s="84"/>
      <c r="D15794" s="84"/>
      <c r="E15794" s="84"/>
      <c r="F15794" s="84"/>
      <c r="G15794" s="84"/>
      <c r="H15794" s="84"/>
      <c r="I15794" s="84"/>
      <c r="J15794" s="84"/>
    </row>
    <row r="15795" spans="3:10" hidden="1" x14ac:dyDescent="0.25">
      <c r="C15795" s="84"/>
      <c r="D15795" s="84"/>
      <c r="E15795" s="84"/>
      <c r="F15795" s="84"/>
      <c r="G15795" s="84"/>
      <c r="H15795" s="84"/>
      <c r="I15795" s="84"/>
      <c r="J15795" s="84"/>
    </row>
    <row r="15796" spans="3:10" hidden="1" x14ac:dyDescent="0.25">
      <c r="C15796" s="84"/>
      <c r="D15796" s="84"/>
      <c r="E15796" s="84"/>
      <c r="F15796" s="84"/>
      <c r="G15796" s="84"/>
      <c r="H15796" s="84"/>
      <c r="I15796" s="84"/>
      <c r="J15796" s="84"/>
    </row>
    <row r="15797" spans="3:10" hidden="1" x14ac:dyDescent="0.25">
      <c r="C15797" s="84"/>
      <c r="D15797" s="84"/>
      <c r="E15797" s="84"/>
      <c r="F15797" s="84"/>
      <c r="G15797" s="84"/>
      <c r="H15797" s="84"/>
      <c r="I15797" s="84"/>
      <c r="J15797" s="84"/>
    </row>
    <row r="15798" spans="3:10" hidden="1" x14ac:dyDescent="0.25">
      <c r="C15798" s="84"/>
      <c r="D15798" s="84"/>
      <c r="E15798" s="84"/>
      <c r="F15798" s="84"/>
      <c r="G15798" s="84"/>
      <c r="H15798" s="84"/>
      <c r="I15798" s="84"/>
      <c r="J15798" s="84"/>
    </row>
    <row r="15799" spans="3:10" hidden="1" x14ac:dyDescent="0.25">
      <c r="C15799" s="84"/>
      <c r="D15799" s="84"/>
      <c r="E15799" s="84"/>
      <c r="F15799" s="84"/>
      <c r="G15799" s="84"/>
      <c r="H15799" s="84"/>
      <c r="I15799" s="84"/>
      <c r="J15799" s="84"/>
    </row>
    <row r="15800" spans="3:10" hidden="1" x14ac:dyDescent="0.25">
      <c r="C15800" s="84"/>
      <c r="D15800" s="84"/>
      <c r="E15800" s="84"/>
      <c r="F15800" s="84"/>
      <c r="G15800" s="84"/>
      <c r="H15800" s="84"/>
      <c r="I15800" s="84"/>
      <c r="J15800" s="84"/>
    </row>
    <row r="15801" spans="3:10" hidden="1" x14ac:dyDescent="0.25">
      <c r="C15801" s="84"/>
      <c r="D15801" s="84"/>
      <c r="E15801" s="84"/>
      <c r="F15801" s="84"/>
      <c r="G15801" s="84"/>
      <c r="H15801" s="84"/>
      <c r="I15801" s="84"/>
      <c r="J15801" s="84"/>
    </row>
    <row r="15802" spans="3:10" hidden="1" x14ac:dyDescent="0.25">
      <c r="C15802" s="84"/>
      <c r="D15802" s="84"/>
      <c r="E15802" s="84"/>
      <c r="F15802" s="84"/>
      <c r="G15802" s="84"/>
      <c r="H15802" s="84"/>
      <c r="I15802" s="84"/>
      <c r="J15802" s="84"/>
    </row>
    <row r="15803" spans="3:10" hidden="1" x14ac:dyDescent="0.25">
      <c r="C15803" s="84"/>
      <c r="D15803" s="84"/>
      <c r="E15803" s="84"/>
      <c r="F15803" s="84"/>
      <c r="G15803" s="84"/>
      <c r="H15803" s="84"/>
      <c r="I15803" s="84"/>
      <c r="J15803" s="84"/>
    </row>
    <row r="15804" spans="3:10" hidden="1" x14ac:dyDescent="0.25">
      <c r="C15804" s="84"/>
      <c r="D15804" s="84"/>
      <c r="E15804" s="84"/>
      <c r="F15804" s="84"/>
      <c r="G15804" s="84"/>
      <c r="H15804" s="84"/>
      <c r="I15804" s="84"/>
      <c r="J15804" s="84"/>
    </row>
    <row r="15805" spans="3:10" hidden="1" x14ac:dyDescent="0.25">
      <c r="C15805" s="84"/>
      <c r="D15805" s="84"/>
      <c r="E15805" s="84"/>
      <c r="F15805" s="84"/>
      <c r="G15805" s="84"/>
      <c r="H15805" s="84"/>
      <c r="I15805" s="84"/>
      <c r="J15805" s="84"/>
    </row>
    <row r="15806" spans="3:10" hidden="1" x14ac:dyDescent="0.25">
      <c r="C15806" s="84"/>
      <c r="D15806" s="84"/>
      <c r="E15806" s="84"/>
      <c r="F15806" s="84"/>
      <c r="G15806" s="84"/>
      <c r="H15806" s="84"/>
      <c r="I15806" s="84"/>
      <c r="J15806" s="84"/>
    </row>
    <row r="15807" spans="3:10" hidden="1" x14ac:dyDescent="0.25">
      <c r="C15807" s="84"/>
      <c r="D15807" s="84"/>
      <c r="E15807" s="84"/>
      <c r="F15807" s="84"/>
      <c r="G15807" s="84"/>
      <c r="H15807" s="84"/>
      <c r="I15807" s="84"/>
      <c r="J15807" s="84"/>
    </row>
    <row r="15808" spans="3:10" hidden="1" x14ac:dyDescent="0.25">
      <c r="C15808" s="84"/>
      <c r="D15808" s="84"/>
      <c r="E15808" s="84"/>
      <c r="F15808" s="84"/>
      <c r="G15808" s="84"/>
      <c r="H15808" s="84"/>
      <c r="I15808" s="84"/>
      <c r="J15808" s="84"/>
    </row>
    <row r="15809" spans="3:10" hidden="1" x14ac:dyDescent="0.25">
      <c r="C15809" s="84"/>
      <c r="D15809" s="84"/>
      <c r="E15809" s="84"/>
      <c r="F15809" s="84"/>
      <c r="G15809" s="84"/>
      <c r="H15809" s="84"/>
      <c r="I15809" s="84"/>
      <c r="J15809" s="84"/>
    </row>
    <row r="15810" spans="3:10" hidden="1" x14ac:dyDescent="0.25">
      <c r="C15810" s="84"/>
      <c r="D15810" s="84"/>
      <c r="E15810" s="84"/>
      <c r="F15810" s="84"/>
      <c r="G15810" s="84"/>
      <c r="H15810" s="84"/>
      <c r="I15810" s="84"/>
      <c r="J15810" s="84"/>
    </row>
    <row r="15811" spans="3:10" hidden="1" x14ac:dyDescent="0.25">
      <c r="C15811" s="84"/>
      <c r="D15811" s="84"/>
      <c r="E15811" s="84"/>
      <c r="F15811" s="84"/>
      <c r="G15811" s="84"/>
      <c r="H15811" s="84"/>
      <c r="I15811" s="84"/>
      <c r="J15811" s="84"/>
    </row>
    <row r="15812" spans="3:10" hidden="1" x14ac:dyDescent="0.25">
      <c r="C15812" s="84"/>
      <c r="D15812" s="84"/>
      <c r="E15812" s="84"/>
      <c r="F15812" s="84"/>
      <c r="G15812" s="84"/>
      <c r="H15812" s="84"/>
      <c r="I15812" s="84"/>
      <c r="J15812" s="84"/>
    </row>
    <row r="15813" spans="3:10" hidden="1" x14ac:dyDescent="0.25">
      <c r="C15813" s="84"/>
      <c r="D15813" s="84"/>
      <c r="E15813" s="84"/>
      <c r="F15813" s="84"/>
      <c r="G15813" s="84"/>
      <c r="H15813" s="84"/>
      <c r="I15813" s="84"/>
      <c r="J15813" s="84"/>
    </row>
    <row r="15814" spans="3:10" hidden="1" x14ac:dyDescent="0.25">
      <c r="C15814" s="84"/>
      <c r="D15814" s="84"/>
      <c r="E15814" s="84"/>
      <c r="F15814" s="84"/>
      <c r="G15814" s="84"/>
      <c r="H15814" s="84"/>
      <c r="I15814" s="84"/>
      <c r="J15814" s="84"/>
    </row>
    <row r="15815" spans="3:10" hidden="1" x14ac:dyDescent="0.25">
      <c r="C15815" s="84"/>
      <c r="D15815" s="84"/>
      <c r="E15815" s="84"/>
      <c r="F15815" s="84"/>
      <c r="G15815" s="84"/>
      <c r="H15815" s="84"/>
      <c r="I15815" s="84"/>
      <c r="J15815" s="84"/>
    </row>
    <row r="15816" spans="3:10" hidden="1" collapsed="1" x14ac:dyDescent="0.25">
      <c r="C15816" s="84"/>
      <c r="D15816" s="84"/>
      <c r="E15816" s="84"/>
      <c r="F15816" s="84"/>
      <c r="G15816" s="84"/>
      <c r="H15816" s="84"/>
      <c r="I15816" s="84"/>
      <c r="J15816" s="84"/>
    </row>
    <row r="15817" spans="3:10" hidden="1" x14ac:dyDescent="0.25">
      <c r="C15817" s="84"/>
      <c r="D15817" s="84"/>
      <c r="E15817" s="84"/>
      <c r="F15817" s="84"/>
      <c r="G15817" s="84"/>
      <c r="H15817" s="84"/>
      <c r="I15817" s="84"/>
      <c r="J15817" s="84"/>
    </row>
    <row r="15818" spans="3:10" hidden="1" x14ac:dyDescent="0.25">
      <c r="C15818" s="84"/>
      <c r="D15818" s="84"/>
      <c r="E15818" s="84"/>
      <c r="F15818" s="84"/>
      <c r="G15818" s="84"/>
      <c r="H15818" s="84"/>
      <c r="I15818" s="84"/>
      <c r="J15818" s="84"/>
    </row>
    <row r="15819" spans="3:10" hidden="1" x14ac:dyDescent="0.25">
      <c r="C15819" s="84"/>
      <c r="D15819" s="84"/>
      <c r="E15819" s="84"/>
      <c r="F15819" s="84"/>
      <c r="G15819" s="84"/>
      <c r="H15819" s="84"/>
      <c r="I15819" s="84"/>
      <c r="J15819" s="84"/>
    </row>
    <row r="15820" spans="3:10" hidden="1" x14ac:dyDescent="0.25">
      <c r="C15820" s="84"/>
      <c r="D15820" s="84"/>
      <c r="E15820" s="84"/>
      <c r="F15820" s="84"/>
      <c r="G15820" s="84"/>
      <c r="H15820" s="84"/>
      <c r="I15820" s="84"/>
      <c r="J15820" s="84"/>
    </row>
    <row r="15821" spans="3:10" hidden="1" x14ac:dyDescent="0.25">
      <c r="C15821" s="84"/>
      <c r="D15821" s="84"/>
      <c r="E15821" s="84"/>
      <c r="F15821" s="84"/>
      <c r="G15821" s="84"/>
      <c r="H15821" s="84"/>
      <c r="I15821" s="84"/>
      <c r="J15821" s="84"/>
    </row>
    <row r="15822" spans="3:10" hidden="1" x14ac:dyDescent="0.25">
      <c r="C15822" s="84"/>
      <c r="D15822" s="84"/>
      <c r="E15822" s="84"/>
      <c r="F15822" s="84"/>
      <c r="G15822" s="84"/>
      <c r="H15822" s="84"/>
      <c r="I15822" s="84"/>
      <c r="J15822" s="84"/>
    </row>
    <row r="15823" spans="3:10" hidden="1" x14ac:dyDescent="0.25">
      <c r="C15823" s="84"/>
      <c r="D15823" s="84"/>
      <c r="E15823" s="84"/>
      <c r="F15823" s="84"/>
      <c r="G15823" s="84"/>
      <c r="H15823" s="84"/>
      <c r="I15823" s="84"/>
      <c r="J15823" s="84"/>
    </row>
    <row r="15824" spans="3:10" hidden="1" x14ac:dyDescent="0.25">
      <c r="C15824" s="84"/>
      <c r="D15824" s="84"/>
      <c r="E15824" s="84"/>
      <c r="F15824" s="84"/>
      <c r="G15824" s="84"/>
      <c r="H15824" s="84"/>
      <c r="I15824" s="84"/>
      <c r="J15824" s="84"/>
    </row>
    <row r="15825" spans="3:10" hidden="1" x14ac:dyDescent="0.25">
      <c r="C15825" s="84"/>
      <c r="D15825" s="84"/>
      <c r="E15825" s="84"/>
      <c r="F15825" s="84"/>
      <c r="G15825" s="84"/>
      <c r="H15825" s="84"/>
      <c r="I15825" s="84"/>
      <c r="J15825" s="84"/>
    </row>
    <row r="15826" spans="3:10" hidden="1" x14ac:dyDescent="0.25">
      <c r="C15826" s="84"/>
      <c r="D15826" s="84"/>
      <c r="E15826" s="84"/>
      <c r="F15826" s="84"/>
      <c r="G15826" s="84"/>
      <c r="H15826" s="84"/>
      <c r="I15826" s="84"/>
      <c r="J15826" s="84"/>
    </row>
    <row r="15827" spans="3:10" hidden="1" x14ac:dyDescent="0.25">
      <c r="C15827" s="84"/>
      <c r="D15827" s="84"/>
      <c r="E15827" s="84"/>
      <c r="F15827" s="84"/>
      <c r="G15827" s="84"/>
      <c r="H15827" s="84"/>
      <c r="I15827" s="84"/>
      <c r="J15827" s="84"/>
    </row>
    <row r="15828" spans="3:10" hidden="1" x14ac:dyDescent="0.25">
      <c r="C15828" s="84"/>
      <c r="D15828" s="84"/>
      <c r="E15828" s="84"/>
      <c r="F15828" s="84"/>
      <c r="G15828" s="84"/>
      <c r="H15828" s="84"/>
      <c r="I15828" s="84"/>
      <c r="J15828" s="84"/>
    </row>
    <row r="15829" spans="3:10" hidden="1" x14ac:dyDescent="0.25">
      <c r="C15829" s="84"/>
      <c r="D15829" s="84"/>
      <c r="E15829" s="84"/>
      <c r="F15829" s="84"/>
      <c r="G15829" s="84"/>
      <c r="H15829" s="84"/>
      <c r="I15829" s="84"/>
      <c r="J15829" s="84"/>
    </row>
    <row r="15830" spans="3:10" hidden="1" x14ac:dyDescent="0.25">
      <c r="C15830" s="84"/>
      <c r="D15830" s="84"/>
      <c r="E15830" s="84"/>
      <c r="F15830" s="84"/>
      <c r="G15830" s="84"/>
      <c r="H15830" s="84"/>
      <c r="I15830" s="84"/>
      <c r="J15830" s="84"/>
    </row>
    <row r="15831" spans="3:10" hidden="1" x14ac:dyDescent="0.25">
      <c r="C15831" s="84"/>
      <c r="D15831" s="84"/>
      <c r="E15831" s="84"/>
      <c r="F15831" s="84"/>
      <c r="G15831" s="84"/>
      <c r="H15831" s="84"/>
      <c r="I15831" s="84"/>
      <c r="J15831" s="84"/>
    </row>
    <row r="15832" spans="3:10" hidden="1" x14ac:dyDescent="0.25">
      <c r="C15832" s="84"/>
      <c r="D15832" s="84"/>
      <c r="E15832" s="84"/>
      <c r="F15832" s="84"/>
      <c r="G15832" s="84"/>
      <c r="H15832" s="84"/>
      <c r="I15832" s="84"/>
      <c r="J15832" s="84"/>
    </row>
    <row r="15833" spans="3:10" hidden="1" x14ac:dyDescent="0.25">
      <c r="C15833" s="84"/>
      <c r="D15833" s="84"/>
      <c r="E15833" s="84"/>
      <c r="F15833" s="84"/>
      <c r="G15833" s="84"/>
      <c r="H15833" s="84"/>
      <c r="I15833" s="84"/>
      <c r="J15833" s="84"/>
    </row>
    <row r="15834" spans="3:10" hidden="1" x14ac:dyDescent="0.25">
      <c r="C15834" s="84"/>
      <c r="D15834" s="84"/>
      <c r="E15834" s="84"/>
      <c r="F15834" s="84"/>
      <c r="G15834" s="84"/>
      <c r="H15834" s="84"/>
      <c r="I15834" s="84"/>
      <c r="J15834" s="84"/>
    </row>
    <row r="15835" spans="3:10" hidden="1" x14ac:dyDescent="0.25">
      <c r="C15835" s="84"/>
      <c r="D15835" s="84"/>
      <c r="E15835" s="84"/>
      <c r="F15835" s="84"/>
      <c r="G15835" s="84"/>
      <c r="H15835" s="84"/>
      <c r="I15835" s="84"/>
      <c r="J15835" s="84"/>
    </row>
    <row r="15836" spans="3:10" hidden="1" x14ac:dyDescent="0.25">
      <c r="C15836" s="84"/>
      <c r="D15836" s="84"/>
      <c r="E15836" s="84"/>
      <c r="F15836" s="84"/>
      <c r="G15836" s="84"/>
      <c r="H15836" s="84"/>
      <c r="I15836" s="84"/>
      <c r="J15836" s="84"/>
    </row>
    <row r="15837" spans="3:10" hidden="1" x14ac:dyDescent="0.25">
      <c r="C15837" s="84"/>
      <c r="D15837" s="84"/>
      <c r="E15837" s="84"/>
      <c r="F15837" s="84"/>
      <c r="G15837" s="84"/>
      <c r="H15837" s="84"/>
      <c r="I15837" s="84"/>
      <c r="J15837" s="84"/>
    </row>
    <row r="15838" spans="3:10" hidden="1" x14ac:dyDescent="0.25">
      <c r="C15838" s="84"/>
      <c r="D15838" s="84"/>
      <c r="E15838" s="84"/>
      <c r="F15838" s="84"/>
      <c r="G15838" s="84"/>
      <c r="H15838" s="84"/>
      <c r="I15838" s="84"/>
      <c r="J15838" s="84"/>
    </row>
    <row r="15839" spans="3:10" hidden="1" x14ac:dyDescent="0.25">
      <c r="C15839" s="84"/>
      <c r="D15839" s="84"/>
      <c r="E15839" s="84"/>
      <c r="F15839" s="84"/>
      <c r="G15839" s="84"/>
      <c r="H15839" s="84"/>
      <c r="I15839" s="84"/>
      <c r="J15839" s="84"/>
    </row>
    <row r="15840" spans="3:10" hidden="1" x14ac:dyDescent="0.25">
      <c r="C15840" s="84"/>
      <c r="D15840" s="84"/>
      <c r="E15840" s="84"/>
      <c r="F15840" s="84"/>
      <c r="G15840" s="84"/>
      <c r="H15840" s="84"/>
      <c r="I15840" s="84"/>
      <c r="J15840" s="84"/>
    </row>
    <row r="15841" spans="3:10" hidden="1" x14ac:dyDescent="0.25">
      <c r="C15841" s="84"/>
      <c r="D15841" s="84"/>
      <c r="E15841" s="84"/>
      <c r="F15841" s="84"/>
      <c r="G15841" s="84"/>
      <c r="H15841" s="84"/>
      <c r="I15841" s="84"/>
      <c r="J15841" s="84"/>
    </row>
    <row r="15842" spans="3:10" hidden="1" x14ac:dyDescent="0.25">
      <c r="C15842" s="84"/>
      <c r="D15842" s="84"/>
      <c r="E15842" s="84"/>
      <c r="F15842" s="84"/>
      <c r="G15842" s="84"/>
      <c r="H15842" s="84"/>
      <c r="I15842" s="84"/>
      <c r="J15842" s="84"/>
    </row>
    <row r="15843" spans="3:10" hidden="1" x14ac:dyDescent="0.25">
      <c r="C15843" s="84"/>
      <c r="D15843" s="84"/>
      <c r="E15843" s="84"/>
      <c r="F15843" s="84"/>
      <c r="G15843" s="84"/>
      <c r="H15843" s="84"/>
      <c r="I15843" s="84"/>
      <c r="J15843" s="84"/>
    </row>
    <row r="15844" spans="3:10" hidden="1" x14ac:dyDescent="0.25">
      <c r="C15844" s="84"/>
      <c r="D15844" s="84"/>
      <c r="E15844" s="84"/>
      <c r="F15844" s="84"/>
      <c r="G15844" s="84"/>
      <c r="H15844" s="84"/>
      <c r="I15844" s="84"/>
      <c r="J15844" s="84"/>
    </row>
    <row r="15845" spans="3:10" hidden="1" x14ac:dyDescent="0.25">
      <c r="C15845" s="84"/>
      <c r="D15845" s="84"/>
      <c r="E15845" s="84"/>
      <c r="F15845" s="84"/>
      <c r="G15845" s="84"/>
      <c r="H15845" s="84"/>
      <c r="I15845" s="84"/>
      <c r="J15845" s="84"/>
    </row>
    <row r="15846" spans="3:10" hidden="1" x14ac:dyDescent="0.25">
      <c r="C15846" s="84"/>
      <c r="D15846" s="84"/>
      <c r="E15846" s="84"/>
      <c r="F15846" s="84"/>
      <c r="G15846" s="84"/>
      <c r="H15846" s="84"/>
      <c r="I15846" s="84"/>
      <c r="J15846" s="84"/>
    </row>
    <row r="15847" spans="3:10" hidden="1" x14ac:dyDescent="0.25">
      <c r="C15847" s="84"/>
      <c r="D15847" s="84"/>
      <c r="E15847" s="84"/>
      <c r="F15847" s="84"/>
      <c r="G15847" s="84"/>
      <c r="H15847" s="84"/>
      <c r="I15847" s="84"/>
      <c r="J15847" s="84"/>
    </row>
    <row r="15848" spans="3:10" hidden="1" x14ac:dyDescent="0.25">
      <c r="C15848" s="84"/>
      <c r="D15848" s="84"/>
      <c r="E15848" s="84"/>
      <c r="F15848" s="84"/>
      <c r="G15848" s="84"/>
      <c r="H15848" s="84"/>
      <c r="I15848" s="84"/>
      <c r="J15848" s="84"/>
    </row>
    <row r="15849" spans="3:10" hidden="1" x14ac:dyDescent="0.25">
      <c r="C15849" s="84"/>
      <c r="D15849" s="84"/>
      <c r="E15849" s="84"/>
      <c r="F15849" s="84"/>
      <c r="G15849" s="84"/>
      <c r="H15849" s="84"/>
      <c r="I15849" s="84"/>
      <c r="J15849" s="84"/>
    </row>
    <row r="15850" spans="3:10" hidden="1" x14ac:dyDescent="0.25">
      <c r="C15850" s="84"/>
      <c r="D15850" s="84"/>
      <c r="E15850" s="84"/>
      <c r="F15850" s="84"/>
      <c r="G15850" s="84"/>
      <c r="H15850" s="84"/>
      <c r="I15850" s="84"/>
      <c r="J15850" s="84"/>
    </row>
    <row r="15851" spans="3:10" hidden="1" x14ac:dyDescent="0.25">
      <c r="C15851" s="84"/>
      <c r="D15851" s="84"/>
      <c r="E15851" s="84"/>
      <c r="F15851" s="84"/>
      <c r="G15851" s="84"/>
      <c r="H15851" s="84"/>
      <c r="I15851" s="84"/>
      <c r="J15851" s="84"/>
    </row>
    <row r="15852" spans="3:10" hidden="1" x14ac:dyDescent="0.25">
      <c r="C15852" s="84"/>
      <c r="D15852" s="84"/>
      <c r="E15852" s="84"/>
      <c r="F15852" s="84"/>
      <c r="G15852" s="84"/>
      <c r="H15852" s="84"/>
      <c r="I15852" s="84"/>
      <c r="J15852" s="84"/>
    </row>
    <row r="15853" spans="3:10" hidden="1" x14ac:dyDescent="0.25">
      <c r="C15853" s="84"/>
      <c r="D15853" s="84"/>
      <c r="E15853" s="84"/>
      <c r="F15853" s="84"/>
      <c r="G15853" s="84"/>
      <c r="H15853" s="84"/>
      <c r="I15853" s="84"/>
      <c r="J15853" s="84"/>
    </row>
    <row r="15854" spans="3:10" hidden="1" x14ac:dyDescent="0.25">
      <c r="C15854" s="84"/>
      <c r="D15854" s="84"/>
      <c r="E15854" s="84"/>
      <c r="F15854" s="84"/>
      <c r="G15854" s="84"/>
      <c r="H15854" s="84"/>
      <c r="I15854" s="84"/>
      <c r="J15854" s="84"/>
    </row>
    <row r="15855" spans="3:10" hidden="1" x14ac:dyDescent="0.25">
      <c r="C15855" s="84"/>
      <c r="D15855" s="84"/>
      <c r="E15855" s="84"/>
      <c r="F15855" s="84"/>
      <c r="G15855" s="84"/>
      <c r="H15855" s="84"/>
      <c r="I15855" s="84"/>
      <c r="J15855" s="84"/>
    </row>
    <row r="15856" spans="3:10" hidden="1" x14ac:dyDescent="0.25">
      <c r="C15856" s="84"/>
      <c r="D15856" s="84"/>
      <c r="E15856" s="84"/>
      <c r="F15856" s="84"/>
      <c r="G15856" s="84"/>
      <c r="H15856" s="84"/>
      <c r="I15856" s="84"/>
      <c r="J15856" s="84"/>
    </row>
    <row r="15857" spans="3:10" hidden="1" x14ac:dyDescent="0.25">
      <c r="C15857" s="84"/>
      <c r="D15857" s="84"/>
      <c r="E15857" s="84"/>
      <c r="F15857" s="84"/>
      <c r="G15857" s="84"/>
      <c r="H15857" s="84"/>
      <c r="I15857" s="84"/>
      <c r="J15857" s="84"/>
    </row>
    <row r="15858" spans="3:10" hidden="1" x14ac:dyDescent="0.25">
      <c r="C15858" s="84"/>
      <c r="D15858" s="84"/>
      <c r="E15858" s="84"/>
      <c r="F15858" s="84"/>
      <c r="G15858" s="84"/>
      <c r="H15858" s="84"/>
      <c r="I15858" s="84"/>
      <c r="J15858" s="84"/>
    </row>
    <row r="15859" spans="3:10" hidden="1" x14ac:dyDescent="0.25">
      <c r="C15859" s="84"/>
      <c r="D15859" s="84"/>
      <c r="E15859" s="84"/>
      <c r="F15859" s="84"/>
      <c r="G15859" s="84"/>
      <c r="H15859" s="84"/>
      <c r="I15859" s="84"/>
      <c r="J15859" s="84"/>
    </row>
    <row r="15860" spans="3:10" hidden="1" x14ac:dyDescent="0.25">
      <c r="C15860" s="84"/>
      <c r="D15860" s="84"/>
      <c r="E15860" s="84"/>
      <c r="F15860" s="84"/>
      <c r="G15860" s="84"/>
      <c r="H15860" s="84"/>
      <c r="I15860" s="84"/>
      <c r="J15860" s="84"/>
    </row>
    <row r="15861" spans="3:10" hidden="1" x14ac:dyDescent="0.25">
      <c r="C15861" s="84"/>
      <c r="D15861" s="84"/>
      <c r="E15861" s="84"/>
      <c r="F15861" s="84"/>
      <c r="G15861" s="84"/>
      <c r="H15861" s="84"/>
      <c r="I15861" s="84"/>
      <c r="J15861" s="84"/>
    </row>
    <row r="15862" spans="3:10" hidden="1" x14ac:dyDescent="0.25">
      <c r="C15862" s="84"/>
      <c r="D15862" s="84"/>
      <c r="E15862" s="84"/>
      <c r="F15862" s="84"/>
      <c r="G15862" s="84"/>
      <c r="H15862" s="84"/>
      <c r="I15862" s="84"/>
      <c r="J15862" s="84"/>
    </row>
    <row r="15863" spans="3:10" hidden="1" x14ac:dyDescent="0.25">
      <c r="C15863" s="84"/>
      <c r="D15863" s="84"/>
      <c r="E15863" s="84"/>
      <c r="F15863" s="84"/>
      <c r="G15863" s="84"/>
      <c r="H15863" s="84"/>
      <c r="I15863" s="84"/>
      <c r="J15863" s="84"/>
    </row>
    <row r="15864" spans="3:10" hidden="1" x14ac:dyDescent="0.25">
      <c r="C15864" s="84"/>
      <c r="D15864" s="84"/>
      <c r="E15864" s="84"/>
      <c r="F15864" s="84"/>
      <c r="G15864" s="84"/>
      <c r="H15864" s="84"/>
      <c r="I15864" s="84"/>
      <c r="J15864" s="84"/>
    </row>
    <row r="15865" spans="3:10" hidden="1" x14ac:dyDescent="0.25">
      <c r="C15865" s="84"/>
      <c r="D15865" s="84"/>
      <c r="E15865" s="84"/>
      <c r="F15865" s="84"/>
      <c r="G15865" s="84"/>
      <c r="H15865" s="84"/>
      <c r="I15865" s="84"/>
      <c r="J15865" s="84"/>
    </row>
    <row r="15866" spans="3:10" hidden="1" x14ac:dyDescent="0.25">
      <c r="C15866" s="84"/>
      <c r="D15866" s="84"/>
      <c r="E15866" s="84"/>
      <c r="F15866" s="84"/>
      <c r="G15866" s="84"/>
      <c r="H15866" s="84"/>
      <c r="I15866" s="84"/>
      <c r="J15866" s="84"/>
    </row>
    <row r="15867" spans="3:10" hidden="1" x14ac:dyDescent="0.25">
      <c r="C15867" s="84"/>
      <c r="D15867" s="84"/>
      <c r="E15867" s="84"/>
      <c r="F15867" s="84"/>
      <c r="G15867" s="84"/>
      <c r="H15867" s="84"/>
      <c r="I15867" s="84"/>
      <c r="J15867" s="84"/>
    </row>
    <row r="15868" spans="3:10" hidden="1" x14ac:dyDescent="0.25">
      <c r="C15868" s="84"/>
      <c r="D15868" s="84"/>
      <c r="E15868" s="84"/>
      <c r="F15868" s="84"/>
      <c r="G15868" s="84"/>
      <c r="H15868" s="84"/>
      <c r="I15868" s="84"/>
      <c r="J15868" s="84"/>
    </row>
    <row r="15869" spans="3:10" hidden="1" x14ac:dyDescent="0.25">
      <c r="C15869" s="84"/>
      <c r="D15869" s="84"/>
      <c r="E15869" s="84"/>
      <c r="F15869" s="84"/>
      <c r="G15869" s="84"/>
      <c r="H15869" s="84"/>
      <c r="I15869" s="84"/>
      <c r="J15869" s="84"/>
    </row>
    <row r="15870" spans="3:10" hidden="1" x14ac:dyDescent="0.25">
      <c r="C15870" s="84"/>
      <c r="D15870" s="84"/>
      <c r="E15870" s="84"/>
      <c r="F15870" s="84"/>
      <c r="G15870" s="84"/>
      <c r="H15870" s="84"/>
      <c r="I15870" s="84"/>
      <c r="J15870" s="84"/>
    </row>
    <row r="15871" spans="3:10" hidden="1" x14ac:dyDescent="0.25">
      <c r="C15871" s="84"/>
      <c r="D15871" s="84"/>
      <c r="E15871" s="84"/>
      <c r="F15871" s="84"/>
      <c r="G15871" s="84"/>
      <c r="H15871" s="84"/>
      <c r="I15871" s="84"/>
      <c r="J15871" s="84"/>
    </row>
    <row r="15872" spans="3:10" hidden="1" x14ac:dyDescent="0.25">
      <c r="C15872" s="84"/>
      <c r="D15872" s="84"/>
      <c r="E15872" s="84"/>
      <c r="F15872" s="84"/>
      <c r="G15872" s="84"/>
      <c r="H15872" s="84"/>
      <c r="I15872" s="84"/>
      <c r="J15872" s="84"/>
    </row>
    <row r="15873" spans="3:10" hidden="1" x14ac:dyDescent="0.25">
      <c r="C15873" s="84"/>
      <c r="D15873" s="84"/>
      <c r="E15873" s="84"/>
      <c r="F15873" s="84"/>
      <c r="G15873" s="84"/>
      <c r="H15873" s="84"/>
      <c r="I15873" s="84"/>
      <c r="J15873" s="84"/>
    </row>
    <row r="15874" spans="3:10" hidden="1" x14ac:dyDescent="0.25">
      <c r="C15874" s="84"/>
      <c r="D15874" s="84"/>
      <c r="E15874" s="84"/>
      <c r="F15874" s="84"/>
      <c r="G15874" s="84"/>
      <c r="H15874" s="84"/>
      <c r="I15874" s="84"/>
      <c r="J15874" s="84"/>
    </row>
    <row r="15875" spans="3:10" hidden="1" x14ac:dyDescent="0.25">
      <c r="C15875" s="84"/>
      <c r="D15875" s="84"/>
      <c r="E15875" s="84"/>
      <c r="F15875" s="84"/>
      <c r="G15875" s="84"/>
      <c r="H15875" s="84"/>
      <c r="I15875" s="84"/>
      <c r="J15875" s="84"/>
    </row>
    <row r="15876" spans="3:10" hidden="1" x14ac:dyDescent="0.25">
      <c r="C15876" s="84"/>
      <c r="D15876" s="84"/>
      <c r="E15876" s="84"/>
      <c r="F15876" s="84"/>
      <c r="G15876" s="84"/>
      <c r="H15876" s="84"/>
      <c r="I15876" s="84"/>
      <c r="J15876" s="84"/>
    </row>
    <row r="15877" spans="3:10" hidden="1" x14ac:dyDescent="0.25">
      <c r="C15877" s="84"/>
      <c r="D15877" s="84"/>
      <c r="E15877" s="84"/>
      <c r="F15877" s="84"/>
      <c r="G15877" s="84"/>
      <c r="H15877" s="84"/>
      <c r="I15877" s="84"/>
      <c r="J15877" s="84"/>
    </row>
    <row r="15878" spans="3:10" hidden="1" x14ac:dyDescent="0.25">
      <c r="C15878" s="84"/>
      <c r="D15878" s="84"/>
      <c r="E15878" s="84"/>
      <c r="F15878" s="84"/>
      <c r="G15878" s="84"/>
      <c r="H15878" s="84"/>
      <c r="I15878" s="84"/>
      <c r="J15878" s="84"/>
    </row>
    <row r="15879" spans="3:10" hidden="1" x14ac:dyDescent="0.25">
      <c r="C15879" s="84"/>
      <c r="D15879" s="84"/>
      <c r="E15879" s="84"/>
      <c r="F15879" s="84"/>
      <c r="G15879" s="84"/>
      <c r="H15879" s="84"/>
      <c r="I15879" s="84"/>
      <c r="J15879" s="84"/>
    </row>
    <row r="15880" spans="3:10" hidden="1" x14ac:dyDescent="0.25">
      <c r="C15880" s="84"/>
      <c r="D15880" s="84"/>
      <c r="E15880" s="84"/>
      <c r="F15880" s="84"/>
      <c r="G15880" s="84"/>
      <c r="H15880" s="84"/>
      <c r="I15880" s="84"/>
      <c r="J15880" s="84"/>
    </row>
    <row r="15881" spans="3:10" hidden="1" x14ac:dyDescent="0.25">
      <c r="C15881" s="84"/>
      <c r="D15881" s="84"/>
      <c r="E15881" s="84"/>
      <c r="F15881" s="84"/>
      <c r="G15881" s="84"/>
      <c r="H15881" s="84"/>
      <c r="I15881" s="84"/>
      <c r="J15881" s="84"/>
    </row>
    <row r="15882" spans="3:10" hidden="1" x14ac:dyDescent="0.25">
      <c r="C15882" s="84"/>
      <c r="D15882" s="84"/>
      <c r="E15882" s="84"/>
      <c r="F15882" s="84"/>
      <c r="G15882" s="84"/>
      <c r="H15882" s="84"/>
      <c r="I15882" s="84"/>
      <c r="J15882" s="84"/>
    </row>
    <row r="15883" spans="3:10" hidden="1" x14ac:dyDescent="0.25">
      <c r="C15883" s="84"/>
      <c r="D15883" s="84"/>
      <c r="E15883" s="84"/>
      <c r="F15883" s="84"/>
      <c r="G15883" s="84"/>
      <c r="H15883" s="84"/>
      <c r="I15883" s="84"/>
      <c r="J15883" s="84"/>
    </row>
    <row r="15884" spans="3:10" hidden="1" x14ac:dyDescent="0.25">
      <c r="C15884" s="84"/>
      <c r="D15884" s="84"/>
      <c r="E15884" s="84"/>
      <c r="F15884" s="84"/>
      <c r="G15884" s="84"/>
      <c r="H15884" s="84"/>
      <c r="I15884" s="84"/>
      <c r="J15884" s="84"/>
    </row>
    <row r="15885" spans="3:10" hidden="1" x14ac:dyDescent="0.25">
      <c r="C15885" s="84"/>
      <c r="D15885" s="84"/>
      <c r="E15885" s="84"/>
      <c r="F15885" s="84"/>
      <c r="G15885" s="84"/>
      <c r="H15885" s="84"/>
      <c r="I15885" s="84"/>
      <c r="J15885" s="84"/>
    </row>
    <row r="15886" spans="3:10" hidden="1" x14ac:dyDescent="0.25">
      <c r="C15886" s="84"/>
      <c r="D15886" s="84"/>
      <c r="E15886" s="84"/>
      <c r="F15886" s="84"/>
      <c r="G15886" s="84"/>
      <c r="H15886" s="84"/>
      <c r="I15886" s="84"/>
      <c r="J15886" s="84"/>
    </row>
    <row r="15887" spans="3:10" hidden="1" x14ac:dyDescent="0.25">
      <c r="C15887" s="84"/>
      <c r="D15887" s="84"/>
      <c r="E15887" s="84"/>
      <c r="F15887" s="84"/>
      <c r="G15887" s="84"/>
      <c r="H15887" s="84"/>
      <c r="I15887" s="84"/>
      <c r="J15887" s="84"/>
    </row>
    <row r="15888" spans="3:10" hidden="1" x14ac:dyDescent="0.25">
      <c r="C15888" s="84"/>
      <c r="D15888" s="84"/>
      <c r="E15888" s="84"/>
      <c r="F15888" s="84"/>
      <c r="G15888" s="84"/>
      <c r="H15888" s="84"/>
      <c r="I15888" s="84"/>
      <c r="J15888" s="84"/>
    </row>
    <row r="15889" spans="3:10" hidden="1" x14ac:dyDescent="0.25">
      <c r="C15889" s="84"/>
      <c r="D15889" s="84"/>
      <c r="E15889" s="84"/>
      <c r="F15889" s="84"/>
      <c r="G15889" s="84"/>
      <c r="H15889" s="84"/>
      <c r="I15889" s="84"/>
      <c r="J15889" s="84"/>
    </row>
    <row r="15890" spans="3:10" hidden="1" x14ac:dyDescent="0.25">
      <c r="C15890" s="84"/>
      <c r="D15890" s="84"/>
      <c r="E15890" s="84"/>
      <c r="F15890" s="84"/>
      <c r="G15890" s="84"/>
      <c r="H15890" s="84"/>
      <c r="I15890" s="84"/>
      <c r="J15890" s="84"/>
    </row>
    <row r="15891" spans="3:10" hidden="1" x14ac:dyDescent="0.25">
      <c r="C15891" s="84"/>
      <c r="D15891" s="84"/>
      <c r="E15891" s="84"/>
      <c r="F15891" s="84"/>
      <c r="G15891" s="84"/>
      <c r="H15891" s="84"/>
      <c r="I15891" s="84"/>
      <c r="J15891" s="84"/>
    </row>
    <row r="15892" spans="3:10" hidden="1" x14ac:dyDescent="0.25">
      <c r="C15892" s="84"/>
      <c r="D15892" s="84"/>
      <c r="E15892" s="84"/>
      <c r="F15892" s="84"/>
      <c r="G15892" s="84"/>
      <c r="H15892" s="84"/>
      <c r="I15892" s="84"/>
      <c r="J15892" s="84"/>
    </row>
    <row r="15893" spans="3:10" hidden="1" x14ac:dyDescent="0.25">
      <c r="C15893" s="84"/>
      <c r="D15893" s="84"/>
      <c r="E15893" s="84"/>
      <c r="F15893" s="84"/>
      <c r="G15893" s="84"/>
      <c r="H15893" s="84"/>
      <c r="I15893" s="84"/>
      <c r="J15893" s="84"/>
    </row>
    <row r="15894" spans="3:10" hidden="1" x14ac:dyDescent="0.25">
      <c r="C15894" s="84"/>
      <c r="D15894" s="84"/>
      <c r="E15894" s="84"/>
      <c r="F15894" s="84"/>
      <c r="G15894" s="84"/>
      <c r="H15894" s="84"/>
      <c r="I15894" s="84"/>
      <c r="J15894" s="84"/>
    </row>
    <row r="15895" spans="3:10" hidden="1" x14ac:dyDescent="0.25">
      <c r="C15895" s="84"/>
      <c r="D15895" s="84"/>
      <c r="E15895" s="84"/>
      <c r="F15895" s="84"/>
      <c r="G15895" s="84"/>
      <c r="H15895" s="84"/>
      <c r="I15895" s="84"/>
      <c r="J15895" s="84"/>
    </row>
    <row r="15896" spans="3:10" hidden="1" x14ac:dyDescent="0.25">
      <c r="C15896" s="84"/>
      <c r="D15896" s="84"/>
      <c r="E15896" s="84"/>
      <c r="F15896" s="84"/>
      <c r="G15896" s="84"/>
      <c r="H15896" s="84"/>
      <c r="I15896" s="84"/>
      <c r="J15896" s="84"/>
    </row>
    <row r="15897" spans="3:10" hidden="1" x14ac:dyDescent="0.25">
      <c r="C15897" s="84"/>
      <c r="D15897" s="84"/>
      <c r="E15897" s="84"/>
      <c r="F15897" s="84"/>
      <c r="G15897" s="84"/>
      <c r="H15897" s="84"/>
      <c r="I15897" s="84"/>
      <c r="J15897" s="84"/>
    </row>
    <row r="15898" spans="3:10" hidden="1" x14ac:dyDescent="0.25">
      <c r="C15898" s="84"/>
      <c r="D15898" s="84"/>
      <c r="E15898" s="84"/>
      <c r="F15898" s="84"/>
      <c r="G15898" s="84"/>
      <c r="H15898" s="84"/>
      <c r="I15898" s="84"/>
      <c r="J15898" s="84"/>
    </row>
    <row r="15899" spans="3:10" hidden="1" x14ac:dyDescent="0.25">
      <c r="C15899" s="84"/>
      <c r="D15899" s="84"/>
      <c r="E15899" s="84"/>
      <c r="F15899" s="84"/>
      <c r="G15899" s="84"/>
      <c r="H15899" s="84"/>
      <c r="I15899" s="84"/>
      <c r="J15899" s="84"/>
    </row>
    <row r="15900" spans="3:10" hidden="1" x14ac:dyDescent="0.25">
      <c r="C15900" s="84"/>
      <c r="D15900" s="84"/>
      <c r="E15900" s="84"/>
      <c r="F15900" s="84"/>
      <c r="G15900" s="84"/>
      <c r="H15900" s="84"/>
      <c r="I15900" s="84"/>
      <c r="J15900" s="84"/>
    </row>
    <row r="15901" spans="3:10" hidden="1" x14ac:dyDescent="0.25">
      <c r="C15901" s="84"/>
      <c r="D15901" s="84"/>
      <c r="E15901" s="84"/>
      <c r="F15901" s="84"/>
      <c r="G15901" s="84"/>
      <c r="H15901" s="84"/>
      <c r="I15901" s="84"/>
      <c r="J15901" s="84"/>
    </row>
    <row r="15902" spans="3:10" hidden="1" x14ac:dyDescent="0.25">
      <c r="C15902" s="84"/>
      <c r="D15902" s="84"/>
      <c r="E15902" s="84"/>
      <c r="F15902" s="84"/>
      <c r="G15902" s="84"/>
      <c r="H15902" s="84"/>
      <c r="I15902" s="84"/>
      <c r="J15902" s="84"/>
    </row>
    <row r="15903" spans="3:10" hidden="1" x14ac:dyDescent="0.25">
      <c r="C15903" s="84"/>
      <c r="D15903" s="84"/>
      <c r="E15903" s="84"/>
      <c r="F15903" s="84"/>
      <c r="G15903" s="84"/>
      <c r="H15903" s="84"/>
      <c r="I15903" s="84"/>
      <c r="J15903" s="84"/>
    </row>
    <row r="15904" spans="3:10" hidden="1" x14ac:dyDescent="0.25">
      <c r="C15904" s="84"/>
      <c r="D15904" s="84"/>
      <c r="E15904" s="84"/>
      <c r="F15904" s="84"/>
      <c r="G15904" s="84"/>
      <c r="H15904" s="84"/>
      <c r="I15904" s="84"/>
      <c r="J15904" s="84"/>
    </row>
    <row r="15905" spans="3:10" hidden="1" x14ac:dyDescent="0.25">
      <c r="C15905" s="84"/>
      <c r="D15905" s="84"/>
      <c r="E15905" s="84"/>
      <c r="F15905" s="84"/>
      <c r="G15905" s="84"/>
      <c r="H15905" s="84"/>
      <c r="I15905" s="84"/>
      <c r="J15905" s="84"/>
    </row>
    <row r="15906" spans="3:10" hidden="1" x14ac:dyDescent="0.25">
      <c r="C15906" s="84"/>
      <c r="D15906" s="84"/>
      <c r="E15906" s="84"/>
      <c r="F15906" s="84"/>
      <c r="G15906" s="84"/>
      <c r="H15906" s="84"/>
      <c r="I15906" s="84"/>
      <c r="J15906" s="84"/>
    </row>
    <row r="15907" spans="3:10" hidden="1" x14ac:dyDescent="0.25">
      <c r="C15907" s="84"/>
      <c r="D15907" s="84"/>
      <c r="E15907" s="84"/>
      <c r="F15907" s="84"/>
      <c r="G15907" s="84"/>
      <c r="H15907" s="84"/>
      <c r="I15907" s="84"/>
      <c r="J15907" s="84"/>
    </row>
    <row r="15908" spans="3:10" hidden="1" x14ac:dyDescent="0.25">
      <c r="C15908" s="84"/>
      <c r="D15908" s="84"/>
      <c r="E15908" s="84"/>
      <c r="F15908" s="84"/>
      <c r="G15908" s="84"/>
      <c r="H15908" s="84"/>
      <c r="I15908" s="84"/>
      <c r="J15908" s="84"/>
    </row>
    <row r="15909" spans="3:10" hidden="1" x14ac:dyDescent="0.25">
      <c r="C15909" s="84"/>
      <c r="D15909" s="84"/>
      <c r="E15909" s="84"/>
      <c r="F15909" s="84"/>
      <c r="G15909" s="84"/>
      <c r="H15909" s="84"/>
      <c r="I15909" s="84"/>
      <c r="J15909" s="84"/>
    </row>
    <row r="15910" spans="3:10" hidden="1" x14ac:dyDescent="0.25">
      <c r="C15910" s="84"/>
      <c r="D15910" s="84"/>
      <c r="E15910" s="84"/>
      <c r="F15910" s="84"/>
      <c r="G15910" s="84"/>
      <c r="H15910" s="84"/>
      <c r="I15910" s="84"/>
      <c r="J15910" s="84"/>
    </row>
    <row r="15911" spans="3:10" hidden="1" x14ac:dyDescent="0.25">
      <c r="C15911" s="84"/>
      <c r="D15911" s="84"/>
      <c r="E15911" s="84"/>
      <c r="F15911" s="84"/>
      <c r="G15911" s="84"/>
      <c r="H15911" s="84"/>
      <c r="I15911" s="84"/>
      <c r="J15911" s="84"/>
    </row>
    <row r="15912" spans="3:10" hidden="1" x14ac:dyDescent="0.25">
      <c r="C15912" s="84"/>
      <c r="D15912" s="84"/>
      <c r="E15912" s="84"/>
      <c r="F15912" s="84"/>
      <c r="G15912" s="84"/>
      <c r="H15912" s="84"/>
      <c r="I15912" s="84"/>
      <c r="J15912" s="84"/>
    </row>
    <row r="15913" spans="3:10" hidden="1" x14ac:dyDescent="0.25">
      <c r="C15913" s="84"/>
      <c r="D15913" s="84"/>
      <c r="E15913" s="84"/>
      <c r="F15913" s="84"/>
      <c r="G15913" s="84"/>
      <c r="H15913" s="84"/>
      <c r="I15913" s="84"/>
      <c r="J15913" s="84"/>
    </row>
    <row r="15914" spans="3:10" hidden="1" x14ac:dyDescent="0.25">
      <c r="C15914" s="84"/>
      <c r="D15914" s="84"/>
      <c r="E15914" s="84"/>
      <c r="F15914" s="84"/>
      <c r="G15914" s="84"/>
      <c r="H15914" s="84"/>
      <c r="I15914" s="84"/>
      <c r="J15914" s="84"/>
    </row>
    <row r="15915" spans="3:10" hidden="1" collapsed="1" x14ac:dyDescent="0.25">
      <c r="C15915" s="84"/>
      <c r="D15915" s="84"/>
      <c r="E15915" s="84"/>
      <c r="F15915" s="84"/>
      <c r="G15915" s="84"/>
      <c r="H15915" s="84"/>
      <c r="I15915" s="84"/>
      <c r="J15915" s="84"/>
    </row>
    <row r="15916" spans="3:10" hidden="1" x14ac:dyDescent="0.25">
      <c r="C15916" s="84"/>
      <c r="D15916" s="84"/>
      <c r="E15916" s="84"/>
      <c r="F15916" s="84"/>
      <c r="G15916" s="84"/>
      <c r="H15916" s="84"/>
      <c r="I15916" s="84"/>
      <c r="J15916" s="84"/>
    </row>
    <row r="15917" spans="3:10" hidden="1" x14ac:dyDescent="0.25">
      <c r="C15917" s="84"/>
      <c r="D15917" s="84"/>
      <c r="E15917" s="84"/>
      <c r="F15917" s="84"/>
      <c r="G15917" s="84"/>
      <c r="H15917" s="84"/>
      <c r="I15917" s="84"/>
      <c r="J15917" s="84"/>
    </row>
    <row r="15918" spans="3:10" hidden="1" x14ac:dyDescent="0.25">
      <c r="C15918" s="84"/>
      <c r="D15918" s="84"/>
      <c r="E15918" s="84"/>
      <c r="F15918" s="84"/>
      <c r="G15918" s="84"/>
      <c r="H15918" s="84"/>
      <c r="I15918" s="84"/>
      <c r="J15918" s="84"/>
    </row>
    <row r="15919" spans="3:10" hidden="1" x14ac:dyDescent="0.25">
      <c r="C15919" s="84"/>
      <c r="D15919" s="84"/>
      <c r="E15919" s="84"/>
      <c r="F15919" s="84"/>
      <c r="G15919" s="84"/>
      <c r="H15919" s="84"/>
      <c r="I15919" s="84"/>
      <c r="J15919" s="84"/>
    </row>
    <row r="15920" spans="3:10" hidden="1" x14ac:dyDescent="0.25">
      <c r="C15920" s="84"/>
      <c r="D15920" s="84"/>
      <c r="E15920" s="84"/>
      <c r="F15920" s="84"/>
      <c r="G15920" s="84"/>
      <c r="H15920" s="84"/>
      <c r="I15920" s="84"/>
      <c r="J15920" s="84"/>
    </row>
    <row r="15921" spans="3:10" hidden="1" x14ac:dyDescent="0.25">
      <c r="C15921" s="84"/>
      <c r="D15921" s="84"/>
      <c r="E15921" s="84"/>
      <c r="F15921" s="84"/>
      <c r="G15921" s="84"/>
      <c r="H15921" s="84"/>
      <c r="I15921" s="84"/>
      <c r="J15921" s="84"/>
    </row>
    <row r="15922" spans="3:10" hidden="1" x14ac:dyDescent="0.25">
      <c r="C15922" s="84"/>
      <c r="D15922" s="84"/>
      <c r="E15922" s="84"/>
      <c r="F15922" s="84"/>
      <c r="G15922" s="84"/>
      <c r="H15922" s="84"/>
      <c r="I15922" s="84"/>
      <c r="J15922" s="84"/>
    </row>
    <row r="15923" spans="3:10" hidden="1" x14ac:dyDescent="0.25">
      <c r="C15923" s="84"/>
      <c r="D15923" s="84"/>
      <c r="E15923" s="84"/>
      <c r="F15923" s="84"/>
      <c r="G15923" s="84"/>
      <c r="H15923" s="84"/>
      <c r="I15923" s="84"/>
      <c r="J15923" s="84"/>
    </row>
    <row r="15924" spans="3:10" hidden="1" x14ac:dyDescent="0.25">
      <c r="C15924" s="84"/>
      <c r="D15924" s="84"/>
      <c r="E15924" s="84"/>
      <c r="F15924" s="84"/>
      <c r="G15924" s="84"/>
      <c r="H15924" s="84"/>
      <c r="I15924" s="84"/>
      <c r="J15924" s="84"/>
    </row>
    <row r="15925" spans="3:10" hidden="1" x14ac:dyDescent="0.25">
      <c r="C15925" s="84"/>
      <c r="D15925" s="84"/>
      <c r="E15925" s="84"/>
      <c r="F15925" s="84"/>
      <c r="G15925" s="84"/>
      <c r="H15925" s="84"/>
      <c r="I15925" s="84"/>
      <c r="J15925" s="84"/>
    </row>
    <row r="15926" spans="3:10" hidden="1" x14ac:dyDescent="0.25">
      <c r="C15926" s="84"/>
      <c r="D15926" s="84"/>
      <c r="E15926" s="84"/>
      <c r="F15926" s="84"/>
      <c r="G15926" s="84"/>
      <c r="H15926" s="84"/>
      <c r="I15926" s="84"/>
      <c r="J15926" s="84"/>
    </row>
    <row r="15927" spans="3:10" hidden="1" x14ac:dyDescent="0.25">
      <c r="C15927" s="84"/>
      <c r="D15927" s="84"/>
      <c r="E15927" s="84"/>
      <c r="F15927" s="84"/>
      <c r="G15927" s="84"/>
      <c r="H15927" s="84"/>
      <c r="I15927" s="84"/>
      <c r="J15927" s="84"/>
    </row>
    <row r="15928" spans="3:10" hidden="1" x14ac:dyDescent="0.25">
      <c r="C15928" s="84"/>
      <c r="D15928" s="84"/>
      <c r="E15928" s="84"/>
      <c r="F15928" s="84"/>
      <c r="G15928" s="84"/>
      <c r="H15928" s="84"/>
      <c r="I15928" s="84"/>
      <c r="J15928" s="84"/>
    </row>
    <row r="15929" spans="3:10" hidden="1" x14ac:dyDescent="0.25">
      <c r="C15929" s="84"/>
      <c r="D15929" s="84"/>
      <c r="E15929" s="84"/>
      <c r="F15929" s="84"/>
      <c r="G15929" s="84"/>
      <c r="H15929" s="84"/>
      <c r="I15929" s="84"/>
      <c r="J15929" s="84"/>
    </row>
    <row r="15930" spans="3:10" hidden="1" x14ac:dyDescent="0.25">
      <c r="C15930" s="84"/>
      <c r="D15930" s="84"/>
      <c r="E15930" s="84"/>
      <c r="F15930" s="84"/>
      <c r="G15930" s="84"/>
      <c r="H15930" s="84"/>
      <c r="I15930" s="84"/>
      <c r="J15930" s="84"/>
    </row>
    <row r="15931" spans="3:10" hidden="1" x14ac:dyDescent="0.25">
      <c r="C15931" s="84"/>
      <c r="D15931" s="84"/>
      <c r="E15931" s="84"/>
      <c r="F15931" s="84"/>
      <c r="G15931" s="84"/>
      <c r="H15931" s="84"/>
      <c r="I15931" s="84"/>
      <c r="J15931" s="84"/>
    </row>
    <row r="15932" spans="3:10" hidden="1" x14ac:dyDescent="0.25">
      <c r="C15932" s="84"/>
      <c r="D15932" s="84"/>
      <c r="E15932" s="84"/>
      <c r="F15932" s="84"/>
      <c r="G15932" s="84"/>
      <c r="H15932" s="84"/>
      <c r="I15932" s="84"/>
      <c r="J15932" s="84"/>
    </row>
    <row r="15933" spans="3:10" hidden="1" x14ac:dyDescent="0.25">
      <c r="C15933" s="84"/>
      <c r="D15933" s="84"/>
      <c r="E15933" s="84"/>
      <c r="F15933" s="84"/>
      <c r="G15933" s="84"/>
      <c r="H15933" s="84"/>
      <c r="I15933" s="84"/>
      <c r="J15933" s="84"/>
    </row>
    <row r="15934" spans="3:10" hidden="1" x14ac:dyDescent="0.25">
      <c r="C15934" s="84"/>
      <c r="D15934" s="84"/>
      <c r="E15934" s="84"/>
      <c r="F15934" s="84"/>
      <c r="G15934" s="84"/>
      <c r="H15934" s="84"/>
      <c r="I15934" s="84"/>
      <c r="J15934" s="84"/>
    </row>
    <row r="15935" spans="3:10" hidden="1" x14ac:dyDescent="0.25">
      <c r="C15935" s="84"/>
      <c r="D15935" s="84"/>
      <c r="E15935" s="84"/>
      <c r="F15935" s="84"/>
      <c r="G15935" s="84"/>
      <c r="H15935" s="84"/>
      <c r="I15935" s="84"/>
      <c r="J15935" s="84"/>
    </row>
    <row r="15936" spans="3:10" hidden="1" x14ac:dyDescent="0.25">
      <c r="C15936" s="84"/>
      <c r="D15936" s="84"/>
      <c r="E15936" s="84"/>
      <c r="F15936" s="84"/>
      <c r="G15936" s="84"/>
      <c r="H15936" s="84"/>
      <c r="I15936" s="84"/>
      <c r="J15936" s="84"/>
    </row>
    <row r="15937" spans="3:10" hidden="1" x14ac:dyDescent="0.25">
      <c r="C15937" s="84"/>
      <c r="D15937" s="84"/>
      <c r="E15937" s="84"/>
      <c r="F15937" s="84"/>
      <c r="G15937" s="84"/>
      <c r="H15937" s="84"/>
      <c r="I15937" s="84"/>
      <c r="J15937" s="84"/>
    </row>
    <row r="15938" spans="3:10" hidden="1" x14ac:dyDescent="0.25">
      <c r="C15938" s="84"/>
      <c r="D15938" s="84"/>
      <c r="E15938" s="84"/>
      <c r="F15938" s="84"/>
      <c r="G15938" s="84"/>
      <c r="H15938" s="84"/>
      <c r="I15938" s="84"/>
      <c r="J15938" s="84"/>
    </row>
    <row r="15939" spans="3:10" hidden="1" x14ac:dyDescent="0.25">
      <c r="C15939" s="84"/>
      <c r="D15939" s="84"/>
      <c r="E15939" s="84"/>
      <c r="F15939" s="84"/>
      <c r="G15939" s="84"/>
      <c r="H15939" s="84"/>
      <c r="I15939" s="84"/>
      <c r="J15939" s="84"/>
    </row>
    <row r="15940" spans="3:10" hidden="1" x14ac:dyDescent="0.25">
      <c r="C15940" s="84"/>
      <c r="D15940" s="84"/>
      <c r="E15940" s="84"/>
      <c r="F15940" s="84"/>
      <c r="G15940" s="84"/>
      <c r="H15940" s="84"/>
      <c r="I15940" s="84"/>
      <c r="J15940" s="84"/>
    </row>
    <row r="15941" spans="3:10" hidden="1" x14ac:dyDescent="0.25">
      <c r="C15941" s="84"/>
      <c r="D15941" s="84"/>
      <c r="E15941" s="84"/>
      <c r="F15941" s="84"/>
      <c r="G15941" s="84"/>
      <c r="H15941" s="84"/>
      <c r="I15941" s="84"/>
      <c r="J15941" s="84"/>
    </row>
    <row r="15942" spans="3:10" hidden="1" x14ac:dyDescent="0.25">
      <c r="C15942" s="84"/>
      <c r="D15942" s="84"/>
      <c r="E15942" s="84"/>
      <c r="F15942" s="84"/>
      <c r="G15942" s="84"/>
      <c r="H15942" s="84"/>
      <c r="I15942" s="84"/>
      <c r="J15942" s="84"/>
    </row>
    <row r="15943" spans="3:10" hidden="1" x14ac:dyDescent="0.25">
      <c r="C15943" s="84"/>
      <c r="D15943" s="84"/>
      <c r="E15943" s="84"/>
      <c r="F15943" s="84"/>
      <c r="G15943" s="84"/>
      <c r="H15943" s="84"/>
      <c r="I15943" s="84"/>
      <c r="J15943" s="84"/>
    </row>
    <row r="15944" spans="3:10" hidden="1" x14ac:dyDescent="0.25">
      <c r="C15944" s="84"/>
      <c r="D15944" s="84"/>
      <c r="E15944" s="84"/>
      <c r="F15944" s="84"/>
      <c r="G15944" s="84"/>
      <c r="H15944" s="84"/>
      <c r="I15944" s="84"/>
      <c r="J15944" s="84"/>
    </row>
    <row r="15945" spans="3:10" hidden="1" x14ac:dyDescent="0.25">
      <c r="C15945" s="84"/>
      <c r="D15945" s="84"/>
      <c r="E15945" s="84"/>
      <c r="F15945" s="84"/>
      <c r="G15945" s="84"/>
      <c r="H15945" s="84"/>
      <c r="I15945" s="84"/>
      <c r="J15945" s="84"/>
    </row>
    <row r="15946" spans="3:10" hidden="1" x14ac:dyDescent="0.25">
      <c r="C15946" s="84"/>
      <c r="D15946" s="84"/>
      <c r="E15946" s="84"/>
      <c r="F15946" s="84"/>
      <c r="G15946" s="84"/>
      <c r="H15946" s="84"/>
      <c r="I15946" s="84"/>
      <c r="J15946" s="84"/>
    </row>
    <row r="15947" spans="3:10" hidden="1" x14ac:dyDescent="0.25">
      <c r="C15947" s="84"/>
      <c r="D15947" s="84"/>
      <c r="E15947" s="84"/>
      <c r="F15947" s="84"/>
      <c r="G15947" s="84"/>
      <c r="H15947" s="84"/>
      <c r="I15947" s="84"/>
      <c r="J15947" s="84"/>
    </row>
    <row r="15948" spans="3:10" hidden="1" x14ac:dyDescent="0.25">
      <c r="C15948" s="84"/>
      <c r="D15948" s="84"/>
      <c r="E15948" s="84"/>
      <c r="F15948" s="84"/>
      <c r="G15948" s="84"/>
      <c r="H15948" s="84"/>
      <c r="I15948" s="84"/>
      <c r="J15948" s="84"/>
    </row>
    <row r="15949" spans="3:10" hidden="1" x14ac:dyDescent="0.25">
      <c r="C15949" s="84"/>
      <c r="D15949" s="84"/>
      <c r="E15949" s="84"/>
      <c r="F15949" s="84"/>
      <c r="G15949" s="84"/>
      <c r="H15949" s="84"/>
      <c r="I15949" s="84"/>
      <c r="J15949" s="84"/>
    </row>
    <row r="15950" spans="3:10" hidden="1" x14ac:dyDescent="0.25">
      <c r="C15950" s="84"/>
      <c r="D15950" s="84"/>
      <c r="E15950" s="84"/>
      <c r="F15950" s="84"/>
      <c r="G15950" s="84"/>
      <c r="H15950" s="84"/>
      <c r="I15950" s="84"/>
      <c r="J15950" s="84"/>
    </row>
    <row r="15951" spans="3:10" hidden="1" x14ac:dyDescent="0.25">
      <c r="C15951" s="84"/>
      <c r="D15951" s="84"/>
      <c r="E15951" s="84"/>
      <c r="F15951" s="84"/>
      <c r="G15951" s="84"/>
      <c r="H15951" s="84"/>
      <c r="I15951" s="84"/>
      <c r="J15951" s="84"/>
    </row>
    <row r="15952" spans="3:10" hidden="1" x14ac:dyDescent="0.25">
      <c r="C15952" s="84"/>
      <c r="D15952" s="84"/>
      <c r="E15952" s="84"/>
      <c r="F15952" s="84"/>
      <c r="G15952" s="84"/>
      <c r="H15952" s="84"/>
      <c r="I15952" s="84"/>
      <c r="J15952" s="84"/>
    </row>
    <row r="15953" spans="3:10" hidden="1" x14ac:dyDescent="0.25">
      <c r="C15953" s="84"/>
      <c r="D15953" s="84"/>
      <c r="E15953" s="84"/>
      <c r="F15953" s="84"/>
      <c r="G15953" s="84"/>
      <c r="H15953" s="84"/>
      <c r="I15953" s="84"/>
      <c r="J15953" s="84"/>
    </row>
    <row r="15954" spans="3:10" hidden="1" x14ac:dyDescent="0.25">
      <c r="C15954" s="84"/>
      <c r="D15954" s="84"/>
      <c r="E15954" s="84"/>
      <c r="F15954" s="84"/>
      <c r="G15954" s="84"/>
      <c r="H15954" s="84"/>
      <c r="I15954" s="84"/>
      <c r="J15954" s="84"/>
    </row>
    <row r="15955" spans="3:10" hidden="1" x14ac:dyDescent="0.25">
      <c r="C15955" s="84"/>
      <c r="D15955" s="84"/>
      <c r="E15955" s="84"/>
      <c r="F15955" s="84"/>
      <c r="G15955" s="84"/>
      <c r="H15955" s="84"/>
      <c r="I15955" s="84"/>
      <c r="J15955" s="84"/>
    </row>
    <row r="15956" spans="3:10" hidden="1" x14ac:dyDescent="0.25">
      <c r="C15956" s="84"/>
      <c r="D15956" s="84"/>
      <c r="E15956" s="84"/>
      <c r="F15956" s="84"/>
      <c r="G15956" s="84"/>
      <c r="H15956" s="84"/>
      <c r="I15956" s="84"/>
      <c r="J15956" s="84"/>
    </row>
    <row r="15957" spans="3:10" hidden="1" x14ac:dyDescent="0.25">
      <c r="C15957" s="84"/>
      <c r="D15957" s="84"/>
      <c r="E15957" s="84"/>
      <c r="F15957" s="84"/>
      <c r="G15957" s="84"/>
      <c r="H15957" s="84"/>
      <c r="I15957" s="84"/>
      <c r="J15957" s="84"/>
    </row>
    <row r="15958" spans="3:10" hidden="1" x14ac:dyDescent="0.25">
      <c r="C15958" s="84"/>
      <c r="D15958" s="84"/>
      <c r="E15958" s="84"/>
      <c r="F15958" s="84"/>
      <c r="G15958" s="84"/>
      <c r="H15958" s="84"/>
      <c r="I15958" s="84"/>
      <c r="J15958" s="84"/>
    </row>
    <row r="15959" spans="3:10" hidden="1" x14ac:dyDescent="0.25">
      <c r="C15959" s="84"/>
      <c r="D15959" s="84"/>
      <c r="E15959" s="84"/>
      <c r="F15959" s="84"/>
      <c r="G15959" s="84"/>
      <c r="H15959" s="84"/>
      <c r="I15959" s="84"/>
      <c r="J15959" s="84"/>
    </row>
    <row r="15960" spans="3:10" hidden="1" x14ac:dyDescent="0.25">
      <c r="C15960" s="84"/>
      <c r="D15960" s="84"/>
      <c r="E15960" s="84"/>
      <c r="F15960" s="84"/>
      <c r="G15960" s="84"/>
      <c r="H15960" s="84"/>
      <c r="I15960" s="84"/>
      <c r="J15960" s="84"/>
    </row>
    <row r="15961" spans="3:10" hidden="1" x14ac:dyDescent="0.25">
      <c r="C15961" s="84"/>
      <c r="D15961" s="84"/>
      <c r="E15961" s="84"/>
      <c r="F15961" s="84"/>
      <c r="G15961" s="84"/>
      <c r="H15961" s="84"/>
      <c r="I15961" s="84"/>
      <c r="J15961" s="84"/>
    </row>
    <row r="15962" spans="3:10" hidden="1" x14ac:dyDescent="0.25">
      <c r="C15962" s="84"/>
      <c r="D15962" s="84"/>
      <c r="E15962" s="84"/>
      <c r="F15962" s="84"/>
      <c r="G15962" s="84"/>
      <c r="H15962" s="84"/>
      <c r="I15962" s="84"/>
      <c r="J15962" s="84"/>
    </row>
    <row r="15963" spans="3:10" hidden="1" x14ac:dyDescent="0.25">
      <c r="C15963" s="84"/>
      <c r="D15963" s="84"/>
      <c r="E15963" s="84"/>
      <c r="F15963" s="84"/>
      <c r="G15963" s="84"/>
      <c r="H15963" s="84"/>
      <c r="I15963" s="84"/>
      <c r="J15963" s="84"/>
    </row>
    <row r="15964" spans="3:10" hidden="1" x14ac:dyDescent="0.25">
      <c r="C15964" s="84"/>
      <c r="D15964" s="84"/>
      <c r="E15964" s="84"/>
      <c r="F15964" s="84"/>
      <c r="G15964" s="84"/>
      <c r="H15964" s="84"/>
      <c r="I15964" s="84"/>
      <c r="J15964" s="84"/>
    </row>
    <row r="15965" spans="3:10" hidden="1" x14ac:dyDescent="0.25">
      <c r="C15965" s="84"/>
      <c r="D15965" s="84"/>
      <c r="E15965" s="84"/>
      <c r="F15965" s="84"/>
      <c r="G15965" s="84"/>
      <c r="H15965" s="84"/>
      <c r="I15965" s="84"/>
      <c r="J15965" s="84"/>
    </row>
    <row r="15966" spans="3:10" hidden="1" x14ac:dyDescent="0.25">
      <c r="C15966" s="84"/>
      <c r="D15966" s="84"/>
      <c r="E15966" s="84"/>
      <c r="F15966" s="84"/>
      <c r="G15966" s="84"/>
      <c r="H15966" s="84"/>
      <c r="I15966" s="84"/>
      <c r="J15966" s="84"/>
    </row>
    <row r="15967" spans="3:10" hidden="1" x14ac:dyDescent="0.25">
      <c r="C15967" s="84"/>
      <c r="D15967" s="84"/>
      <c r="E15967" s="84"/>
      <c r="F15967" s="84"/>
      <c r="G15967" s="84"/>
      <c r="H15967" s="84"/>
      <c r="I15967" s="84"/>
      <c r="J15967" s="84"/>
    </row>
    <row r="15968" spans="3:10" hidden="1" x14ac:dyDescent="0.25">
      <c r="C15968" s="84"/>
      <c r="D15968" s="84"/>
      <c r="E15968" s="84"/>
      <c r="F15968" s="84"/>
      <c r="G15968" s="84"/>
      <c r="H15968" s="84"/>
      <c r="I15968" s="84"/>
      <c r="J15968" s="84"/>
    </row>
    <row r="15969" spans="1:25" hidden="1" x14ac:dyDescent="0.25">
      <c r="C15969" s="84"/>
      <c r="D15969" s="84"/>
      <c r="E15969" s="84"/>
      <c r="F15969" s="84"/>
      <c r="G15969" s="84"/>
      <c r="H15969" s="84"/>
      <c r="I15969" s="84"/>
      <c r="J15969" s="84"/>
    </row>
    <row r="15970" spans="1:25" hidden="1" x14ac:dyDescent="0.25">
      <c r="C15970" s="84"/>
      <c r="D15970" s="84"/>
      <c r="E15970" s="84"/>
      <c r="F15970" s="84"/>
      <c r="G15970" s="84"/>
      <c r="H15970" s="84"/>
      <c r="I15970" s="84"/>
      <c r="J15970" s="84"/>
    </row>
    <row r="15971" spans="1:25" hidden="1" x14ac:dyDescent="0.25"/>
    <row r="15972" spans="1:25" s="747" customFormat="1" hidden="1" x14ac:dyDescent="0.25">
      <c r="A15972" s="739"/>
      <c r="B15972" s="739"/>
      <c r="K15972" s="746"/>
      <c r="L15972" s="746"/>
      <c r="M15972" s="746"/>
      <c r="N15972" s="746"/>
      <c r="O15972" s="746"/>
      <c r="P15972" s="746"/>
      <c r="Q15972" s="746"/>
      <c r="R15972" s="746"/>
      <c r="S15972" s="746"/>
      <c r="T15972" s="746"/>
      <c r="U15972" s="746"/>
      <c r="V15972" s="746"/>
      <c r="W15972" s="746"/>
      <c r="X15972" s="746"/>
      <c r="Y15972" s="746"/>
    </row>
    <row r="15973" spans="1:25" s="747" customFormat="1" ht="16.5" hidden="1" customHeight="1" x14ac:dyDescent="0.25">
      <c r="A15973" s="748"/>
      <c r="B15973" s="748"/>
      <c r="K15973" s="746"/>
      <c r="L15973" s="746"/>
      <c r="M15973" s="746"/>
      <c r="N15973" s="746"/>
      <c r="O15973" s="746"/>
      <c r="P15973" s="746"/>
      <c r="Q15973" s="746"/>
      <c r="R15973" s="746"/>
      <c r="S15973" s="746"/>
      <c r="T15973" s="746"/>
      <c r="U15973" s="746"/>
      <c r="V15973" s="746"/>
      <c r="W15973" s="746"/>
      <c r="X15973" s="746"/>
      <c r="Y15973" s="746"/>
    </row>
    <row r="15974" spans="1:25" s="747" customFormat="1" hidden="1" x14ac:dyDescent="0.25">
      <c r="A15974" s="748"/>
      <c r="B15974" s="748"/>
      <c r="K15974" s="746"/>
      <c r="L15974" s="746"/>
      <c r="M15974" s="746"/>
      <c r="N15974" s="746"/>
      <c r="O15974" s="746"/>
      <c r="P15974" s="746"/>
      <c r="Q15974" s="746"/>
      <c r="R15974" s="746"/>
      <c r="S15974" s="746"/>
      <c r="T15974" s="746"/>
      <c r="U15974" s="746"/>
      <c r="V15974" s="746"/>
      <c r="W15974" s="746"/>
      <c r="X15974" s="746"/>
      <c r="Y15974" s="746"/>
    </row>
    <row r="15975" spans="1:25" s="747" customFormat="1" hidden="1" x14ac:dyDescent="0.25">
      <c r="A15975" s="748"/>
      <c r="B15975" s="748"/>
      <c r="K15975" s="746"/>
      <c r="L15975" s="746"/>
      <c r="M15975" s="746"/>
      <c r="N15975" s="746"/>
      <c r="O15975" s="746"/>
      <c r="P15975" s="746"/>
      <c r="Q15975" s="746"/>
      <c r="R15975" s="746"/>
      <c r="S15975" s="746"/>
      <c r="T15975" s="746"/>
      <c r="U15975" s="746"/>
      <c r="V15975" s="746"/>
      <c r="W15975" s="746"/>
      <c r="X15975" s="746"/>
      <c r="Y15975" s="746"/>
    </row>
    <row r="15976" spans="1:25" s="747" customFormat="1" hidden="1" x14ac:dyDescent="0.25">
      <c r="A15976" s="748"/>
      <c r="B15976" s="748"/>
      <c r="K15976" s="746"/>
      <c r="L15976" s="746"/>
      <c r="M15976" s="746"/>
      <c r="N15976" s="746"/>
      <c r="O15976" s="746"/>
      <c r="P15976" s="746"/>
      <c r="Q15976" s="746"/>
      <c r="R15976" s="746"/>
      <c r="S15976" s="746"/>
      <c r="T15976" s="746"/>
      <c r="U15976" s="746"/>
      <c r="V15976" s="746"/>
      <c r="W15976" s="746"/>
      <c r="X15976" s="746"/>
      <c r="Y15976" s="746"/>
    </row>
    <row r="15977" spans="1:25" s="747" customFormat="1" hidden="1" x14ac:dyDescent="0.25">
      <c r="A15977" s="748"/>
      <c r="B15977" s="748"/>
      <c r="K15977" s="746"/>
      <c r="L15977" s="746"/>
      <c r="M15977" s="746"/>
      <c r="N15977" s="746"/>
      <c r="O15977" s="746"/>
      <c r="P15977" s="746"/>
      <c r="Q15977" s="746"/>
      <c r="R15977" s="746"/>
      <c r="S15977" s="746"/>
      <c r="T15977" s="746"/>
      <c r="U15977" s="746"/>
      <c r="V15977" s="746"/>
      <c r="W15977" s="746"/>
      <c r="X15977" s="746"/>
      <c r="Y15977" s="746"/>
    </row>
    <row r="15978" spans="1:25" s="747" customFormat="1" hidden="1" x14ac:dyDescent="0.25">
      <c r="A15978" s="748"/>
      <c r="B15978" s="748"/>
      <c r="K15978" s="746"/>
      <c r="L15978" s="746"/>
      <c r="M15978" s="746"/>
      <c r="N15978" s="746"/>
      <c r="O15978" s="746"/>
      <c r="P15978" s="746"/>
      <c r="Q15978" s="746"/>
      <c r="R15978" s="746"/>
      <c r="S15978" s="746"/>
      <c r="T15978" s="746"/>
      <c r="U15978" s="746"/>
      <c r="V15978" s="746"/>
      <c r="W15978" s="746"/>
      <c r="X15978" s="746"/>
      <c r="Y15978" s="746"/>
    </row>
    <row r="15979" spans="1:25" s="747" customFormat="1" hidden="1" x14ac:dyDescent="0.25">
      <c r="A15979" s="748"/>
      <c r="B15979" s="748"/>
      <c r="K15979" s="746"/>
      <c r="L15979" s="746"/>
      <c r="M15979" s="746"/>
      <c r="N15979" s="746"/>
      <c r="O15979" s="746"/>
      <c r="P15979" s="746"/>
      <c r="Q15979" s="746"/>
      <c r="R15979" s="746"/>
      <c r="S15979" s="746"/>
      <c r="T15979" s="746"/>
      <c r="U15979" s="746"/>
      <c r="V15979" s="746"/>
      <c r="W15979" s="746"/>
      <c r="X15979" s="746"/>
      <c r="Y15979" s="746"/>
    </row>
    <row r="15980" spans="1:25" s="747" customFormat="1" hidden="1" x14ac:dyDescent="0.25">
      <c r="A15980" s="748"/>
      <c r="B15980" s="748"/>
      <c r="K15980" s="746"/>
      <c r="L15980" s="746"/>
      <c r="M15980" s="746"/>
      <c r="N15980" s="746"/>
      <c r="O15980" s="746"/>
      <c r="P15980" s="746"/>
      <c r="Q15980" s="746"/>
      <c r="R15980" s="746"/>
      <c r="S15980" s="746"/>
      <c r="T15980" s="746"/>
      <c r="U15980" s="746"/>
      <c r="V15980" s="746"/>
      <c r="W15980" s="746"/>
      <c r="X15980" s="746"/>
      <c r="Y15980" s="746"/>
    </row>
    <row r="15981" spans="1:25" s="747" customFormat="1" hidden="1" x14ac:dyDescent="0.25">
      <c r="A15981" s="748"/>
      <c r="B15981" s="748"/>
      <c r="K15981" s="746"/>
      <c r="L15981" s="746"/>
      <c r="M15981" s="746"/>
      <c r="N15981" s="746"/>
      <c r="O15981" s="746"/>
      <c r="P15981" s="746"/>
      <c r="Q15981" s="746"/>
      <c r="R15981" s="746"/>
      <c r="S15981" s="746"/>
      <c r="T15981" s="746"/>
      <c r="U15981" s="746"/>
      <c r="V15981" s="746"/>
      <c r="W15981" s="746"/>
      <c r="X15981" s="746"/>
      <c r="Y15981" s="746"/>
    </row>
    <row r="15982" spans="1:25" s="747" customFormat="1" hidden="1" x14ac:dyDescent="0.25">
      <c r="A15982" s="748"/>
      <c r="B15982" s="748"/>
      <c r="K15982" s="746"/>
      <c r="L15982" s="746"/>
      <c r="M15982" s="746"/>
      <c r="N15982" s="746"/>
      <c r="O15982" s="746"/>
      <c r="P15982" s="746"/>
      <c r="Q15982" s="746"/>
      <c r="R15982" s="746"/>
      <c r="S15982" s="746"/>
      <c r="T15982" s="746"/>
      <c r="U15982" s="746"/>
      <c r="V15982" s="746"/>
      <c r="W15982" s="746"/>
      <c r="X15982" s="746"/>
      <c r="Y15982" s="746"/>
    </row>
    <row r="15983" spans="1:25" s="747" customFormat="1" hidden="1" x14ac:dyDescent="0.25">
      <c r="A15983" s="748"/>
      <c r="B15983" s="748"/>
      <c r="K15983" s="746"/>
      <c r="L15983" s="746"/>
      <c r="M15983" s="746"/>
      <c r="N15983" s="746"/>
      <c r="O15983" s="746"/>
      <c r="P15983" s="746"/>
      <c r="Q15983" s="746"/>
      <c r="R15983" s="746"/>
      <c r="S15983" s="746"/>
      <c r="T15983" s="746"/>
      <c r="U15983" s="746"/>
      <c r="V15983" s="746"/>
      <c r="W15983" s="746"/>
      <c r="X15983" s="746"/>
      <c r="Y15983" s="746"/>
    </row>
    <row r="15984" spans="1:25" s="747" customFormat="1" hidden="1" x14ac:dyDescent="0.25">
      <c r="A15984" s="748"/>
      <c r="B15984" s="748"/>
      <c r="K15984" s="746"/>
      <c r="L15984" s="746"/>
      <c r="M15984" s="746"/>
      <c r="N15984" s="746"/>
      <c r="O15984" s="746"/>
      <c r="P15984" s="746"/>
      <c r="Q15984" s="746"/>
      <c r="R15984" s="746"/>
      <c r="S15984" s="746"/>
      <c r="T15984" s="746"/>
      <c r="U15984" s="746"/>
      <c r="V15984" s="746"/>
      <c r="W15984" s="746"/>
      <c r="X15984" s="746"/>
      <c r="Y15984" s="746"/>
    </row>
    <row r="15985" spans="1:25" s="747" customFormat="1" hidden="1" x14ac:dyDescent="0.25">
      <c r="A15985" s="748"/>
      <c r="B15985" s="748"/>
      <c r="K15985" s="746"/>
      <c r="L15985" s="746"/>
      <c r="M15985" s="746"/>
      <c r="N15985" s="746"/>
      <c r="O15985" s="746"/>
      <c r="P15985" s="746"/>
      <c r="Q15985" s="746"/>
      <c r="R15985" s="746"/>
      <c r="S15985" s="746"/>
      <c r="T15985" s="746"/>
      <c r="U15985" s="746"/>
      <c r="V15985" s="746"/>
      <c r="W15985" s="746"/>
      <c r="X15985" s="746"/>
      <c r="Y15985" s="746"/>
    </row>
    <row r="15986" spans="1:25" s="747" customFormat="1" hidden="1" x14ac:dyDescent="0.25">
      <c r="A15986" s="748"/>
      <c r="B15986" s="748"/>
      <c r="K15986" s="746"/>
      <c r="L15986" s="746"/>
      <c r="M15986" s="746"/>
      <c r="N15986" s="746"/>
      <c r="O15986" s="746"/>
      <c r="P15986" s="746"/>
      <c r="Q15986" s="746"/>
      <c r="R15986" s="746"/>
      <c r="S15986" s="746"/>
      <c r="T15986" s="746"/>
      <c r="U15986" s="746"/>
      <c r="V15986" s="746"/>
      <c r="W15986" s="746"/>
      <c r="X15986" s="746"/>
      <c r="Y15986" s="746"/>
    </row>
    <row r="15987" spans="1:25" s="747" customFormat="1" hidden="1" x14ac:dyDescent="0.25">
      <c r="A15987" s="748"/>
      <c r="B15987" s="748"/>
      <c r="K15987" s="746"/>
      <c r="L15987" s="746"/>
      <c r="M15987" s="746"/>
      <c r="N15987" s="746"/>
      <c r="O15987" s="746"/>
      <c r="P15987" s="746"/>
      <c r="Q15987" s="746"/>
      <c r="R15987" s="746"/>
      <c r="S15987" s="746"/>
      <c r="T15987" s="746"/>
      <c r="U15987" s="746"/>
      <c r="V15987" s="746"/>
      <c r="W15987" s="746"/>
      <c r="X15987" s="746"/>
      <c r="Y15987" s="746"/>
    </row>
    <row r="15988" spans="1:25" s="747" customFormat="1" hidden="1" x14ac:dyDescent="0.25">
      <c r="A15988" s="748"/>
      <c r="B15988" s="748"/>
      <c r="K15988" s="746"/>
      <c r="L15988" s="746"/>
      <c r="M15988" s="746"/>
      <c r="N15988" s="746"/>
      <c r="O15988" s="746"/>
      <c r="P15988" s="746"/>
      <c r="Q15988" s="746"/>
      <c r="R15988" s="746"/>
      <c r="S15988" s="746"/>
      <c r="T15988" s="746"/>
      <c r="U15988" s="746"/>
      <c r="V15988" s="746"/>
      <c r="W15988" s="746"/>
      <c r="X15988" s="746"/>
      <c r="Y15988" s="746"/>
    </row>
    <row r="15989" spans="1:25" s="747" customFormat="1" hidden="1" x14ac:dyDescent="0.25">
      <c r="A15989" s="748"/>
      <c r="B15989" s="748"/>
      <c r="K15989" s="746"/>
      <c r="L15989" s="746"/>
      <c r="M15989" s="746"/>
      <c r="N15989" s="746"/>
      <c r="O15989" s="746"/>
      <c r="P15989" s="746"/>
      <c r="Q15989" s="746"/>
      <c r="R15989" s="746"/>
      <c r="S15989" s="746"/>
      <c r="T15989" s="746"/>
      <c r="U15989" s="746"/>
      <c r="V15989" s="746"/>
      <c r="W15989" s="746"/>
      <c r="X15989" s="746"/>
      <c r="Y15989" s="746"/>
    </row>
    <row r="15990" spans="1:25" s="747" customFormat="1" hidden="1" x14ac:dyDescent="0.25">
      <c r="A15990" s="748"/>
      <c r="B15990" s="748"/>
      <c r="K15990" s="746"/>
      <c r="L15990" s="746"/>
      <c r="M15990" s="746"/>
      <c r="N15990" s="746"/>
      <c r="O15990" s="746"/>
      <c r="P15990" s="746"/>
      <c r="Q15990" s="746"/>
      <c r="R15990" s="746"/>
      <c r="S15990" s="746"/>
      <c r="T15990" s="746"/>
      <c r="U15990" s="746"/>
      <c r="V15990" s="746"/>
      <c r="W15990" s="746"/>
      <c r="X15990" s="746"/>
      <c r="Y15990" s="746"/>
    </row>
    <row r="15991" spans="1:25" s="747" customFormat="1" hidden="1" x14ac:dyDescent="0.25">
      <c r="A15991" s="748"/>
      <c r="B15991" s="748"/>
      <c r="K15991" s="746"/>
      <c r="L15991" s="746"/>
      <c r="M15991" s="746"/>
      <c r="N15991" s="746"/>
      <c r="O15991" s="746"/>
      <c r="P15991" s="746"/>
      <c r="Q15991" s="746"/>
      <c r="R15991" s="746"/>
      <c r="S15991" s="746"/>
      <c r="T15991" s="746"/>
      <c r="U15991" s="746"/>
      <c r="V15991" s="746"/>
      <c r="W15991" s="746"/>
      <c r="X15991" s="746"/>
      <c r="Y15991" s="746"/>
    </row>
    <row r="15992" spans="1:25" s="747" customFormat="1" hidden="1" x14ac:dyDescent="0.25">
      <c r="A15992" s="748"/>
      <c r="B15992" s="748"/>
      <c r="K15992" s="746"/>
      <c r="L15992" s="746"/>
      <c r="M15992" s="746"/>
      <c r="N15992" s="746"/>
      <c r="O15992" s="746"/>
      <c r="P15992" s="746"/>
      <c r="Q15992" s="746"/>
      <c r="R15992" s="746"/>
      <c r="S15992" s="746"/>
      <c r="T15992" s="746"/>
      <c r="U15992" s="746"/>
      <c r="V15992" s="746"/>
      <c r="W15992" s="746"/>
      <c r="X15992" s="746"/>
      <c r="Y15992" s="746"/>
    </row>
    <row r="15993" spans="1:25" s="747" customFormat="1" hidden="1" x14ac:dyDescent="0.25">
      <c r="A15993" s="748"/>
      <c r="B15993" s="748"/>
      <c r="K15993" s="746"/>
      <c r="L15993" s="746"/>
      <c r="M15993" s="746"/>
      <c r="N15993" s="746"/>
      <c r="O15993" s="746"/>
      <c r="P15993" s="746"/>
      <c r="Q15993" s="746"/>
      <c r="R15993" s="746"/>
      <c r="S15993" s="746"/>
      <c r="T15993" s="746"/>
      <c r="U15993" s="746"/>
      <c r="V15993" s="746"/>
      <c r="W15993" s="746"/>
      <c r="X15993" s="746"/>
      <c r="Y15993" s="746"/>
    </row>
    <row r="15994" spans="1:25" s="747" customFormat="1" hidden="1" x14ac:dyDescent="0.25">
      <c r="A15994" s="748"/>
      <c r="B15994" s="748"/>
      <c r="K15994" s="746"/>
      <c r="L15994" s="746"/>
      <c r="M15994" s="746"/>
      <c r="N15994" s="746"/>
      <c r="O15994" s="746"/>
      <c r="P15994" s="746"/>
      <c r="Q15994" s="746"/>
      <c r="R15994" s="746"/>
      <c r="S15994" s="746"/>
      <c r="T15994" s="746"/>
      <c r="U15994" s="746"/>
      <c r="V15994" s="746"/>
      <c r="W15994" s="746"/>
      <c r="X15994" s="746"/>
      <c r="Y15994" s="746"/>
    </row>
    <row r="15995" spans="1:25" s="747" customFormat="1" hidden="1" x14ac:dyDescent="0.25">
      <c r="A15995" s="748"/>
      <c r="B15995" s="748"/>
      <c r="K15995" s="746"/>
      <c r="L15995" s="746"/>
      <c r="M15995" s="746"/>
      <c r="N15995" s="746"/>
      <c r="O15995" s="746"/>
      <c r="P15995" s="746"/>
      <c r="Q15995" s="746"/>
      <c r="R15995" s="746"/>
      <c r="S15995" s="746"/>
      <c r="T15995" s="746"/>
      <c r="U15995" s="746"/>
      <c r="V15995" s="746"/>
      <c r="W15995" s="746"/>
      <c r="X15995" s="746"/>
      <c r="Y15995" s="746"/>
    </row>
    <row r="15996" spans="1:25" s="747" customFormat="1" hidden="1" x14ac:dyDescent="0.25">
      <c r="A15996" s="748"/>
      <c r="B15996" s="748"/>
      <c r="K15996" s="746"/>
      <c r="L15996" s="746"/>
      <c r="M15996" s="746"/>
      <c r="N15996" s="746"/>
      <c r="O15996" s="746"/>
      <c r="P15996" s="746"/>
      <c r="Q15996" s="746"/>
      <c r="R15996" s="746"/>
      <c r="S15996" s="746"/>
      <c r="T15996" s="746"/>
      <c r="U15996" s="746"/>
      <c r="V15996" s="746"/>
      <c r="W15996" s="746"/>
      <c r="X15996" s="746"/>
      <c r="Y15996" s="746"/>
    </row>
    <row r="15997" spans="1:25" s="747" customFormat="1" hidden="1" x14ac:dyDescent="0.25">
      <c r="A15997" s="748"/>
      <c r="B15997" s="748"/>
      <c r="K15997" s="746"/>
      <c r="L15997" s="746"/>
      <c r="M15997" s="746"/>
      <c r="N15997" s="746"/>
      <c r="O15997" s="746"/>
      <c r="P15997" s="746"/>
      <c r="Q15997" s="746"/>
      <c r="R15997" s="746"/>
      <c r="S15997" s="746"/>
      <c r="T15997" s="746"/>
      <c r="U15997" s="746"/>
      <c r="V15997" s="746"/>
      <c r="W15997" s="746"/>
      <c r="X15997" s="746"/>
      <c r="Y15997" s="746"/>
    </row>
    <row r="15998" spans="1:25" s="747" customFormat="1" hidden="1" x14ac:dyDescent="0.25">
      <c r="A15998" s="748"/>
      <c r="B15998" s="748"/>
      <c r="K15998" s="746"/>
      <c r="L15998" s="746"/>
      <c r="M15998" s="746"/>
      <c r="N15998" s="746"/>
      <c r="O15998" s="746"/>
      <c r="P15998" s="746"/>
      <c r="Q15998" s="746"/>
      <c r="R15998" s="746"/>
      <c r="S15998" s="746"/>
      <c r="T15998" s="746"/>
      <c r="U15998" s="746"/>
      <c r="V15998" s="746"/>
      <c r="W15998" s="746"/>
      <c r="X15998" s="746"/>
      <c r="Y15998" s="746"/>
    </row>
    <row r="15999" spans="1:25" s="747" customFormat="1" hidden="1" x14ac:dyDescent="0.25">
      <c r="A15999" s="748"/>
      <c r="B15999" s="748"/>
      <c r="K15999" s="746"/>
      <c r="L15999" s="746"/>
      <c r="M15999" s="746"/>
      <c r="N15999" s="746"/>
      <c r="O15999" s="746"/>
      <c r="P15999" s="746"/>
      <c r="Q15999" s="746"/>
      <c r="R15999" s="746"/>
      <c r="S15999" s="746"/>
      <c r="T15999" s="746"/>
      <c r="U15999" s="746"/>
      <c r="V15999" s="746"/>
      <c r="W15999" s="746"/>
      <c r="X15999" s="746"/>
      <c r="Y15999" s="746"/>
    </row>
    <row r="16000" spans="1:25" s="747" customFormat="1" ht="19.5" hidden="1" customHeight="1" x14ac:dyDescent="0.25">
      <c r="A16000" s="748"/>
      <c r="B16000" s="748"/>
      <c r="K16000" s="746"/>
      <c r="L16000" s="746"/>
      <c r="M16000" s="746"/>
      <c r="N16000" s="746"/>
      <c r="O16000" s="746"/>
      <c r="P16000" s="746"/>
      <c r="Q16000" s="746"/>
      <c r="R16000" s="746"/>
      <c r="S16000" s="746"/>
      <c r="T16000" s="746"/>
      <c r="U16000" s="746"/>
      <c r="V16000" s="746"/>
      <c r="W16000" s="746"/>
      <c r="X16000" s="746"/>
      <c r="Y16000" s="746"/>
    </row>
    <row r="16001" spans="1:25" s="747" customFormat="1" hidden="1" x14ac:dyDescent="0.25">
      <c r="A16001" s="748"/>
      <c r="B16001" s="748"/>
      <c r="K16001" s="746"/>
      <c r="L16001" s="746"/>
      <c r="M16001" s="746"/>
      <c r="N16001" s="746"/>
      <c r="O16001" s="746"/>
      <c r="P16001" s="746"/>
      <c r="Q16001" s="746"/>
      <c r="R16001" s="746"/>
      <c r="S16001" s="746"/>
      <c r="T16001" s="746"/>
      <c r="U16001" s="746"/>
      <c r="V16001" s="746"/>
      <c r="W16001" s="746"/>
      <c r="X16001" s="746"/>
      <c r="Y16001" s="746"/>
    </row>
    <row r="16002" spans="1:25" s="747" customFormat="1" hidden="1" x14ac:dyDescent="0.25">
      <c r="A16002" s="748"/>
      <c r="B16002" s="748"/>
      <c r="K16002" s="746"/>
      <c r="L16002" s="746"/>
      <c r="M16002" s="746"/>
      <c r="N16002" s="746"/>
      <c r="O16002" s="746"/>
      <c r="P16002" s="746"/>
      <c r="Q16002" s="746"/>
      <c r="R16002" s="746"/>
      <c r="S16002" s="746"/>
      <c r="T16002" s="746"/>
      <c r="U16002" s="746"/>
      <c r="V16002" s="746"/>
      <c r="W16002" s="746"/>
      <c r="X16002" s="746"/>
      <c r="Y16002" s="746"/>
    </row>
    <row r="16003" spans="1:25" s="747" customFormat="1" hidden="1" x14ac:dyDescent="0.25">
      <c r="A16003" s="748"/>
      <c r="B16003" s="748"/>
      <c r="K16003" s="746"/>
      <c r="L16003" s="746"/>
      <c r="M16003" s="746"/>
      <c r="N16003" s="746"/>
      <c r="O16003" s="746"/>
      <c r="P16003" s="746"/>
      <c r="Q16003" s="746"/>
      <c r="R16003" s="746"/>
      <c r="S16003" s="746"/>
      <c r="T16003" s="746"/>
      <c r="U16003" s="746"/>
      <c r="V16003" s="746"/>
      <c r="W16003" s="746"/>
      <c r="X16003" s="746"/>
      <c r="Y16003" s="746"/>
    </row>
    <row r="16004" spans="1:25" s="747" customFormat="1" hidden="1" x14ac:dyDescent="0.25">
      <c r="A16004" s="748"/>
      <c r="B16004" s="748"/>
      <c r="K16004" s="746"/>
      <c r="L16004" s="746"/>
      <c r="M16004" s="746"/>
      <c r="N16004" s="746"/>
      <c r="O16004" s="746"/>
      <c r="P16004" s="746"/>
      <c r="Q16004" s="746"/>
      <c r="R16004" s="746"/>
      <c r="S16004" s="746"/>
      <c r="T16004" s="746"/>
      <c r="U16004" s="746"/>
      <c r="V16004" s="746"/>
      <c r="W16004" s="746"/>
      <c r="X16004" s="746"/>
      <c r="Y16004" s="746"/>
    </row>
    <row r="16005" spans="1:25" s="747" customFormat="1" hidden="1" x14ac:dyDescent="0.25">
      <c r="A16005" s="748"/>
      <c r="B16005" s="748"/>
      <c r="K16005" s="746"/>
      <c r="L16005" s="746"/>
      <c r="M16005" s="746"/>
      <c r="N16005" s="746"/>
      <c r="O16005" s="746"/>
      <c r="P16005" s="746"/>
      <c r="Q16005" s="746"/>
      <c r="R16005" s="746"/>
      <c r="S16005" s="746"/>
      <c r="T16005" s="746"/>
      <c r="U16005" s="746"/>
      <c r="V16005" s="746"/>
      <c r="W16005" s="746"/>
      <c r="X16005" s="746"/>
      <c r="Y16005" s="746"/>
    </row>
    <row r="16006" spans="1:25" s="747" customFormat="1" hidden="1" x14ac:dyDescent="0.25">
      <c r="A16006" s="748"/>
      <c r="B16006" s="748"/>
      <c r="K16006" s="746"/>
      <c r="L16006" s="746"/>
      <c r="M16006" s="746"/>
      <c r="N16006" s="746"/>
      <c r="O16006" s="746"/>
      <c r="P16006" s="746"/>
      <c r="Q16006" s="746"/>
      <c r="R16006" s="746"/>
      <c r="S16006" s="746"/>
      <c r="T16006" s="746"/>
      <c r="U16006" s="746"/>
      <c r="V16006" s="746"/>
      <c r="W16006" s="746"/>
      <c r="X16006" s="746"/>
      <c r="Y16006" s="746"/>
    </row>
    <row r="16007" spans="1:25" s="747" customFormat="1" hidden="1" x14ac:dyDescent="0.25">
      <c r="A16007" s="748"/>
      <c r="B16007" s="748"/>
      <c r="K16007" s="746"/>
      <c r="L16007" s="746"/>
      <c r="M16007" s="746"/>
      <c r="N16007" s="746"/>
      <c r="O16007" s="746"/>
      <c r="P16007" s="746"/>
      <c r="Q16007" s="746"/>
      <c r="R16007" s="746"/>
      <c r="S16007" s="746"/>
      <c r="T16007" s="746"/>
      <c r="U16007" s="746"/>
      <c r="V16007" s="746"/>
      <c r="W16007" s="746"/>
      <c r="X16007" s="746"/>
      <c r="Y16007" s="746"/>
    </row>
    <row r="16008" spans="1:25" s="747" customFormat="1" hidden="1" x14ac:dyDescent="0.25">
      <c r="A16008" s="748"/>
      <c r="B16008" s="748"/>
      <c r="K16008" s="746"/>
      <c r="L16008" s="746"/>
      <c r="M16008" s="746"/>
      <c r="N16008" s="746"/>
      <c r="O16008" s="746"/>
      <c r="P16008" s="746"/>
      <c r="Q16008" s="746"/>
      <c r="R16008" s="746"/>
      <c r="S16008" s="746"/>
      <c r="T16008" s="746"/>
      <c r="U16008" s="746"/>
      <c r="V16008" s="746"/>
      <c r="W16008" s="746"/>
      <c r="X16008" s="746"/>
      <c r="Y16008" s="746"/>
    </row>
    <row r="16009" spans="1:25" s="747" customFormat="1" hidden="1" x14ac:dyDescent="0.25">
      <c r="A16009" s="748"/>
      <c r="B16009" s="748"/>
      <c r="K16009" s="746"/>
      <c r="L16009" s="746"/>
      <c r="M16009" s="746"/>
      <c r="N16009" s="746"/>
      <c r="O16009" s="746"/>
      <c r="P16009" s="746"/>
      <c r="Q16009" s="746"/>
      <c r="R16009" s="746"/>
      <c r="S16009" s="746"/>
      <c r="T16009" s="746"/>
      <c r="U16009" s="746"/>
      <c r="V16009" s="746"/>
      <c r="W16009" s="746"/>
      <c r="X16009" s="746"/>
      <c r="Y16009" s="746"/>
    </row>
    <row r="16010" spans="1:25" s="747" customFormat="1" hidden="1" x14ac:dyDescent="0.25">
      <c r="A16010" s="748"/>
      <c r="B16010" s="748"/>
      <c r="K16010" s="746"/>
      <c r="L16010" s="746"/>
      <c r="M16010" s="746"/>
      <c r="N16010" s="746"/>
      <c r="O16010" s="746"/>
      <c r="P16010" s="746"/>
      <c r="Q16010" s="746"/>
      <c r="R16010" s="746"/>
      <c r="S16010" s="746"/>
      <c r="T16010" s="746"/>
      <c r="U16010" s="746"/>
      <c r="V16010" s="746"/>
      <c r="W16010" s="746"/>
      <c r="X16010" s="746"/>
      <c r="Y16010" s="746"/>
    </row>
    <row r="16011" spans="1:25" s="747" customFormat="1" hidden="1" x14ac:dyDescent="0.25">
      <c r="A16011" s="748"/>
      <c r="B16011" s="748"/>
      <c r="K16011" s="746"/>
      <c r="L16011" s="746"/>
      <c r="M16011" s="746"/>
      <c r="N16011" s="746"/>
      <c r="O16011" s="746"/>
      <c r="P16011" s="746"/>
      <c r="Q16011" s="746"/>
      <c r="R16011" s="746"/>
      <c r="S16011" s="746"/>
      <c r="T16011" s="746"/>
      <c r="U16011" s="746"/>
      <c r="V16011" s="746"/>
      <c r="W16011" s="746"/>
      <c r="X16011" s="746"/>
      <c r="Y16011" s="746"/>
    </row>
    <row r="16012" spans="1:25" s="747" customFormat="1" hidden="1" x14ac:dyDescent="0.25">
      <c r="A16012" s="748"/>
      <c r="B16012" s="748"/>
      <c r="K16012" s="746"/>
      <c r="L16012" s="746"/>
      <c r="M16012" s="746"/>
      <c r="N16012" s="746"/>
      <c r="O16012" s="746"/>
      <c r="P16012" s="746"/>
      <c r="Q16012" s="746"/>
      <c r="R16012" s="746"/>
      <c r="S16012" s="746"/>
      <c r="T16012" s="746"/>
      <c r="U16012" s="746"/>
      <c r="V16012" s="746"/>
      <c r="W16012" s="746"/>
      <c r="X16012" s="746"/>
      <c r="Y16012" s="746"/>
    </row>
    <row r="16013" spans="1:25" s="747" customFormat="1" hidden="1" x14ac:dyDescent="0.25">
      <c r="A16013" s="748"/>
      <c r="B16013" s="748"/>
      <c r="K16013" s="746"/>
      <c r="L16013" s="746"/>
      <c r="M16013" s="746"/>
      <c r="N16013" s="746"/>
      <c r="O16013" s="746"/>
      <c r="P16013" s="746"/>
      <c r="Q16013" s="746"/>
      <c r="R16013" s="746"/>
      <c r="S16013" s="746"/>
      <c r="T16013" s="746"/>
      <c r="U16013" s="746"/>
      <c r="V16013" s="746"/>
      <c r="W16013" s="746"/>
      <c r="X16013" s="746"/>
      <c r="Y16013" s="746"/>
    </row>
    <row r="16014" spans="1:25" s="747" customFormat="1" hidden="1" x14ac:dyDescent="0.25">
      <c r="A16014" s="748"/>
      <c r="B16014" s="748"/>
      <c r="K16014" s="746"/>
      <c r="L16014" s="746"/>
      <c r="M16014" s="746"/>
      <c r="N16014" s="746"/>
      <c r="O16014" s="746"/>
      <c r="P16014" s="746"/>
      <c r="Q16014" s="746"/>
      <c r="R16014" s="746"/>
      <c r="S16014" s="746"/>
      <c r="T16014" s="746"/>
      <c r="U16014" s="746"/>
      <c r="V16014" s="746"/>
      <c r="W16014" s="746"/>
      <c r="X16014" s="746"/>
      <c r="Y16014" s="746"/>
    </row>
    <row r="16015" spans="1:25" s="747" customFormat="1" hidden="1" x14ac:dyDescent="0.25">
      <c r="A16015" s="748"/>
      <c r="B16015" s="748"/>
      <c r="K16015" s="746"/>
      <c r="L16015" s="746"/>
      <c r="M16015" s="746"/>
      <c r="N16015" s="746"/>
      <c r="O16015" s="746"/>
      <c r="P16015" s="746"/>
      <c r="Q16015" s="746"/>
      <c r="R16015" s="746"/>
      <c r="S16015" s="746"/>
      <c r="T16015" s="746"/>
      <c r="U16015" s="746"/>
      <c r="V16015" s="746"/>
      <c r="W16015" s="746"/>
      <c r="X16015" s="746"/>
      <c r="Y16015" s="746"/>
    </row>
    <row r="16016" spans="1:25" s="747" customFormat="1" hidden="1" x14ac:dyDescent="0.25">
      <c r="A16016" s="748"/>
      <c r="B16016" s="748"/>
      <c r="K16016" s="746"/>
      <c r="L16016" s="746"/>
      <c r="M16016" s="746"/>
      <c r="N16016" s="746"/>
      <c r="O16016" s="746"/>
      <c r="P16016" s="746"/>
      <c r="Q16016" s="746"/>
      <c r="R16016" s="746"/>
      <c r="S16016" s="746"/>
      <c r="T16016" s="746"/>
      <c r="U16016" s="746"/>
      <c r="V16016" s="746"/>
      <c r="W16016" s="746"/>
      <c r="X16016" s="746"/>
      <c r="Y16016" s="746"/>
    </row>
    <row r="16017" spans="1:25" s="747" customFormat="1" hidden="1" x14ac:dyDescent="0.25">
      <c r="A16017" s="748"/>
      <c r="B16017" s="748"/>
      <c r="K16017" s="746"/>
      <c r="L16017" s="746"/>
      <c r="M16017" s="746"/>
      <c r="N16017" s="746"/>
      <c r="O16017" s="746"/>
      <c r="P16017" s="746"/>
      <c r="Q16017" s="746"/>
      <c r="R16017" s="746"/>
      <c r="S16017" s="746"/>
      <c r="T16017" s="746"/>
      <c r="U16017" s="746"/>
      <c r="V16017" s="746"/>
      <c r="W16017" s="746"/>
      <c r="X16017" s="746"/>
      <c r="Y16017" s="746"/>
    </row>
    <row r="16018" spans="1:25" s="747" customFormat="1" hidden="1" x14ac:dyDescent="0.25">
      <c r="A16018" s="748"/>
      <c r="B16018" s="748"/>
      <c r="K16018" s="746"/>
      <c r="L16018" s="746"/>
      <c r="M16018" s="746"/>
      <c r="N16018" s="746"/>
      <c r="O16018" s="746"/>
      <c r="P16018" s="746"/>
      <c r="Q16018" s="746"/>
      <c r="R16018" s="746"/>
      <c r="S16018" s="746"/>
      <c r="T16018" s="746"/>
      <c r="U16018" s="746"/>
      <c r="V16018" s="746"/>
      <c r="W16018" s="746"/>
      <c r="X16018" s="746"/>
      <c r="Y16018" s="746"/>
    </row>
    <row r="16019" spans="1:25" s="747" customFormat="1" hidden="1" x14ac:dyDescent="0.25">
      <c r="A16019" s="748"/>
      <c r="B16019" s="748"/>
      <c r="K16019" s="746"/>
      <c r="L16019" s="746"/>
      <c r="M16019" s="746"/>
      <c r="N16019" s="746"/>
      <c r="O16019" s="746"/>
      <c r="P16019" s="746"/>
      <c r="Q16019" s="746"/>
      <c r="R16019" s="746"/>
      <c r="S16019" s="746"/>
      <c r="T16019" s="746"/>
      <c r="U16019" s="746"/>
      <c r="V16019" s="746"/>
      <c r="W16019" s="746"/>
      <c r="X16019" s="746"/>
      <c r="Y16019" s="746"/>
    </row>
    <row r="16020" spans="1:25" s="747" customFormat="1" hidden="1" x14ac:dyDescent="0.25">
      <c r="A16020" s="748"/>
      <c r="B16020" s="748"/>
      <c r="K16020" s="746"/>
      <c r="L16020" s="746"/>
      <c r="M16020" s="746"/>
      <c r="N16020" s="746"/>
      <c r="O16020" s="746"/>
      <c r="P16020" s="746"/>
      <c r="Q16020" s="746"/>
      <c r="R16020" s="746"/>
      <c r="S16020" s="746"/>
      <c r="T16020" s="746"/>
      <c r="U16020" s="746"/>
      <c r="V16020" s="746"/>
      <c r="W16020" s="746"/>
      <c r="X16020" s="746"/>
      <c r="Y16020" s="746"/>
    </row>
    <row r="16021" spans="1:25" s="747" customFormat="1" hidden="1" x14ac:dyDescent="0.25">
      <c r="A16021" s="748"/>
      <c r="B16021" s="748"/>
      <c r="K16021" s="746"/>
      <c r="L16021" s="746"/>
      <c r="M16021" s="746"/>
      <c r="N16021" s="746"/>
      <c r="O16021" s="746"/>
      <c r="P16021" s="746"/>
      <c r="Q16021" s="746"/>
      <c r="R16021" s="746"/>
      <c r="S16021" s="746"/>
      <c r="T16021" s="746"/>
      <c r="U16021" s="746"/>
      <c r="V16021" s="746"/>
      <c r="W16021" s="746"/>
      <c r="X16021" s="746"/>
      <c r="Y16021" s="746"/>
    </row>
    <row r="16022" spans="1:25" s="747" customFormat="1" hidden="1" x14ac:dyDescent="0.25">
      <c r="A16022" s="748"/>
      <c r="B16022" s="748"/>
      <c r="K16022" s="746"/>
      <c r="L16022" s="746"/>
      <c r="M16022" s="746"/>
      <c r="N16022" s="746"/>
      <c r="O16022" s="746"/>
      <c r="P16022" s="746"/>
      <c r="Q16022" s="746"/>
      <c r="R16022" s="746"/>
      <c r="S16022" s="746"/>
      <c r="T16022" s="746"/>
      <c r="U16022" s="746"/>
      <c r="V16022" s="746"/>
      <c r="W16022" s="746"/>
      <c r="X16022" s="746"/>
      <c r="Y16022" s="746"/>
    </row>
    <row r="16023" spans="1:25" s="747" customFormat="1" hidden="1" x14ac:dyDescent="0.25">
      <c r="A16023" s="748"/>
      <c r="B16023" s="748"/>
      <c r="K16023" s="746"/>
      <c r="L16023" s="746"/>
      <c r="M16023" s="746"/>
      <c r="N16023" s="746"/>
      <c r="O16023" s="746"/>
      <c r="P16023" s="746"/>
      <c r="Q16023" s="746"/>
      <c r="R16023" s="746"/>
      <c r="S16023" s="746"/>
      <c r="T16023" s="746"/>
      <c r="U16023" s="746"/>
      <c r="V16023" s="746"/>
      <c r="W16023" s="746"/>
      <c r="X16023" s="746"/>
      <c r="Y16023" s="746"/>
    </row>
    <row r="16024" spans="1:25" s="747" customFormat="1" hidden="1" x14ac:dyDescent="0.25">
      <c r="A16024" s="748"/>
      <c r="B16024" s="748"/>
      <c r="K16024" s="746"/>
      <c r="L16024" s="746"/>
      <c r="M16024" s="746"/>
      <c r="N16024" s="746"/>
      <c r="O16024" s="746"/>
      <c r="P16024" s="746"/>
      <c r="Q16024" s="746"/>
      <c r="R16024" s="746"/>
      <c r="S16024" s="746"/>
      <c r="T16024" s="746"/>
      <c r="U16024" s="746"/>
      <c r="V16024" s="746"/>
      <c r="W16024" s="746"/>
      <c r="X16024" s="746"/>
      <c r="Y16024" s="746"/>
    </row>
    <row r="16025" spans="1:25" s="747" customFormat="1" hidden="1" x14ac:dyDescent="0.25">
      <c r="A16025" s="748"/>
      <c r="B16025" s="748"/>
      <c r="K16025" s="746"/>
      <c r="L16025" s="746"/>
      <c r="M16025" s="746"/>
      <c r="N16025" s="746"/>
      <c r="O16025" s="746"/>
      <c r="P16025" s="746"/>
      <c r="Q16025" s="746"/>
      <c r="R16025" s="746"/>
      <c r="S16025" s="746"/>
      <c r="T16025" s="746"/>
      <c r="U16025" s="746"/>
      <c r="V16025" s="746"/>
      <c r="W16025" s="746"/>
      <c r="X16025" s="746"/>
      <c r="Y16025" s="746"/>
    </row>
    <row r="16026" spans="1:25" s="747" customFormat="1" hidden="1" x14ac:dyDescent="0.25">
      <c r="A16026" s="748"/>
      <c r="B16026" s="748"/>
      <c r="K16026" s="746"/>
      <c r="L16026" s="746"/>
      <c r="M16026" s="746"/>
      <c r="N16026" s="746"/>
      <c r="O16026" s="746"/>
      <c r="P16026" s="746"/>
      <c r="Q16026" s="746"/>
      <c r="R16026" s="746"/>
      <c r="S16026" s="746"/>
      <c r="T16026" s="746"/>
      <c r="U16026" s="746"/>
      <c r="V16026" s="746"/>
      <c r="W16026" s="746"/>
      <c r="X16026" s="746"/>
      <c r="Y16026" s="746"/>
    </row>
    <row r="16027" spans="1:25" s="747" customFormat="1" hidden="1" x14ac:dyDescent="0.25">
      <c r="A16027" s="748"/>
      <c r="B16027" s="748"/>
      <c r="K16027" s="746"/>
      <c r="L16027" s="746"/>
      <c r="M16027" s="746"/>
      <c r="N16027" s="746"/>
      <c r="O16027" s="746"/>
      <c r="P16027" s="746"/>
      <c r="Q16027" s="746"/>
      <c r="R16027" s="746"/>
      <c r="S16027" s="746"/>
      <c r="T16027" s="746"/>
      <c r="U16027" s="746"/>
      <c r="V16027" s="746"/>
      <c r="W16027" s="746"/>
      <c r="X16027" s="746"/>
      <c r="Y16027" s="746"/>
    </row>
    <row r="16028" spans="1:25" s="747" customFormat="1" hidden="1" x14ac:dyDescent="0.25">
      <c r="A16028" s="748"/>
      <c r="B16028" s="748"/>
      <c r="K16028" s="746"/>
      <c r="L16028" s="746"/>
      <c r="M16028" s="746"/>
      <c r="N16028" s="746"/>
      <c r="O16028" s="746"/>
      <c r="P16028" s="746"/>
      <c r="Q16028" s="746"/>
      <c r="R16028" s="746"/>
      <c r="S16028" s="746"/>
      <c r="T16028" s="746"/>
      <c r="U16028" s="746"/>
      <c r="V16028" s="746"/>
      <c r="W16028" s="746"/>
      <c r="X16028" s="746"/>
      <c r="Y16028" s="746"/>
    </row>
    <row r="16029" spans="1:25" s="747" customFormat="1" hidden="1" x14ac:dyDescent="0.25">
      <c r="A16029" s="748"/>
      <c r="B16029" s="748"/>
      <c r="K16029" s="746"/>
      <c r="L16029" s="746"/>
      <c r="M16029" s="746"/>
      <c r="N16029" s="746"/>
      <c r="O16029" s="746"/>
      <c r="P16029" s="746"/>
      <c r="Q16029" s="746"/>
      <c r="R16029" s="746"/>
      <c r="S16029" s="746"/>
      <c r="T16029" s="746"/>
      <c r="U16029" s="746"/>
      <c r="V16029" s="746"/>
      <c r="W16029" s="746"/>
      <c r="X16029" s="746"/>
      <c r="Y16029" s="746"/>
    </row>
    <row r="16030" spans="1:25" s="747" customFormat="1" hidden="1" x14ac:dyDescent="0.25">
      <c r="A16030" s="748"/>
      <c r="B16030" s="748"/>
      <c r="K16030" s="746"/>
      <c r="L16030" s="746"/>
      <c r="M16030" s="746"/>
      <c r="N16030" s="746"/>
      <c r="O16030" s="746"/>
      <c r="P16030" s="746"/>
      <c r="Q16030" s="746"/>
      <c r="R16030" s="746"/>
      <c r="S16030" s="746"/>
      <c r="T16030" s="746"/>
      <c r="U16030" s="746"/>
      <c r="V16030" s="746"/>
      <c r="W16030" s="746"/>
      <c r="X16030" s="746"/>
      <c r="Y16030" s="746"/>
    </row>
    <row r="16031" spans="1:25" s="747" customFormat="1" hidden="1" x14ac:dyDescent="0.25">
      <c r="A16031" s="748"/>
      <c r="B16031" s="748"/>
      <c r="K16031" s="746"/>
      <c r="L16031" s="746"/>
      <c r="M16031" s="746"/>
      <c r="N16031" s="746"/>
      <c r="O16031" s="746"/>
      <c r="P16031" s="746"/>
      <c r="Q16031" s="746"/>
      <c r="R16031" s="746"/>
      <c r="S16031" s="746"/>
      <c r="T16031" s="746"/>
      <c r="U16031" s="746"/>
      <c r="V16031" s="746"/>
      <c r="W16031" s="746"/>
      <c r="X16031" s="746"/>
      <c r="Y16031" s="746"/>
    </row>
    <row r="16032" spans="1:25" s="747" customFormat="1" hidden="1" x14ac:dyDescent="0.25">
      <c r="A16032" s="748"/>
      <c r="B16032" s="748"/>
      <c r="K16032" s="746"/>
      <c r="L16032" s="746"/>
      <c r="M16032" s="746"/>
      <c r="N16032" s="746"/>
      <c r="O16032" s="746"/>
      <c r="P16032" s="746"/>
      <c r="Q16032" s="746"/>
      <c r="R16032" s="746"/>
      <c r="S16032" s="746"/>
      <c r="T16032" s="746"/>
      <c r="U16032" s="746"/>
      <c r="V16032" s="746"/>
      <c r="W16032" s="746"/>
      <c r="X16032" s="746"/>
      <c r="Y16032" s="746"/>
    </row>
    <row r="16033" spans="1:25" s="747" customFormat="1" hidden="1" x14ac:dyDescent="0.25">
      <c r="A16033" s="748"/>
      <c r="B16033" s="748"/>
      <c r="K16033" s="746"/>
      <c r="L16033" s="746"/>
      <c r="M16033" s="746"/>
      <c r="N16033" s="746"/>
      <c r="O16033" s="746"/>
      <c r="P16033" s="746"/>
      <c r="Q16033" s="746"/>
      <c r="R16033" s="746"/>
      <c r="S16033" s="746"/>
      <c r="T16033" s="746"/>
      <c r="U16033" s="746"/>
      <c r="V16033" s="746"/>
      <c r="W16033" s="746"/>
      <c r="X16033" s="746"/>
      <c r="Y16033" s="746"/>
    </row>
    <row r="16034" spans="1:25" s="747" customFormat="1" hidden="1" x14ac:dyDescent="0.25">
      <c r="A16034" s="748"/>
      <c r="B16034" s="748"/>
      <c r="K16034" s="746"/>
      <c r="L16034" s="746"/>
      <c r="M16034" s="746"/>
      <c r="N16034" s="746"/>
      <c r="O16034" s="746"/>
      <c r="P16034" s="746"/>
      <c r="Q16034" s="746"/>
      <c r="R16034" s="746"/>
      <c r="S16034" s="746"/>
      <c r="T16034" s="746"/>
      <c r="U16034" s="746"/>
      <c r="V16034" s="746"/>
      <c r="W16034" s="746"/>
      <c r="X16034" s="746"/>
      <c r="Y16034" s="746"/>
    </row>
    <row r="16035" spans="1:25" s="747" customFormat="1" hidden="1" x14ac:dyDescent="0.25">
      <c r="A16035" s="748"/>
      <c r="B16035" s="748"/>
      <c r="K16035" s="746"/>
      <c r="L16035" s="746"/>
      <c r="M16035" s="746"/>
      <c r="N16035" s="746"/>
      <c r="O16035" s="746"/>
      <c r="P16035" s="746"/>
      <c r="Q16035" s="746"/>
      <c r="R16035" s="746"/>
      <c r="S16035" s="746"/>
      <c r="T16035" s="746"/>
      <c r="U16035" s="746"/>
      <c r="V16035" s="746"/>
      <c r="W16035" s="746"/>
      <c r="X16035" s="746"/>
      <c r="Y16035" s="746"/>
    </row>
    <row r="16036" spans="1:25" s="747" customFormat="1" hidden="1" x14ac:dyDescent="0.25">
      <c r="A16036" s="748"/>
      <c r="B16036" s="748"/>
      <c r="K16036" s="746"/>
      <c r="L16036" s="746"/>
      <c r="M16036" s="746"/>
      <c r="N16036" s="746"/>
      <c r="O16036" s="746"/>
      <c r="P16036" s="746"/>
      <c r="Q16036" s="746"/>
      <c r="R16036" s="746"/>
      <c r="S16036" s="746"/>
      <c r="T16036" s="746"/>
      <c r="U16036" s="746"/>
      <c r="V16036" s="746"/>
      <c r="W16036" s="746"/>
      <c r="X16036" s="746"/>
      <c r="Y16036" s="746"/>
    </row>
    <row r="16037" spans="1:25" s="747" customFormat="1" hidden="1" x14ac:dyDescent="0.25">
      <c r="A16037" s="748"/>
      <c r="B16037" s="748"/>
      <c r="K16037" s="746"/>
      <c r="L16037" s="746"/>
      <c r="M16037" s="746"/>
      <c r="N16037" s="746"/>
      <c r="O16037" s="746"/>
      <c r="P16037" s="746"/>
      <c r="Q16037" s="746"/>
      <c r="R16037" s="746"/>
      <c r="S16037" s="746"/>
      <c r="T16037" s="746"/>
      <c r="U16037" s="746"/>
      <c r="V16037" s="746"/>
      <c r="W16037" s="746"/>
      <c r="X16037" s="746"/>
      <c r="Y16037" s="746"/>
    </row>
    <row r="16038" spans="1:25" s="747" customFormat="1" hidden="1" x14ac:dyDescent="0.25">
      <c r="A16038" s="748"/>
      <c r="B16038" s="748"/>
      <c r="K16038" s="746"/>
      <c r="L16038" s="746"/>
      <c r="M16038" s="746"/>
      <c r="N16038" s="746"/>
      <c r="O16038" s="746"/>
      <c r="P16038" s="746"/>
      <c r="Q16038" s="746"/>
      <c r="R16038" s="746"/>
      <c r="S16038" s="746"/>
      <c r="T16038" s="746"/>
      <c r="U16038" s="746"/>
      <c r="V16038" s="746"/>
      <c r="W16038" s="746"/>
      <c r="X16038" s="746"/>
      <c r="Y16038" s="746"/>
    </row>
    <row r="16039" spans="1:25" s="747" customFormat="1" hidden="1" x14ac:dyDescent="0.25">
      <c r="A16039" s="748"/>
      <c r="B16039" s="748"/>
      <c r="K16039" s="746"/>
      <c r="L16039" s="746"/>
      <c r="M16039" s="746"/>
      <c r="N16039" s="746"/>
      <c r="O16039" s="746"/>
      <c r="P16039" s="746"/>
      <c r="Q16039" s="746"/>
      <c r="R16039" s="746"/>
      <c r="S16039" s="746"/>
      <c r="T16039" s="746"/>
      <c r="U16039" s="746"/>
      <c r="V16039" s="746"/>
      <c r="W16039" s="746"/>
      <c r="X16039" s="746"/>
      <c r="Y16039" s="746"/>
    </row>
    <row r="16040" spans="1:25" s="747" customFormat="1" hidden="1" x14ac:dyDescent="0.25">
      <c r="A16040" s="748"/>
      <c r="B16040" s="748"/>
      <c r="K16040" s="746"/>
      <c r="L16040" s="746"/>
      <c r="M16040" s="746"/>
      <c r="N16040" s="746"/>
      <c r="O16040" s="746"/>
      <c r="P16040" s="746"/>
      <c r="Q16040" s="746"/>
      <c r="R16040" s="746"/>
      <c r="S16040" s="746"/>
      <c r="T16040" s="746"/>
      <c r="U16040" s="746"/>
      <c r="V16040" s="746"/>
      <c r="W16040" s="746"/>
      <c r="X16040" s="746"/>
      <c r="Y16040" s="746"/>
    </row>
    <row r="16041" spans="1:25" s="747" customFormat="1" hidden="1" x14ac:dyDescent="0.25">
      <c r="A16041" s="748"/>
      <c r="B16041" s="748"/>
      <c r="K16041" s="746"/>
      <c r="L16041" s="746"/>
      <c r="M16041" s="746"/>
      <c r="N16041" s="746"/>
      <c r="O16041" s="746"/>
      <c r="P16041" s="746"/>
      <c r="Q16041" s="746"/>
      <c r="R16041" s="746"/>
      <c r="S16041" s="746"/>
      <c r="T16041" s="746"/>
      <c r="U16041" s="746"/>
      <c r="V16041" s="746"/>
      <c r="W16041" s="746"/>
      <c r="X16041" s="746"/>
      <c r="Y16041" s="746"/>
    </row>
    <row r="16042" spans="1:25" s="747" customFormat="1" hidden="1" x14ac:dyDescent="0.25">
      <c r="A16042" s="748"/>
      <c r="B16042" s="748"/>
      <c r="K16042" s="746"/>
      <c r="L16042" s="746"/>
      <c r="M16042" s="746"/>
      <c r="N16042" s="746"/>
      <c r="O16042" s="746"/>
      <c r="P16042" s="746"/>
      <c r="Q16042" s="746"/>
      <c r="R16042" s="746"/>
      <c r="S16042" s="746"/>
      <c r="T16042" s="746"/>
      <c r="U16042" s="746"/>
      <c r="V16042" s="746"/>
      <c r="W16042" s="746"/>
      <c r="X16042" s="746"/>
      <c r="Y16042" s="746"/>
    </row>
    <row r="16043" spans="1:25" s="747" customFormat="1" hidden="1" x14ac:dyDescent="0.25">
      <c r="A16043" s="748"/>
      <c r="B16043" s="748"/>
      <c r="K16043" s="746"/>
      <c r="L16043" s="746"/>
      <c r="M16043" s="746"/>
      <c r="N16043" s="746"/>
      <c r="O16043" s="746"/>
      <c r="P16043" s="746"/>
      <c r="Q16043" s="746"/>
      <c r="R16043" s="746"/>
      <c r="S16043" s="746"/>
      <c r="T16043" s="746"/>
      <c r="U16043" s="746"/>
      <c r="V16043" s="746"/>
      <c r="W16043" s="746"/>
      <c r="X16043" s="746"/>
      <c r="Y16043" s="746"/>
    </row>
    <row r="16044" spans="1:25" s="747" customFormat="1" hidden="1" x14ac:dyDescent="0.25">
      <c r="A16044" s="748"/>
      <c r="B16044" s="748"/>
      <c r="K16044" s="746"/>
      <c r="L16044" s="746"/>
      <c r="M16044" s="746"/>
      <c r="N16044" s="746"/>
      <c r="O16044" s="746"/>
      <c r="P16044" s="746"/>
      <c r="Q16044" s="746"/>
      <c r="R16044" s="746"/>
      <c r="S16044" s="746"/>
      <c r="T16044" s="746"/>
      <c r="U16044" s="746"/>
      <c r="V16044" s="746"/>
      <c r="W16044" s="746"/>
      <c r="X16044" s="746"/>
      <c r="Y16044" s="746"/>
    </row>
    <row r="16045" spans="1:25" s="747" customFormat="1" hidden="1" x14ac:dyDescent="0.25">
      <c r="A16045" s="748"/>
      <c r="B16045" s="748"/>
      <c r="K16045" s="746"/>
      <c r="L16045" s="746"/>
      <c r="M16045" s="746"/>
      <c r="N16045" s="746"/>
      <c r="O16045" s="746"/>
      <c r="P16045" s="746"/>
      <c r="Q16045" s="746"/>
      <c r="R16045" s="746"/>
      <c r="S16045" s="746"/>
      <c r="T16045" s="746"/>
      <c r="U16045" s="746"/>
      <c r="V16045" s="746"/>
      <c r="W16045" s="746"/>
      <c r="X16045" s="746"/>
      <c r="Y16045" s="746"/>
    </row>
    <row r="16046" spans="1:25" s="747" customFormat="1" hidden="1" x14ac:dyDescent="0.25">
      <c r="A16046" s="748"/>
      <c r="B16046" s="748"/>
      <c r="K16046" s="746"/>
      <c r="L16046" s="746"/>
      <c r="M16046" s="746"/>
      <c r="N16046" s="746"/>
      <c r="O16046" s="746"/>
      <c r="P16046" s="746"/>
      <c r="Q16046" s="746"/>
      <c r="R16046" s="746"/>
      <c r="S16046" s="746"/>
      <c r="T16046" s="746"/>
      <c r="U16046" s="746"/>
      <c r="V16046" s="746"/>
      <c r="W16046" s="746"/>
      <c r="X16046" s="746"/>
      <c r="Y16046" s="746"/>
    </row>
    <row r="16047" spans="1:25" s="747" customFormat="1" hidden="1" x14ac:dyDescent="0.25">
      <c r="A16047" s="748"/>
      <c r="B16047" s="748"/>
      <c r="K16047" s="746"/>
      <c r="L16047" s="746"/>
      <c r="M16047" s="746"/>
      <c r="N16047" s="746"/>
      <c r="O16047" s="746"/>
      <c r="P16047" s="746"/>
      <c r="Q16047" s="746"/>
      <c r="R16047" s="746"/>
      <c r="S16047" s="746"/>
      <c r="T16047" s="746"/>
      <c r="U16047" s="746"/>
      <c r="V16047" s="746"/>
      <c r="W16047" s="746"/>
      <c r="X16047" s="746"/>
      <c r="Y16047" s="746"/>
    </row>
    <row r="16048" spans="1:25" s="747" customFormat="1" hidden="1" x14ac:dyDescent="0.25">
      <c r="A16048" s="748"/>
      <c r="B16048" s="748"/>
      <c r="K16048" s="746"/>
      <c r="L16048" s="746"/>
      <c r="M16048" s="746"/>
      <c r="N16048" s="746"/>
      <c r="O16048" s="746"/>
      <c r="P16048" s="746"/>
      <c r="Q16048" s="746"/>
      <c r="R16048" s="746"/>
      <c r="S16048" s="746"/>
      <c r="T16048" s="746"/>
      <c r="U16048" s="746"/>
      <c r="V16048" s="746"/>
      <c r="W16048" s="746"/>
      <c r="X16048" s="746"/>
      <c r="Y16048" s="746"/>
    </row>
    <row r="16049" spans="1:25" s="747" customFormat="1" hidden="1" x14ac:dyDescent="0.25">
      <c r="A16049" s="748"/>
      <c r="B16049" s="748"/>
      <c r="K16049" s="746"/>
      <c r="L16049" s="746"/>
      <c r="M16049" s="746"/>
      <c r="N16049" s="746"/>
      <c r="O16049" s="746"/>
      <c r="P16049" s="746"/>
      <c r="Q16049" s="746"/>
      <c r="R16049" s="746"/>
      <c r="S16049" s="746"/>
      <c r="T16049" s="746"/>
      <c r="U16049" s="746"/>
      <c r="V16049" s="746"/>
      <c r="W16049" s="746"/>
      <c r="X16049" s="746"/>
      <c r="Y16049" s="746"/>
    </row>
    <row r="16050" spans="1:25" s="747" customFormat="1" hidden="1" x14ac:dyDescent="0.25">
      <c r="A16050" s="748"/>
      <c r="B16050" s="748"/>
      <c r="K16050" s="746"/>
      <c r="L16050" s="746"/>
      <c r="M16050" s="746"/>
      <c r="N16050" s="746"/>
      <c r="O16050" s="746"/>
      <c r="P16050" s="746"/>
      <c r="Q16050" s="746"/>
      <c r="R16050" s="746"/>
      <c r="S16050" s="746"/>
      <c r="T16050" s="746"/>
      <c r="U16050" s="746"/>
      <c r="V16050" s="746"/>
      <c r="W16050" s="746"/>
      <c r="X16050" s="746"/>
      <c r="Y16050" s="746"/>
    </row>
    <row r="16051" spans="1:25" s="747" customFormat="1" hidden="1" x14ac:dyDescent="0.25">
      <c r="A16051" s="748"/>
      <c r="B16051" s="748"/>
      <c r="K16051" s="746"/>
      <c r="L16051" s="746"/>
      <c r="M16051" s="746"/>
      <c r="N16051" s="746"/>
      <c r="O16051" s="746"/>
      <c r="P16051" s="746"/>
      <c r="Q16051" s="746"/>
      <c r="R16051" s="746"/>
      <c r="S16051" s="746"/>
      <c r="T16051" s="746"/>
      <c r="U16051" s="746"/>
      <c r="V16051" s="746"/>
      <c r="W16051" s="746"/>
      <c r="X16051" s="746"/>
      <c r="Y16051" s="746"/>
    </row>
    <row r="16052" spans="1:25" s="747" customFormat="1" hidden="1" x14ac:dyDescent="0.25">
      <c r="A16052" s="748"/>
      <c r="B16052" s="748"/>
      <c r="K16052" s="746"/>
      <c r="L16052" s="746"/>
      <c r="M16052" s="746"/>
      <c r="N16052" s="746"/>
      <c r="O16052" s="746"/>
      <c r="P16052" s="746"/>
      <c r="Q16052" s="746"/>
      <c r="R16052" s="746"/>
      <c r="S16052" s="746"/>
      <c r="T16052" s="746"/>
      <c r="U16052" s="746"/>
      <c r="V16052" s="746"/>
      <c r="W16052" s="746"/>
      <c r="X16052" s="746"/>
      <c r="Y16052" s="746"/>
    </row>
    <row r="16053" spans="1:25" s="747" customFormat="1" hidden="1" x14ac:dyDescent="0.25">
      <c r="A16053" s="748"/>
      <c r="B16053" s="748"/>
      <c r="K16053" s="746"/>
      <c r="L16053" s="746"/>
      <c r="M16053" s="746"/>
      <c r="N16053" s="746"/>
      <c r="O16053" s="746"/>
      <c r="P16053" s="746"/>
      <c r="Q16053" s="746"/>
      <c r="R16053" s="746"/>
      <c r="S16053" s="746"/>
      <c r="T16053" s="746"/>
      <c r="U16053" s="746"/>
      <c r="V16053" s="746"/>
      <c r="W16053" s="746"/>
      <c r="X16053" s="746"/>
      <c r="Y16053" s="746"/>
    </row>
    <row r="16054" spans="1:25" s="747" customFormat="1" hidden="1" collapsed="1" x14ac:dyDescent="0.25">
      <c r="A16054" s="748"/>
      <c r="B16054" s="748"/>
      <c r="K16054" s="746"/>
      <c r="L16054" s="746"/>
      <c r="M16054" s="746"/>
      <c r="N16054" s="746"/>
      <c r="O16054" s="746"/>
      <c r="P16054" s="746"/>
      <c r="Q16054" s="746"/>
      <c r="R16054" s="746"/>
      <c r="S16054" s="746"/>
      <c r="T16054" s="746"/>
      <c r="U16054" s="746"/>
      <c r="V16054" s="746"/>
      <c r="W16054" s="746"/>
      <c r="X16054" s="746"/>
      <c r="Y16054" s="746"/>
    </row>
    <row r="16055" spans="1:25" s="747" customFormat="1" hidden="1" x14ac:dyDescent="0.25">
      <c r="A16055" s="748"/>
      <c r="B16055" s="748"/>
      <c r="K16055" s="746"/>
      <c r="L16055" s="746"/>
      <c r="M16055" s="746"/>
      <c r="N16055" s="746"/>
      <c r="O16055" s="746"/>
      <c r="P16055" s="746"/>
      <c r="Q16055" s="746"/>
      <c r="R16055" s="746"/>
      <c r="S16055" s="746"/>
      <c r="T16055" s="746"/>
      <c r="U16055" s="746"/>
      <c r="V16055" s="746"/>
      <c r="W16055" s="746"/>
      <c r="X16055" s="746"/>
      <c r="Y16055" s="746"/>
    </row>
    <row r="16056" spans="1:25" s="747" customFormat="1" hidden="1" x14ac:dyDescent="0.25">
      <c r="A16056" s="748"/>
      <c r="B16056" s="748"/>
      <c r="K16056" s="746"/>
      <c r="L16056" s="746"/>
      <c r="M16056" s="746"/>
      <c r="N16056" s="746"/>
      <c r="O16056" s="746"/>
      <c r="P16056" s="746"/>
      <c r="Q16056" s="746"/>
      <c r="R16056" s="746"/>
      <c r="S16056" s="746"/>
      <c r="T16056" s="746"/>
      <c r="U16056" s="746"/>
      <c r="V16056" s="746"/>
      <c r="W16056" s="746"/>
      <c r="X16056" s="746"/>
      <c r="Y16056" s="746"/>
    </row>
    <row r="16057" spans="1:25" s="747" customFormat="1" hidden="1" x14ac:dyDescent="0.25">
      <c r="A16057" s="748"/>
      <c r="B16057" s="748"/>
      <c r="K16057" s="746"/>
      <c r="L16057" s="746"/>
      <c r="M16057" s="746"/>
      <c r="N16057" s="746"/>
      <c r="O16057" s="746"/>
      <c r="P16057" s="746"/>
      <c r="Q16057" s="746"/>
      <c r="R16057" s="746"/>
      <c r="S16057" s="746"/>
      <c r="T16057" s="746"/>
      <c r="U16057" s="746"/>
      <c r="V16057" s="746"/>
      <c r="W16057" s="746"/>
      <c r="X16057" s="746"/>
      <c r="Y16057" s="746"/>
    </row>
    <row r="16058" spans="1:25" s="747" customFormat="1" hidden="1" x14ac:dyDescent="0.25">
      <c r="A16058" s="748"/>
      <c r="B16058" s="748"/>
      <c r="K16058" s="746"/>
      <c r="L16058" s="746"/>
      <c r="M16058" s="746"/>
      <c r="N16058" s="746"/>
      <c r="O16058" s="746"/>
      <c r="P16058" s="746"/>
      <c r="Q16058" s="746"/>
      <c r="R16058" s="746"/>
      <c r="S16058" s="746"/>
      <c r="T16058" s="746"/>
      <c r="U16058" s="746"/>
      <c r="V16058" s="746"/>
      <c r="W16058" s="746"/>
      <c r="X16058" s="746"/>
      <c r="Y16058" s="746"/>
    </row>
    <row r="16059" spans="1:25" s="747" customFormat="1" hidden="1" x14ac:dyDescent="0.25">
      <c r="A16059" s="748"/>
      <c r="B16059" s="748"/>
      <c r="K16059" s="746"/>
      <c r="L16059" s="746"/>
      <c r="M16059" s="746"/>
      <c r="N16059" s="746"/>
      <c r="O16059" s="746"/>
      <c r="P16059" s="746"/>
      <c r="Q16059" s="746"/>
      <c r="R16059" s="746"/>
      <c r="S16059" s="746"/>
      <c r="T16059" s="746"/>
      <c r="U16059" s="746"/>
      <c r="V16059" s="746"/>
      <c r="W16059" s="746"/>
      <c r="X16059" s="746"/>
      <c r="Y16059" s="746"/>
    </row>
    <row r="16060" spans="1:25" s="747" customFormat="1" hidden="1" x14ac:dyDescent="0.25">
      <c r="A16060" s="748"/>
      <c r="B16060" s="748"/>
      <c r="K16060" s="746"/>
      <c r="L16060" s="746"/>
      <c r="M16060" s="746"/>
      <c r="N16060" s="746"/>
      <c r="O16060" s="746"/>
      <c r="P16060" s="746"/>
      <c r="Q16060" s="746"/>
      <c r="R16060" s="746"/>
      <c r="S16060" s="746"/>
      <c r="T16060" s="746"/>
      <c r="U16060" s="746"/>
      <c r="V16060" s="746"/>
      <c r="W16060" s="746"/>
      <c r="X16060" s="746"/>
      <c r="Y16060" s="746"/>
    </row>
    <row r="16061" spans="1:25" s="747" customFormat="1" hidden="1" x14ac:dyDescent="0.25">
      <c r="A16061" s="748"/>
      <c r="B16061" s="748"/>
      <c r="K16061" s="746"/>
      <c r="L16061" s="746"/>
      <c r="M16061" s="746"/>
      <c r="N16061" s="746"/>
      <c r="O16061" s="746"/>
      <c r="P16061" s="746"/>
      <c r="Q16061" s="746"/>
      <c r="R16061" s="746"/>
      <c r="S16061" s="746"/>
      <c r="T16061" s="746"/>
      <c r="U16061" s="746"/>
      <c r="V16061" s="746"/>
      <c r="W16061" s="746"/>
      <c r="X16061" s="746"/>
      <c r="Y16061" s="746"/>
    </row>
    <row r="16062" spans="1:25" s="747" customFormat="1" hidden="1" x14ac:dyDescent="0.25">
      <c r="A16062" s="748"/>
      <c r="B16062" s="748"/>
      <c r="K16062" s="746"/>
      <c r="L16062" s="746"/>
      <c r="M16062" s="746"/>
      <c r="N16062" s="746"/>
      <c r="O16062" s="746"/>
      <c r="P16062" s="746"/>
      <c r="Q16062" s="746"/>
      <c r="R16062" s="746"/>
      <c r="S16062" s="746"/>
      <c r="T16062" s="746"/>
      <c r="U16062" s="746"/>
      <c r="V16062" s="746"/>
      <c r="W16062" s="746"/>
      <c r="X16062" s="746"/>
      <c r="Y16062" s="746"/>
    </row>
    <row r="16063" spans="1:25" s="747" customFormat="1" hidden="1" x14ac:dyDescent="0.25">
      <c r="A16063" s="748"/>
      <c r="B16063" s="748"/>
      <c r="K16063" s="746"/>
      <c r="L16063" s="746"/>
      <c r="M16063" s="746"/>
      <c r="N16063" s="746"/>
      <c r="O16063" s="746"/>
      <c r="P16063" s="746"/>
      <c r="Q16063" s="746"/>
      <c r="R16063" s="746"/>
      <c r="S16063" s="746"/>
      <c r="T16063" s="746"/>
      <c r="U16063" s="746"/>
      <c r="V16063" s="746"/>
      <c r="W16063" s="746"/>
      <c r="X16063" s="746"/>
      <c r="Y16063" s="746"/>
    </row>
    <row r="16064" spans="1:25" s="747" customFormat="1" hidden="1" x14ac:dyDescent="0.25">
      <c r="A16064" s="748"/>
      <c r="B16064" s="748"/>
      <c r="K16064" s="746"/>
      <c r="L16064" s="746"/>
      <c r="M16064" s="746"/>
      <c r="N16064" s="746"/>
      <c r="O16064" s="746"/>
      <c r="P16064" s="746"/>
      <c r="Q16064" s="746"/>
      <c r="R16064" s="746"/>
      <c r="S16064" s="746"/>
      <c r="T16064" s="746"/>
      <c r="U16064" s="746"/>
      <c r="V16064" s="746"/>
      <c r="W16064" s="746"/>
      <c r="X16064" s="746"/>
      <c r="Y16064" s="746"/>
    </row>
    <row r="16065" spans="1:25" s="747" customFormat="1" hidden="1" x14ac:dyDescent="0.25">
      <c r="A16065" s="748"/>
      <c r="B16065" s="748"/>
      <c r="K16065" s="746"/>
      <c r="L16065" s="746"/>
      <c r="M16065" s="746"/>
      <c r="N16065" s="746"/>
      <c r="O16065" s="746"/>
      <c r="P16065" s="746"/>
      <c r="Q16065" s="746"/>
      <c r="R16065" s="746"/>
      <c r="S16065" s="746"/>
      <c r="T16065" s="746"/>
      <c r="U16065" s="746"/>
      <c r="V16065" s="746"/>
      <c r="W16065" s="746"/>
      <c r="X16065" s="746"/>
      <c r="Y16065" s="746"/>
    </row>
    <row r="16066" spans="1:25" s="747" customFormat="1" hidden="1" x14ac:dyDescent="0.25">
      <c r="A16066" s="748"/>
      <c r="B16066" s="748"/>
      <c r="K16066" s="746"/>
      <c r="L16066" s="746"/>
      <c r="M16066" s="746"/>
      <c r="N16066" s="746"/>
      <c r="O16066" s="746"/>
      <c r="P16066" s="746"/>
      <c r="Q16066" s="746"/>
      <c r="R16066" s="746"/>
      <c r="S16066" s="746"/>
      <c r="T16066" s="746"/>
      <c r="U16066" s="746"/>
      <c r="V16066" s="746"/>
      <c r="W16066" s="746"/>
      <c r="X16066" s="746"/>
      <c r="Y16066" s="746"/>
    </row>
    <row r="16067" spans="1:25" s="747" customFormat="1" hidden="1" x14ac:dyDescent="0.25">
      <c r="A16067" s="748"/>
      <c r="B16067" s="748"/>
      <c r="K16067" s="746"/>
      <c r="L16067" s="746"/>
      <c r="M16067" s="746"/>
      <c r="N16067" s="746"/>
      <c r="O16067" s="746"/>
      <c r="P16067" s="746"/>
      <c r="Q16067" s="746"/>
      <c r="R16067" s="746"/>
      <c r="S16067" s="746"/>
      <c r="T16067" s="746"/>
      <c r="U16067" s="746"/>
      <c r="V16067" s="746"/>
      <c r="W16067" s="746"/>
      <c r="X16067" s="746"/>
      <c r="Y16067" s="746"/>
    </row>
    <row r="16068" spans="1:25" s="747" customFormat="1" hidden="1" x14ac:dyDescent="0.25">
      <c r="A16068" s="748"/>
      <c r="B16068" s="748"/>
      <c r="K16068" s="746"/>
      <c r="L16068" s="746"/>
      <c r="M16068" s="746"/>
      <c r="N16068" s="746"/>
      <c r="O16068" s="746"/>
      <c r="P16068" s="746"/>
      <c r="Q16068" s="746"/>
      <c r="R16068" s="746"/>
      <c r="S16068" s="746"/>
      <c r="T16068" s="746"/>
      <c r="U16068" s="746"/>
      <c r="V16068" s="746"/>
      <c r="W16068" s="746"/>
      <c r="X16068" s="746"/>
      <c r="Y16068" s="746"/>
    </row>
    <row r="16069" spans="1:25" s="747" customFormat="1" hidden="1" x14ac:dyDescent="0.25">
      <c r="A16069" s="748"/>
      <c r="B16069" s="748"/>
      <c r="K16069" s="746"/>
      <c r="L16069" s="746"/>
      <c r="M16069" s="746"/>
      <c r="N16069" s="746"/>
      <c r="O16069" s="746"/>
      <c r="P16069" s="746"/>
      <c r="Q16069" s="746"/>
      <c r="R16069" s="746"/>
      <c r="S16069" s="746"/>
      <c r="T16069" s="746"/>
      <c r="U16069" s="746"/>
      <c r="V16069" s="746"/>
      <c r="W16069" s="746"/>
      <c r="X16069" s="746"/>
      <c r="Y16069" s="746"/>
    </row>
    <row r="16070" spans="1:25" s="747" customFormat="1" hidden="1" x14ac:dyDescent="0.25">
      <c r="A16070" s="748"/>
      <c r="B16070" s="748"/>
      <c r="K16070" s="746"/>
      <c r="L16070" s="746"/>
      <c r="M16070" s="746"/>
      <c r="N16070" s="746"/>
      <c r="O16070" s="746"/>
      <c r="P16070" s="746"/>
      <c r="Q16070" s="746"/>
      <c r="R16070" s="746"/>
      <c r="S16070" s="746"/>
      <c r="T16070" s="746"/>
      <c r="U16070" s="746"/>
      <c r="V16070" s="746"/>
      <c r="W16070" s="746"/>
      <c r="X16070" s="746"/>
      <c r="Y16070" s="746"/>
    </row>
    <row r="16071" spans="1:25" s="747" customFormat="1" hidden="1" collapsed="1" x14ac:dyDescent="0.25">
      <c r="A16071" s="748"/>
      <c r="B16071" s="748"/>
      <c r="K16071" s="746"/>
      <c r="L16071" s="746"/>
      <c r="M16071" s="746"/>
      <c r="N16071" s="746"/>
      <c r="O16071" s="746"/>
      <c r="P16071" s="746"/>
      <c r="Q16071" s="746"/>
      <c r="R16071" s="746"/>
      <c r="S16071" s="746"/>
      <c r="T16071" s="746"/>
      <c r="U16071" s="746"/>
      <c r="V16071" s="746"/>
      <c r="W16071" s="746"/>
      <c r="X16071" s="746"/>
      <c r="Y16071" s="746"/>
    </row>
    <row r="16072" spans="1:25" s="747" customFormat="1" hidden="1" x14ac:dyDescent="0.25">
      <c r="A16072" s="748"/>
      <c r="B16072" s="748"/>
      <c r="C16072" s="755"/>
      <c r="D16072" s="748"/>
      <c r="E16072" s="748"/>
      <c r="F16072" s="748"/>
      <c r="G16072" s="778"/>
      <c r="H16072" s="751"/>
      <c r="I16072" s="752"/>
      <c r="J16072" s="752"/>
      <c r="K16072" s="746"/>
      <c r="L16072" s="746"/>
      <c r="M16072" s="746"/>
      <c r="N16072" s="746"/>
      <c r="O16072" s="746"/>
      <c r="P16072" s="746"/>
      <c r="Q16072" s="746"/>
      <c r="R16072" s="746"/>
      <c r="S16072" s="746"/>
      <c r="T16072" s="746"/>
      <c r="U16072" s="746"/>
      <c r="V16072" s="746"/>
      <c r="W16072" s="746"/>
      <c r="X16072" s="746"/>
      <c r="Y16072" s="746"/>
    </row>
    <row r="16073" spans="1:25" hidden="1" x14ac:dyDescent="0.25"/>
    <row r="16074" spans="1:25" hidden="1" x14ac:dyDescent="0.25">
      <c r="C16074" s="228" t="s">
        <v>4770</v>
      </c>
      <c r="D16074" s="219"/>
      <c r="G16074" s="521" t="s">
        <v>4254</v>
      </c>
    </row>
    <row r="16075" spans="1:25" hidden="1" x14ac:dyDescent="0.25">
      <c r="C16075" s="228"/>
      <c r="D16075" s="312">
        <v>920</v>
      </c>
      <c r="E16075" s="312"/>
      <c r="F16075" s="312"/>
      <c r="G16075" s="313" t="s">
        <v>220</v>
      </c>
    </row>
    <row r="16076" spans="1:25" hidden="1" x14ac:dyDescent="0.25">
      <c r="F16076" s="527">
        <v>411</v>
      </c>
      <c r="G16076" s="520" t="s">
        <v>4189</v>
      </c>
      <c r="J16076" s="595">
        <f>SUM(H16076:I16076)</f>
        <v>0</v>
      </c>
    </row>
    <row r="16077" spans="1:25" hidden="1" x14ac:dyDescent="0.25">
      <c r="F16077" s="527">
        <v>412</v>
      </c>
      <c r="G16077" s="516" t="s">
        <v>3784</v>
      </c>
      <c r="J16077" s="595">
        <f t="shared" ref="J16077:J16135" si="477">SUM(H16077:I16077)</f>
        <v>0</v>
      </c>
    </row>
    <row r="16078" spans="1:25" hidden="1" x14ac:dyDescent="0.25">
      <c r="F16078" s="527">
        <v>413</v>
      </c>
      <c r="G16078" s="520" t="s">
        <v>4190</v>
      </c>
      <c r="J16078" s="595">
        <f t="shared" si="477"/>
        <v>0</v>
      </c>
    </row>
    <row r="16079" spans="1:25" hidden="1" x14ac:dyDescent="0.25">
      <c r="F16079" s="527">
        <v>414</v>
      </c>
      <c r="G16079" s="520" t="s">
        <v>3787</v>
      </c>
      <c r="J16079" s="595">
        <f t="shared" si="477"/>
        <v>0</v>
      </c>
    </row>
    <row r="16080" spans="1:25" hidden="1" x14ac:dyDescent="0.25">
      <c r="F16080" s="527">
        <v>415</v>
      </c>
      <c r="G16080" s="520" t="s">
        <v>4199</v>
      </c>
      <c r="J16080" s="595">
        <f t="shared" si="477"/>
        <v>0</v>
      </c>
    </row>
    <row r="16081" spans="6:10" hidden="1" x14ac:dyDescent="0.25">
      <c r="F16081" s="527">
        <v>416</v>
      </c>
      <c r="G16081" s="520" t="s">
        <v>4200</v>
      </c>
      <c r="J16081" s="595">
        <f t="shared" si="477"/>
        <v>0</v>
      </c>
    </row>
    <row r="16082" spans="6:10" hidden="1" x14ac:dyDescent="0.25">
      <c r="F16082" s="527">
        <v>417</v>
      </c>
      <c r="G16082" s="520" t="s">
        <v>4201</v>
      </c>
      <c r="J16082" s="595">
        <f t="shared" si="477"/>
        <v>0</v>
      </c>
    </row>
    <row r="16083" spans="6:10" hidden="1" x14ac:dyDescent="0.25">
      <c r="F16083" s="527">
        <v>418</v>
      </c>
      <c r="G16083" s="520" t="s">
        <v>3793</v>
      </c>
      <c r="J16083" s="595">
        <f t="shared" si="477"/>
        <v>0</v>
      </c>
    </row>
    <row r="16084" spans="6:10" hidden="1" x14ac:dyDescent="0.25">
      <c r="F16084" s="527">
        <v>421</v>
      </c>
      <c r="G16084" s="520" t="s">
        <v>3797</v>
      </c>
      <c r="J16084" s="595">
        <f t="shared" si="477"/>
        <v>0</v>
      </c>
    </row>
    <row r="16085" spans="6:10" hidden="1" x14ac:dyDescent="0.25">
      <c r="F16085" s="527">
        <v>422</v>
      </c>
      <c r="G16085" s="520" t="s">
        <v>3798</v>
      </c>
      <c r="J16085" s="595">
        <f t="shared" si="477"/>
        <v>0</v>
      </c>
    </row>
    <row r="16086" spans="6:10" hidden="1" x14ac:dyDescent="0.25">
      <c r="F16086" s="527">
        <v>423</v>
      </c>
      <c r="G16086" s="520" t="s">
        <v>3799</v>
      </c>
      <c r="J16086" s="595">
        <f t="shared" si="477"/>
        <v>0</v>
      </c>
    </row>
    <row r="16087" spans="6:10" hidden="1" x14ac:dyDescent="0.25">
      <c r="F16087" s="527">
        <v>424</v>
      </c>
      <c r="G16087" s="520" t="s">
        <v>3801</v>
      </c>
      <c r="J16087" s="595">
        <f t="shared" si="477"/>
        <v>0</v>
      </c>
    </row>
    <row r="16088" spans="6:10" hidden="1" x14ac:dyDescent="0.25">
      <c r="F16088" s="527">
        <v>425</v>
      </c>
      <c r="G16088" s="520" t="s">
        <v>4202</v>
      </c>
      <c r="J16088" s="595">
        <f t="shared" si="477"/>
        <v>0</v>
      </c>
    </row>
    <row r="16089" spans="6:10" hidden="1" x14ac:dyDescent="0.25">
      <c r="F16089" s="527">
        <v>426</v>
      </c>
      <c r="G16089" s="520" t="s">
        <v>3805</v>
      </c>
      <c r="J16089" s="595">
        <f t="shared" si="477"/>
        <v>0</v>
      </c>
    </row>
    <row r="16090" spans="6:10" hidden="1" x14ac:dyDescent="0.25">
      <c r="F16090" s="527">
        <v>431</v>
      </c>
      <c r="G16090" s="520" t="s">
        <v>4203</v>
      </c>
      <c r="J16090" s="595">
        <f t="shared" si="477"/>
        <v>0</v>
      </c>
    </row>
    <row r="16091" spans="6:10" hidden="1" x14ac:dyDescent="0.25">
      <c r="F16091" s="527">
        <v>432</v>
      </c>
      <c r="G16091" s="520" t="s">
        <v>4204</v>
      </c>
      <c r="J16091" s="595">
        <f t="shared" si="477"/>
        <v>0</v>
      </c>
    </row>
    <row r="16092" spans="6:10" hidden="1" x14ac:dyDescent="0.25">
      <c r="F16092" s="527">
        <v>433</v>
      </c>
      <c r="G16092" s="520" t="s">
        <v>4205</v>
      </c>
      <c r="J16092" s="595">
        <f t="shared" si="477"/>
        <v>0</v>
      </c>
    </row>
    <row r="16093" spans="6:10" hidden="1" x14ac:dyDescent="0.25">
      <c r="F16093" s="527">
        <v>434</v>
      </c>
      <c r="G16093" s="520" t="s">
        <v>4206</v>
      </c>
      <c r="J16093" s="595">
        <f t="shared" si="477"/>
        <v>0</v>
      </c>
    </row>
    <row r="16094" spans="6:10" hidden="1" x14ac:dyDescent="0.25">
      <c r="F16094" s="527">
        <v>435</v>
      </c>
      <c r="G16094" s="520" t="s">
        <v>3812</v>
      </c>
      <c r="J16094" s="595">
        <f t="shared" si="477"/>
        <v>0</v>
      </c>
    </row>
    <row r="16095" spans="6:10" hidden="1" x14ac:dyDescent="0.25">
      <c r="F16095" s="527">
        <v>441</v>
      </c>
      <c r="G16095" s="520" t="s">
        <v>4207</v>
      </c>
      <c r="J16095" s="595">
        <f t="shared" si="477"/>
        <v>0</v>
      </c>
    </row>
    <row r="16096" spans="6:10" hidden="1" x14ac:dyDescent="0.25">
      <c r="F16096" s="527">
        <v>442</v>
      </c>
      <c r="G16096" s="520" t="s">
        <v>4208</v>
      </c>
      <c r="J16096" s="595">
        <f t="shared" si="477"/>
        <v>0</v>
      </c>
    </row>
    <row r="16097" spans="6:10" hidden="1" x14ac:dyDescent="0.25">
      <c r="F16097" s="527">
        <v>443</v>
      </c>
      <c r="G16097" s="520" t="s">
        <v>3817</v>
      </c>
      <c r="J16097" s="595">
        <f t="shared" si="477"/>
        <v>0</v>
      </c>
    </row>
    <row r="16098" spans="6:10" hidden="1" x14ac:dyDescent="0.25">
      <c r="F16098" s="527">
        <v>444</v>
      </c>
      <c r="G16098" s="520" t="s">
        <v>3818</v>
      </c>
      <c r="J16098" s="595">
        <f t="shared" si="477"/>
        <v>0</v>
      </c>
    </row>
    <row r="16099" spans="6:10" ht="30" hidden="1" x14ac:dyDescent="0.25">
      <c r="F16099" s="527">
        <v>4511</v>
      </c>
      <c r="G16099" s="223" t="s">
        <v>1692</v>
      </c>
      <c r="J16099" s="595">
        <f t="shared" si="477"/>
        <v>0</v>
      </c>
    </row>
    <row r="16100" spans="6:10" ht="30" hidden="1" x14ac:dyDescent="0.25">
      <c r="F16100" s="527">
        <v>4512</v>
      </c>
      <c r="G16100" s="223" t="s">
        <v>1701</v>
      </c>
      <c r="J16100" s="595">
        <f t="shared" si="477"/>
        <v>0</v>
      </c>
    </row>
    <row r="16101" spans="6:10" hidden="1" x14ac:dyDescent="0.25">
      <c r="F16101" s="527">
        <v>452</v>
      </c>
      <c r="G16101" s="520" t="s">
        <v>4209</v>
      </c>
      <c r="J16101" s="595">
        <f t="shared" si="477"/>
        <v>0</v>
      </c>
    </row>
    <row r="16102" spans="6:10" hidden="1" x14ac:dyDescent="0.25">
      <c r="F16102" s="527">
        <v>453</v>
      </c>
      <c r="G16102" s="520" t="s">
        <v>4210</v>
      </c>
      <c r="J16102" s="595">
        <f t="shared" si="477"/>
        <v>0</v>
      </c>
    </row>
    <row r="16103" spans="6:10" hidden="1" x14ac:dyDescent="0.25">
      <c r="F16103" s="527">
        <v>454</v>
      </c>
      <c r="G16103" s="520" t="s">
        <v>3823</v>
      </c>
      <c r="J16103" s="595">
        <f t="shared" si="477"/>
        <v>0</v>
      </c>
    </row>
    <row r="16104" spans="6:10" hidden="1" x14ac:dyDescent="0.25">
      <c r="F16104" s="527">
        <v>461</v>
      </c>
      <c r="G16104" s="520" t="s">
        <v>4191</v>
      </c>
      <c r="J16104" s="595">
        <f t="shared" si="477"/>
        <v>0</v>
      </c>
    </row>
    <row r="16105" spans="6:10" hidden="1" x14ac:dyDescent="0.25">
      <c r="F16105" s="527">
        <v>462</v>
      </c>
      <c r="G16105" s="520" t="s">
        <v>3826</v>
      </c>
      <c r="J16105" s="595">
        <f t="shared" si="477"/>
        <v>0</v>
      </c>
    </row>
    <row r="16106" spans="6:10" hidden="1" x14ac:dyDescent="0.25">
      <c r="F16106" s="527">
        <v>4631</v>
      </c>
      <c r="G16106" s="520" t="s">
        <v>3827</v>
      </c>
      <c r="J16106" s="595">
        <f t="shared" si="477"/>
        <v>0</v>
      </c>
    </row>
    <row r="16107" spans="6:10" hidden="1" x14ac:dyDescent="0.25">
      <c r="F16107" s="527">
        <v>4632</v>
      </c>
      <c r="G16107" s="520" t="s">
        <v>3828</v>
      </c>
      <c r="J16107" s="595">
        <f t="shared" si="477"/>
        <v>0</v>
      </c>
    </row>
    <row r="16108" spans="6:10" hidden="1" x14ac:dyDescent="0.25">
      <c r="F16108" s="527">
        <v>464</v>
      </c>
      <c r="G16108" s="520" t="s">
        <v>3829</v>
      </c>
      <c r="J16108" s="595">
        <f t="shared" si="477"/>
        <v>0</v>
      </c>
    </row>
    <row r="16109" spans="6:10" hidden="1" x14ac:dyDescent="0.25">
      <c r="F16109" s="527">
        <v>465</v>
      </c>
      <c r="G16109" s="520" t="s">
        <v>4192</v>
      </c>
      <c r="J16109" s="595">
        <f t="shared" si="477"/>
        <v>0</v>
      </c>
    </row>
    <row r="16110" spans="6:10" hidden="1" x14ac:dyDescent="0.25">
      <c r="F16110" s="527">
        <v>472</v>
      </c>
      <c r="G16110" s="520" t="s">
        <v>3833</v>
      </c>
      <c r="J16110" s="595">
        <f t="shared" si="477"/>
        <v>0</v>
      </c>
    </row>
    <row r="16111" spans="6:10" hidden="1" x14ac:dyDescent="0.25">
      <c r="F16111" s="527">
        <v>481</v>
      </c>
      <c r="G16111" s="520" t="s">
        <v>4211</v>
      </c>
      <c r="J16111" s="595">
        <f t="shared" si="477"/>
        <v>0</v>
      </c>
    </row>
    <row r="16112" spans="6:10" hidden="1" x14ac:dyDescent="0.25">
      <c r="F16112" s="527">
        <v>482</v>
      </c>
      <c r="G16112" s="520" t="s">
        <v>4212</v>
      </c>
      <c r="J16112" s="595">
        <f t="shared" si="477"/>
        <v>0</v>
      </c>
    </row>
    <row r="16113" spans="6:10" hidden="1" x14ac:dyDescent="0.25">
      <c r="F16113" s="527">
        <v>483</v>
      </c>
      <c r="G16113" s="524" t="s">
        <v>4213</v>
      </c>
      <c r="J16113" s="595">
        <f t="shared" si="477"/>
        <v>0</v>
      </c>
    </row>
    <row r="16114" spans="6:10" ht="30" hidden="1" x14ac:dyDescent="0.25">
      <c r="F16114" s="527">
        <v>484</v>
      </c>
      <c r="G16114" s="520" t="s">
        <v>4214</v>
      </c>
      <c r="J16114" s="595">
        <f t="shared" si="477"/>
        <v>0</v>
      </c>
    </row>
    <row r="16115" spans="6:10" ht="30" hidden="1" x14ac:dyDescent="0.25">
      <c r="F16115" s="527">
        <v>485</v>
      </c>
      <c r="G16115" s="520" t="s">
        <v>4215</v>
      </c>
      <c r="J16115" s="595">
        <f t="shared" si="477"/>
        <v>0</v>
      </c>
    </row>
    <row r="16116" spans="6:10" ht="30" hidden="1" x14ac:dyDescent="0.25">
      <c r="F16116" s="527">
        <v>489</v>
      </c>
      <c r="G16116" s="520" t="s">
        <v>3841</v>
      </c>
      <c r="J16116" s="595">
        <f t="shared" si="477"/>
        <v>0</v>
      </c>
    </row>
    <row r="16117" spans="6:10" hidden="1" x14ac:dyDescent="0.25">
      <c r="F16117" s="527">
        <v>494</v>
      </c>
      <c r="G16117" s="520" t="s">
        <v>4193</v>
      </c>
      <c r="J16117" s="595">
        <f t="shared" si="477"/>
        <v>0</v>
      </c>
    </row>
    <row r="16118" spans="6:10" ht="30" hidden="1" x14ac:dyDescent="0.25">
      <c r="F16118" s="527">
        <v>495</v>
      </c>
      <c r="G16118" s="520" t="s">
        <v>4194</v>
      </c>
      <c r="J16118" s="595">
        <f t="shared" si="477"/>
        <v>0</v>
      </c>
    </row>
    <row r="16119" spans="6:10" ht="30" hidden="1" x14ac:dyDescent="0.25">
      <c r="F16119" s="527">
        <v>496</v>
      </c>
      <c r="G16119" s="520" t="s">
        <v>4195</v>
      </c>
      <c r="J16119" s="595">
        <f t="shared" si="477"/>
        <v>0</v>
      </c>
    </row>
    <row r="16120" spans="6:10" hidden="1" x14ac:dyDescent="0.25">
      <c r="F16120" s="527">
        <v>499</v>
      </c>
      <c r="G16120" s="520" t="s">
        <v>4196</v>
      </c>
      <c r="J16120" s="595">
        <f t="shared" si="477"/>
        <v>0</v>
      </c>
    </row>
    <row r="16121" spans="6:10" hidden="1" x14ac:dyDescent="0.25">
      <c r="F16121" s="527">
        <v>511</v>
      </c>
      <c r="G16121" s="524" t="s">
        <v>4216</v>
      </c>
      <c r="J16121" s="595">
        <f t="shared" si="477"/>
        <v>0</v>
      </c>
    </row>
    <row r="16122" spans="6:10" hidden="1" x14ac:dyDescent="0.25">
      <c r="F16122" s="527">
        <v>512</v>
      </c>
      <c r="G16122" s="524" t="s">
        <v>4217</v>
      </c>
      <c r="J16122" s="595">
        <f t="shared" si="477"/>
        <v>0</v>
      </c>
    </row>
    <row r="16123" spans="6:10" hidden="1" x14ac:dyDescent="0.25">
      <c r="F16123" s="527">
        <v>513</v>
      </c>
      <c r="G16123" s="524" t="s">
        <v>4218</v>
      </c>
      <c r="J16123" s="595">
        <f t="shared" si="477"/>
        <v>0</v>
      </c>
    </row>
    <row r="16124" spans="6:10" hidden="1" x14ac:dyDescent="0.25">
      <c r="F16124" s="527">
        <v>514</v>
      </c>
      <c r="G16124" s="520" t="s">
        <v>4219</v>
      </c>
      <c r="J16124" s="595">
        <f t="shared" si="477"/>
        <v>0</v>
      </c>
    </row>
    <row r="16125" spans="6:10" hidden="1" x14ac:dyDescent="0.25">
      <c r="F16125" s="527">
        <v>515</v>
      </c>
      <c r="G16125" s="520" t="s">
        <v>3852</v>
      </c>
      <c r="J16125" s="595">
        <f t="shared" si="477"/>
        <v>0</v>
      </c>
    </row>
    <row r="16126" spans="6:10" hidden="1" x14ac:dyDescent="0.25">
      <c r="F16126" s="527">
        <v>521</v>
      </c>
      <c r="G16126" s="520" t="s">
        <v>4220</v>
      </c>
      <c r="J16126" s="595">
        <f t="shared" si="477"/>
        <v>0</v>
      </c>
    </row>
    <row r="16127" spans="6:10" hidden="1" x14ac:dyDescent="0.25">
      <c r="F16127" s="527">
        <v>522</v>
      </c>
      <c r="G16127" s="520" t="s">
        <v>4221</v>
      </c>
      <c r="J16127" s="595">
        <f t="shared" si="477"/>
        <v>0</v>
      </c>
    </row>
    <row r="16128" spans="6:10" hidden="1" x14ac:dyDescent="0.25">
      <c r="F16128" s="527">
        <v>523</v>
      </c>
      <c r="G16128" s="520" t="s">
        <v>3857</v>
      </c>
      <c r="J16128" s="595">
        <f t="shared" si="477"/>
        <v>0</v>
      </c>
    </row>
    <row r="16129" spans="5:10" hidden="1" x14ac:dyDescent="0.25">
      <c r="F16129" s="527">
        <v>531</v>
      </c>
      <c r="G16129" s="516" t="s">
        <v>4197</v>
      </c>
      <c r="J16129" s="595">
        <f t="shared" si="477"/>
        <v>0</v>
      </c>
    </row>
    <row r="16130" spans="5:10" hidden="1" x14ac:dyDescent="0.25">
      <c r="F16130" s="527">
        <v>541</v>
      </c>
      <c r="G16130" s="520" t="s">
        <v>4222</v>
      </c>
      <c r="J16130" s="595">
        <f t="shared" si="477"/>
        <v>0</v>
      </c>
    </row>
    <row r="16131" spans="5:10" hidden="1" x14ac:dyDescent="0.25">
      <c r="F16131" s="527">
        <v>542</v>
      </c>
      <c r="G16131" s="520" t="s">
        <v>4223</v>
      </c>
      <c r="J16131" s="595">
        <f t="shared" si="477"/>
        <v>0</v>
      </c>
    </row>
    <row r="16132" spans="5:10" hidden="1" x14ac:dyDescent="0.25">
      <c r="F16132" s="527">
        <v>543</v>
      </c>
      <c r="G16132" s="520" t="s">
        <v>3862</v>
      </c>
      <c r="J16132" s="595">
        <f t="shared" si="477"/>
        <v>0</v>
      </c>
    </row>
    <row r="16133" spans="5:10" ht="30" hidden="1" x14ac:dyDescent="0.25">
      <c r="F16133" s="527">
        <v>551</v>
      </c>
      <c r="G16133" s="520" t="s">
        <v>4198</v>
      </c>
      <c r="J16133" s="595">
        <f t="shared" si="477"/>
        <v>0</v>
      </c>
    </row>
    <row r="16134" spans="5:10" hidden="1" x14ac:dyDescent="0.25">
      <c r="F16134" s="528">
        <v>611</v>
      </c>
      <c r="G16134" s="526" t="s">
        <v>3868</v>
      </c>
      <c r="J16134" s="595">
        <f t="shared" si="477"/>
        <v>0</v>
      </c>
    </row>
    <row r="16135" spans="5:10" hidden="1" x14ac:dyDescent="0.25">
      <c r="F16135" s="528">
        <v>620</v>
      </c>
      <c r="G16135" s="526" t="s">
        <v>88</v>
      </c>
      <c r="J16135" s="595">
        <f t="shared" si="477"/>
        <v>0</v>
      </c>
    </row>
    <row r="16136" spans="5:10" hidden="1" x14ac:dyDescent="0.25">
      <c r="E16136" s="517"/>
      <c r="F16136" s="528"/>
      <c r="G16136" s="326" t="s">
        <v>4478</v>
      </c>
      <c r="H16136" s="596"/>
      <c r="I16136" s="622"/>
      <c r="J16136" s="597"/>
    </row>
    <row r="16137" spans="5:10" hidden="1" x14ac:dyDescent="0.25">
      <c r="E16137" s="222"/>
      <c r="F16137" s="249" t="s">
        <v>234</v>
      </c>
      <c r="G16137" s="252" t="s">
        <v>235</v>
      </c>
      <c r="H16137" s="598">
        <f>SUM(H16076:H16135)</f>
        <v>0</v>
      </c>
      <c r="I16137" s="599"/>
      <c r="J16137" s="599">
        <f>SUM(H16137:I16137)</f>
        <v>0</v>
      </c>
    </row>
    <row r="16138" spans="5:10" hidden="1" x14ac:dyDescent="0.25">
      <c r="F16138" s="249" t="s">
        <v>236</v>
      </c>
      <c r="G16138" s="252" t="s">
        <v>237</v>
      </c>
      <c r="J16138" s="599">
        <f t="shared" ref="J16138:J16152" si="478">SUM(H16138:I16138)</f>
        <v>0</v>
      </c>
    </row>
    <row r="16139" spans="5:10" hidden="1" x14ac:dyDescent="0.25">
      <c r="F16139" s="249" t="s">
        <v>238</v>
      </c>
      <c r="G16139" s="252" t="s">
        <v>239</v>
      </c>
      <c r="J16139" s="599">
        <f t="shared" si="478"/>
        <v>0</v>
      </c>
    </row>
    <row r="16140" spans="5:10" hidden="1" x14ac:dyDescent="0.25">
      <c r="F16140" s="249" t="s">
        <v>240</v>
      </c>
      <c r="G16140" s="252" t="s">
        <v>241</v>
      </c>
      <c r="J16140" s="599">
        <f t="shared" si="478"/>
        <v>0</v>
      </c>
    </row>
    <row r="16141" spans="5:10" hidden="1" x14ac:dyDescent="0.25">
      <c r="F16141" s="249" t="s">
        <v>242</v>
      </c>
      <c r="G16141" s="252" t="s">
        <v>243</v>
      </c>
      <c r="J16141" s="599">
        <f t="shared" si="478"/>
        <v>0</v>
      </c>
    </row>
    <row r="16142" spans="5:10" hidden="1" x14ac:dyDescent="0.25">
      <c r="F16142" s="249" t="s">
        <v>244</v>
      </c>
      <c r="G16142" s="252" t="s">
        <v>245</v>
      </c>
      <c r="J16142" s="599">
        <f t="shared" si="478"/>
        <v>0</v>
      </c>
    </row>
    <row r="16143" spans="5:10" hidden="1" x14ac:dyDescent="0.25">
      <c r="F16143" s="249" t="s">
        <v>246</v>
      </c>
      <c r="G16143" s="252" t="s">
        <v>247</v>
      </c>
      <c r="J16143" s="599">
        <f t="shared" si="478"/>
        <v>0</v>
      </c>
    </row>
    <row r="16144" spans="5:10" hidden="1" x14ac:dyDescent="0.25">
      <c r="F16144" s="249" t="s">
        <v>248</v>
      </c>
      <c r="G16144" s="252" t="s">
        <v>249</v>
      </c>
      <c r="J16144" s="599">
        <f t="shared" si="478"/>
        <v>0</v>
      </c>
    </row>
    <row r="16145" spans="5:10" hidden="1" x14ac:dyDescent="0.25">
      <c r="F16145" s="249" t="s">
        <v>250</v>
      </c>
      <c r="G16145" s="252" t="s">
        <v>57</v>
      </c>
      <c r="J16145" s="599">
        <f t="shared" si="478"/>
        <v>0</v>
      </c>
    </row>
    <row r="16146" spans="5:10" hidden="1" x14ac:dyDescent="0.25">
      <c r="F16146" s="249" t="s">
        <v>251</v>
      </c>
      <c r="G16146" s="252" t="s">
        <v>252</v>
      </c>
      <c r="J16146" s="599">
        <f t="shared" si="478"/>
        <v>0</v>
      </c>
    </row>
    <row r="16147" spans="5:10" hidden="1" x14ac:dyDescent="0.25">
      <c r="F16147" s="249" t="s">
        <v>253</v>
      </c>
      <c r="G16147" s="252" t="s">
        <v>254</v>
      </c>
      <c r="J16147" s="599">
        <f t="shared" si="478"/>
        <v>0</v>
      </c>
    </row>
    <row r="16148" spans="5:10" ht="30" hidden="1" x14ac:dyDescent="0.25">
      <c r="F16148" s="249" t="s">
        <v>255</v>
      </c>
      <c r="G16148" s="252" t="s">
        <v>256</v>
      </c>
      <c r="J16148" s="599">
        <f t="shared" si="478"/>
        <v>0</v>
      </c>
    </row>
    <row r="16149" spans="5:10" hidden="1" x14ac:dyDescent="0.25">
      <c r="F16149" s="249" t="s">
        <v>257</v>
      </c>
      <c r="G16149" s="252" t="s">
        <v>258</v>
      </c>
      <c r="J16149" s="599">
        <f t="shared" si="478"/>
        <v>0</v>
      </c>
    </row>
    <row r="16150" spans="5:10" ht="30" hidden="1" x14ac:dyDescent="0.25">
      <c r="F16150" s="249" t="s">
        <v>259</v>
      </c>
      <c r="G16150" s="252" t="s">
        <v>260</v>
      </c>
      <c r="J16150" s="599">
        <f t="shared" si="478"/>
        <v>0</v>
      </c>
    </row>
    <row r="16151" spans="5:10" hidden="1" x14ac:dyDescent="0.25">
      <c r="F16151" s="249" t="s">
        <v>261</v>
      </c>
      <c r="G16151" s="252" t="s">
        <v>262</v>
      </c>
      <c r="J16151" s="599">
        <f t="shared" si="478"/>
        <v>0</v>
      </c>
    </row>
    <row r="16152" spans="5:10" hidden="1" x14ac:dyDescent="0.25">
      <c r="F16152" s="249" t="s">
        <v>263</v>
      </c>
      <c r="G16152" s="252" t="s">
        <v>264</v>
      </c>
      <c r="H16152" s="598"/>
      <c r="I16152" s="599"/>
      <c r="J16152" s="599">
        <f t="shared" si="478"/>
        <v>0</v>
      </c>
    </row>
    <row r="16153" spans="5:10" ht="15.75" hidden="1" thickBot="1" x14ac:dyDescent="0.3">
      <c r="G16153" s="229" t="s">
        <v>4479</v>
      </c>
      <c r="H16153" s="600">
        <f>SUM(H16137:H16152)</f>
        <v>0</v>
      </c>
      <c r="I16153" s="601">
        <f>SUM(I16138:I16152)</f>
        <v>0</v>
      </c>
      <c r="J16153" s="601">
        <f>SUM(J16137:J16152)</f>
        <v>0</v>
      </c>
    </row>
    <row r="16154" spans="5:10" hidden="1" collapsed="1" x14ac:dyDescent="0.25">
      <c r="E16154" s="517"/>
      <c r="F16154" s="528"/>
      <c r="G16154" s="231" t="s">
        <v>5066</v>
      </c>
      <c r="H16154" s="602"/>
      <c r="I16154" s="623"/>
      <c r="J16154" s="603"/>
    </row>
    <row r="16155" spans="5:10" hidden="1" x14ac:dyDescent="0.25">
      <c r="E16155" s="222"/>
      <c r="F16155" s="249" t="s">
        <v>234</v>
      </c>
      <c r="G16155" s="252" t="s">
        <v>235</v>
      </c>
      <c r="H16155" s="598">
        <f>SUM(H16076:H16135)</f>
        <v>0</v>
      </c>
      <c r="I16155" s="599"/>
      <c r="J16155" s="599">
        <f>SUM(H16155:I16155)</f>
        <v>0</v>
      </c>
    </row>
    <row r="16156" spans="5:10" hidden="1" x14ac:dyDescent="0.25">
      <c r="F16156" s="249" t="s">
        <v>236</v>
      </c>
      <c r="G16156" s="252" t="s">
        <v>237</v>
      </c>
      <c r="J16156" s="599">
        <f t="shared" ref="J16156:J16170" si="479">SUM(H16156:I16156)</f>
        <v>0</v>
      </c>
    </row>
    <row r="16157" spans="5:10" hidden="1" x14ac:dyDescent="0.25">
      <c r="F16157" s="249" t="s">
        <v>238</v>
      </c>
      <c r="G16157" s="252" t="s">
        <v>239</v>
      </c>
      <c r="J16157" s="599">
        <f t="shared" si="479"/>
        <v>0</v>
      </c>
    </row>
    <row r="16158" spans="5:10" hidden="1" x14ac:dyDescent="0.25">
      <c r="F16158" s="249" t="s">
        <v>240</v>
      </c>
      <c r="G16158" s="252" t="s">
        <v>241</v>
      </c>
      <c r="J16158" s="599">
        <f t="shared" si="479"/>
        <v>0</v>
      </c>
    </row>
    <row r="16159" spans="5:10" hidden="1" x14ac:dyDescent="0.25">
      <c r="F16159" s="249" t="s">
        <v>242</v>
      </c>
      <c r="G16159" s="252" t="s">
        <v>243</v>
      </c>
      <c r="J16159" s="599">
        <f t="shared" si="479"/>
        <v>0</v>
      </c>
    </row>
    <row r="16160" spans="5:10" hidden="1" x14ac:dyDescent="0.25">
      <c r="F16160" s="249" t="s">
        <v>244</v>
      </c>
      <c r="G16160" s="252" t="s">
        <v>245</v>
      </c>
      <c r="J16160" s="599">
        <f t="shared" si="479"/>
        <v>0</v>
      </c>
    </row>
    <row r="16161" spans="3:10" hidden="1" x14ac:dyDescent="0.25">
      <c r="F16161" s="249" t="s">
        <v>246</v>
      </c>
      <c r="G16161" s="252" t="s">
        <v>247</v>
      </c>
      <c r="J16161" s="599">
        <f t="shared" si="479"/>
        <v>0</v>
      </c>
    </row>
    <row r="16162" spans="3:10" hidden="1" x14ac:dyDescent="0.25">
      <c r="F16162" s="249" t="s">
        <v>248</v>
      </c>
      <c r="G16162" s="252" t="s">
        <v>249</v>
      </c>
      <c r="J16162" s="599">
        <f t="shared" si="479"/>
        <v>0</v>
      </c>
    </row>
    <row r="16163" spans="3:10" hidden="1" x14ac:dyDescent="0.25">
      <c r="F16163" s="249" t="s">
        <v>250</v>
      </c>
      <c r="G16163" s="252" t="s">
        <v>57</v>
      </c>
      <c r="J16163" s="599">
        <f t="shared" si="479"/>
        <v>0</v>
      </c>
    </row>
    <row r="16164" spans="3:10" hidden="1" x14ac:dyDescent="0.25">
      <c r="F16164" s="249" t="s">
        <v>251</v>
      </c>
      <c r="G16164" s="252" t="s">
        <v>252</v>
      </c>
      <c r="J16164" s="599">
        <f t="shared" si="479"/>
        <v>0</v>
      </c>
    </row>
    <row r="16165" spans="3:10" hidden="1" x14ac:dyDescent="0.25">
      <c r="F16165" s="249" t="s">
        <v>253</v>
      </c>
      <c r="G16165" s="252" t="s">
        <v>254</v>
      </c>
      <c r="J16165" s="599">
        <f t="shared" si="479"/>
        <v>0</v>
      </c>
    </row>
    <row r="16166" spans="3:10" ht="30" hidden="1" x14ac:dyDescent="0.25">
      <c r="F16166" s="249" t="s">
        <v>255</v>
      </c>
      <c r="G16166" s="252" t="s">
        <v>256</v>
      </c>
      <c r="J16166" s="599">
        <f t="shared" si="479"/>
        <v>0</v>
      </c>
    </row>
    <row r="16167" spans="3:10" hidden="1" x14ac:dyDescent="0.25">
      <c r="F16167" s="249" t="s">
        <v>257</v>
      </c>
      <c r="G16167" s="252" t="s">
        <v>258</v>
      </c>
      <c r="J16167" s="599">
        <f t="shared" si="479"/>
        <v>0</v>
      </c>
    </row>
    <row r="16168" spans="3:10" ht="30" hidden="1" x14ac:dyDescent="0.25">
      <c r="F16168" s="249" t="s">
        <v>259</v>
      </c>
      <c r="G16168" s="252" t="s">
        <v>260</v>
      </c>
      <c r="J16168" s="599">
        <f t="shared" si="479"/>
        <v>0</v>
      </c>
    </row>
    <row r="16169" spans="3:10" hidden="1" x14ac:dyDescent="0.25">
      <c r="F16169" s="249" t="s">
        <v>261</v>
      </c>
      <c r="G16169" s="252" t="s">
        <v>262</v>
      </c>
      <c r="J16169" s="599">
        <f t="shared" si="479"/>
        <v>0</v>
      </c>
    </row>
    <row r="16170" spans="3:10" hidden="1" x14ac:dyDescent="0.25">
      <c r="F16170" s="249" t="s">
        <v>263</v>
      </c>
      <c r="G16170" s="252" t="s">
        <v>264</v>
      </c>
      <c r="H16170" s="598"/>
      <c r="I16170" s="599"/>
      <c r="J16170" s="599">
        <f t="shared" si="479"/>
        <v>0</v>
      </c>
    </row>
    <row r="16171" spans="3:10" ht="15.75" hidden="1" thickBot="1" x14ac:dyDescent="0.3">
      <c r="G16171" s="229" t="s">
        <v>5067</v>
      </c>
      <c r="H16171" s="600">
        <f>SUM(H16155:H16170)</f>
        <v>0</v>
      </c>
      <c r="I16171" s="601">
        <f>SUM(I16156:I16170)</f>
        <v>0</v>
      </c>
      <c r="J16171" s="601">
        <f>SUM(J16155:J16170)</f>
        <v>0</v>
      </c>
    </row>
    <row r="16172" spans="3:10" hidden="1" x14ac:dyDescent="0.25"/>
    <row r="16173" spans="3:10" hidden="1" x14ac:dyDescent="0.25"/>
    <row r="16174" spans="3:10" hidden="1" x14ac:dyDescent="0.25">
      <c r="C16174" s="228" t="s">
        <v>4771</v>
      </c>
      <c r="D16174" s="219"/>
      <c r="G16174" s="521" t="s">
        <v>4254</v>
      </c>
    </row>
    <row r="16175" spans="3:10" hidden="1" x14ac:dyDescent="0.25">
      <c r="C16175" s="228"/>
      <c r="D16175" s="312">
        <v>920</v>
      </c>
      <c r="E16175" s="312"/>
      <c r="F16175" s="312"/>
      <c r="G16175" s="313" t="s">
        <v>220</v>
      </c>
    </row>
    <row r="16176" spans="3:10" hidden="1" x14ac:dyDescent="0.25">
      <c r="F16176" s="527">
        <v>411</v>
      </c>
      <c r="G16176" s="520" t="s">
        <v>4189</v>
      </c>
      <c r="J16176" s="595">
        <f>SUM(H16176:I16176)</f>
        <v>0</v>
      </c>
    </row>
    <row r="16177" spans="6:10" hidden="1" x14ac:dyDescent="0.25">
      <c r="F16177" s="527">
        <v>412</v>
      </c>
      <c r="G16177" s="516" t="s">
        <v>3784</v>
      </c>
      <c r="J16177" s="595">
        <f t="shared" ref="J16177:J16235" si="480">SUM(H16177:I16177)</f>
        <v>0</v>
      </c>
    </row>
    <row r="16178" spans="6:10" hidden="1" x14ac:dyDescent="0.25">
      <c r="F16178" s="527">
        <v>413</v>
      </c>
      <c r="G16178" s="520" t="s">
        <v>4190</v>
      </c>
      <c r="J16178" s="595">
        <f t="shared" si="480"/>
        <v>0</v>
      </c>
    </row>
    <row r="16179" spans="6:10" hidden="1" x14ac:dyDescent="0.25">
      <c r="F16179" s="527">
        <v>414</v>
      </c>
      <c r="G16179" s="520" t="s">
        <v>3787</v>
      </c>
      <c r="J16179" s="595">
        <f t="shared" si="480"/>
        <v>0</v>
      </c>
    </row>
    <row r="16180" spans="6:10" hidden="1" x14ac:dyDescent="0.25">
      <c r="F16180" s="527">
        <v>415</v>
      </c>
      <c r="G16180" s="520" t="s">
        <v>4199</v>
      </c>
      <c r="J16180" s="595">
        <f t="shared" si="480"/>
        <v>0</v>
      </c>
    </row>
    <row r="16181" spans="6:10" hidden="1" x14ac:dyDescent="0.25">
      <c r="F16181" s="527">
        <v>416</v>
      </c>
      <c r="G16181" s="520" t="s">
        <v>4200</v>
      </c>
      <c r="J16181" s="595">
        <f t="shared" si="480"/>
        <v>0</v>
      </c>
    </row>
    <row r="16182" spans="6:10" hidden="1" x14ac:dyDescent="0.25">
      <c r="F16182" s="527">
        <v>417</v>
      </c>
      <c r="G16182" s="520" t="s">
        <v>4201</v>
      </c>
      <c r="J16182" s="595">
        <f t="shared" si="480"/>
        <v>0</v>
      </c>
    </row>
    <row r="16183" spans="6:10" hidden="1" x14ac:dyDescent="0.25">
      <c r="F16183" s="527">
        <v>418</v>
      </c>
      <c r="G16183" s="520" t="s">
        <v>3793</v>
      </c>
      <c r="J16183" s="595">
        <f t="shared" si="480"/>
        <v>0</v>
      </c>
    </row>
    <row r="16184" spans="6:10" hidden="1" x14ac:dyDescent="0.25">
      <c r="F16184" s="527">
        <v>421</v>
      </c>
      <c r="G16184" s="520" t="s">
        <v>3797</v>
      </c>
      <c r="J16184" s="595">
        <f t="shared" si="480"/>
        <v>0</v>
      </c>
    </row>
    <row r="16185" spans="6:10" hidden="1" x14ac:dyDescent="0.25">
      <c r="F16185" s="527">
        <v>422</v>
      </c>
      <c r="G16185" s="520" t="s">
        <v>3798</v>
      </c>
      <c r="J16185" s="595">
        <f t="shared" si="480"/>
        <v>0</v>
      </c>
    </row>
    <row r="16186" spans="6:10" hidden="1" x14ac:dyDescent="0.25">
      <c r="F16186" s="527">
        <v>423</v>
      </c>
      <c r="G16186" s="520" t="s">
        <v>3799</v>
      </c>
      <c r="J16186" s="595">
        <f t="shared" si="480"/>
        <v>0</v>
      </c>
    </row>
    <row r="16187" spans="6:10" hidden="1" x14ac:dyDescent="0.25">
      <c r="F16187" s="527">
        <v>424</v>
      </c>
      <c r="G16187" s="520" t="s">
        <v>3801</v>
      </c>
      <c r="J16187" s="595">
        <f t="shared" si="480"/>
        <v>0</v>
      </c>
    </row>
    <row r="16188" spans="6:10" hidden="1" x14ac:dyDescent="0.25">
      <c r="F16188" s="527">
        <v>425</v>
      </c>
      <c r="G16188" s="520" t="s">
        <v>4202</v>
      </c>
      <c r="J16188" s="595">
        <f t="shared" si="480"/>
        <v>0</v>
      </c>
    </row>
    <row r="16189" spans="6:10" hidden="1" x14ac:dyDescent="0.25">
      <c r="F16189" s="527">
        <v>426</v>
      </c>
      <c r="G16189" s="520" t="s">
        <v>3805</v>
      </c>
      <c r="J16189" s="595">
        <f t="shared" si="480"/>
        <v>0</v>
      </c>
    </row>
    <row r="16190" spans="6:10" hidden="1" x14ac:dyDescent="0.25">
      <c r="F16190" s="527">
        <v>431</v>
      </c>
      <c r="G16190" s="520" t="s">
        <v>4203</v>
      </c>
      <c r="J16190" s="595">
        <f t="shared" si="480"/>
        <v>0</v>
      </c>
    </row>
    <row r="16191" spans="6:10" hidden="1" x14ac:dyDescent="0.25">
      <c r="F16191" s="527">
        <v>432</v>
      </c>
      <c r="G16191" s="520" t="s">
        <v>4204</v>
      </c>
      <c r="J16191" s="595">
        <f t="shared" si="480"/>
        <v>0</v>
      </c>
    </row>
    <row r="16192" spans="6:10" hidden="1" x14ac:dyDescent="0.25">
      <c r="F16192" s="527">
        <v>433</v>
      </c>
      <c r="G16192" s="520" t="s">
        <v>4205</v>
      </c>
      <c r="J16192" s="595">
        <f t="shared" si="480"/>
        <v>0</v>
      </c>
    </row>
    <row r="16193" spans="6:10" hidden="1" x14ac:dyDescent="0.25">
      <c r="F16193" s="527">
        <v>434</v>
      </c>
      <c r="G16193" s="520" t="s">
        <v>4206</v>
      </c>
      <c r="J16193" s="595">
        <f t="shared" si="480"/>
        <v>0</v>
      </c>
    </row>
    <row r="16194" spans="6:10" hidden="1" x14ac:dyDescent="0.25">
      <c r="F16194" s="527">
        <v>435</v>
      </c>
      <c r="G16194" s="520" t="s">
        <v>3812</v>
      </c>
      <c r="J16194" s="595">
        <f t="shared" si="480"/>
        <v>0</v>
      </c>
    </row>
    <row r="16195" spans="6:10" hidden="1" x14ac:dyDescent="0.25">
      <c r="F16195" s="527">
        <v>441</v>
      </c>
      <c r="G16195" s="520" t="s">
        <v>4207</v>
      </c>
      <c r="J16195" s="595">
        <f t="shared" si="480"/>
        <v>0</v>
      </c>
    </row>
    <row r="16196" spans="6:10" hidden="1" x14ac:dyDescent="0.25">
      <c r="F16196" s="527">
        <v>442</v>
      </c>
      <c r="G16196" s="520" t="s">
        <v>4208</v>
      </c>
      <c r="J16196" s="595">
        <f t="shared" si="480"/>
        <v>0</v>
      </c>
    </row>
    <row r="16197" spans="6:10" hidden="1" x14ac:dyDescent="0.25">
      <c r="F16197" s="527">
        <v>443</v>
      </c>
      <c r="G16197" s="520" t="s">
        <v>3817</v>
      </c>
      <c r="J16197" s="595">
        <f t="shared" si="480"/>
        <v>0</v>
      </c>
    </row>
    <row r="16198" spans="6:10" hidden="1" x14ac:dyDescent="0.25">
      <c r="F16198" s="527">
        <v>444</v>
      </c>
      <c r="G16198" s="520" t="s">
        <v>3818</v>
      </c>
      <c r="J16198" s="595">
        <f t="shared" si="480"/>
        <v>0</v>
      </c>
    </row>
    <row r="16199" spans="6:10" ht="30" hidden="1" x14ac:dyDescent="0.25">
      <c r="F16199" s="527">
        <v>4511</v>
      </c>
      <c r="G16199" s="223" t="s">
        <v>1692</v>
      </c>
      <c r="J16199" s="595">
        <f t="shared" si="480"/>
        <v>0</v>
      </c>
    </row>
    <row r="16200" spans="6:10" ht="30" hidden="1" x14ac:dyDescent="0.25">
      <c r="F16200" s="527">
        <v>4512</v>
      </c>
      <c r="G16200" s="223" t="s">
        <v>1701</v>
      </c>
      <c r="J16200" s="595">
        <f t="shared" si="480"/>
        <v>0</v>
      </c>
    </row>
    <row r="16201" spans="6:10" hidden="1" x14ac:dyDescent="0.25">
      <c r="F16201" s="527">
        <v>452</v>
      </c>
      <c r="G16201" s="520" t="s">
        <v>4209</v>
      </c>
      <c r="J16201" s="595">
        <f t="shared" si="480"/>
        <v>0</v>
      </c>
    </row>
    <row r="16202" spans="6:10" hidden="1" x14ac:dyDescent="0.25">
      <c r="F16202" s="527">
        <v>453</v>
      </c>
      <c r="G16202" s="520" t="s">
        <v>4210</v>
      </c>
      <c r="J16202" s="595">
        <f t="shared" si="480"/>
        <v>0</v>
      </c>
    </row>
    <row r="16203" spans="6:10" hidden="1" x14ac:dyDescent="0.25">
      <c r="F16203" s="527">
        <v>454</v>
      </c>
      <c r="G16203" s="520" t="s">
        <v>3823</v>
      </c>
      <c r="J16203" s="595">
        <f t="shared" si="480"/>
        <v>0</v>
      </c>
    </row>
    <row r="16204" spans="6:10" hidden="1" x14ac:dyDescent="0.25">
      <c r="F16204" s="527">
        <v>461</v>
      </c>
      <c r="G16204" s="520" t="s">
        <v>4191</v>
      </c>
      <c r="J16204" s="595">
        <f t="shared" si="480"/>
        <v>0</v>
      </c>
    </row>
    <row r="16205" spans="6:10" hidden="1" x14ac:dyDescent="0.25">
      <c r="F16205" s="527">
        <v>462</v>
      </c>
      <c r="G16205" s="520" t="s">
        <v>3826</v>
      </c>
      <c r="J16205" s="595">
        <f t="shared" si="480"/>
        <v>0</v>
      </c>
    </row>
    <row r="16206" spans="6:10" ht="15.75" hidden="1" thickBot="1" x14ac:dyDescent="0.3">
      <c r="F16206" s="527">
        <v>4631</v>
      </c>
      <c r="G16206" s="520" t="s">
        <v>3827</v>
      </c>
      <c r="J16206" s="595">
        <f t="shared" si="480"/>
        <v>0</v>
      </c>
    </row>
    <row r="16207" spans="6:10" hidden="1" x14ac:dyDescent="0.25">
      <c r="F16207" s="527">
        <v>4632</v>
      </c>
      <c r="G16207" s="520" t="s">
        <v>3828</v>
      </c>
      <c r="J16207" s="595">
        <f t="shared" si="480"/>
        <v>0</v>
      </c>
    </row>
    <row r="16208" spans="6:10" hidden="1" x14ac:dyDescent="0.25">
      <c r="F16208" s="527">
        <v>464</v>
      </c>
      <c r="G16208" s="520" t="s">
        <v>3829</v>
      </c>
      <c r="J16208" s="595">
        <f t="shared" si="480"/>
        <v>0</v>
      </c>
    </row>
    <row r="16209" spans="6:10" hidden="1" x14ac:dyDescent="0.25">
      <c r="F16209" s="527">
        <v>465</v>
      </c>
      <c r="G16209" s="520" t="s">
        <v>4192</v>
      </c>
      <c r="J16209" s="595">
        <f t="shared" si="480"/>
        <v>0</v>
      </c>
    </row>
    <row r="16210" spans="6:10" hidden="1" x14ac:dyDescent="0.25">
      <c r="F16210" s="527">
        <v>472</v>
      </c>
      <c r="G16210" s="520" t="s">
        <v>3833</v>
      </c>
      <c r="J16210" s="595">
        <f t="shared" si="480"/>
        <v>0</v>
      </c>
    </row>
    <row r="16211" spans="6:10" hidden="1" x14ac:dyDescent="0.25">
      <c r="F16211" s="527">
        <v>481</v>
      </c>
      <c r="G16211" s="520" t="s">
        <v>4211</v>
      </c>
      <c r="J16211" s="595">
        <f t="shared" si="480"/>
        <v>0</v>
      </c>
    </row>
    <row r="16212" spans="6:10" hidden="1" x14ac:dyDescent="0.25">
      <c r="F16212" s="527">
        <v>482</v>
      </c>
      <c r="G16212" s="520" t="s">
        <v>4212</v>
      </c>
      <c r="J16212" s="595">
        <f t="shared" si="480"/>
        <v>0</v>
      </c>
    </row>
    <row r="16213" spans="6:10" hidden="1" x14ac:dyDescent="0.25">
      <c r="F16213" s="527">
        <v>483</v>
      </c>
      <c r="G16213" s="524" t="s">
        <v>4213</v>
      </c>
      <c r="J16213" s="595">
        <f t="shared" si="480"/>
        <v>0</v>
      </c>
    </row>
    <row r="16214" spans="6:10" ht="30" hidden="1" x14ac:dyDescent="0.25">
      <c r="F16214" s="527">
        <v>484</v>
      </c>
      <c r="G16214" s="520" t="s">
        <v>4214</v>
      </c>
      <c r="J16214" s="595">
        <f t="shared" si="480"/>
        <v>0</v>
      </c>
    </row>
    <row r="16215" spans="6:10" ht="30" hidden="1" x14ac:dyDescent="0.25">
      <c r="F16215" s="527">
        <v>485</v>
      </c>
      <c r="G16215" s="520" t="s">
        <v>4215</v>
      </c>
      <c r="J16215" s="595">
        <f t="shared" si="480"/>
        <v>0</v>
      </c>
    </row>
    <row r="16216" spans="6:10" ht="30" hidden="1" x14ac:dyDescent="0.25">
      <c r="F16216" s="527">
        <v>489</v>
      </c>
      <c r="G16216" s="520" t="s">
        <v>3841</v>
      </c>
      <c r="J16216" s="595">
        <f t="shared" si="480"/>
        <v>0</v>
      </c>
    </row>
    <row r="16217" spans="6:10" hidden="1" x14ac:dyDescent="0.25">
      <c r="F16217" s="527">
        <v>494</v>
      </c>
      <c r="G16217" s="520" t="s">
        <v>4193</v>
      </c>
      <c r="J16217" s="595">
        <f t="shared" si="480"/>
        <v>0</v>
      </c>
    </row>
    <row r="16218" spans="6:10" ht="30" hidden="1" x14ac:dyDescent="0.25">
      <c r="F16218" s="527">
        <v>495</v>
      </c>
      <c r="G16218" s="520" t="s">
        <v>4194</v>
      </c>
      <c r="J16218" s="595">
        <f t="shared" si="480"/>
        <v>0</v>
      </c>
    </row>
    <row r="16219" spans="6:10" ht="30" hidden="1" x14ac:dyDescent="0.25">
      <c r="F16219" s="527">
        <v>496</v>
      </c>
      <c r="G16219" s="520" t="s">
        <v>4195</v>
      </c>
      <c r="J16219" s="595">
        <f t="shared" si="480"/>
        <v>0</v>
      </c>
    </row>
    <row r="16220" spans="6:10" hidden="1" x14ac:dyDescent="0.25">
      <c r="F16220" s="527">
        <v>499</v>
      </c>
      <c r="G16220" s="520" t="s">
        <v>4196</v>
      </c>
      <c r="J16220" s="595">
        <f t="shared" si="480"/>
        <v>0</v>
      </c>
    </row>
    <row r="16221" spans="6:10" hidden="1" x14ac:dyDescent="0.25">
      <c r="F16221" s="527">
        <v>511</v>
      </c>
      <c r="G16221" s="524" t="s">
        <v>4216</v>
      </c>
      <c r="J16221" s="595">
        <f t="shared" si="480"/>
        <v>0</v>
      </c>
    </row>
    <row r="16222" spans="6:10" hidden="1" x14ac:dyDescent="0.25">
      <c r="F16222" s="527">
        <v>512</v>
      </c>
      <c r="G16222" s="524" t="s">
        <v>4217</v>
      </c>
      <c r="J16222" s="595">
        <f t="shared" si="480"/>
        <v>0</v>
      </c>
    </row>
    <row r="16223" spans="6:10" hidden="1" x14ac:dyDescent="0.25">
      <c r="F16223" s="527">
        <v>513</v>
      </c>
      <c r="G16223" s="524" t="s">
        <v>4218</v>
      </c>
      <c r="J16223" s="595">
        <f t="shared" si="480"/>
        <v>0</v>
      </c>
    </row>
    <row r="16224" spans="6:10" hidden="1" x14ac:dyDescent="0.25">
      <c r="F16224" s="527">
        <v>514</v>
      </c>
      <c r="G16224" s="520" t="s">
        <v>4219</v>
      </c>
      <c r="J16224" s="595">
        <f t="shared" si="480"/>
        <v>0</v>
      </c>
    </row>
    <row r="16225" spans="5:10" hidden="1" x14ac:dyDescent="0.25">
      <c r="F16225" s="527">
        <v>515</v>
      </c>
      <c r="G16225" s="520" t="s">
        <v>3852</v>
      </c>
      <c r="J16225" s="595">
        <f t="shared" si="480"/>
        <v>0</v>
      </c>
    </row>
    <row r="16226" spans="5:10" hidden="1" x14ac:dyDescent="0.25">
      <c r="F16226" s="527">
        <v>521</v>
      </c>
      <c r="G16226" s="520" t="s">
        <v>4220</v>
      </c>
      <c r="J16226" s="595">
        <f t="shared" si="480"/>
        <v>0</v>
      </c>
    </row>
    <row r="16227" spans="5:10" hidden="1" x14ac:dyDescent="0.25">
      <c r="F16227" s="527">
        <v>522</v>
      </c>
      <c r="G16227" s="520" t="s">
        <v>4221</v>
      </c>
      <c r="J16227" s="595">
        <f t="shared" si="480"/>
        <v>0</v>
      </c>
    </row>
    <row r="16228" spans="5:10" hidden="1" x14ac:dyDescent="0.25">
      <c r="F16228" s="527">
        <v>523</v>
      </c>
      <c r="G16228" s="520" t="s">
        <v>3857</v>
      </c>
      <c r="J16228" s="595">
        <f t="shared" si="480"/>
        <v>0</v>
      </c>
    </row>
    <row r="16229" spans="5:10" hidden="1" x14ac:dyDescent="0.25">
      <c r="F16229" s="527">
        <v>531</v>
      </c>
      <c r="G16229" s="516" t="s">
        <v>4197</v>
      </c>
      <c r="J16229" s="595">
        <f t="shared" si="480"/>
        <v>0</v>
      </c>
    </row>
    <row r="16230" spans="5:10" hidden="1" x14ac:dyDescent="0.25">
      <c r="F16230" s="527">
        <v>541</v>
      </c>
      <c r="G16230" s="520" t="s">
        <v>4222</v>
      </c>
      <c r="J16230" s="595">
        <f t="shared" si="480"/>
        <v>0</v>
      </c>
    </row>
    <row r="16231" spans="5:10" hidden="1" x14ac:dyDescent="0.25">
      <c r="F16231" s="527">
        <v>542</v>
      </c>
      <c r="G16231" s="520" t="s">
        <v>4223</v>
      </c>
      <c r="J16231" s="595">
        <f t="shared" si="480"/>
        <v>0</v>
      </c>
    </row>
    <row r="16232" spans="5:10" hidden="1" x14ac:dyDescent="0.25">
      <c r="F16232" s="527">
        <v>543</v>
      </c>
      <c r="G16232" s="520" t="s">
        <v>3862</v>
      </c>
      <c r="J16232" s="595">
        <f t="shared" si="480"/>
        <v>0</v>
      </c>
    </row>
    <row r="16233" spans="5:10" ht="30" hidden="1" x14ac:dyDescent="0.25">
      <c r="F16233" s="527">
        <v>551</v>
      </c>
      <c r="G16233" s="520" t="s">
        <v>4198</v>
      </c>
      <c r="J16233" s="595">
        <f t="shared" si="480"/>
        <v>0</v>
      </c>
    </row>
    <row r="16234" spans="5:10" hidden="1" x14ac:dyDescent="0.25">
      <c r="F16234" s="528">
        <v>611</v>
      </c>
      <c r="G16234" s="526" t="s">
        <v>3868</v>
      </c>
      <c r="J16234" s="595">
        <f t="shared" si="480"/>
        <v>0</v>
      </c>
    </row>
    <row r="16235" spans="5:10" ht="15.75" hidden="1" thickBot="1" x14ac:dyDescent="0.3">
      <c r="F16235" s="528">
        <v>620</v>
      </c>
      <c r="G16235" s="526" t="s">
        <v>88</v>
      </c>
      <c r="J16235" s="595">
        <f t="shared" si="480"/>
        <v>0</v>
      </c>
    </row>
    <row r="16236" spans="5:10" hidden="1" x14ac:dyDescent="0.25">
      <c r="E16236" s="517"/>
      <c r="F16236" s="528"/>
      <c r="G16236" s="326" t="s">
        <v>4478</v>
      </c>
      <c r="H16236" s="596"/>
      <c r="I16236" s="622"/>
      <c r="J16236" s="597"/>
    </row>
    <row r="16237" spans="5:10" ht="15.75" hidden="1" thickBot="1" x14ac:dyDescent="0.3">
      <c r="E16237" s="222"/>
      <c r="F16237" s="249" t="s">
        <v>234</v>
      </c>
      <c r="G16237" s="252" t="s">
        <v>235</v>
      </c>
      <c r="H16237" s="598">
        <f>SUM(H16176:H16235)</f>
        <v>0</v>
      </c>
      <c r="I16237" s="599"/>
      <c r="J16237" s="599">
        <f>SUM(H16237:I16237)</f>
        <v>0</v>
      </c>
    </row>
    <row r="16238" spans="5:10" hidden="1" x14ac:dyDescent="0.25">
      <c r="F16238" s="249" t="s">
        <v>236</v>
      </c>
      <c r="G16238" s="252" t="s">
        <v>237</v>
      </c>
      <c r="J16238" s="599">
        <f t="shared" ref="J16238:J16252" si="481">SUM(H16238:I16238)</f>
        <v>0</v>
      </c>
    </row>
    <row r="16239" spans="5:10" hidden="1" x14ac:dyDescent="0.25">
      <c r="F16239" s="249" t="s">
        <v>238</v>
      </c>
      <c r="G16239" s="252" t="s">
        <v>239</v>
      </c>
      <c r="J16239" s="599">
        <f t="shared" si="481"/>
        <v>0</v>
      </c>
    </row>
    <row r="16240" spans="5:10" hidden="1" x14ac:dyDescent="0.25">
      <c r="F16240" s="249" t="s">
        <v>240</v>
      </c>
      <c r="G16240" s="252" t="s">
        <v>241</v>
      </c>
      <c r="J16240" s="599">
        <f t="shared" si="481"/>
        <v>0</v>
      </c>
    </row>
    <row r="16241" spans="5:10" hidden="1" x14ac:dyDescent="0.25">
      <c r="F16241" s="249" t="s">
        <v>242</v>
      </c>
      <c r="G16241" s="252" t="s">
        <v>243</v>
      </c>
      <c r="J16241" s="599">
        <f t="shared" si="481"/>
        <v>0</v>
      </c>
    </row>
    <row r="16242" spans="5:10" hidden="1" x14ac:dyDescent="0.25">
      <c r="F16242" s="249" t="s">
        <v>244</v>
      </c>
      <c r="G16242" s="252" t="s">
        <v>245</v>
      </c>
      <c r="J16242" s="599">
        <f t="shared" si="481"/>
        <v>0</v>
      </c>
    </row>
    <row r="16243" spans="5:10" hidden="1" x14ac:dyDescent="0.25">
      <c r="F16243" s="249" t="s">
        <v>246</v>
      </c>
      <c r="G16243" s="252" t="s">
        <v>247</v>
      </c>
      <c r="J16243" s="599">
        <f t="shared" si="481"/>
        <v>0</v>
      </c>
    </row>
    <row r="16244" spans="5:10" hidden="1" x14ac:dyDescent="0.25">
      <c r="F16244" s="249" t="s">
        <v>248</v>
      </c>
      <c r="G16244" s="252" t="s">
        <v>249</v>
      </c>
      <c r="J16244" s="599">
        <f t="shared" si="481"/>
        <v>0</v>
      </c>
    </row>
    <row r="16245" spans="5:10" hidden="1" x14ac:dyDescent="0.25">
      <c r="F16245" s="249" t="s">
        <v>250</v>
      </c>
      <c r="G16245" s="252" t="s">
        <v>57</v>
      </c>
      <c r="J16245" s="599">
        <f t="shared" si="481"/>
        <v>0</v>
      </c>
    </row>
    <row r="16246" spans="5:10" hidden="1" x14ac:dyDescent="0.25">
      <c r="F16246" s="249" t="s">
        <v>251</v>
      </c>
      <c r="G16246" s="252" t="s">
        <v>252</v>
      </c>
      <c r="J16246" s="599">
        <f t="shared" si="481"/>
        <v>0</v>
      </c>
    </row>
    <row r="16247" spans="5:10" hidden="1" x14ac:dyDescent="0.25">
      <c r="F16247" s="249" t="s">
        <v>253</v>
      </c>
      <c r="G16247" s="252" t="s">
        <v>254</v>
      </c>
      <c r="J16247" s="599">
        <f t="shared" si="481"/>
        <v>0</v>
      </c>
    </row>
    <row r="16248" spans="5:10" ht="30" hidden="1" x14ac:dyDescent="0.25">
      <c r="F16248" s="249" t="s">
        <v>255</v>
      </c>
      <c r="G16248" s="252" t="s">
        <v>256</v>
      </c>
      <c r="J16248" s="599">
        <f t="shared" si="481"/>
        <v>0</v>
      </c>
    </row>
    <row r="16249" spans="5:10" hidden="1" x14ac:dyDescent="0.25">
      <c r="F16249" s="249" t="s">
        <v>257</v>
      </c>
      <c r="G16249" s="252" t="s">
        <v>258</v>
      </c>
      <c r="J16249" s="599">
        <f t="shared" si="481"/>
        <v>0</v>
      </c>
    </row>
    <row r="16250" spans="5:10" ht="30" hidden="1" x14ac:dyDescent="0.25">
      <c r="F16250" s="249" t="s">
        <v>259</v>
      </c>
      <c r="G16250" s="252" t="s">
        <v>260</v>
      </c>
      <c r="J16250" s="599">
        <f t="shared" si="481"/>
        <v>0</v>
      </c>
    </row>
    <row r="16251" spans="5:10" hidden="1" x14ac:dyDescent="0.25">
      <c r="F16251" s="249" t="s">
        <v>261</v>
      </c>
      <c r="G16251" s="252" t="s">
        <v>262</v>
      </c>
      <c r="J16251" s="599">
        <f t="shared" si="481"/>
        <v>0</v>
      </c>
    </row>
    <row r="16252" spans="5:10" ht="15.75" hidden="1" thickBot="1" x14ac:dyDescent="0.3">
      <c r="F16252" s="249" t="s">
        <v>263</v>
      </c>
      <c r="G16252" s="252" t="s">
        <v>264</v>
      </c>
      <c r="H16252" s="598"/>
      <c r="I16252" s="599"/>
      <c r="J16252" s="599">
        <f t="shared" si="481"/>
        <v>0</v>
      </c>
    </row>
    <row r="16253" spans="5:10" ht="15.75" hidden="1" thickBot="1" x14ac:dyDescent="0.3">
      <c r="G16253" s="229" t="s">
        <v>4479</v>
      </c>
      <c r="H16253" s="600">
        <f>SUM(H16237:H16252)</f>
        <v>0</v>
      </c>
      <c r="I16253" s="601">
        <f>SUM(I16238:I16252)</f>
        <v>0</v>
      </c>
      <c r="J16253" s="601">
        <f>SUM(J16237:J16252)</f>
        <v>0</v>
      </c>
    </row>
    <row r="16254" spans="5:10" hidden="1" collapsed="1" x14ac:dyDescent="0.25">
      <c r="E16254" s="517"/>
      <c r="F16254" s="528"/>
      <c r="G16254" s="231" t="s">
        <v>5068</v>
      </c>
      <c r="H16254" s="602"/>
      <c r="I16254" s="623"/>
      <c r="J16254" s="603"/>
    </row>
    <row r="16255" spans="5:10" ht="15.75" hidden="1" thickBot="1" x14ac:dyDescent="0.3">
      <c r="E16255" s="222"/>
      <c r="F16255" s="249" t="s">
        <v>234</v>
      </c>
      <c r="G16255" s="252" t="s">
        <v>235</v>
      </c>
      <c r="H16255" s="598">
        <f>SUM(H16176:H16235)</f>
        <v>0</v>
      </c>
      <c r="I16255" s="599"/>
      <c r="J16255" s="599">
        <f>SUM(H16255:I16255)</f>
        <v>0</v>
      </c>
    </row>
    <row r="16256" spans="5:10" hidden="1" x14ac:dyDescent="0.25">
      <c r="F16256" s="249" t="s">
        <v>236</v>
      </c>
      <c r="G16256" s="252" t="s">
        <v>237</v>
      </c>
      <c r="J16256" s="599">
        <f t="shared" ref="J16256:J16270" si="482">SUM(H16256:I16256)</f>
        <v>0</v>
      </c>
    </row>
    <row r="16257" spans="6:10" hidden="1" x14ac:dyDescent="0.25">
      <c r="F16257" s="249" t="s">
        <v>238</v>
      </c>
      <c r="G16257" s="252" t="s">
        <v>239</v>
      </c>
      <c r="J16257" s="599">
        <f t="shared" si="482"/>
        <v>0</v>
      </c>
    </row>
    <row r="16258" spans="6:10" hidden="1" x14ac:dyDescent="0.25">
      <c r="F16258" s="249" t="s">
        <v>240</v>
      </c>
      <c r="G16258" s="252" t="s">
        <v>241</v>
      </c>
      <c r="J16258" s="599">
        <f t="shared" si="482"/>
        <v>0</v>
      </c>
    </row>
    <row r="16259" spans="6:10" hidden="1" x14ac:dyDescent="0.25">
      <c r="F16259" s="249" t="s">
        <v>242</v>
      </c>
      <c r="G16259" s="252" t="s">
        <v>243</v>
      </c>
      <c r="J16259" s="599">
        <f t="shared" si="482"/>
        <v>0</v>
      </c>
    </row>
    <row r="16260" spans="6:10" hidden="1" x14ac:dyDescent="0.25">
      <c r="F16260" s="249" t="s">
        <v>244</v>
      </c>
      <c r="G16260" s="252" t="s">
        <v>245</v>
      </c>
      <c r="J16260" s="599">
        <f t="shared" si="482"/>
        <v>0</v>
      </c>
    </row>
    <row r="16261" spans="6:10" hidden="1" x14ac:dyDescent="0.25">
      <c r="F16261" s="249" t="s">
        <v>246</v>
      </c>
      <c r="G16261" s="252" t="s">
        <v>247</v>
      </c>
      <c r="J16261" s="599">
        <f t="shared" si="482"/>
        <v>0</v>
      </c>
    </row>
    <row r="16262" spans="6:10" hidden="1" x14ac:dyDescent="0.25">
      <c r="F16262" s="249" t="s">
        <v>248</v>
      </c>
      <c r="G16262" s="252" t="s">
        <v>249</v>
      </c>
      <c r="J16262" s="599">
        <f t="shared" si="482"/>
        <v>0</v>
      </c>
    </row>
    <row r="16263" spans="6:10" hidden="1" x14ac:dyDescent="0.25">
      <c r="F16263" s="249" t="s">
        <v>250</v>
      </c>
      <c r="G16263" s="252" t="s">
        <v>57</v>
      </c>
      <c r="J16263" s="599">
        <f t="shared" si="482"/>
        <v>0</v>
      </c>
    </row>
    <row r="16264" spans="6:10" hidden="1" x14ac:dyDescent="0.25">
      <c r="F16264" s="249" t="s">
        <v>251</v>
      </c>
      <c r="G16264" s="252" t="s">
        <v>252</v>
      </c>
      <c r="J16264" s="599">
        <f t="shared" si="482"/>
        <v>0</v>
      </c>
    </row>
    <row r="16265" spans="6:10" hidden="1" x14ac:dyDescent="0.25">
      <c r="F16265" s="249" t="s">
        <v>253</v>
      </c>
      <c r="G16265" s="252" t="s">
        <v>254</v>
      </c>
      <c r="J16265" s="599">
        <f t="shared" si="482"/>
        <v>0</v>
      </c>
    </row>
    <row r="16266" spans="6:10" ht="30" hidden="1" x14ac:dyDescent="0.25">
      <c r="F16266" s="249" t="s">
        <v>255</v>
      </c>
      <c r="G16266" s="252" t="s">
        <v>256</v>
      </c>
      <c r="J16266" s="599">
        <f t="shared" si="482"/>
        <v>0</v>
      </c>
    </row>
    <row r="16267" spans="6:10" hidden="1" x14ac:dyDescent="0.25">
      <c r="F16267" s="249" t="s">
        <v>257</v>
      </c>
      <c r="G16267" s="252" t="s">
        <v>258</v>
      </c>
      <c r="J16267" s="599">
        <f t="shared" si="482"/>
        <v>0</v>
      </c>
    </row>
    <row r="16268" spans="6:10" ht="30" hidden="1" x14ac:dyDescent="0.25">
      <c r="F16268" s="249" t="s">
        <v>259</v>
      </c>
      <c r="G16268" s="252" t="s">
        <v>260</v>
      </c>
      <c r="J16268" s="599">
        <f t="shared" si="482"/>
        <v>0</v>
      </c>
    </row>
    <row r="16269" spans="6:10" hidden="1" x14ac:dyDescent="0.25">
      <c r="F16269" s="249" t="s">
        <v>261</v>
      </c>
      <c r="G16269" s="252" t="s">
        <v>262</v>
      </c>
      <c r="J16269" s="599">
        <f t="shared" si="482"/>
        <v>0</v>
      </c>
    </row>
    <row r="16270" spans="6:10" ht="15.75" hidden="1" thickBot="1" x14ac:dyDescent="0.3">
      <c r="F16270" s="249" t="s">
        <v>263</v>
      </c>
      <c r="G16270" s="252" t="s">
        <v>264</v>
      </c>
      <c r="H16270" s="598"/>
      <c r="I16270" s="599"/>
      <c r="J16270" s="599">
        <f t="shared" si="482"/>
        <v>0</v>
      </c>
    </row>
    <row r="16271" spans="6:10" ht="15.75" hidden="1" thickBot="1" x14ac:dyDescent="0.3">
      <c r="G16271" s="229" t="s">
        <v>5053</v>
      </c>
      <c r="H16271" s="600">
        <f>SUM(H16255:H16270)</f>
        <v>0</v>
      </c>
      <c r="I16271" s="601">
        <f>SUM(I16256:I16270)</f>
        <v>0</v>
      </c>
      <c r="J16271" s="601">
        <f>SUM(J16255:J16270)</f>
        <v>0</v>
      </c>
    </row>
    <row r="16272" spans="6:10" hidden="1" x14ac:dyDescent="0.25">
      <c r="G16272" s="286"/>
      <c r="H16272" s="604"/>
      <c r="I16272" s="605"/>
      <c r="J16272" s="605"/>
    </row>
    <row r="16273" spans="5:10" hidden="1" x14ac:dyDescent="0.25">
      <c r="E16273" s="517"/>
      <c r="F16273" s="528"/>
      <c r="G16273" s="250" t="s">
        <v>4497</v>
      </c>
      <c r="H16273" s="606"/>
      <c r="I16273" s="624"/>
      <c r="J16273" s="607"/>
    </row>
    <row r="16274" spans="5:10" ht="15.75" hidden="1" thickBot="1" x14ac:dyDescent="0.3">
      <c r="E16274" s="222"/>
      <c r="F16274" s="249" t="s">
        <v>234</v>
      </c>
      <c r="G16274" s="252" t="s">
        <v>235</v>
      </c>
      <c r="H16274" s="598">
        <f>SUM(H16255,H16155,H5249)</f>
        <v>4845000</v>
      </c>
      <c r="I16274" s="599"/>
      <c r="J16274" s="599">
        <f>SUM(H16274:I16274)</f>
        <v>4845000</v>
      </c>
    </row>
    <row r="16275" spans="5:10" hidden="1" x14ac:dyDescent="0.25">
      <c r="F16275" s="249" t="s">
        <v>236</v>
      </c>
      <c r="G16275" s="252" t="s">
        <v>237</v>
      </c>
      <c r="J16275" s="599">
        <f t="shared" ref="J16275:J16289" si="483">SUM(H16275:I16275)</f>
        <v>0</v>
      </c>
    </row>
    <row r="16276" spans="5:10" hidden="1" x14ac:dyDescent="0.25">
      <c r="F16276" s="249" t="s">
        <v>238</v>
      </c>
      <c r="G16276" s="252" t="s">
        <v>239</v>
      </c>
      <c r="J16276" s="599">
        <f t="shared" si="483"/>
        <v>0</v>
      </c>
    </row>
    <row r="16277" spans="5:10" hidden="1" x14ac:dyDescent="0.25">
      <c r="F16277" s="249" t="s">
        <v>240</v>
      </c>
      <c r="G16277" s="252" t="s">
        <v>241</v>
      </c>
      <c r="J16277" s="599">
        <f t="shared" si="483"/>
        <v>0</v>
      </c>
    </row>
    <row r="16278" spans="5:10" hidden="1" x14ac:dyDescent="0.25">
      <c r="F16278" s="249" t="s">
        <v>242</v>
      </c>
      <c r="G16278" s="252" t="s">
        <v>243</v>
      </c>
      <c r="J16278" s="599">
        <f t="shared" si="483"/>
        <v>0</v>
      </c>
    </row>
    <row r="16279" spans="5:10" hidden="1" x14ac:dyDescent="0.25">
      <c r="F16279" s="249" t="s">
        <v>244</v>
      </c>
      <c r="G16279" s="252" t="s">
        <v>245</v>
      </c>
      <c r="J16279" s="599">
        <f t="shared" si="483"/>
        <v>0</v>
      </c>
    </row>
    <row r="16280" spans="5:10" hidden="1" x14ac:dyDescent="0.25">
      <c r="F16280" s="249" t="s">
        <v>246</v>
      </c>
      <c r="G16280" s="252" t="s">
        <v>247</v>
      </c>
      <c r="J16280" s="599">
        <f t="shared" si="483"/>
        <v>0</v>
      </c>
    </row>
    <row r="16281" spans="5:10" hidden="1" x14ac:dyDescent="0.25">
      <c r="F16281" s="249" t="s">
        <v>248</v>
      </c>
      <c r="G16281" s="252" t="s">
        <v>249</v>
      </c>
      <c r="J16281" s="599">
        <f t="shared" si="483"/>
        <v>0</v>
      </c>
    </row>
    <row r="16282" spans="5:10" hidden="1" x14ac:dyDescent="0.25">
      <c r="F16282" s="249" t="s">
        <v>250</v>
      </c>
      <c r="G16282" s="252" t="s">
        <v>57</v>
      </c>
      <c r="J16282" s="599">
        <f t="shared" si="483"/>
        <v>0</v>
      </c>
    </row>
    <row r="16283" spans="5:10" hidden="1" x14ac:dyDescent="0.25">
      <c r="F16283" s="249" t="s">
        <v>251</v>
      </c>
      <c r="G16283" s="252" t="s">
        <v>252</v>
      </c>
      <c r="J16283" s="599">
        <f t="shared" si="483"/>
        <v>0</v>
      </c>
    </row>
    <row r="16284" spans="5:10" hidden="1" x14ac:dyDescent="0.25">
      <c r="F16284" s="249" t="s">
        <v>253</v>
      </c>
      <c r="G16284" s="252" t="s">
        <v>254</v>
      </c>
      <c r="J16284" s="599">
        <f t="shared" si="483"/>
        <v>0</v>
      </c>
    </row>
    <row r="16285" spans="5:10" ht="30" hidden="1" x14ac:dyDescent="0.25">
      <c r="F16285" s="249" t="s">
        <v>255</v>
      </c>
      <c r="G16285" s="252" t="s">
        <v>256</v>
      </c>
      <c r="J16285" s="599">
        <f t="shared" si="483"/>
        <v>0</v>
      </c>
    </row>
    <row r="16286" spans="5:10" hidden="1" x14ac:dyDescent="0.25">
      <c r="F16286" s="249" t="s">
        <v>257</v>
      </c>
      <c r="G16286" s="252" t="s">
        <v>258</v>
      </c>
      <c r="J16286" s="599">
        <f t="shared" si="483"/>
        <v>0</v>
      </c>
    </row>
    <row r="16287" spans="5:10" ht="30" hidden="1" x14ac:dyDescent="0.25">
      <c r="F16287" s="249" t="s">
        <v>259</v>
      </c>
      <c r="G16287" s="252" t="s">
        <v>260</v>
      </c>
      <c r="J16287" s="599">
        <f t="shared" si="483"/>
        <v>0</v>
      </c>
    </row>
    <row r="16288" spans="5:10" hidden="1" x14ac:dyDescent="0.25">
      <c r="F16288" s="249" t="s">
        <v>261</v>
      </c>
      <c r="G16288" s="252" t="s">
        <v>262</v>
      </c>
      <c r="J16288" s="599">
        <f t="shared" si="483"/>
        <v>0</v>
      </c>
    </row>
    <row r="16289" spans="5:10" ht="15.75" hidden="1" thickBot="1" x14ac:dyDescent="0.3">
      <c r="F16289" s="249" t="s">
        <v>263</v>
      </c>
      <c r="G16289" s="252" t="s">
        <v>264</v>
      </c>
      <c r="H16289" s="598"/>
      <c r="I16289" s="599"/>
      <c r="J16289" s="599">
        <f t="shared" si="483"/>
        <v>0</v>
      </c>
    </row>
    <row r="16290" spans="5:10" ht="15.75" hidden="1" thickBot="1" x14ac:dyDescent="0.3">
      <c r="G16290" s="229" t="s">
        <v>4498</v>
      </c>
      <c r="H16290" s="600">
        <f>SUM(H16274:H16289)</f>
        <v>4845000</v>
      </c>
      <c r="I16290" s="601">
        <f>SUM(I16275:I16289)</f>
        <v>0</v>
      </c>
      <c r="J16290" s="601">
        <f>SUM(J16274:J16289)</f>
        <v>4845000</v>
      </c>
    </row>
    <row r="16291" spans="5:10" hidden="1" x14ac:dyDescent="0.25"/>
    <row r="16292" spans="5:10" hidden="1" x14ac:dyDescent="0.25">
      <c r="E16292" s="517"/>
      <c r="F16292" s="528"/>
      <c r="G16292" s="250" t="s">
        <v>4476</v>
      </c>
      <c r="H16292" s="606"/>
      <c r="I16292" s="624"/>
      <c r="J16292" s="607"/>
    </row>
    <row r="16293" spans="5:10" ht="15.75" hidden="1" thickBot="1" x14ac:dyDescent="0.3">
      <c r="E16293" s="222"/>
      <c r="F16293" s="249" t="s">
        <v>234</v>
      </c>
      <c r="G16293" s="252" t="s">
        <v>235</v>
      </c>
      <c r="H16293" s="598">
        <f>SUM(H16274)</f>
        <v>4845000</v>
      </c>
      <c r="I16293" s="599"/>
      <c r="J16293" s="599">
        <f>SUM(H16293:I16293)</f>
        <v>4845000</v>
      </c>
    </row>
    <row r="16294" spans="5:10" hidden="1" x14ac:dyDescent="0.25">
      <c r="F16294" s="249" t="s">
        <v>236</v>
      </c>
      <c r="G16294" s="252" t="s">
        <v>237</v>
      </c>
      <c r="J16294" s="599">
        <f t="shared" ref="J16294:J16308" si="484">SUM(H16294:I16294)</f>
        <v>0</v>
      </c>
    </row>
    <row r="16295" spans="5:10" hidden="1" x14ac:dyDescent="0.25">
      <c r="F16295" s="249" t="s">
        <v>238</v>
      </c>
      <c r="G16295" s="252" t="s">
        <v>239</v>
      </c>
      <c r="J16295" s="599">
        <f t="shared" si="484"/>
        <v>0</v>
      </c>
    </row>
    <row r="16296" spans="5:10" hidden="1" x14ac:dyDescent="0.25">
      <c r="F16296" s="249" t="s">
        <v>240</v>
      </c>
      <c r="G16296" s="252" t="s">
        <v>241</v>
      </c>
      <c r="J16296" s="599">
        <f t="shared" si="484"/>
        <v>0</v>
      </c>
    </row>
    <row r="16297" spans="5:10" hidden="1" x14ac:dyDescent="0.25">
      <c r="F16297" s="249" t="s">
        <v>242</v>
      </c>
      <c r="G16297" s="252" t="s">
        <v>243</v>
      </c>
      <c r="J16297" s="599">
        <f t="shared" si="484"/>
        <v>0</v>
      </c>
    </row>
    <row r="16298" spans="5:10" hidden="1" x14ac:dyDescent="0.25">
      <c r="F16298" s="249" t="s">
        <v>244</v>
      </c>
      <c r="G16298" s="252" t="s">
        <v>245</v>
      </c>
      <c r="J16298" s="599">
        <f t="shared" si="484"/>
        <v>0</v>
      </c>
    </row>
    <row r="16299" spans="5:10" hidden="1" x14ac:dyDescent="0.25">
      <c r="F16299" s="249" t="s">
        <v>246</v>
      </c>
      <c r="G16299" s="252" t="s">
        <v>247</v>
      </c>
      <c r="J16299" s="599">
        <f t="shared" si="484"/>
        <v>0</v>
      </c>
    </row>
    <row r="16300" spans="5:10" hidden="1" x14ac:dyDescent="0.25">
      <c r="F16300" s="249" t="s">
        <v>248</v>
      </c>
      <c r="G16300" s="252" t="s">
        <v>249</v>
      </c>
      <c r="J16300" s="599">
        <f t="shared" si="484"/>
        <v>0</v>
      </c>
    </row>
    <row r="16301" spans="5:10" hidden="1" x14ac:dyDescent="0.25">
      <c r="F16301" s="249" t="s">
        <v>250</v>
      </c>
      <c r="G16301" s="252" t="s">
        <v>57</v>
      </c>
      <c r="J16301" s="599">
        <f t="shared" si="484"/>
        <v>0</v>
      </c>
    </row>
    <row r="16302" spans="5:10" hidden="1" x14ac:dyDescent="0.25">
      <c r="F16302" s="249" t="s">
        <v>251</v>
      </c>
      <c r="G16302" s="252" t="s">
        <v>252</v>
      </c>
      <c r="J16302" s="599">
        <f t="shared" si="484"/>
        <v>0</v>
      </c>
    </row>
    <row r="16303" spans="5:10" hidden="1" x14ac:dyDescent="0.25">
      <c r="F16303" s="249" t="s">
        <v>253</v>
      </c>
      <c r="G16303" s="252" t="s">
        <v>254</v>
      </c>
      <c r="J16303" s="599">
        <f t="shared" si="484"/>
        <v>0</v>
      </c>
    </row>
    <row r="16304" spans="5:10" ht="30" hidden="1" x14ac:dyDescent="0.25">
      <c r="F16304" s="249" t="s">
        <v>255</v>
      </c>
      <c r="G16304" s="252" t="s">
        <v>256</v>
      </c>
      <c r="J16304" s="599">
        <f t="shared" si="484"/>
        <v>0</v>
      </c>
    </row>
    <row r="16305" spans="1:25" hidden="1" x14ac:dyDescent="0.25">
      <c r="F16305" s="249" t="s">
        <v>257</v>
      </c>
      <c r="G16305" s="252" t="s">
        <v>258</v>
      </c>
      <c r="J16305" s="599">
        <f t="shared" si="484"/>
        <v>0</v>
      </c>
    </row>
    <row r="16306" spans="1:25" ht="30" hidden="1" x14ac:dyDescent="0.25">
      <c r="F16306" s="249" t="s">
        <v>259</v>
      </c>
      <c r="G16306" s="252" t="s">
        <v>260</v>
      </c>
      <c r="J16306" s="599">
        <f t="shared" si="484"/>
        <v>0</v>
      </c>
    </row>
    <row r="16307" spans="1:25" hidden="1" x14ac:dyDescent="0.25">
      <c r="F16307" s="249" t="s">
        <v>261</v>
      </c>
      <c r="G16307" s="252" t="s">
        <v>262</v>
      </c>
      <c r="J16307" s="599">
        <f t="shared" si="484"/>
        <v>0</v>
      </c>
    </row>
    <row r="16308" spans="1:25" ht="15.75" hidden="1" thickBot="1" x14ac:dyDescent="0.3">
      <c r="F16308" s="249" t="s">
        <v>263</v>
      </c>
      <c r="G16308" s="252" t="s">
        <v>264</v>
      </c>
      <c r="H16308" s="598"/>
      <c r="I16308" s="599"/>
      <c r="J16308" s="599">
        <f t="shared" si="484"/>
        <v>0</v>
      </c>
    </row>
    <row r="16309" spans="1:25" ht="15.75" hidden="1" thickBot="1" x14ac:dyDescent="0.3">
      <c r="G16309" s="229" t="s">
        <v>4477</v>
      </c>
      <c r="H16309" s="600">
        <f>SUM(H16293:H16308)</f>
        <v>4845000</v>
      </c>
      <c r="I16309" s="601">
        <f>SUM(I16294:I16308)</f>
        <v>0</v>
      </c>
      <c r="J16309" s="601">
        <f>SUM(J16293:J16308)</f>
        <v>4845000</v>
      </c>
    </row>
    <row r="16310" spans="1:25" hidden="1" x14ac:dyDescent="0.25"/>
    <row r="16311" spans="1:25" hidden="1" x14ac:dyDescent="0.25"/>
    <row r="16312" spans="1:25" hidden="1" x14ac:dyDescent="0.25">
      <c r="A16312" s="488"/>
      <c r="B16312" s="489"/>
      <c r="C16312" s="490"/>
      <c r="D16312" s="491"/>
      <c r="E16312" s="492"/>
      <c r="F16312" s="492"/>
      <c r="G16312" s="493" t="s">
        <v>4348</v>
      </c>
      <c r="H16312" s="634"/>
      <c r="I16312" s="635"/>
      <c r="J16312" s="617"/>
      <c r="K16312" s="523"/>
      <c r="L16312" s="523"/>
      <c r="M16312" s="523"/>
      <c r="N16312" s="533"/>
    </row>
    <row r="16313" spans="1:25" s="88" customFormat="1" hidden="1" x14ac:dyDescent="0.25">
      <c r="A16313" s="509"/>
      <c r="B16313" s="256"/>
      <c r="C16313" s="265" t="s">
        <v>3596</v>
      </c>
      <c r="D16313" s="265"/>
      <c r="E16313" s="248"/>
      <c r="F16313" s="248"/>
      <c r="G16313" s="306" t="s">
        <v>4271</v>
      </c>
      <c r="H16313" s="611"/>
      <c r="I16313" s="612"/>
      <c r="J16313" s="612"/>
      <c r="K16313" s="533"/>
      <c r="L16313" s="533"/>
      <c r="M16313" s="533"/>
      <c r="N16313" s="533"/>
      <c r="O16313" s="533"/>
      <c r="P16313" s="533"/>
      <c r="Q16313" s="533"/>
      <c r="R16313" s="533"/>
      <c r="S16313" s="533"/>
      <c r="T16313" s="533"/>
      <c r="U16313" s="533"/>
      <c r="V16313" s="533"/>
      <c r="W16313" s="533"/>
      <c r="X16313" s="533"/>
      <c r="Y16313" s="533"/>
    </row>
    <row r="16314" spans="1:25" hidden="1" x14ac:dyDescent="0.25">
      <c r="C16314" s="228" t="s">
        <v>4132</v>
      </c>
      <c r="D16314" s="219"/>
      <c r="G16314" s="511" t="s">
        <v>4133</v>
      </c>
    </row>
    <row r="16315" spans="1:25" s="88" customFormat="1" hidden="1" x14ac:dyDescent="0.25">
      <c r="A16315" s="509"/>
      <c r="B16315" s="256"/>
      <c r="C16315" s="265"/>
      <c r="D16315" s="334" t="s">
        <v>3904</v>
      </c>
      <c r="E16315" s="329"/>
      <c r="F16315" s="329"/>
      <c r="G16315" s="330" t="s">
        <v>4313</v>
      </c>
      <c r="H16315" s="611"/>
      <c r="I16315" s="612"/>
      <c r="J16315" s="612"/>
      <c r="K16315" s="533"/>
      <c r="L16315" s="533"/>
      <c r="M16315" s="533"/>
      <c r="N16315" s="533"/>
      <c r="O16315" s="533"/>
      <c r="P16315" s="533"/>
      <c r="Q16315" s="533"/>
      <c r="R16315" s="533"/>
      <c r="S16315" s="533"/>
      <c r="T16315" s="533"/>
      <c r="U16315" s="533"/>
      <c r="V16315" s="533"/>
      <c r="W16315" s="533"/>
      <c r="X16315" s="533"/>
      <c r="Y16315" s="533"/>
    </row>
    <row r="16316" spans="1:25" hidden="1" x14ac:dyDescent="0.25">
      <c r="F16316" s="513">
        <v>411</v>
      </c>
      <c r="G16316" s="508" t="s">
        <v>4189</v>
      </c>
      <c r="J16316" s="595">
        <f>SUM(H16316:I16316)</f>
        <v>0</v>
      </c>
    </row>
    <row r="16317" spans="1:25" hidden="1" x14ac:dyDescent="0.25">
      <c r="F16317" s="513">
        <v>412</v>
      </c>
      <c r="G16317" s="505" t="s">
        <v>3784</v>
      </c>
      <c r="J16317" s="595">
        <f t="shared" ref="J16317:J16375" si="485">SUM(H16317:I16317)</f>
        <v>0</v>
      </c>
    </row>
    <row r="16318" spans="1:25" hidden="1" x14ac:dyDescent="0.25">
      <c r="F16318" s="513">
        <v>413</v>
      </c>
      <c r="G16318" s="508" t="s">
        <v>4190</v>
      </c>
      <c r="J16318" s="595">
        <f t="shared" si="485"/>
        <v>0</v>
      </c>
    </row>
    <row r="16319" spans="1:25" hidden="1" x14ac:dyDescent="0.25">
      <c r="F16319" s="513">
        <v>414</v>
      </c>
      <c r="G16319" s="508" t="s">
        <v>3787</v>
      </c>
      <c r="J16319" s="595">
        <f t="shared" si="485"/>
        <v>0</v>
      </c>
    </row>
    <row r="16320" spans="1:25" hidden="1" x14ac:dyDescent="0.25">
      <c r="F16320" s="513">
        <v>415</v>
      </c>
      <c r="G16320" s="508" t="s">
        <v>4199</v>
      </c>
      <c r="J16320" s="595">
        <f t="shared" si="485"/>
        <v>0</v>
      </c>
    </row>
    <row r="16321" spans="6:10" hidden="1" x14ac:dyDescent="0.25">
      <c r="F16321" s="513">
        <v>416</v>
      </c>
      <c r="G16321" s="508" t="s">
        <v>4200</v>
      </c>
      <c r="J16321" s="595">
        <f t="shared" si="485"/>
        <v>0</v>
      </c>
    </row>
    <row r="16322" spans="6:10" hidden="1" x14ac:dyDescent="0.25">
      <c r="F16322" s="513">
        <v>417</v>
      </c>
      <c r="G16322" s="508" t="s">
        <v>4201</v>
      </c>
      <c r="J16322" s="595">
        <f t="shared" si="485"/>
        <v>0</v>
      </c>
    </row>
    <row r="16323" spans="6:10" hidden="1" x14ac:dyDescent="0.25">
      <c r="F16323" s="513">
        <v>418</v>
      </c>
      <c r="G16323" s="508" t="s">
        <v>3793</v>
      </c>
      <c r="J16323" s="595">
        <f t="shared" si="485"/>
        <v>0</v>
      </c>
    </row>
    <row r="16324" spans="6:10" hidden="1" x14ac:dyDescent="0.25">
      <c r="F16324" s="513">
        <v>421</v>
      </c>
      <c r="G16324" s="508" t="s">
        <v>3797</v>
      </c>
      <c r="J16324" s="595">
        <f t="shared" si="485"/>
        <v>0</v>
      </c>
    </row>
    <row r="16325" spans="6:10" hidden="1" x14ac:dyDescent="0.25">
      <c r="F16325" s="513">
        <v>422</v>
      </c>
      <c r="G16325" s="508" t="s">
        <v>3798</v>
      </c>
      <c r="J16325" s="595">
        <f t="shared" si="485"/>
        <v>0</v>
      </c>
    </row>
    <row r="16326" spans="6:10" hidden="1" x14ac:dyDescent="0.25">
      <c r="F16326" s="513">
        <v>423</v>
      </c>
      <c r="G16326" s="508" t="s">
        <v>3799</v>
      </c>
      <c r="J16326" s="595">
        <f t="shared" si="485"/>
        <v>0</v>
      </c>
    </row>
    <row r="16327" spans="6:10" hidden="1" x14ac:dyDescent="0.25">
      <c r="F16327" s="513">
        <v>424</v>
      </c>
      <c r="G16327" s="508" t="s">
        <v>3801</v>
      </c>
      <c r="J16327" s="595">
        <f t="shared" si="485"/>
        <v>0</v>
      </c>
    </row>
    <row r="16328" spans="6:10" hidden="1" x14ac:dyDescent="0.25">
      <c r="F16328" s="513">
        <v>425</v>
      </c>
      <c r="G16328" s="508" t="s">
        <v>4202</v>
      </c>
      <c r="J16328" s="595">
        <f t="shared" si="485"/>
        <v>0</v>
      </c>
    </row>
    <row r="16329" spans="6:10" hidden="1" x14ac:dyDescent="0.25">
      <c r="F16329" s="513">
        <v>426</v>
      </c>
      <c r="G16329" s="508" t="s">
        <v>3805</v>
      </c>
      <c r="J16329" s="595">
        <f t="shared" si="485"/>
        <v>0</v>
      </c>
    </row>
    <row r="16330" spans="6:10" hidden="1" x14ac:dyDescent="0.25">
      <c r="F16330" s="513">
        <v>431</v>
      </c>
      <c r="G16330" s="508" t="s">
        <v>4203</v>
      </c>
      <c r="J16330" s="595">
        <f t="shared" si="485"/>
        <v>0</v>
      </c>
    </row>
    <row r="16331" spans="6:10" hidden="1" x14ac:dyDescent="0.25">
      <c r="F16331" s="513">
        <v>432</v>
      </c>
      <c r="G16331" s="508" t="s">
        <v>4204</v>
      </c>
      <c r="J16331" s="595">
        <f t="shared" si="485"/>
        <v>0</v>
      </c>
    </row>
    <row r="16332" spans="6:10" hidden="1" x14ac:dyDescent="0.25">
      <c r="F16332" s="513">
        <v>433</v>
      </c>
      <c r="G16332" s="508" t="s">
        <v>4205</v>
      </c>
      <c r="J16332" s="595">
        <f t="shared" si="485"/>
        <v>0</v>
      </c>
    </row>
    <row r="16333" spans="6:10" hidden="1" x14ac:dyDescent="0.25">
      <c r="F16333" s="513">
        <v>434</v>
      </c>
      <c r="G16333" s="508" t="s">
        <v>4206</v>
      </c>
      <c r="J16333" s="595">
        <f t="shared" si="485"/>
        <v>0</v>
      </c>
    </row>
    <row r="16334" spans="6:10" hidden="1" x14ac:dyDescent="0.25">
      <c r="F16334" s="513">
        <v>435</v>
      </c>
      <c r="G16334" s="508" t="s">
        <v>3812</v>
      </c>
      <c r="J16334" s="595">
        <f t="shared" si="485"/>
        <v>0</v>
      </c>
    </row>
    <row r="16335" spans="6:10" hidden="1" x14ac:dyDescent="0.25">
      <c r="F16335" s="513">
        <v>441</v>
      </c>
      <c r="G16335" s="508" t="s">
        <v>4207</v>
      </c>
      <c r="J16335" s="595">
        <f t="shared" si="485"/>
        <v>0</v>
      </c>
    </row>
    <row r="16336" spans="6:10" hidden="1" x14ac:dyDescent="0.25">
      <c r="F16336" s="513">
        <v>442</v>
      </c>
      <c r="G16336" s="508" t="s">
        <v>4208</v>
      </c>
      <c r="J16336" s="595">
        <f t="shared" si="485"/>
        <v>0</v>
      </c>
    </row>
    <row r="16337" spans="6:10" hidden="1" x14ac:dyDescent="0.25">
      <c r="F16337" s="513">
        <v>443</v>
      </c>
      <c r="G16337" s="508" t="s">
        <v>3817</v>
      </c>
      <c r="J16337" s="595">
        <f t="shared" si="485"/>
        <v>0</v>
      </c>
    </row>
    <row r="16338" spans="6:10" hidden="1" x14ac:dyDescent="0.25">
      <c r="F16338" s="513">
        <v>444</v>
      </c>
      <c r="G16338" s="508" t="s">
        <v>3818</v>
      </c>
      <c r="J16338" s="595">
        <f t="shared" si="485"/>
        <v>0</v>
      </c>
    </row>
    <row r="16339" spans="6:10" ht="30" hidden="1" x14ac:dyDescent="0.25">
      <c r="F16339" s="513">
        <v>4511</v>
      </c>
      <c r="G16339" s="223" t="s">
        <v>1692</v>
      </c>
      <c r="J16339" s="595">
        <f t="shared" si="485"/>
        <v>0</v>
      </c>
    </row>
    <row r="16340" spans="6:10" ht="30" hidden="1" x14ac:dyDescent="0.25">
      <c r="F16340" s="513">
        <v>4512</v>
      </c>
      <c r="G16340" s="223" t="s">
        <v>1701</v>
      </c>
      <c r="J16340" s="595">
        <f t="shared" si="485"/>
        <v>0</v>
      </c>
    </row>
    <row r="16341" spans="6:10" hidden="1" x14ac:dyDescent="0.25">
      <c r="F16341" s="513">
        <v>452</v>
      </c>
      <c r="G16341" s="508" t="s">
        <v>4209</v>
      </c>
      <c r="J16341" s="595">
        <f t="shared" si="485"/>
        <v>0</v>
      </c>
    </row>
    <row r="16342" spans="6:10" hidden="1" x14ac:dyDescent="0.25">
      <c r="F16342" s="513">
        <v>453</v>
      </c>
      <c r="G16342" s="508" t="s">
        <v>4210</v>
      </c>
      <c r="J16342" s="595">
        <f t="shared" si="485"/>
        <v>0</v>
      </c>
    </row>
    <row r="16343" spans="6:10" hidden="1" x14ac:dyDescent="0.25">
      <c r="F16343" s="513">
        <v>454</v>
      </c>
      <c r="G16343" s="508" t="s">
        <v>3823</v>
      </c>
      <c r="J16343" s="595">
        <f t="shared" si="485"/>
        <v>0</v>
      </c>
    </row>
    <row r="16344" spans="6:10" hidden="1" x14ac:dyDescent="0.25">
      <c r="F16344" s="513">
        <v>461</v>
      </c>
      <c r="G16344" s="508" t="s">
        <v>4191</v>
      </c>
      <c r="J16344" s="595">
        <f t="shared" si="485"/>
        <v>0</v>
      </c>
    </row>
    <row r="16345" spans="6:10" hidden="1" x14ac:dyDescent="0.25">
      <c r="F16345" s="513">
        <v>462</v>
      </c>
      <c r="G16345" s="508" t="s">
        <v>3826</v>
      </c>
      <c r="J16345" s="595">
        <f t="shared" si="485"/>
        <v>0</v>
      </c>
    </row>
    <row r="16346" spans="6:10" hidden="1" x14ac:dyDescent="0.25">
      <c r="F16346" s="513">
        <v>4631</v>
      </c>
      <c r="G16346" s="508" t="s">
        <v>3827</v>
      </c>
      <c r="J16346" s="595">
        <f t="shared" si="485"/>
        <v>0</v>
      </c>
    </row>
    <row r="16347" spans="6:10" ht="15.75" hidden="1" thickBot="1" x14ac:dyDescent="0.3">
      <c r="F16347" s="513">
        <v>4632</v>
      </c>
      <c r="G16347" s="508" t="s">
        <v>3828</v>
      </c>
      <c r="J16347" s="595">
        <f t="shared" si="485"/>
        <v>0</v>
      </c>
    </row>
    <row r="16348" spans="6:10" hidden="1" x14ac:dyDescent="0.25">
      <c r="F16348" s="513">
        <v>464</v>
      </c>
      <c r="G16348" s="508" t="s">
        <v>3829</v>
      </c>
      <c r="J16348" s="595">
        <f t="shared" si="485"/>
        <v>0</v>
      </c>
    </row>
    <row r="16349" spans="6:10" hidden="1" x14ac:dyDescent="0.25">
      <c r="F16349" s="513">
        <v>465</v>
      </c>
      <c r="G16349" s="508" t="s">
        <v>4192</v>
      </c>
      <c r="J16349" s="595">
        <f t="shared" si="485"/>
        <v>0</v>
      </c>
    </row>
    <row r="16350" spans="6:10" hidden="1" x14ac:dyDescent="0.25">
      <c r="F16350" s="513">
        <v>472</v>
      </c>
      <c r="G16350" s="508" t="s">
        <v>3833</v>
      </c>
      <c r="J16350" s="595">
        <f t="shared" si="485"/>
        <v>0</v>
      </c>
    </row>
    <row r="16351" spans="6:10" hidden="1" x14ac:dyDescent="0.25">
      <c r="F16351" s="513">
        <v>481</v>
      </c>
      <c r="G16351" s="508" t="s">
        <v>4211</v>
      </c>
      <c r="J16351" s="595">
        <f t="shared" si="485"/>
        <v>0</v>
      </c>
    </row>
    <row r="16352" spans="6:10" hidden="1" x14ac:dyDescent="0.25">
      <c r="F16352" s="513">
        <v>482</v>
      </c>
      <c r="G16352" s="508" t="s">
        <v>4212</v>
      </c>
      <c r="J16352" s="595">
        <f t="shared" si="485"/>
        <v>0</v>
      </c>
    </row>
    <row r="16353" spans="6:10" hidden="1" x14ac:dyDescent="0.25">
      <c r="F16353" s="513">
        <v>483</v>
      </c>
      <c r="G16353" s="510" t="s">
        <v>4213</v>
      </c>
      <c r="J16353" s="595">
        <f t="shared" si="485"/>
        <v>0</v>
      </c>
    </row>
    <row r="16354" spans="6:10" ht="30" hidden="1" x14ac:dyDescent="0.25">
      <c r="F16354" s="513">
        <v>484</v>
      </c>
      <c r="G16354" s="508" t="s">
        <v>4214</v>
      </c>
      <c r="J16354" s="595">
        <f t="shared" si="485"/>
        <v>0</v>
      </c>
    </row>
    <row r="16355" spans="6:10" ht="30" hidden="1" x14ac:dyDescent="0.25">
      <c r="F16355" s="513">
        <v>485</v>
      </c>
      <c r="G16355" s="508" t="s">
        <v>4215</v>
      </c>
      <c r="J16355" s="595">
        <f t="shared" si="485"/>
        <v>0</v>
      </c>
    </row>
    <row r="16356" spans="6:10" ht="30" hidden="1" x14ac:dyDescent="0.25">
      <c r="F16356" s="513">
        <v>489</v>
      </c>
      <c r="G16356" s="508" t="s">
        <v>3841</v>
      </c>
      <c r="J16356" s="595">
        <f t="shared" si="485"/>
        <v>0</v>
      </c>
    </row>
    <row r="16357" spans="6:10" hidden="1" x14ac:dyDescent="0.25">
      <c r="F16357" s="513">
        <v>494</v>
      </c>
      <c r="G16357" s="508" t="s">
        <v>4193</v>
      </c>
      <c r="J16357" s="595">
        <f t="shared" si="485"/>
        <v>0</v>
      </c>
    </row>
    <row r="16358" spans="6:10" ht="30" hidden="1" x14ac:dyDescent="0.25">
      <c r="F16358" s="513">
        <v>495</v>
      </c>
      <c r="G16358" s="508" t="s">
        <v>4194</v>
      </c>
      <c r="J16358" s="595">
        <f t="shared" si="485"/>
        <v>0</v>
      </c>
    </row>
    <row r="16359" spans="6:10" ht="30" hidden="1" x14ac:dyDescent="0.25">
      <c r="F16359" s="513">
        <v>496</v>
      </c>
      <c r="G16359" s="508" t="s">
        <v>4195</v>
      </c>
      <c r="J16359" s="595">
        <f t="shared" si="485"/>
        <v>0</v>
      </c>
    </row>
    <row r="16360" spans="6:10" hidden="1" x14ac:dyDescent="0.25">
      <c r="F16360" s="513">
        <v>499</v>
      </c>
      <c r="G16360" s="508" t="s">
        <v>4196</v>
      </c>
      <c r="J16360" s="595">
        <f t="shared" si="485"/>
        <v>0</v>
      </c>
    </row>
    <row r="16361" spans="6:10" hidden="1" x14ac:dyDescent="0.25">
      <c r="F16361" s="513">
        <v>511</v>
      </c>
      <c r="G16361" s="510" t="s">
        <v>4216</v>
      </c>
      <c r="J16361" s="595">
        <f t="shared" si="485"/>
        <v>0</v>
      </c>
    </row>
    <row r="16362" spans="6:10" hidden="1" x14ac:dyDescent="0.25">
      <c r="F16362" s="513">
        <v>512</v>
      </c>
      <c r="G16362" s="510" t="s">
        <v>4217</v>
      </c>
      <c r="J16362" s="595">
        <f t="shared" si="485"/>
        <v>0</v>
      </c>
    </row>
    <row r="16363" spans="6:10" hidden="1" x14ac:dyDescent="0.25">
      <c r="F16363" s="513">
        <v>513</v>
      </c>
      <c r="G16363" s="510" t="s">
        <v>4218</v>
      </c>
      <c r="J16363" s="595">
        <f t="shared" si="485"/>
        <v>0</v>
      </c>
    </row>
    <row r="16364" spans="6:10" hidden="1" x14ac:dyDescent="0.25">
      <c r="F16364" s="513">
        <v>514</v>
      </c>
      <c r="G16364" s="508" t="s">
        <v>4219</v>
      </c>
      <c r="J16364" s="595">
        <f t="shared" si="485"/>
        <v>0</v>
      </c>
    </row>
    <row r="16365" spans="6:10" hidden="1" x14ac:dyDescent="0.25">
      <c r="F16365" s="513">
        <v>515</v>
      </c>
      <c r="G16365" s="508" t="s">
        <v>3852</v>
      </c>
      <c r="J16365" s="595">
        <f t="shared" si="485"/>
        <v>0</v>
      </c>
    </row>
    <row r="16366" spans="6:10" hidden="1" x14ac:dyDescent="0.25">
      <c r="F16366" s="513">
        <v>521</v>
      </c>
      <c r="G16366" s="508" t="s">
        <v>4220</v>
      </c>
      <c r="J16366" s="595">
        <f t="shared" si="485"/>
        <v>0</v>
      </c>
    </row>
    <row r="16367" spans="6:10" hidden="1" x14ac:dyDescent="0.25">
      <c r="F16367" s="513">
        <v>522</v>
      </c>
      <c r="G16367" s="508" t="s">
        <v>4221</v>
      </c>
      <c r="J16367" s="595">
        <f t="shared" si="485"/>
        <v>0</v>
      </c>
    </row>
    <row r="16368" spans="6:10" hidden="1" x14ac:dyDescent="0.25">
      <c r="F16368" s="513">
        <v>523</v>
      </c>
      <c r="G16368" s="508" t="s">
        <v>3857</v>
      </c>
      <c r="J16368" s="595">
        <f t="shared" si="485"/>
        <v>0</v>
      </c>
    </row>
    <row r="16369" spans="5:10" hidden="1" x14ac:dyDescent="0.25">
      <c r="F16369" s="513">
        <v>531</v>
      </c>
      <c r="G16369" s="505" t="s">
        <v>4197</v>
      </c>
      <c r="J16369" s="595">
        <f t="shared" si="485"/>
        <v>0</v>
      </c>
    </row>
    <row r="16370" spans="5:10" hidden="1" x14ac:dyDescent="0.25">
      <c r="F16370" s="513">
        <v>541</v>
      </c>
      <c r="G16370" s="508" t="s">
        <v>4222</v>
      </c>
      <c r="J16370" s="595">
        <f t="shared" si="485"/>
        <v>0</v>
      </c>
    </row>
    <row r="16371" spans="5:10" hidden="1" x14ac:dyDescent="0.25">
      <c r="F16371" s="513">
        <v>542</v>
      </c>
      <c r="G16371" s="508" t="s">
        <v>4223</v>
      </c>
      <c r="J16371" s="595">
        <f t="shared" si="485"/>
        <v>0</v>
      </c>
    </row>
    <row r="16372" spans="5:10" hidden="1" x14ac:dyDescent="0.25">
      <c r="F16372" s="513">
        <v>543</v>
      </c>
      <c r="G16372" s="508" t="s">
        <v>3862</v>
      </c>
      <c r="J16372" s="595">
        <f t="shared" si="485"/>
        <v>0</v>
      </c>
    </row>
    <row r="16373" spans="5:10" ht="30" hidden="1" x14ac:dyDescent="0.25">
      <c r="F16373" s="513">
        <v>551</v>
      </c>
      <c r="G16373" s="508" t="s">
        <v>4198</v>
      </c>
      <c r="J16373" s="595">
        <f t="shared" si="485"/>
        <v>0</v>
      </c>
    </row>
    <row r="16374" spans="5:10" hidden="1" x14ac:dyDescent="0.25">
      <c r="F16374" s="514">
        <v>611</v>
      </c>
      <c r="G16374" s="512" t="s">
        <v>3868</v>
      </c>
      <c r="J16374" s="595">
        <f t="shared" si="485"/>
        <v>0</v>
      </c>
    </row>
    <row r="16375" spans="5:10" ht="15.75" hidden="1" thickBot="1" x14ac:dyDescent="0.3">
      <c r="F16375" s="514">
        <v>620</v>
      </c>
      <c r="G16375" s="512" t="s">
        <v>88</v>
      </c>
      <c r="J16375" s="595">
        <f t="shared" si="485"/>
        <v>0</v>
      </c>
    </row>
    <row r="16376" spans="5:10" hidden="1" x14ac:dyDescent="0.25">
      <c r="E16376" s="506"/>
      <c r="F16376" s="514"/>
      <c r="G16376" s="326" t="s">
        <v>4388</v>
      </c>
      <c r="H16376" s="596"/>
      <c r="I16376" s="622"/>
      <c r="J16376" s="597"/>
    </row>
    <row r="16377" spans="5:10" ht="15.75" hidden="1" thickBot="1" x14ac:dyDescent="0.3">
      <c r="E16377" s="222"/>
      <c r="F16377" s="249" t="s">
        <v>234</v>
      </c>
      <c r="G16377" s="252" t="s">
        <v>235</v>
      </c>
      <c r="H16377" s="598">
        <f>SUM(H16316:H16375)</f>
        <v>0</v>
      </c>
      <c r="I16377" s="599"/>
      <c r="J16377" s="599">
        <f>SUM(H16377:I16377)</f>
        <v>0</v>
      </c>
    </row>
    <row r="16378" spans="5:10" hidden="1" x14ac:dyDescent="0.25">
      <c r="F16378" s="249" t="s">
        <v>236</v>
      </c>
      <c r="G16378" s="252" t="s">
        <v>237</v>
      </c>
      <c r="J16378" s="599">
        <f t="shared" ref="J16378:J16392" si="486">SUM(H16378:I16378)</f>
        <v>0</v>
      </c>
    </row>
    <row r="16379" spans="5:10" hidden="1" x14ac:dyDescent="0.25">
      <c r="F16379" s="249" t="s">
        <v>238</v>
      </c>
      <c r="G16379" s="252" t="s">
        <v>239</v>
      </c>
      <c r="J16379" s="599">
        <f t="shared" si="486"/>
        <v>0</v>
      </c>
    </row>
    <row r="16380" spans="5:10" hidden="1" x14ac:dyDescent="0.25">
      <c r="F16380" s="249" t="s">
        <v>240</v>
      </c>
      <c r="G16380" s="252" t="s">
        <v>241</v>
      </c>
      <c r="J16380" s="599">
        <f t="shared" si="486"/>
        <v>0</v>
      </c>
    </row>
    <row r="16381" spans="5:10" hidden="1" x14ac:dyDescent="0.25">
      <c r="F16381" s="249" t="s">
        <v>242</v>
      </c>
      <c r="G16381" s="252" t="s">
        <v>243</v>
      </c>
      <c r="J16381" s="599">
        <f t="shared" si="486"/>
        <v>0</v>
      </c>
    </row>
    <row r="16382" spans="5:10" hidden="1" x14ac:dyDescent="0.25">
      <c r="F16382" s="249" t="s">
        <v>244</v>
      </c>
      <c r="G16382" s="252" t="s">
        <v>245</v>
      </c>
      <c r="J16382" s="599">
        <f t="shared" si="486"/>
        <v>0</v>
      </c>
    </row>
    <row r="16383" spans="5:10" hidden="1" x14ac:dyDescent="0.25">
      <c r="F16383" s="249" t="s">
        <v>246</v>
      </c>
      <c r="G16383" s="252" t="s">
        <v>247</v>
      </c>
      <c r="J16383" s="599">
        <f t="shared" si="486"/>
        <v>0</v>
      </c>
    </row>
    <row r="16384" spans="5:10" hidden="1" x14ac:dyDescent="0.25">
      <c r="F16384" s="249" t="s">
        <v>248</v>
      </c>
      <c r="G16384" s="252" t="s">
        <v>249</v>
      </c>
      <c r="J16384" s="599">
        <f t="shared" si="486"/>
        <v>0</v>
      </c>
    </row>
    <row r="16385" spans="5:10" hidden="1" x14ac:dyDescent="0.25">
      <c r="F16385" s="249" t="s">
        <v>250</v>
      </c>
      <c r="G16385" s="252" t="s">
        <v>57</v>
      </c>
      <c r="J16385" s="599">
        <f t="shared" si="486"/>
        <v>0</v>
      </c>
    </row>
    <row r="16386" spans="5:10" hidden="1" x14ac:dyDescent="0.25">
      <c r="F16386" s="249" t="s">
        <v>251</v>
      </c>
      <c r="G16386" s="252" t="s">
        <v>252</v>
      </c>
      <c r="J16386" s="599">
        <f t="shared" si="486"/>
        <v>0</v>
      </c>
    </row>
    <row r="16387" spans="5:10" hidden="1" x14ac:dyDescent="0.25">
      <c r="F16387" s="249" t="s">
        <v>253</v>
      </c>
      <c r="G16387" s="252" t="s">
        <v>254</v>
      </c>
      <c r="J16387" s="599">
        <f t="shared" si="486"/>
        <v>0</v>
      </c>
    </row>
    <row r="16388" spans="5:10" ht="30" hidden="1" x14ac:dyDescent="0.25">
      <c r="F16388" s="249" t="s">
        <v>255</v>
      </c>
      <c r="G16388" s="252" t="s">
        <v>256</v>
      </c>
      <c r="J16388" s="599">
        <f t="shared" si="486"/>
        <v>0</v>
      </c>
    </row>
    <row r="16389" spans="5:10" hidden="1" x14ac:dyDescent="0.25">
      <c r="F16389" s="249" t="s">
        <v>257</v>
      </c>
      <c r="G16389" s="252" t="s">
        <v>258</v>
      </c>
      <c r="J16389" s="599">
        <f t="shared" si="486"/>
        <v>0</v>
      </c>
    </row>
    <row r="16390" spans="5:10" ht="30" hidden="1" x14ac:dyDescent="0.25">
      <c r="F16390" s="249" t="s">
        <v>259</v>
      </c>
      <c r="G16390" s="252" t="s">
        <v>260</v>
      </c>
      <c r="J16390" s="599">
        <f t="shared" si="486"/>
        <v>0</v>
      </c>
    </row>
    <row r="16391" spans="5:10" hidden="1" x14ac:dyDescent="0.25">
      <c r="F16391" s="249" t="s">
        <v>261</v>
      </c>
      <c r="G16391" s="252" t="s">
        <v>262</v>
      </c>
      <c r="J16391" s="599">
        <f t="shared" si="486"/>
        <v>0</v>
      </c>
    </row>
    <row r="16392" spans="5:10" ht="15.75" hidden="1" thickBot="1" x14ac:dyDescent="0.3">
      <c r="F16392" s="249" t="s">
        <v>263</v>
      </c>
      <c r="G16392" s="252" t="s">
        <v>264</v>
      </c>
      <c r="H16392" s="598"/>
      <c r="I16392" s="599"/>
      <c r="J16392" s="599">
        <f t="shared" si="486"/>
        <v>0</v>
      </c>
    </row>
    <row r="16393" spans="5:10" ht="15.75" hidden="1" thickBot="1" x14ac:dyDescent="0.3">
      <c r="G16393" s="229" t="s">
        <v>4389</v>
      </c>
      <c r="H16393" s="600">
        <f>SUM(H16377:H16392)</f>
        <v>0</v>
      </c>
      <c r="I16393" s="601">
        <f>SUM(I16378:I16392)</f>
        <v>0</v>
      </c>
      <c r="J16393" s="601">
        <f>SUM(J16377:J16392)</f>
        <v>0</v>
      </c>
    </row>
    <row r="16394" spans="5:10" ht="28.5" hidden="1" collapsed="1" x14ac:dyDescent="0.25">
      <c r="E16394" s="506"/>
      <c r="F16394" s="514"/>
      <c r="G16394" s="231" t="s">
        <v>4274</v>
      </c>
      <c r="H16394" s="602"/>
      <c r="I16394" s="623"/>
      <c r="J16394" s="603"/>
    </row>
    <row r="16395" spans="5:10" ht="15.75" hidden="1" thickBot="1" x14ac:dyDescent="0.3">
      <c r="E16395" s="222"/>
      <c r="F16395" s="249" t="s">
        <v>234</v>
      </c>
      <c r="G16395" s="252" t="s">
        <v>235</v>
      </c>
      <c r="H16395" s="598">
        <f>SUM(H16316:H16375)</f>
        <v>0</v>
      </c>
      <c r="I16395" s="599"/>
      <c r="J16395" s="599">
        <f>SUM(H16395:I16395)</f>
        <v>0</v>
      </c>
    </row>
    <row r="16396" spans="5:10" hidden="1" x14ac:dyDescent="0.25">
      <c r="F16396" s="249" t="s">
        <v>236</v>
      </c>
      <c r="G16396" s="252" t="s">
        <v>237</v>
      </c>
      <c r="J16396" s="599">
        <f t="shared" ref="J16396:J16410" si="487">SUM(H16396:I16396)</f>
        <v>0</v>
      </c>
    </row>
    <row r="16397" spans="5:10" hidden="1" x14ac:dyDescent="0.25">
      <c r="F16397" s="249" t="s">
        <v>238</v>
      </c>
      <c r="G16397" s="252" t="s">
        <v>239</v>
      </c>
      <c r="J16397" s="599">
        <f t="shared" si="487"/>
        <v>0</v>
      </c>
    </row>
    <row r="16398" spans="5:10" hidden="1" x14ac:dyDescent="0.25">
      <c r="F16398" s="249" t="s">
        <v>240</v>
      </c>
      <c r="G16398" s="252" t="s">
        <v>241</v>
      </c>
      <c r="J16398" s="599">
        <f t="shared" si="487"/>
        <v>0</v>
      </c>
    </row>
    <row r="16399" spans="5:10" hidden="1" x14ac:dyDescent="0.25">
      <c r="F16399" s="249" t="s">
        <v>242</v>
      </c>
      <c r="G16399" s="252" t="s">
        <v>243</v>
      </c>
      <c r="J16399" s="599">
        <f t="shared" si="487"/>
        <v>0</v>
      </c>
    </row>
    <row r="16400" spans="5:10" hidden="1" x14ac:dyDescent="0.25">
      <c r="F16400" s="249" t="s">
        <v>244</v>
      </c>
      <c r="G16400" s="252" t="s">
        <v>245</v>
      </c>
      <c r="J16400" s="599">
        <f t="shared" si="487"/>
        <v>0</v>
      </c>
    </row>
    <row r="16401" spans="1:25" hidden="1" x14ac:dyDescent="0.25">
      <c r="F16401" s="249" t="s">
        <v>246</v>
      </c>
      <c r="G16401" s="252" t="s">
        <v>247</v>
      </c>
      <c r="J16401" s="599">
        <f t="shared" si="487"/>
        <v>0</v>
      </c>
    </row>
    <row r="16402" spans="1:25" hidden="1" x14ac:dyDescent="0.25">
      <c r="F16402" s="249" t="s">
        <v>248</v>
      </c>
      <c r="G16402" s="252" t="s">
        <v>249</v>
      </c>
      <c r="J16402" s="599">
        <f t="shared" si="487"/>
        <v>0</v>
      </c>
    </row>
    <row r="16403" spans="1:25" hidden="1" x14ac:dyDescent="0.25">
      <c r="F16403" s="249" t="s">
        <v>250</v>
      </c>
      <c r="G16403" s="252" t="s">
        <v>57</v>
      </c>
      <c r="J16403" s="599">
        <f t="shared" si="487"/>
        <v>0</v>
      </c>
    </row>
    <row r="16404" spans="1:25" hidden="1" x14ac:dyDescent="0.25">
      <c r="F16404" s="249" t="s">
        <v>251</v>
      </c>
      <c r="G16404" s="252" t="s">
        <v>252</v>
      </c>
      <c r="J16404" s="599">
        <f t="shared" si="487"/>
        <v>0</v>
      </c>
    </row>
    <row r="16405" spans="1:25" hidden="1" x14ac:dyDescent="0.25">
      <c r="F16405" s="249" t="s">
        <v>253</v>
      </c>
      <c r="G16405" s="252" t="s">
        <v>254</v>
      </c>
      <c r="J16405" s="599">
        <f t="shared" si="487"/>
        <v>0</v>
      </c>
    </row>
    <row r="16406" spans="1:25" ht="30" hidden="1" x14ac:dyDescent="0.25">
      <c r="F16406" s="249" t="s">
        <v>255</v>
      </c>
      <c r="G16406" s="252" t="s">
        <v>256</v>
      </c>
      <c r="J16406" s="599">
        <f t="shared" si="487"/>
        <v>0</v>
      </c>
    </row>
    <row r="16407" spans="1:25" hidden="1" x14ac:dyDescent="0.25">
      <c r="F16407" s="249" t="s">
        <v>257</v>
      </c>
      <c r="G16407" s="252" t="s">
        <v>258</v>
      </c>
      <c r="J16407" s="599">
        <f t="shared" si="487"/>
        <v>0</v>
      </c>
    </row>
    <row r="16408" spans="1:25" ht="30" hidden="1" x14ac:dyDescent="0.25">
      <c r="F16408" s="249" t="s">
        <v>259</v>
      </c>
      <c r="G16408" s="252" t="s">
        <v>260</v>
      </c>
      <c r="J16408" s="599">
        <f t="shared" si="487"/>
        <v>0</v>
      </c>
    </row>
    <row r="16409" spans="1:25" hidden="1" x14ac:dyDescent="0.25">
      <c r="F16409" s="249" t="s">
        <v>261</v>
      </c>
      <c r="G16409" s="252" t="s">
        <v>262</v>
      </c>
      <c r="J16409" s="599">
        <f t="shared" si="487"/>
        <v>0</v>
      </c>
    </row>
    <row r="16410" spans="1:25" ht="15.75" hidden="1" thickBot="1" x14ac:dyDescent="0.3">
      <c r="F16410" s="249" t="s">
        <v>263</v>
      </c>
      <c r="G16410" s="252" t="s">
        <v>264</v>
      </c>
      <c r="H16410" s="598"/>
      <c r="I16410" s="599"/>
      <c r="J16410" s="599">
        <f t="shared" si="487"/>
        <v>0</v>
      </c>
    </row>
    <row r="16411" spans="1:25" ht="15.75" hidden="1" collapsed="1" thickBot="1" x14ac:dyDescent="0.3">
      <c r="G16411" s="229" t="s">
        <v>4268</v>
      </c>
      <c r="H16411" s="600">
        <f>SUM(H16395:H16410)</f>
        <v>0</v>
      </c>
      <c r="I16411" s="601">
        <f>SUM(I16396:I16410)</f>
        <v>0</v>
      </c>
      <c r="J16411" s="601">
        <f>SUM(J16395:J16410)</f>
        <v>0</v>
      </c>
    </row>
    <row r="16412" spans="1:25" s="88" customFormat="1" hidden="1" x14ac:dyDescent="0.25">
      <c r="A16412" s="509"/>
      <c r="B16412" s="256"/>
      <c r="C16412" s="265"/>
      <c r="G16412" s="275"/>
      <c r="H16412" s="611"/>
      <c r="I16412" s="612"/>
      <c r="J16412" s="612"/>
      <c r="K16412" s="533"/>
      <c r="L16412" s="533"/>
      <c r="M16412" s="533"/>
      <c r="N16412" s="533"/>
      <c r="O16412" s="533"/>
      <c r="P16412" s="533"/>
      <c r="Q16412" s="533"/>
      <c r="R16412" s="533"/>
      <c r="S16412" s="533"/>
      <c r="T16412" s="533"/>
      <c r="U16412" s="533"/>
      <c r="V16412" s="533"/>
      <c r="W16412" s="533"/>
      <c r="X16412" s="533"/>
      <c r="Y16412" s="533"/>
    </row>
    <row r="16413" spans="1:25" ht="28.5" hidden="1" x14ac:dyDescent="0.25">
      <c r="C16413" s="228" t="s">
        <v>4134</v>
      </c>
      <c r="D16413" s="219"/>
      <c r="G16413" s="511" t="s">
        <v>4135</v>
      </c>
    </row>
    <row r="16414" spans="1:25" s="88" customFormat="1" hidden="1" x14ac:dyDescent="0.25">
      <c r="A16414" s="509"/>
      <c r="B16414" s="256"/>
      <c r="C16414" s="265"/>
      <c r="D16414" s="334" t="s">
        <v>3904</v>
      </c>
      <c r="E16414" s="329"/>
      <c r="F16414" s="329"/>
      <c r="G16414" s="330" t="s">
        <v>4313</v>
      </c>
      <c r="H16414" s="611"/>
      <c r="I16414" s="612"/>
      <c r="J16414" s="612"/>
      <c r="K16414" s="533"/>
      <c r="L16414" s="533"/>
      <c r="M16414" s="533"/>
      <c r="N16414" s="533"/>
      <c r="O16414" s="533"/>
      <c r="P16414" s="533"/>
      <c r="Q16414" s="533"/>
      <c r="R16414" s="533"/>
      <c r="S16414" s="533"/>
      <c r="T16414" s="533"/>
      <c r="U16414" s="533"/>
      <c r="V16414" s="533"/>
      <c r="W16414" s="533"/>
      <c r="X16414" s="533"/>
      <c r="Y16414" s="533"/>
    </row>
    <row r="16415" spans="1:25" hidden="1" x14ac:dyDescent="0.25">
      <c r="F16415" s="513">
        <v>411</v>
      </c>
      <c r="G16415" s="508" t="s">
        <v>4189</v>
      </c>
      <c r="J16415" s="595">
        <f>SUM(H16415:I16415)</f>
        <v>0</v>
      </c>
    </row>
    <row r="16416" spans="1:25" hidden="1" x14ac:dyDescent="0.25">
      <c r="F16416" s="513">
        <v>412</v>
      </c>
      <c r="G16416" s="505" t="s">
        <v>3784</v>
      </c>
      <c r="J16416" s="595">
        <f t="shared" ref="J16416:J16474" si="488">SUM(H16416:I16416)</f>
        <v>0</v>
      </c>
    </row>
    <row r="16417" spans="6:10" hidden="1" x14ac:dyDescent="0.25">
      <c r="F16417" s="513">
        <v>413</v>
      </c>
      <c r="G16417" s="508" t="s">
        <v>4190</v>
      </c>
      <c r="J16417" s="595">
        <f t="shared" si="488"/>
        <v>0</v>
      </c>
    </row>
    <row r="16418" spans="6:10" hidden="1" x14ac:dyDescent="0.25">
      <c r="F16418" s="513">
        <v>414</v>
      </c>
      <c r="G16418" s="508" t="s">
        <v>3787</v>
      </c>
      <c r="J16418" s="595">
        <f t="shared" si="488"/>
        <v>0</v>
      </c>
    </row>
    <row r="16419" spans="6:10" hidden="1" x14ac:dyDescent="0.25">
      <c r="F16419" s="513">
        <v>415</v>
      </c>
      <c r="G16419" s="508" t="s">
        <v>4199</v>
      </c>
      <c r="J16419" s="595">
        <f t="shared" si="488"/>
        <v>0</v>
      </c>
    </row>
    <row r="16420" spans="6:10" hidden="1" x14ac:dyDescent="0.25">
      <c r="F16420" s="513">
        <v>416</v>
      </c>
      <c r="G16420" s="508" t="s">
        <v>4200</v>
      </c>
      <c r="J16420" s="595">
        <f t="shared" si="488"/>
        <v>0</v>
      </c>
    </row>
    <row r="16421" spans="6:10" hidden="1" x14ac:dyDescent="0.25">
      <c r="F16421" s="513">
        <v>417</v>
      </c>
      <c r="G16421" s="508" t="s">
        <v>4201</v>
      </c>
      <c r="J16421" s="595">
        <f t="shared" si="488"/>
        <v>0</v>
      </c>
    </row>
    <row r="16422" spans="6:10" hidden="1" x14ac:dyDescent="0.25">
      <c r="F16422" s="513">
        <v>418</v>
      </c>
      <c r="G16422" s="508" t="s">
        <v>3793</v>
      </c>
      <c r="J16422" s="595">
        <f t="shared" si="488"/>
        <v>0</v>
      </c>
    </row>
    <row r="16423" spans="6:10" hidden="1" x14ac:dyDescent="0.25">
      <c r="F16423" s="513">
        <v>421</v>
      </c>
      <c r="G16423" s="508" t="s">
        <v>3797</v>
      </c>
      <c r="J16423" s="595">
        <f t="shared" si="488"/>
        <v>0</v>
      </c>
    </row>
    <row r="16424" spans="6:10" hidden="1" x14ac:dyDescent="0.25">
      <c r="F16424" s="513">
        <v>422</v>
      </c>
      <c r="G16424" s="508" t="s">
        <v>3798</v>
      </c>
      <c r="J16424" s="595">
        <f t="shared" si="488"/>
        <v>0</v>
      </c>
    </row>
    <row r="16425" spans="6:10" ht="15.75" hidden="1" thickBot="1" x14ac:dyDescent="0.3">
      <c r="F16425" s="513">
        <v>423</v>
      </c>
      <c r="G16425" s="508" t="s">
        <v>3799</v>
      </c>
      <c r="J16425" s="595">
        <f t="shared" si="488"/>
        <v>0</v>
      </c>
    </row>
    <row r="16426" spans="6:10" hidden="1" x14ac:dyDescent="0.25">
      <c r="F16426" s="513">
        <v>424</v>
      </c>
      <c r="G16426" s="508" t="s">
        <v>3801</v>
      </c>
      <c r="J16426" s="595">
        <f t="shared" si="488"/>
        <v>0</v>
      </c>
    </row>
    <row r="16427" spans="6:10" hidden="1" x14ac:dyDescent="0.25">
      <c r="F16427" s="513">
        <v>425</v>
      </c>
      <c r="G16427" s="508" t="s">
        <v>4202</v>
      </c>
      <c r="J16427" s="595">
        <f t="shared" si="488"/>
        <v>0</v>
      </c>
    </row>
    <row r="16428" spans="6:10" hidden="1" x14ac:dyDescent="0.25">
      <c r="F16428" s="513">
        <v>426</v>
      </c>
      <c r="G16428" s="508" t="s">
        <v>3805</v>
      </c>
      <c r="J16428" s="595">
        <f t="shared" si="488"/>
        <v>0</v>
      </c>
    </row>
    <row r="16429" spans="6:10" hidden="1" x14ac:dyDescent="0.25">
      <c r="F16429" s="513">
        <v>431</v>
      </c>
      <c r="G16429" s="508" t="s">
        <v>4203</v>
      </c>
      <c r="J16429" s="595">
        <f t="shared" si="488"/>
        <v>0</v>
      </c>
    </row>
    <row r="16430" spans="6:10" hidden="1" x14ac:dyDescent="0.25">
      <c r="F16430" s="513">
        <v>432</v>
      </c>
      <c r="G16430" s="508" t="s">
        <v>4204</v>
      </c>
      <c r="J16430" s="595">
        <f t="shared" si="488"/>
        <v>0</v>
      </c>
    </row>
    <row r="16431" spans="6:10" hidden="1" x14ac:dyDescent="0.25">
      <c r="F16431" s="513">
        <v>433</v>
      </c>
      <c r="G16431" s="508" t="s">
        <v>4205</v>
      </c>
      <c r="J16431" s="595">
        <f t="shared" si="488"/>
        <v>0</v>
      </c>
    </row>
    <row r="16432" spans="6:10" hidden="1" x14ac:dyDescent="0.25">
      <c r="F16432" s="513">
        <v>434</v>
      </c>
      <c r="G16432" s="508" t="s">
        <v>4206</v>
      </c>
      <c r="J16432" s="595">
        <f t="shared" si="488"/>
        <v>0</v>
      </c>
    </row>
    <row r="16433" spans="6:10" hidden="1" x14ac:dyDescent="0.25">
      <c r="F16433" s="513">
        <v>435</v>
      </c>
      <c r="G16433" s="508" t="s">
        <v>3812</v>
      </c>
      <c r="J16433" s="595">
        <f t="shared" si="488"/>
        <v>0</v>
      </c>
    </row>
    <row r="16434" spans="6:10" hidden="1" x14ac:dyDescent="0.25">
      <c r="F16434" s="513">
        <v>441</v>
      </c>
      <c r="G16434" s="508" t="s">
        <v>4207</v>
      </c>
      <c r="J16434" s="595">
        <f t="shared" si="488"/>
        <v>0</v>
      </c>
    </row>
    <row r="16435" spans="6:10" hidden="1" x14ac:dyDescent="0.25">
      <c r="F16435" s="513">
        <v>442</v>
      </c>
      <c r="G16435" s="508" t="s">
        <v>4208</v>
      </c>
      <c r="J16435" s="595">
        <f t="shared" si="488"/>
        <v>0</v>
      </c>
    </row>
    <row r="16436" spans="6:10" hidden="1" x14ac:dyDescent="0.25">
      <c r="F16436" s="513">
        <v>443</v>
      </c>
      <c r="G16436" s="508" t="s">
        <v>3817</v>
      </c>
      <c r="J16436" s="595">
        <f t="shared" si="488"/>
        <v>0</v>
      </c>
    </row>
    <row r="16437" spans="6:10" hidden="1" x14ac:dyDescent="0.25">
      <c r="F16437" s="513">
        <v>444</v>
      </c>
      <c r="G16437" s="508" t="s">
        <v>3818</v>
      </c>
      <c r="J16437" s="595">
        <f t="shared" si="488"/>
        <v>0</v>
      </c>
    </row>
    <row r="16438" spans="6:10" ht="30" hidden="1" x14ac:dyDescent="0.25">
      <c r="F16438" s="513">
        <v>4511</v>
      </c>
      <c r="G16438" s="223" t="s">
        <v>1692</v>
      </c>
      <c r="J16438" s="595">
        <f t="shared" si="488"/>
        <v>0</v>
      </c>
    </row>
    <row r="16439" spans="6:10" ht="30" hidden="1" x14ac:dyDescent="0.25">
      <c r="F16439" s="513">
        <v>4512</v>
      </c>
      <c r="G16439" s="223" t="s">
        <v>1701</v>
      </c>
      <c r="J16439" s="595">
        <f t="shared" si="488"/>
        <v>0</v>
      </c>
    </row>
    <row r="16440" spans="6:10" hidden="1" x14ac:dyDescent="0.25">
      <c r="F16440" s="513">
        <v>452</v>
      </c>
      <c r="G16440" s="508" t="s">
        <v>4209</v>
      </c>
      <c r="J16440" s="595">
        <f t="shared" si="488"/>
        <v>0</v>
      </c>
    </row>
    <row r="16441" spans="6:10" hidden="1" x14ac:dyDescent="0.25">
      <c r="F16441" s="513">
        <v>453</v>
      </c>
      <c r="G16441" s="508" t="s">
        <v>4210</v>
      </c>
      <c r="J16441" s="595">
        <f t="shared" si="488"/>
        <v>0</v>
      </c>
    </row>
    <row r="16442" spans="6:10" hidden="1" x14ac:dyDescent="0.25">
      <c r="F16442" s="513">
        <v>454</v>
      </c>
      <c r="G16442" s="508" t="s">
        <v>3823</v>
      </c>
      <c r="J16442" s="595">
        <f t="shared" si="488"/>
        <v>0</v>
      </c>
    </row>
    <row r="16443" spans="6:10" hidden="1" x14ac:dyDescent="0.25">
      <c r="F16443" s="513">
        <v>461</v>
      </c>
      <c r="G16443" s="508" t="s">
        <v>4191</v>
      </c>
      <c r="J16443" s="595">
        <f t="shared" si="488"/>
        <v>0</v>
      </c>
    </row>
    <row r="16444" spans="6:10" hidden="1" x14ac:dyDescent="0.25">
      <c r="F16444" s="513">
        <v>462</v>
      </c>
      <c r="G16444" s="508" t="s">
        <v>3826</v>
      </c>
      <c r="J16444" s="595">
        <f t="shared" si="488"/>
        <v>0</v>
      </c>
    </row>
    <row r="16445" spans="6:10" hidden="1" x14ac:dyDescent="0.25">
      <c r="F16445" s="513">
        <v>4631</v>
      </c>
      <c r="G16445" s="508" t="s">
        <v>3827</v>
      </c>
      <c r="J16445" s="595">
        <f t="shared" si="488"/>
        <v>0</v>
      </c>
    </row>
    <row r="16446" spans="6:10" hidden="1" x14ac:dyDescent="0.25">
      <c r="F16446" s="513">
        <v>4632</v>
      </c>
      <c r="G16446" s="508" t="s">
        <v>3828</v>
      </c>
      <c r="J16446" s="595">
        <f t="shared" si="488"/>
        <v>0</v>
      </c>
    </row>
    <row r="16447" spans="6:10" hidden="1" x14ac:dyDescent="0.25">
      <c r="F16447" s="513">
        <v>464</v>
      </c>
      <c r="G16447" s="508" t="s">
        <v>3829</v>
      </c>
      <c r="J16447" s="595">
        <f t="shared" si="488"/>
        <v>0</v>
      </c>
    </row>
    <row r="16448" spans="6:10" hidden="1" x14ac:dyDescent="0.25">
      <c r="F16448" s="513">
        <v>465</v>
      </c>
      <c r="G16448" s="508" t="s">
        <v>4192</v>
      </c>
      <c r="J16448" s="595">
        <f t="shared" si="488"/>
        <v>0</v>
      </c>
    </row>
    <row r="16449" spans="6:10" hidden="1" x14ac:dyDescent="0.25">
      <c r="F16449" s="513">
        <v>472</v>
      </c>
      <c r="G16449" s="508" t="s">
        <v>3833</v>
      </c>
      <c r="J16449" s="595">
        <f t="shared" si="488"/>
        <v>0</v>
      </c>
    </row>
    <row r="16450" spans="6:10" hidden="1" x14ac:dyDescent="0.25">
      <c r="F16450" s="513">
        <v>481</v>
      </c>
      <c r="G16450" s="508" t="s">
        <v>4211</v>
      </c>
      <c r="J16450" s="595">
        <f t="shared" si="488"/>
        <v>0</v>
      </c>
    </row>
    <row r="16451" spans="6:10" hidden="1" x14ac:dyDescent="0.25">
      <c r="F16451" s="513">
        <v>482</v>
      </c>
      <c r="G16451" s="508" t="s">
        <v>4212</v>
      </c>
      <c r="J16451" s="595">
        <f t="shared" si="488"/>
        <v>0</v>
      </c>
    </row>
    <row r="16452" spans="6:10" hidden="1" x14ac:dyDescent="0.25">
      <c r="F16452" s="513">
        <v>483</v>
      </c>
      <c r="G16452" s="510" t="s">
        <v>4213</v>
      </c>
      <c r="J16452" s="595">
        <f t="shared" si="488"/>
        <v>0</v>
      </c>
    </row>
    <row r="16453" spans="6:10" ht="30" hidden="1" x14ac:dyDescent="0.25">
      <c r="F16453" s="513">
        <v>484</v>
      </c>
      <c r="G16453" s="508" t="s">
        <v>4214</v>
      </c>
      <c r="J16453" s="595">
        <f t="shared" si="488"/>
        <v>0</v>
      </c>
    </row>
    <row r="16454" spans="6:10" ht="30" hidden="1" x14ac:dyDescent="0.25">
      <c r="F16454" s="513">
        <v>485</v>
      </c>
      <c r="G16454" s="508" t="s">
        <v>4215</v>
      </c>
      <c r="J16454" s="595">
        <f t="shared" si="488"/>
        <v>0</v>
      </c>
    </row>
    <row r="16455" spans="6:10" ht="30" hidden="1" x14ac:dyDescent="0.25">
      <c r="F16455" s="513">
        <v>489</v>
      </c>
      <c r="G16455" s="508" t="s">
        <v>3841</v>
      </c>
      <c r="J16455" s="595">
        <f t="shared" si="488"/>
        <v>0</v>
      </c>
    </row>
    <row r="16456" spans="6:10" hidden="1" x14ac:dyDescent="0.25">
      <c r="F16456" s="513">
        <v>494</v>
      </c>
      <c r="G16456" s="508" t="s">
        <v>4193</v>
      </c>
      <c r="J16456" s="595">
        <f t="shared" si="488"/>
        <v>0</v>
      </c>
    </row>
    <row r="16457" spans="6:10" ht="30" hidden="1" x14ac:dyDescent="0.25">
      <c r="F16457" s="513">
        <v>495</v>
      </c>
      <c r="G16457" s="508" t="s">
        <v>4194</v>
      </c>
      <c r="J16457" s="595">
        <f t="shared" si="488"/>
        <v>0</v>
      </c>
    </row>
    <row r="16458" spans="6:10" ht="30" hidden="1" x14ac:dyDescent="0.25">
      <c r="F16458" s="513">
        <v>496</v>
      </c>
      <c r="G16458" s="508" t="s">
        <v>4195</v>
      </c>
      <c r="J16458" s="595">
        <f t="shared" si="488"/>
        <v>0</v>
      </c>
    </row>
    <row r="16459" spans="6:10" hidden="1" x14ac:dyDescent="0.25">
      <c r="F16459" s="513">
        <v>499</v>
      </c>
      <c r="G16459" s="508" t="s">
        <v>4196</v>
      </c>
      <c r="J16459" s="595">
        <f t="shared" si="488"/>
        <v>0</v>
      </c>
    </row>
    <row r="16460" spans="6:10" hidden="1" x14ac:dyDescent="0.25">
      <c r="F16460" s="513">
        <v>511</v>
      </c>
      <c r="G16460" s="510" t="s">
        <v>4216</v>
      </c>
      <c r="J16460" s="595">
        <f t="shared" si="488"/>
        <v>0</v>
      </c>
    </row>
    <row r="16461" spans="6:10" hidden="1" x14ac:dyDescent="0.25">
      <c r="F16461" s="513">
        <v>512</v>
      </c>
      <c r="G16461" s="510" t="s">
        <v>4217</v>
      </c>
      <c r="J16461" s="595">
        <f t="shared" si="488"/>
        <v>0</v>
      </c>
    </row>
    <row r="16462" spans="6:10" hidden="1" x14ac:dyDescent="0.25">
      <c r="F16462" s="513">
        <v>513</v>
      </c>
      <c r="G16462" s="510" t="s">
        <v>4218</v>
      </c>
      <c r="J16462" s="595">
        <f t="shared" si="488"/>
        <v>0</v>
      </c>
    </row>
    <row r="16463" spans="6:10" hidden="1" x14ac:dyDescent="0.25">
      <c r="F16463" s="513">
        <v>514</v>
      </c>
      <c r="G16463" s="508" t="s">
        <v>4219</v>
      </c>
      <c r="J16463" s="595">
        <f t="shared" si="488"/>
        <v>0</v>
      </c>
    </row>
    <row r="16464" spans="6:10" hidden="1" x14ac:dyDescent="0.25">
      <c r="F16464" s="513">
        <v>515</v>
      </c>
      <c r="G16464" s="508" t="s">
        <v>3852</v>
      </c>
      <c r="J16464" s="595">
        <f t="shared" si="488"/>
        <v>0</v>
      </c>
    </row>
    <row r="16465" spans="5:10" hidden="1" x14ac:dyDescent="0.25">
      <c r="F16465" s="513">
        <v>521</v>
      </c>
      <c r="G16465" s="508" t="s">
        <v>4220</v>
      </c>
      <c r="J16465" s="595">
        <f t="shared" si="488"/>
        <v>0</v>
      </c>
    </row>
    <row r="16466" spans="5:10" hidden="1" x14ac:dyDescent="0.25">
      <c r="F16466" s="513">
        <v>522</v>
      </c>
      <c r="G16466" s="508" t="s">
        <v>4221</v>
      </c>
      <c r="J16466" s="595">
        <f t="shared" si="488"/>
        <v>0</v>
      </c>
    </row>
    <row r="16467" spans="5:10" hidden="1" x14ac:dyDescent="0.25">
      <c r="F16467" s="513">
        <v>523</v>
      </c>
      <c r="G16467" s="508" t="s">
        <v>3857</v>
      </c>
      <c r="J16467" s="595">
        <f t="shared" si="488"/>
        <v>0</v>
      </c>
    </row>
    <row r="16468" spans="5:10" hidden="1" x14ac:dyDescent="0.25">
      <c r="F16468" s="513">
        <v>531</v>
      </c>
      <c r="G16468" s="505" t="s">
        <v>4197</v>
      </c>
      <c r="J16468" s="595">
        <f t="shared" si="488"/>
        <v>0</v>
      </c>
    </row>
    <row r="16469" spans="5:10" hidden="1" x14ac:dyDescent="0.25">
      <c r="F16469" s="513">
        <v>541</v>
      </c>
      <c r="G16469" s="508" t="s">
        <v>4222</v>
      </c>
      <c r="J16469" s="595">
        <f t="shared" si="488"/>
        <v>0</v>
      </c>
    </row>
    <row r="16470" spans="5:10" hidden="1" x14ac:dyDescent="0.25">
      <c r="F16470" s="513">
        <v>542</v>
      </c>
      <c r="G16470" s="508" t="s">
        <v>4223</v>
      </c>
      <c r="J16470" s="595">
        <f t="shared" si="488"/>
        <v>0</v>
      </c>
    </row>
    <row r="16471" spans="5:10" hidden="1" x14ac:dyDescent="0.25">
      <c r="F16471" s="513">
        <v>543</v>
      </c>
      <c r="G16471" s="508" t="s">
        <v>3862</v>
      </c>
      <c r="J16471" s="595">
        <f t="shared" si="488"/>
        <v>0</v>
      </c>
    </row>
    <row r="16472" spans="5:10" ht="30" hidden="1" x14ac:dyDescent="0.25">
      <c r="F16472" s="513">
        <v>551</v>
      </c>
      <c r="G16472" s="508" t="s">
        <v>4198</v>
      </c>
      <c r="J16472" s="595">
        <f t="shared" si="488"/>
        <v>0</v>
      </c>
    </row>
    <row r="16473" spans="5:10" hidden="1" x14ac:dyDescent="0.25">
      <c r="F16473" s="514">
        <v>611</v>
      </c>
      <c r="G16473" s="512" t="s">
        <v>3868</v>
      </c>
      <c r="J16473" s="595">
        <f t="shared" si="488"/>
        <v>0</v>
      </c>
    </row>
    <row r="16474" spans="5:10" ht="15.75" hidden="1" thickBot="1" x14ac:dyDescent="0.3">
      <c r="F16474" s="514">
        <v>620</v>
      </c>
      <c r="G16474" s="512" t="s">
        <v>88</v>
      </c>
      <c r="J16474" s="595">
        <f t="shared" si="488"/>
        <v>0</v>
      </c>
    </row>
    <row r="16475" spans="5:10" hidden="1" x14ac:dyDescent="0.25">
      <c r="E16475" s="506"/>
      <c r="F16475" s="514"/>
      <c r="G16475" s="326" t="s">
        <v>4388</v>
      </c>
      <c r="H16475" s="596"/>
      <c r="I16475" s="622"/>
      <c r="J16475" s="597"/>
    </row>
    <row r="16476" spans="5:10" ht="15.75" hidden="1" thickBot="1" x14ac:dyDescent="0.3">
      <c r="E16476" s="222"/>
      <c r="F16476" s="249" t="s">
        <v>234</v>
      </c>
      <c r="G16476" s="252" t="s">
        <v>235</v>
      </c>
      <c r="H16476" s="598">
        <f>SUM(H16415:H16474)</f>
        <v>0</v>
      </c>
      <c r="I16476" s="599"/>
      <c r="J16476" s="599">
        <f>SUM(H16476:I16476)</f>
        <v>0</v>
      </c>
    </row>
    <row r="16477" spans="5:10" hidden="1" x14ac:dyDescent="0.25">
      <c r="F16477" s="249" t="s">
        <v>236</v>
      </c>
      <c r="G16477" s="252" t="s">
        <v>237</v>
      </c>
      <c r="J16477" s="599">
        <f t="shared" ref="J16477:J16491" si="489">SUM(H16477:I16477)</f>
        <v>0</v>
      </c>
    </row>
    <row r="16478" spans="5:10" hidden="1" x14ac:dyDescent="0.25">
      <c r="F16478" s="249" t="s">
        <v>238</v>
      </c>
      <c r="G16478" s="252" t="s">
        <v>239</v>
      </c>
      <c r="J16478" s="599">
        <f t="shared" si="489"/>
        <v>0</v>
      </c>
    </row>
    <row r="16479" spans="5:10" hidden="1" x14ac:dyDescent="0.25">
      <c r="F16479" s="249" t="s">
        <v>240</v>
      </c>
      <c r="G16479" s="252" t="s">
        <v>241</v>
      </c>
      <c r="J16479" s="599">
        <f t="shared" si="489"/>
        <v>0</v>
      </c>
    </row>
    <row r="16480" spans="5:10" hidden="1" x14ac:dyDescent="0.25">
      <c r="F16480" s="249" t="s">
        <v>242</v>
      </c>
      <c r="G16480" s="252" t="s">
        <v>243</v>
      </c>
      <c r="J16480" s="599">
        <f t="shared" si="489"/>
        <v>0</v>
      </c>
    </row>
    <row r="16481" spans="5:10" hidden="1" x14ac:dyDescent="0.25">
      <c r="F16481" s="249" t="s">
        <v>244</v>
      </c>
      <c r="G16481" s="252" t="s">
        <v>245</v>
      </c>
      <c r="J16481" s="599">
        <f t="shared" si="489"/>
        <v>0</v>
      </c>
    </row>
    <row r="16482" spans="5:10" hidden="1" x14ac:dyDescent="0.25">
      <c r="F16482" s="249" t="s">
        <v>246</v>
      </c>
      <c r="G16482" s="252" t="s">
        <v>247</v>
      </c>
      <c r="J16482" s="599">
        <f t="shared" si="489"/>
        <v>0</v>
      </c>
    </row>
    <row r="16483" spans="5:10" hidden="1" x14ac:dyDescent="0.25">
      <c r="F16483" s="249" t="s">
        <v>248</v>
      </c>
      <c r="G16483" s="252" t="s">
        <v>249</v>
      </c>
      <c r="J16483" s="599">
        <f t="shared" si="489"/>
        <v>0</v>
      </c>
    </row>
    <row r="16484" spans="5:10" hidden="1" x14ac:dyDescent="0.25">
      <c r="F16484" s="249" t="s">
        <v>250</v>
      </c>
      <c r="G16484" s="252" t="s">
        <v>57</v>
      </c>
      <c r="J16484" s="599">
        <f t="shared" si="489"/>
        <v>0</v>
      </c>
    </row>
    <row r="16485" spans="5:10" hidden="1" x14ac:dyDescent="0.25">
      <c r="F16485" s="249" t="s">
        <v>251</v>
      </c>
      <c r="G16485" s="252" t="s">
        <v>252</v>
      </c>
      <c r="J16485" s="599">
        <f t="shared" si="489"/>
        <v>0</v>
      </c>
    </row>
    <row r="16486" spans="5:10" hidden="1" x14ac:dyDescent="0.25">
      <c r="F16486" s="249" t="s">
        <v>253</v>
      </c>
      <c r="G16486" s="252" t="s">
        <v>254</v>
      </c>
      <c r="J16486" s="599">
        <f t="shared" si="489"/>
        <v>0</v>
      </c>
    </row>
    <row r="16487" spans="5:10" ht="30" hidden="1" x14ac:dyDescent="0.25">
      <c r="F16487" s="249" t="s">
        <v>255</v>
      </c>
      <c r="G16487" s="252" t="s">
        <v>256</v>
      </c>
      <c r="J16487" s="599">
        <f t="shared" si="489"/>
        <v>0</v>
      </c>
    </row>
    <row r="16488" spans="5:10" hidden="1" x14ac:dyDescent="0.25">
      <c r="F16488" s="249" t="s">
        <v>257</v>
      </c>
      <c r="G16488" s="252" t="s">
        <v>258</v>
      </c>
      <c r="J16488" s="599">
        <f t="shared" si="489"/>
        <v>0</v>
      </c>
    </row>
    <row r="16489" spans="5:10" ht="30" hidden="1" x14ac:dyDescent="0.25">
      <c r="F16489" s="249" t="s">
        <v>259</v>
      </c>
      <c r="G16489" s="252" t="s">
        <v>260</v>
      </c>
      <c r="J16489" s="599">
        <f t="shared" si="489"/>
        <v>0</v>
      </c>
    </row>
    <row r="16490" spans="5:10" hidden="1" x14ac:dyDescent="0.25">
      <c r="F16490" s="249" t="s">
        <v>261</v>
      </c>
      <c r="G16490" s="252" t="s">
        <v>262</v>
      </c>
      <c r="J16490" s="599">
        <f t="shared" si="489"/>
        <v>0</v>
      </c>
    </row>
    <row r="16491" spans="5:10" ht="15.75" hidden="1" thickBot="1" x14ac:dyDescent="0.3">
      <c r="F16491" s="249" t="s">
        <v>263</v>
      </c>
      <c r="G16491" s="252" t="s">
        <v>264</v>
      </c>
      <c r="H16491" s="598"/>
      <c r="I16491" s="599"/>
      <c r="J16491" s="599">
        <f t="shared" si="489"/>
        <v>0</v>
      </c>
    </row>
    <row r="16492" spans="5:10" ht="15.75" hidden="1" thickBot="1" x14ac:dyDescent="0.3">
      <c r="G16492" s="229" t="s">
        <v>4389</v>
      </c>
      <c r="H16492" s="600">
        <f>SUM(H16476:H16491)</f>
        <v>0</v>
      </c>
      <c r="I16492" s="601">
        <f>SUM(I16477:I16491)</f>
        <v>0</v>
      </c>
      <c r="J16492" s="601">
        <f>SUM(J16476:J16491)</f>
        <v>0</v>
      </c>
    </row>
    <row r="16493" spans="5:10" ht="28.5" hidden="1" collapsed="1" x14ac:dyDescent="0.25">
      <c r="E16493" s="506"/>
      <c r="F16493" s="514"/>
      <c r="G16493" s="231" t="s">
        <v>4350</v>
      </c>
      <c r="H16493" s="602"/>
      <c r="I16493" s="623"/>
      <c r="J16493" s="603"/>
    </row>
    <row r="16494" spans="5:10" ht="15.75" hidden="1" thickBot="1" x14ac:dyDescent="0.3">
      <c r="E16494" s="222"/>
      <c r="F16494" s="249" t="s">
        <v>234</v>
      </c>
      <c r="G16494" s="252" t="s">
        <v>235</v>
      </c>
      <c r="H16494" s="598">
        <f>SUM(H16415:H16474)</f>
        <v>0</v>
      </c>
      <c r="I16494" s="599"/>
      <c r="J16494" s="599">
        <f>SUM(H16494:I16494)</f>
        <v>0</v>
      </c>
    </row>
    <row r="16495" spans="5:10" hidden="1" x14ac:dyDescent="0.25">
      <c r="F16495" s="249" t="s">
        <v>236</v>
      </c>
      <c r="G16495" s="252" t="s">
        <v>237</v>
      </c>
      <c r="J16495" s="599">
        <f t="shared" ref="J16495:J16509" si="490">SUM(H16495:I16495)</f>
        <v>0</v>
      </c>
    </row>
    <row r="16496" spans="5:10" hidden="1" x14ac:dyDescent="0.25">
      <c r="F16496" s="249" t="s">
        <v>238</v>
      </c>
      <c r="G16496" s="252" t="s">
        <v>239</v>
      </c>
      <c r="J16496" s="599">
        <f t="shared" si="490"/>
        <v>0</v>
      </c>
    </row>
    <row r="16497" spans="1:25" hidden="1" x14ac:dyDescent="0.25">
      <c r="F16497" s="249" t="s">
        <v>240</v>
      </c>
      <c r="G16497" s="252" t="s">
        <v>241</v>
      </c>
      <c r="J16497" s="599">
        <f t="shared" si="490"/>
        <v>0</v>
      </c>
    </row>
    <row r="16498" spans="1:25" hidden="1" x14ac:dyDescent="0.25">
      <c r="F16498" s="249" t="s">
        <v>242</v>
      </c>
      <c r="G16498" s="252" t="s">
        <v>243</v>
      </c>
      <c r="J16498" s="599">
        <f t="shared" si="490"/>
        <v>0</v>
      </c>
    </row>
    <row r="16499" spans="1:25" hidden="1" x14ac:dyDescent="0.25">
      <c r="F16499" s="249" t="s">
        <v>244</v>
      </c>
      <c r="G16499" s="252" t="s">
        <v>245</v>
      </c>
      <c r="J16499" s="599">
        <f t="shared" si="490"/>
        <v>0</v>
      </c>
    </row>
    <row r="16500" spans="1:25" hidden="1" x14ac:dyDescent="0.25">
      <c r="F16500" s="249" t="s">
        <v>246</v>
      </c>
      <c r="G16500" s="252" t="s">
        <v>247</v>
      </c>
      <c r="J16500" s="599">
        <f t="shared" si="490"/>
        <v>0</v>
      </c>
    </row>
    <row r="16501" spans="1:25" hidden="1" x14ac:dyDescent="0.25">
      <c r="F16501" s="249" t="s">
        <v>248</v>
      </c>
      <c r="G16501" s="252" t="s">
        <v>249</v>
      </c>
      <c r="J16501" s="599">
        <f t="shared" si="490"/>
        <v>0</v>
      </c>
    </row>
    <row r="16502" spans="1:25" hidden="1" x14ac:dyDescent="0.25">
      <c r="F16502" s="249" t="s">
        <v>250</v>
      </c>
      <c r="G16502" s="252" t="s">
        <v>57</v>
      </c>
      <c r="J16502" s="599">
        <f t="shared" si="490"/>
        <v>0</v>
      </c>
    </row>
    <row r="16503" spans="1:25" hidden="1" x14ac:dyDescent="0.25">
      <c r="F16503" s="249" t="s">
        <v>251</v>
      </c>
      <c r="G16503" s="252" t="s">
        <v>252</v>
      </c>
      <c r="J16503" s="599">
        <f t="shared" si="490"/>
        <v>0</v>
      </c>
    </row>
    <row r="16504" spans="1:25" hidden="1" x14ac:dyDescent="0.25">
      <c r="F16504" s="249" t="s">
        <v>253</v>
      </c>
      <c r="G16504" s="252" t="s">
        <v>254</v>
      </c>
      <c r="J16504" s="599">
        <f t="shared" si="490"/>
        <v>0</v>
      </c>
    </row>
    <row r="16505" spans="1:25" ht="30" hidden="1" x14ac:dyDescent="0.25">
      <c r="F16505" s="249" t="s">
        <v>255</v>
      </c>
      <c r="G16505" s="252" t="s">
        <v>256</v>
      </c>
      <c r="J16505" s="599">
        <f t="shared" si="490"/>
        <v>0</v>
      </c>
    </row>
    <row r="16506" spans="1:25" hidden="1" x14ac:dyDescent="0.25">
      <c r="F16506" s="249" t="s">
        <v>257</v>
      </c>
      <c r="G16506" s="252" t="s">
        <v>258</v>
      </c>
      <c r="J16506" s="599">
        <f t="shared" si="490"/>
        <v>0</v>
      </c>
    </row>
    <row r="16507" spans="1:25" ht="30" hidden="1" x14ac:dyDescent="0.25">
      <c r="F16507" s="249" t="s">
        <v>259</v>
      </c>
      <c r="G16507" s="252" t="s">
        <v>260</v>
      </c>
      <c r="J16507" s="599">
        <f t="shared" si="490"/>
        <v>0</v>
      </c>
    </row>
    <row r="16508" spans="1:25" hidden="1" x14ac:dyDescent="0.25">
      <c r="F16508" s="249" t="s">
        <v>261</v>
      </c>
      <c r="G16508" s="252" t="s">
        <v>262</v>
      </c>
      <c r="J16508" s="599">
        <f t="shared" si="490"/>
        <v>0</v>
      </c>
    </row>
    <row r="16509" spans="1:25" ht="15.75" hidden="1" thickBot="1" x14ac:dyDescent="0.3">
      <c r="F16509" s="249" t="s">
        <v>263</v>
      </c>
      <c r="G16509" s="252" t="s">
        <v>264</v>
      </c>
      <c r="H16509" s="598"/>
      <c r="I16509" s="599"/>
      <c r="J16509" s="599">
        <f t="shared" si="490"/>
        <v>0</v>
      </c>
    </row>
    <row r="16510" spans="1:25" ht="15.75" hidden="1" collapsed="1" thickBot="1" x14ac:dyDescent="0.3">
      <c r="G16510" s="229" t="s">
        <v>4351</v>
      </c>
      <c r="H16510" s="600">
        <f>SUM(H16494:H16509)</f>
        <v>0</v>
      </c>
      <c r="I16510" s="601">
        <f>SUM(I16495:I16509)</f>
        <v>0</v>
      </c>
      <c r="J16510" s="601">
        <f>SUM(J16494:J16509)</f>
        <v>0</v>
      </c>
    </row>
    <row r="16511" spans="1:25" s="88" customFormat="1" hidden="1" x14ac:dyDescent="0.25">
      <c r="A16511" s="509"/>
      <c r="B16511" s="256"/>
      <c r="C16511" s="265"/>
      <c r="G16511" s="275"/>
      <c r="H16511" s="611"/>
      <c r="I16511" s="612"/>
      <c r="J16511" s="612"/>
      <c r="K16511" s="533"/>
      <c r="L16511" s="533"/>
      <c r="M16511" s="533"/>
      <c r="N16511" s="533"/>
      <c r="O16511" s="533"/>
      <c r="P16511" s="533"/>
      <c r="Q16511" s="533"/>
      <c r="R16511" s="533"/>
      <c r="S16511" s="533"/>
      <c r="T16511" s="533"/>
      <c r="U16511" s="533"/>
      <c r="V16511" s="533"/>
      <c r="W16511" s="533"/>
      <c r="X16511" s="533"/>
      <c r="Y16511" s="533"/>
    </row>
    <row r="16512" spans="1:25" hidden="1" x14ac:dyDescent="0.25">
      <c r="C16512" s="228" t="s">
        <v>4136</v>
      </c>
      <c r="D16512" s="219"/>
      <c r="G16512" s="511" t="s">
        <v>4137</v>
      </c>
    </row>
    <row r="16513" spans="1:25" s="88" customFormat="1" hidden="1" x14ac:dyDescent="0.25">
      <c r="A16513" s="509"/>
      <c r="B16513" s="256"/>
      <c r="C16513" s="316"/>
      <c r="D16513" s="336" t="s">
        <v>3908</v>
      </c>
      <c r="E16513" s="337"/>
      <c r="F16513" s="335"/>
      <c r="G16513" s="314" t="s">
        <v>103</v>
      </c>
      <c r="H16513" s="627"/>
      <c r="I16513" s="610"/>
      <c r="J16513" s="628"/>
      <c r="K16513" s="533"/>
      <c r="L16513" s="533"/>
      <c r="M16513" s="533"/>
      <c r="N16513" s="533"/>
      <c r="O16513" s="533"/>
      <c r="P16513" s="533"/>
      <c r="Q16513" s="533"/>
      <c r="R16513" s="533"/>
      <c r="S16513" s="533"/>
      <c r="T16513" s="533"/>
      <c r="U16513" s="533"/>
      <c r="V16513" s="533"/>
      <c r="W16513" s="533"/>
      <c r="X16513" s="533"/>
      <c r="Y16513" s="533"/>
    </row>
    <row r="16514" spans="1:25" hidden="1" x14ac:dyDescent="0.25">
      <c r="F16514" s="513">
        <v>411</v>
      </c>
      <c r="G16514" s="508" t="s">
        <v>4189</v>
      </c>
      <c r="J16514" s="595">
        <f>SUM(H16514:I16514)</f>
        <v>0</v>
      </c>
    </row>
    <row r="16515" spans="1:25" hidden="1" x14ac:dyDescent="0.25">
      <c r="F16515" s="513">
        <v>412</v>
      </c>
      <c r="G16515" s="505" t="s">
        <v>3784</v>
      </c>
      <c r="J16515" s="595">
        <f t="shared" ref="J16515:J16573" si="491">SUM(H16515:I16515)</f>
        <v>0</v>
      </c>
    </row>
    <row r="16516" spans="1:25" hidden="1" x14ac:dyDescent="0.25">
      <c r="F16516" s="513">
        <v>413</v>
      </c>
      <c r="G16516" s="508" t="s">
        <v>4190</v>
      </c>
      <c r="J16516" s="595">
        <f t="shared" si="491"/>
        <v>0</v>
      </c>
    </row>
    <row r="16517" spans="1:25" hidden="1" x14ac:dyDescent="0.25">
      <c r="F16517" s="513">
        <v>414</v>
      </c>
      <c r="G16517" s="508" t="s">
        <v>3787</v>
      </c>
      <c r="J16517" s="595">
        <f t="shared" si="491"/>
        <v>0</v>
      </c>
    </row>
    <row r="16518" spans="1:25" hidden="1" x14ac:dyDescent="0.25">
      <c r="F16518" s="513">
        <v>415</v>
      </c>
      <c r="G16518" s="508" t="s">
        <v>4199</v>
      </c>
      <c r="J16518" s="595">
        <f t="shared" si="491"/>
        <v>0</v>
      </c>
    </row>
    <row r="16519" spans="1:25" hidden="1" x14ac:dyDescent="0.25">
      <c r="F16519" s="513">
        <v>416</v>
      </c>
      <c r="G16519" s="508" t="s">
        <v>4200</v>
      </c>
      <c r="J16519" s="595">
        <f t="shared" si="491"/>
        <v>0</v>
      </c>
    </row>
    <row r="16520" spans="1:25" hidden="1" x14ac:dyDescent="0.25">
      <c r="F16520" s="513">
        <v>417</v>
      </c>
      <c r="G16520" s="508" t="s">
        <v>4201</v>
      </c>
      <c r="J16520" s="595">
        <f t="shared" si="491"/>
        <v>0</v>
      </c>
    </row>
    <row r="16521" spans="1:25" hidden="1" x14ac:dyDescent="0.25">
      <c r="F16521" s="513">
        <v>418</v>
      </c>
      <c r="G16521" s="508" t="s">
        <v>3793</v>
      </c>
      <c r="J16521" s="595">
        <f t="shared" si="491"/>
        <v>0</v>
      </c>
    </row>
    <row r="16522" spans="1:25" hidden="1" x14ac:dyDescent="0.25">
      <c r="F16522" s="513">
        <v>421</v>
      </c>
      <c r="G16522" s="508" t="s">
        <v>3797</v>
      </c>
      <c r="J16522" s="595">
        <f t="shared" si="491"/>
        <v>0</v>
      </c>
    </row>
    <row r="16523" spans="1:25" hidden="1" x14ac:dyDescent="0.25">
      <c r="F16523" s="513">
        <v>422</v>
      </c>
      <c r="G16523" s="508" t="s">
        <v>3798</v>
      </c>
      <c r="J16523" s="595">
        <f t="shared" si="491"/>
        <v>0</v>
      </c>
    </row>
    <row r="16524" spans="1:25" hidden="1" x14ac:dyDescent="0.25">
      <c r="F16524" s="513">
        <v>423</v>
      </c>
      <c r="G16524" s="508" t="s">
        <v>3799</v>
      </c>
      <c r="J16524" s="595">
        <f t="shared" si="491"/>
        <v>0</v>
      </c>
    </row>
    <row r="16525" spans="1:25" hidden="1" x14ac:dyDescent="0.25">
      <c r="F16525" s="513">
        <v>424</v>
      </c>
      <c r="G16525" s="508" t="s">
        <v>3801</v>
      </c>
      <c r="J16525" s="595">
        <f t="shared" si="491"/>
        <v>0</v>
      </c>
    </row>
    <row r="16526" spans="1:25" hidden="1" x14ac:dyDescent="0.25">
      <c r="F16526" s="513">
        <v>425</v>
      </c>
      <c r="G16526" s="508" t="s">
        <v>4202</v>
      </c>
      <c r="J16526" s="595">
        <f t="shared" si="491"/>
        <v>0</v>
      </c>
    </row>
    <row r="16527" spans="1:25" hidden="1" x14ac:dyDescent="0.25">
      <c r="F16527" s="513">
        <v>426</v>
      </c>
      <c r="G16527" s="508" t="s">
        <v>3805</v>
      </c>
      <c r="J16527" s="595">
        <f t="shared" si="491"/>
        <v>0</v>
      </c>
    </row>
    <row r="16528" spans="1:25" hidden="1" x14ac:dyDescent="0.25">
      <c r="F16528" s="513">
        <v>431</v>
      </c>
      <c r="G16528" s="508" t="s">
        <v>4203</v>
      </c>
      <c r="J16528" s="595">
        <f t="shared" si="491"/>
        <v>0</v>
      </c>
    </row>
    <row r="16529" spans="6:10" hidden="1" x14ac:dyDescent="0.25">
      <c r="F16529" s="513">
        <v>432</v>
      </c>
      <c r="G16529" s="508" t="s">
        <v>4204</v>
      </c>
      <c r="J16529" s="595">
        <f t="shared" si="491"/>
        <v>0</v>
      </c>
    </row>
    <row r="16530" spans="6:10" hidden="1" x14ac:dyDescent="0.25">
      <c r="F16530" s="513">
        <v>433</v>
      </c>
      <c r="G16530" s="508" t="s">
        <v>4205</v>
      </c>
      <c r="J16530" s="595">
        <f t="shared" si="491"/>
        <v>0</v>
      </c>
    </row>
    <row r="16531" spans="6:10" hidden="1" x14ac:dyDescent="0.25">
      <c r="F16531" s="513">
        <v>434</v>
      </c>
      <c r="G16531" s="508" t="s">
        <v>4206</v>
      </c>
      <c r="J16531" s="595">
        <f t="shared" si="491"/>
        <v>0</v>
      </c>
    </row>
    <row r="16532" spans="6:10" hidden="1" x14ac:dyDescent="0.25">
      <c r="F16532" s="513">
        <v>435</v>
      </c>
      <c r="G16532" s="508" t="s">
        <v>3812</v>
      </c>
      <c r="J16532" s="595">
        <f t="shared" si="491"/>
        <v>0</v>
      </c>
    </row>
    <row r="16533" spans="6:10" hidden="1" x14ac:dyDescent="0.25">
      <c r="F16533" s="513">
        <v>441</v>
      </c>
      <c r="G16533" s="508" t="s">
        <v>4207</v>
      </c>
      <c r="J16533" s="595">
        <f t="shared" si="491"/>
        <v>0</v>
      </c>
    </row>
    <row r="16534" spans="6:10" hidden="1" x14ac:dyDescent="0.25">
      <c r="F16534" s="513">
        <v>442</v>
      </c>
      <c r="G16534" s="508" t="s">
        <v>4208</v>
      </c>
      <c r="J16534" s="595">
        <f t="shared" si="491"/>
        <v>0</v>
      </c>
    </row>
    <row r="16535" spans="6:10" hidden="1" x14ac:dyDescent="0.25">
      <c r="F16535" s="513">
        <v>443</v>
      </c>
      <c r="G16535" s="508" t="s">
        <v>3817</v>
      </c>
      <c r="J16535" s="595">
        <f t="shared" si="491"/>
        <v>0</v>
      </c>
    </row>
    <row r="16536" spans="6:10" hidden="1" x14ac:dyDescent="0.25">
      <c r="F16536" s="513">
        <v>444</v>
      </c>
      <c r="G16536" s="508" t="s">
        <v>3818</v>
      </c>
      <c r="J16536" s="595">
        <f t="shared" si="491"/>
        <v>0</v>
      </c>
    </row>
    <row r="16537" spans="6:10" ht="30" hidden="1" x14ac:dyDescent="0.25">
      <c r="F16537" s="513">
        <v>4511</v>
      </c>
      <c r="G16537" s="223" t="s">
        <v>1692</v>
      </c>
      <c r="J16537" s="595">
        <f t="shared" si="491"/>
        <v>0</v>
      </c>
    </row>
    <row r="16538" spans="6:10" ht="30" hidden="1" x14ac:dyDescent="0.25">
      <c r="F16538" s="513">
        <v>4512</v>
      </c>
      <c r="G16538" s="223" t="s">
        <v>1701</v>
      </c>
      <c r="J16538" s="595">
        <f t="shared" si="491"/>
        <v>0</v>
      </c>
    </row>
    <row r="16539" spans="6:10" hidden="1" x14ac:dyDescent="0.25">
      <c r="F16539" s="513">
        <v>452</v>
      </c>
      <c r="G16539" s="508" t="s">
        <v>4209</v>
      </c>
      <c r="J16539" s="595">
        <f t="shared" si="491"/>
        <v>0</v>
      </c>
    </row>
    <row r="16540" spans="6:10" hidden="1" x14ac:dyDescent="0.25">
      <c r="F16540" s="513">
        <v>453</v>
      </c>
      <c r="G16540" s="508" t="s">
        <v>4210</v>
      </c>
      <c r="J16540" s="595">
        <f t="shared" si="491"/>
        <v>0</v>
      </c>
    </row>
    <row r="16541" spans="6:10" hidden="1" x14ac:dyDescent="0.25">
      <c r="F16541" s="513">
        <v>454</v>
      </c>
      <c r="G16541" s="508" t="s">
        <v>3823</v>
      </c>
      <c r="J16541" s="595">
        <f t="shared" si="491"/>
        <v>0</v>
      </c>
    </row>
    <row r="16542" spans="6:10" hidden="1" x14ac:dyDescent="0.25">
      <c r="F16542" s="513">
        <v>461</v>
      </c>
      <c r="G16542" s="508" t="s">
        <v>4191</v>
      </c>
      <c r="J16542" s="595">
        <f t="shared" si="491"/>
        <v>0</v>
      </c>
    </row>
    <row r="16543" spans="6:10" hidden="1" x14ac:dyDescent="0.25">
      <c r="F16543" s="513">
        <v>462</v>
      </c>
      <c r="G16543" s="508" t="s">
        <v>3826</v>
      </c>
      <c r="J16543" s="595">
        <f t="shared" si="491"/>
        <v>0</v>
      </c>
    </row>
    <row r="16544" spans="6:10" hidden="1" x14ac:dyDescent="0.25">
      <c r="F16544" s="513">
        <v>4631</v>
      </c>
      <c r="G16544" s="508" t="s">
        <v>3827</v>
      </c>
      <c r="J16544" s="595">
        <f t="shared" si="491"/>
        <v>0</v>
      </c>
    </row>
    <row r="16545" spans="6:10" hidden="1" x14ac:dyDescent="0.25">
      <c r="F16545" s="513">
        <v>4632</v>
      </c>
      <c r="G16545" s="508" t="s">
        <v>3828</v>
      </c>
      <c r="J16545" s="595">
        <f t="shared" si="491"/>
        <v>0</v>
      </c>
    </row>
    <row r="16546" spans="6:10" hidden="1" x14ac:dyDescent="0.25">
      <c r="F16546" s="513">
        <v>464</v>
      </c>
      <c r="G16546" s="508" t="s">
        <v>3829</v>
      </c>
      <c r="J16546" s="595">
        <f t="shared" si="491"/>
        <v>0</v>
      </c>
    </row>
    <row r="16547" spans="6:10" hidden="1" x14ac:dyDescent="0.25">
      <c r="F16547" s="513">
        <v>465</v>
      </c>
      <c r="G16547" s="508" t="s">
        <v>4192</v>
      </c>
      <c r="J16547" s="595">
        <f t="shared" si="491"/>
        <v>0</v>
      </c>
    </row>
    <row r="16548" spans="6:10" hidden="1" x14ac:dyDescent="0.25">
      <c r="F16548" s="513">
        <v>472</v>
      </c>
      <c r="G16548" s="508" t="s">
        <v>3833</v>
      </c>
      <c r="J16548" s="595">
        <f t="shared" si="491"/>
        <v>0</v>
      </c>
    </row>
    <row r="16549" spans="6:10" hidden="1" x14ac:dyDescent="0.25">
      <c r="F16549" s="513">
        <v>481</v>
      </c>
      <c r="G16549" s="508" t="s">
        <v>4211</v>
      </c>
      <c r="J16549" s="595">
        <f t="shared" si="491"/>
        <v>0</v>
      </c>
    </row>
    <row r="16550" spans="6:10" hidden="1" x14ac:dyDescent="0.25">
      <c r="F16550" s="513">
        <v>482</v>
      </c>
      <c r="G16550" s="508" t="s">
        <v>4212</v>
      </c>
      <c r="J16550" s="595">
        <f t="shared" si="491"/>
        <v>0</v>
      </c>
    </row>
    <row r="16551" spans="6:10" hidden="1" x14ac:dyDescent="0.25">
      <c r="F16551" s="513">
        <v>483</v>
      </c>
      <c r="G16551" s="510" t="s">
        <v>4213</v>
      </c>
      <c r="J16551" s="595">
        <f t="shared" si="491"/>
        <v>0</v>
      </c>
    </row>
    <row r="16552" spans="6:10" ht="30" hidden="1" x14ac:dyDescent="0.25">
      <c r="F16552" s="513">
        <v>484</v>
      </c>
      <c r="G16552" s="508" t="s">
        <v>4214</v>
      </c>
      <c r="J16552" s="595">
        <f t="shared" si="491"/>
        <v>0</v>
      </c>
    </row>
    <row r="16553" spans="6:10" ht="30" hidden="1" x14ac:dyDescent="0.25">
      <c r="F16553" s="513">
        <v>485</v>
      </c>
      <c r="G16553" s="508" t="s">
        <v>4215</v>
      </c>
      <c r="J16553" s="595">
        <f t="shared" si="491"/>
        <v>0</v>
      </c>
    </row>
    <row r="16554" spans="6:10" ht="30" hidden="1" x14ac:dyDescent="0.25">
      <c r="F16554" s="513">
        <v>489</v>
      </c>
      <c r="G16554" s="508" t="s">
        <v>3841</v>
      </c>
      <c r="J16554" s="595">
        <f t="shared" si="491"/>
        <v>0</v>
      </c>
    </row>
    <row r="16555" spans="6:10" hidden="1" x14ac:dyDescent="0.25">
      <c r="F16555" s="513">
        <v>494</v>
      </c>
      <c r="G16555" s="508" t="s">
        <v>4193</v>
      </c>
      <c r="J16555" s="595">
        <f t="shared" si="491"/>
        <v>0</v>
      </c>
    </row>
    <row r="16556" spans="6:10" ht="30" hidden="1" x14ac:dyDescent="0.25">
      <c r="F16556" s="513">
        <v>495</v>
      </c>
      <c r="G16556" s="508" t="s">
        <v>4194</v>
      </c>
      <c r="J16556" s="595">
        <f t="shared" si="491"/>
        <v>0</v>
      </c>
    </row>
    <row r="16557" spans="6:10" ht="30" hidden="1" x14ac:dyDescent="0.25">
      <c r="F16557" s="513">
        <v>496</v>
      </c>
      <c r="G16557" s="508" t="s">
        <v>4195</v>
      </c>
      <c r="J16557" s="595">
        <f t="shared" si="491"/>
        <v>0</v>
      </c>
    </row>
    <row r="16558" spans="6:10" hidden="1" x14ac:dyDescent="0.25">
      <c r="F16558" s="513">
        <v>499</v>
      </c>
      <c r="G16558" s="508" t="s">
        <v>4196</v>
      </c>
      <c r="J16558" s="595">
        <f t="shared" si="491"/>
        <v>0</v>
      </c>
    </row>
    <row r="16559" spans="6:10" hidden="1" x14ac:dyDescent="0.25">
      <c r="F16559" s="513">
        <v>511</v>
      </c>
      <c r="G16559" s="510" t="s">
        <v>4216</v>
      </c>
      <c r="J16559" s="595">
        <f t="shared" si="491"/>
        <v>0</v>
      </c>
    </row>
    <row r="16560" spans="6:10" hidden="1" x14ac:dyDescent="0.25">
      <c r="F16560" s="513">
        <v>512</v>
      </c>
      <c r="G16560" s="510" t="s">
        <v>4217</v>
      </c>
      <c r="J16560" s="595">
        <f t="shared" si="491"/>
        <v>0</v>
      </c>
    </row>
    <row r="16561" spans="5:10" hidden="1" x14ac:dyDescent="0.25">
      <c r="F16561" s="513">
        <v>513</v>
      </c>
      <c r="G16561" s="510" t="s">
        <v>4218</v>
      </c>
      <c r="J16561" s="595">
        <f t="shared" si="491"/>
        <v>0</v>
      </c>
    </row>
    <row r="16562" spans="5:10" hidden="1" x14ac:dyDescent="0.25">
      <c r="F16562" s="513">
        <v>514</v>
      </c>
      <c r="G16562" s="508" t="s">
        <v>4219</v>
      </c>
      <c r="J16562" s="595">
        <f t="shared" si="491"/>
        <v>0</v>
      </c>
    </row>
    <row r="16563" spans="5:10" hidden="1" x14ac:dyDescent="0.25">
      <c r="F16563" s="513">
        <v>515</v>
      </c>
      <c r="G16563" s="508" t="s">
        <v>3852</v>
      </c>
      <c r="J16563" s="595">
        <f t="shared" si="491"/>
        <v>0</v>
      </c>
    </row>
    <row r="16564" spans="5:10" hidden="1" x14ac:dyDescent="0.25">
      <c r="F16564" s="513">
        <v>521</v>
      </c>
      <c r="G16564" s="508" t="s">
        <v>4220</v>
      </c>
      <c r="J16564" s="595">
        <f t="shared" si="491"/>
        <v>0</v>
      </c>
    </row>
    <row r="16565" spans="5:10" hidden="1" x14ac:dyDescent="0.25">
      <c r="F16565" s="513">
        <v>522</v>
      </c>
      <c r="G16565" s="508" t="s">
        <v>4221</v>
      </c>
      <c r="J16565" s="595">
        <f t="shared" si="491"/>
        <v>0</v>
      </c>
    </row>
    <row r="16566" spans="5:10" hidden="1" x14ac:dyDescent="0.25">
      <c r="F16566" s="513">
        <v>523</v>
      </c>
      <c r="G16566" s="508" t="s">
        <v>3857</v>
      </c>
      <c r="J16566" s="595">
        <f t="shared" si="491"/>
        <v>0</v>
      </c>
    </row>
    <row r="16567" spans="5:10" hidden="1" x14ac:dyDescent="0.25">
      <c r="F16567" s="513">
        <v>531</v>
      </c>
      <c r="G16567" s="505" t="s">
        <v>4197</v>
      </c>
      <c r="J16567" s="595">
        <f t="shared" si="491"/>
        <v>0</v>
      </c>
    </row>
    <row r="16568" spans="5:10" hidden="1" x14ac:dyDescent="0.25">
      <c r="F16568" s="513">
        <v>541</v>
      </c>
      <c r="G16568" s="508" t="s">
        <v>4222</v>
      </c>
      <c r="J16568" s="595">
        <f t="shared" si="491"/>
        <v>0</v>
      </c>
    </row>
    <row r="16569" spans="5:10" hidden="1" x14ac:dyDescent="0.25">
      <c r="F16569" s="513">
        <v>542</v>
      </c>
      <c r="G16569" s="508" t="s">
        <v>4223</v>
      </c>
      <c r="J16569" s="595">
        <f t="shared" si="491"/>
        <v>0</v>
      </c>
    </row>
    <row r="16570" spans="5:10" hidden="1" x14ac:dyDescent="0.25">
      <c r="F16570" s="513">
        <v>543</v>
      </c>
      <c r="G16570" s="508" t="s">
        <v>3862</v>
      </c>
      <c r="J16570" s="595">
        <f t="shared" si="491"/>
        <v>0</v>
      </c>
    </row>
    <row r="16571" spans="5:10" ht="30" hidden="1" x14ac:dyDescent="0.25">
      <c r="F16571" s="513">
        <v>551</v>
      </c>
      <c r="G16571" s="508" t="s">
        <v>4198</v>
      </c>
      <c r="J16571" s="595">
        <f t="shared" si="491"/>
        <v>0</v>
      </c>
    </row>
    <row r="16572" spans="5:10" hidden="1" x14ac:dyDescent="0.25">
      <c r="F16572" s="514">
        <v>611</v>
      </c>
      <c r="G16572" s="512" t="s">
        <v>3868</v>
      </c>
      <c r="J16572" s="595">
        <f t="shared" si="491"/>
        <v>0</v>
      </c>
    </row>
    <row r="16573" spans="5:10" ht="15.75" hidden="1" thickBot="1" x14ac:dyDescent="0.3">
      <c r="F16573" s="514">
        <v>620</v>
      </c>
      <c r="G16573" s="512" t="s">
        <v>88</v>
      </c>
      <c r="J16573" s="595">
        <f t="shared" si="491"/>
        <v>0</v>
      </c>
    </row>
    <row r="16574" spans="5:10" hidden="1" x14ac:dyDescent="0.25">
      <c r="E16574" s="506"/>
      <c r="F16574" s="514"/>
      <c r="G16574" s="326" t="s">
        <v>4390</v>
      </c>
      <c r="H16574" s="596"/>
      <c r="I16574" s="622"/>
      <c r="J16574" s="597"/>
    </row>
    <row r="16575" spans="5:10" hidden="1" x14ac:dyDescent="0.25">
      <c r="E16575" s="222"/>
      <c r="F16575" s="249" t="s">
        <v>234</v>
      </c>
      <c r="G16575" s="252" t="s">
        <v>235</v>
      </c>
      <c r="H16575" s="598">
        <f>SUM(H16514:H16573)</f>
        <v>0</v>
      </c>
      <c r="I16575" s="599"/>
      <c r="J16575" s="599">
        <f>SUM(H16575:I16575)</f>
        <v>0</v>
      </c>
    </row>
    <row r="16576" spans="5:10" hidden="1" x14ac:dyDescent="0.25">
      <c r="F16576" s="249" t="s">
        <v>236</v>
      </c>
      <c r="G16576" s="252" t="s">
        <v>237</v>
      </c>
      <c r="J16576" s="599">
        <f t="shared" ref="J16576:J16590" si="492">SUM(H16576:I16576)</f>
        <v>0</v>
      </c>
    </row>
    <row r="16577" spans="5:10" hidden="1" x14ac:dyDescent="0.25">
      <c r="F16577" s="249" t="s">
        <v>238</v>
      </c>
      <c r="G16577" s="252" t="s">
        <v>239</v>
      </c>
      <c r="J16577" s="599">
        <f t="shared" si="492"/>
        <v>0</v>
      </c>
    </row>
    <row r="16578" spans="5:10" hidden="1" x14ac:dyDescent="0.25">
      <c r="F16578" s="249" t="s">
        <v>240</v>
      </c>
      <c r="G16578" s="252" t="s">
        <v>241</v>
      </c>
      <c r="J16578" s="599">
        <f t="shared" si="492"/>
        <v>0</v>
      </c>
    </row>
    <row r="16579" spans="5:10" hidden="1" x14ac:dyDescent="0.25">
      <c r="F16579" s="249" t="s">
        <v>242</v>
      </c>
      <c r="G16579" s="252" t="s">
        <v>243</v>
      </c>
      <c r="J16579" s="599">
        <f t="shared" si="492"/>
        <v>0</v>
      </c>
    </row>
    <row r="16580" spans="5:10" hidden="1" x14ac:dyDescent="0.25">
      <c r="F16580" s="249" t="s">
        <v>244</v>
      </c>
      <c r="G16580" s="252" t="s">
        <v>245</v>
      </c>
      <c r="J16580" s="599">
        <f t="shared" si="492"/>
        <v>0</v>
      </c>
    </row>
    <row r="16581" spans="5:10" hidden="1" x14ac:dyDescent="0.25">
      <c r="F16581" s="249" t="s">
        <v>246</v>
      </c>
      <c r="G16581" s="252" t="s">
        <v>247</v>
      </c>
      <c r="J16581" s="599">
        <f t="shared" si="492"/>
        <v>0</v>
      </c>
    </row>
    <row r="16582" spans="5:10" hidden="1" x14ac:dyDescent="0.25">
      <c r="F16582" s="249" t="s">
        <v>248</v>
      </c>
      <c r="G16582" s="252" t="s">
        <v>249</v>
      </c>
      <c r="J16582" s="599">
        <f t="shared" si="492"/>
        <v>0</v>
      </c>
    </row>
    <row r="16583" spans="5:10" hidden="1" x14ac:dyDescent="0.25">
      <c r="F16583" s="249" t="s">
        <v>250</v>
      </c>
      <c r="G16583" s="252" t="s">
        <v>57</v>
      </c>
      <c r="J16583" s="599">
        <f t="shared" si="492"/>
        <v>0</v>
      </c>
    </row>
    <row r="16584" spans="5:10" hidden="1" x14ac:dyDescent="0.25">
      <c r="F16584" s="249" t="s">
        <v>251</v>
      </c>
      <c r="G16584" s="252" t="s">
        <v>252</v>
      </c>
      <c r="J16584" s="599">
        <f t="shared" si="492"/>
        <v>0</v>
      </c>
    </row>
    <row r="16585" spans="5:10" hidden="1" x14ac:dyDescent="0.25">
      <c r="F16585" s="249" t="s">
        <v>253</v>
      </c>
      <c r="G16585" s="252" t="s">
        <v>254</v>
      </c>
      <c r="J16585" s="599">
        <f t="shared" si="492"/>
        <v>0</v>
      </c>
    </row>
    <row r="16586" spans="5:10" ht="30" hidden="1" x14ac:dyDescent="0.25">
      <c r="F16586" s="249" t="s">
        <v>255</v>
      </c>
      <c r="G16586" s="252" t="s">
        <v>256</v>
      </c>
      <c r="J16586" s="599">
        <f t="shared" si="492"/>
        <v>0</v>
      </c>
    </row>
    <row r="16587" spans="5:10" hidden="1" x14ac:dyDescent="0.25">
      <c r="F16587" s="249" t="s">
        <v>257</v>
      </c>
      <c r="G16587" s="252" t="s">
        <v>258</v>
      </c>
      <c r="J16587" s="599">
        <f t="shared" si="492"/>
        <v>0</v>
      </c>
    </row>
    <row r="16588" spans="5:10" ht="30" hidden="1" x14ac:dyDescent="0.25">
      <c r="F16588" s="249" t="s">
        <v>259</v>
      </c>
      <c r="G16588" s="252" t="s">
        <v>260</v>
      </c>
      <c r="J16588" s="599">
        <f t="shared" si="492"/>
        <v>0</v>
      </c>
    </row>
    <row r="16589" spans="5:10" hidden="1" x14ac:dyDescent="0.25">
      <c r="F16589" s="249" t="s">
        <v>261</v>
      </c>
      <c r="G16589" s="252" t="s">
        <v>262</v>
      </c>
      <c r="J16589" s="599">
        <f t="shared" si="492"/>
        <v>0</v>
      </c>
    </row>
    <row r="16590" spans="5:10" ht="15.75" hidden="1" thickBot="1" x14ac:dyDescent="0.3">
      <c r="F16590" s="249" t="s">
        <v>263</v>
      </c>
      <c r="G16590" s="252" t="s">
        <v>264</v>
      </c>
      <c r="H16590" s="598"/>
      <c r="I16590" s="599"/>
      <c r="J16590" s="599">
        <f t="shared" si="492"/>
        <v>0</v>
      </c>
    </row>
    <row r="16591" spans="5:10" ht="15.75" hidden="1" thickBot="1" x14ac:dyDescent="0.3">
      <c r="G16591" s="229" t="s">
        <v>4391</v>
      </c>
      <c r="H16591" s="600">
        <f>SUM(H16575:H16590)</f>
        <v>0</v>
      </c>
      <c r="I16591" s="601">
        <f>SUM(I16576:I16590)</f>
        <v>0</v>
      </c>
      <c r="J16591" s="601">
        <f>SUM(J16575:J16590)</f>
        <v>0</v>
      </c>
    </row>
    <row r="16592" spans="5:10" ht="28.5" hidden="1" collapsed="1" x14ac:dyDescent="0.25">
      <c r="E16592" s="506"/>
      <c r="F16592" s="514"/>
      <c r="G16592" s="231" t="s">
        <v>4275</v>
      </c>
      <c r="H16592" s="602"/>
      <c r="I16592" s="623"/>
      <c r="J16592" s="603"/>
    </row>
    <row r="16593" spans="5:10" hidden="1" x14ac:dyDescent="0.25">
      <c r="E16593" s="222"/>
      <c r="F16593" s="249" t="s">
        <v>234</v>
      </c>
      <c r="G16593" s="252" t="s">
        <v>235</v>
      </c>
      <c r="H16593" s="598">
        <f>SUM(H16514:H16573)</f>
        <v>0</v>
      </c>
      <c r="I16593" s="599"/>
      <c r="J16593" s="599">
        <f>SUM(H16593:I16593)</f>
        <v>0</v>
      </c>
    </row>
    <row r="16594" spans="5:10" hidden="1" x14ac:dyDescent="0.25">
      <c r="F16594" s="249" t="s">
        <v>236</v>
      </c>
      <c r="G16594" s="252" t="s">
        <v>237</v>
      </c>
      <c r="J16594" s="599">
        <f t="shared" ref="J16594:J16608" si="493">SUM(H16594:I16594)</f>
        <v>0</v>
      </c>
    </row>
    <row r="16595" spans="5:10" hidden="1" x14ac:dyDescent="0.25">
      <c r="F16595" s="249" t="s">
        <v>238</v>
      </c>
      <c r="G16595" s="252" t="s">
        <v>239</v>
      </c>
      <c r="J16595" s="599">
        <f t="shared" si="493"/>
        <v>0</v>
      </c>
    </row>
    <row r="16596" spans="5:10" hidden="1" x14ac:dyDescent="0.25">
      <c r="F16596" s="249" t="s">
        <v>240</v>
      </c>
      <c r="G16596" s="252" t="s">
        <v>241</v>
      </c>
      <c r="J16596" s="599">
        <f t="shared" si="493"/>
        <v>0</v>
      </c>
    </row>
    <row r="16597" spans="5:10" hidden="1" x14ac:dyDescent="0.25">
      <c r="F16597" s="249" t="s">
        <v>242</v>
      </c>
      <c r="G16597" s="252" t="s">
        <v>243</v>
      </c>
      <c r="J16597" s="599">
        <f t="shared" si="493"/>
        <v>0</v>
      </c>
    </row>
    <row r="16598" spans="5:10" hidden="1" x14ac:dyDescent="0.25">
      <c r="F16598" s="249" t="s">
        <v>244</v>
      </c>
      <c r="G16598" s="252" t="s">
        <v>245</v>
      </c>
      <c r="J16598" s="599">
        <f t="shared" si="493"/>
        <v>0</v>
      </c>
    </row>
    <row r="16599" spans="5:10" hidden="1" x14ac:dyDescent="0.25">
      <c r="F16599" s="249" t="s">
        <v>246</v>
      </c>
      <c r="G16599" s="252" t="s">
        <v>247</v>
      </c>
      <c r="J16599" s="599">
        <f t="shared" si="493"/>
        <v>0</v>
      </c>
    </row>
    <row r="16600" spans="5:10" hidden="1" x14ac:dyDescent="0.25">
      <c r="F16600" s="249" t="s">
        <v>248</v>
      </c>
      <c r="G16600" s="252" t="s">
        <v>249</v>
      </c>
      <c r="J16600" s="599">
        <f t="shared" si="493"/>
        <v>0</v>
      </c>
    </row>
    <row r="16601" spans="5:10" hidden="1" x14ac:dyDescent="0.25">
      <c r="F16601" s="249" t="s">
        <v>250</v>
      </c>
      <c r="G16601" s="252" t="s">
        <v>57</v>
      </c>
      <c r="J16601" s="599">
        <f t="shared" si="493"/>
        <v>0</v>
      </c>
    </row>
    <row r="16602" spans="5:10" hidden="1" x14ac:dyDescent="0.25">
      <c r="F16602" s="249" t="s">
        <v>251</v>
      </c>
      <c r="G16602" s="252" t="s">
        <v>252</v>
      </c>
      <c r="J16602" s="599">
        <f t="shared" si="493"/>
        <v>0</v>
      </c>
    </row>
    <row r="16603" spans="5:10" hidden="1" x14ac:dyDescent="0.25">
      <c r="F16603" s="249" t="s">
        <v>253</v>
      </c>
      <c r="G16603" s="252" t="s">
        <v>254</v>
      </c>
      <c r="J16603" s="599">
        <f t="shared" si="493"/>
        <v>0</v>
      </c>
    </row>
    <row r="16604" spans="5:10" ht="30" hidden="1" x14ac:dyDescent="0.25">
      <c r="F16604" s="249" t="s">
        <v>255</v>
      </c>
      <c r="G16604" s="252" t="s">
        <v>256</v>
      </c>
      <c r="J16604" s="599">
        <f t="shared" si="493"/>
        <v>0</v>
      </c>
    </row>
    <row r="16605" spans="5:10" hidden="1" x14ac:dyDescent="0.25">
      <c r="F16605" s="249" t="s">
        <v>257</v>
      </c>
      <c r="G16605" s="252" t="s">
        <v>258</v>
      </c>
      <c r="J16605" s="599">
        <f t="shared" si="493"/>
        <v>0</v>
      </c>
    </row>
    <row r="16606" spans="5:10" ht="30" hidden="1" x14ac:dyDescent="0.25">
      <c r="F16606" s="249" t="s">
        <v>259</v>
      </c>
      <c r="G16606" s="252" t="s">
        <v>260</v>
      </c>
      <c r="J16606" s="599">
        <f t="shared" si="493"/>
        <v>0</v>
      </c>
    </row>
    <row r="16607" spans="5:10" hidden="1" x14ac:dyDescent="0.25">
      <c r="F16607" s="249" t="s">
        <v>261</v>
      </c>
      <c r="G16607" s="252" t="s">
        <v>262</v>
      </c>
      <c r="J16607" s="599">
        <f t="shared" si="493"/>
        <v>0</v>
      </c>
    </row>
    <row r="16608" spans="5:10" ht="15.75" hidden="1" thickBot="1" x14ac:dyDescent="0.3">
      <c r="F16608" s="249" t="s">
        <v>263</v>
      </c>
      <c r="G16608" s="252" t="s">
        <v>264</v>
      </c>
      <c r="H16608" s="598"/>
      <c r="I16608" s="599"/>
      <c r="J16608" s="599">
        <f t="shared" si="493"/>
        <v>0</v>
      </c>
    </row>
    <row r="16609" spans="1:25" ht="15.75" hidden="1" collapsed="1" thickBot="1" x14ac:dyDescent="0.3">
      <c r="G16609" s="229" t="s">
        <v>4276</v>
      </c>
      <c r="H16609" s="600">
        <f>SUM(H16593:H16608)</f>
        <v>0</v>
      </c>
      <c r="I16609" s="601">
        <f>SUM(I16594:I16608)</f>
        <v>0</v>
      </c>
      <c r="J16609" s="601">
        <f>SUM(J16593:J16608)</f>
        <v>0</v>
      </c>
    </row>
    <row r="16610" spans="1:25" s="88" customFormat="1" hidden="1" x14ac:dyDescent="0.25">
      <c r="A16610" s="509"/>
      <c r="B16610" s="256"/>
      <c r="C16610" s="265"/>
      <c r="G16610" s="275"/>
      <c r="H16610" s="611"/>
      <c r="I16610" s="612"/>
      <c r="J16610" s="612"/>
      <c r="K16610" s="533"/>
      <c r="L16610" s="533"/>
      <c r="M16610" s="533"/>
      <c r="N16610" s="533"/>
      <c r="O16610" s="533"/>
      <c r="P16610" s="533"/>
      <c r="Q16610" s="533"/>
      <c r="R16610" s="533"/>
      <c r="S16610" s="533"/>
      <c r="T16610" s="533"/>
      <c r="U16610" s="533"/>
      <c r="V16610" s="533"/>
      <c r="W16610" s="533"/>
      <c r="X16610" s="533"/>
      <c r="Y16610" s="533"/>
    </row>
    <row r="16611" spans="1:25" ht="28.5" hidden="1" x14ac:dyDescent="0.25">
      <c r="C16611" s="228" t="s">
        <v>4138</v>
      </c>
      <c r="D16611" s="219"/>
      <c r="G16611" s="511" t="s">
        <v>4139</v>
      </c>
    </row>
    <row r="16612" spans="1:25" s="88" customFormat="1" hidden="1" x14ac:dyDescent="0.25">
      <c r="A16612" s="509"/>
      <c r="B16612" s="256"/>
      <c r="C16612" s="316"/>
      <c r="D16612" s="336" t="s">
        <v>3908</v>
      </c>
      <c r="E16612" s="337"/>
      <c r="F16612" s="335"/>
      <c r="G16612" s="314" t="s">
        <v>103</v>
      </c>
      <c r="H16612" s="627"/>
      <c r="I16612" s="610"/>
      <c r="J16612" s="628"/>
      <c r="K16612" s="533"/>
      <c r="L16612" s="533"/>
      <c r="M16612" s="533"/>
      <c r="N16612" s="533"/>
      <c r="O16612" s="533"/>
      <c r="P16612" s="533"/>
      <c r="Q16612" s="533"/>
      <c r="R16612" s="533"/>
      <c r="S16612" s="533"/>
      <c r="T16612" s="533"/>
      <c r="U16612" s="533"/>
      <c r="V16612" s="533"/>
      <c r="W16612" s="533"/>
      <c r="X16612" s="533"/>
      <c r="Y16612" s="533"/>
    </row>
    <row r="16613" spans="1:25" hidden="1" x14ac:dyDescent="0.25">
      <c r="F16613" s="513">
        <v>411</v>
      </c>
      <c r="G16613" s="508" t="s">
        <v>4189</v>
      </c>
      <c r="J16613" s="595">
        <f>SUM(H16613:I16613)</f>
        <v>0</v>
      </c>
    </row>
    <row r="16614" spans="1:25" hidden="1" x14ac:dyDescent="0.25">
      <c r="F16614" s="513">
        <v>412</v>
      </c>
      <c r="G16614" s="505" t="s">
        <v>3784</v>
      </c>
      <c r="J16614" s="595">
        <f t="shared" ref="J16614:J16672" si="494">SUM(H16614:I16614)</f>
        <v>0</v>
      </c>
    </row>
    <row r="16615" spans="1:25" hidden="1" x14ac:dyDescent="0.25">
      <c r="F16615" s="513">
        <v>413</v>
      </c>
      <c r="G16615" s="508" t="s">
        <v>4190</v>
      </c>
      <c r="J16615" s="595">
        <f t="shared" si="494"/>
        <v>0</v>
      </c>
    </row>
    <row r="16616" spans="1:25" hidden="1" x14ac:dyDescent="0.25">
      <c r="F16616" s="513">
        <v>414</v>
      </c>
      <c r="G16616" s="508" t="s">
        <v>3787</v>
      </c>
      <c r="J16616" s="595">
        <f t="shared" si="494"/>
        <v>0</v>
      </c>
    </row>
    <row r="16617" spans="1:25" hidden="1" x14ac:dyDescent="0.25">
      <c r="F16617" s="513">
        <v>415</v>
      </c>
      <c r="G16617" s="508" t="s">
        <v>4199</v>
      </c>
      <c r="J16617" s="595">
        <f t="shared" si="494"/>
        <v>0</v>
      </c>
    </row>
    <row r="16618" spans="1:25" hidden="1" x14ac:dyDescent="0.25">
      <c r="F16618" s="513">
        <v>416</v>
      </c>
      <c r="G16618" s="508" t="s">
        <v>4200</v>
      </c>
      <c r="J16618" s="595">
        <f t="shared" si="494"/>
        <v>0</v>
      </c>
    </row>
    <row r="16619" spans="1:25" hidden="1" x14ac:dyDescent="0.25">
      <c r="F16619" s="513">
        <v>417</v>
      </c>
      <c r="G16619" s="508" t="s">
        <v>4201</v>
      </c>
      <c r="J16619" s="595">
        <f t="shared" si="494"/>
        <v>0</v>
      </c>
    </row>
    <row r="16620" spans="1:25" hidden="1" x14ac:dyDescent="0.25">
      <c r="F16620" s="513">
        <v>418</v>
      </c>
      <c r="G16620" s="508" t="s">
        <v>3793</v>
      </c>
      <c r="J16620" s="595">
        <f t="shared" si="494"/>
        <v>0</v>
      </c>
    </row>
    <row r="16621" spans="1:25" hidden="1" x14ac:dyDescent="0.25">
      <c r="F16621" s="513">
        <v>421</v>
      </c>
      <c r="G16621" s="508" t="s">
        <v>3797</v>
      </c>
      <c r="J16621" s="595">
        <f t="shared" si="494"/>
        <v>0</v>
      </c>
    </row>
    <row r="16622" spans="1:25" hidden="1" x14ac:dyDescent="0.25">
      <c r="F16622" s="513">
        <v>422</v>
      </c>
      <c r="G16622" s="508" t="s">
        <v>3798</v>
      </c>
      <c r="J16622" s="595">
        <f t="shared" si="494"/>
        <v>0</v>
      </c>
    </row>
    <row r="16623" spans="1:25" hidden="1" x14ac:dyDescent="0.25">
      <c r="F16623" s="513">
        <v>423</v>
      </c>
      <c r="G16623" s="508" t="s">
        <v>3799</v>
      </c>
      <c r="J16623" s="595">
        <f t="shared" si="494"/>
        <v>0</v>
      </c>
    </row>
    <row r="16624" spans="1:25" hidden="1" x14ac:dyDescent="0.25">
      <c r="F16624" s="513">
        <v>424</v>
      </c>
      <c r="G16624" s="508" t="s">
        <v>3801</v>
      </c>
      <c r="J16624" s="595">
        <f t="shared" si="494"/>
        <v>0</v>
      </c>
    </row>
    <row r="16625" spans="6:10" hidden="1" x14ac:dyDescent="0.25">
      <c r="F16625" s="513">
        <v>425</v>
      </c>
      <c r="G16625" s="508" t="s">
        <v>4202</v>
      </c>
      <c r="J16625" s="595">
        <f t="shared" si="494"/>
        <v>0</v>
      </c>
    </row>
    <row r="16626" spans="6:10" hidden="1" x14ac:dyDescent="0.25">
      <c r="F16626" s="513">
        <v>426</v>
      </c>
      <c r="G16626" s="508" t="s">
        <v>3805</v>
      </c>
      <c r="J16626" s="595">
        <f t="shared" si="494"/>
        <v>0</v>
      </c>
    </row>
    <row r="16627" spans="6:10" hidden="1" x14ac:dyDescent="0.25">
      <c r="F16627" s="513">
        <v>431</v>
      </c>
      <c r="G16627" s="508" t="s">
        <v>4203</v>
      </c>
      <c r="J16627" s="595">
        <f t="shared" si="494"/>
        <v>0</v>
      </c>
    </row>
    <row r="16628" spans="6:10" hidden="1" x14ac:dyDescent="0.25">
      <c r="F16628" s="513">
        <v>432</v>
      </c>
      <c r="G16628" s="508" t="s">
        <v>4204</v>
      </c>
      <c r="J16628" s="595">
        <f t="shared" si="494"/>
        <v>0</v>
      </c>
    </row>
    <row r="16629" spans="6:10" hidden="1" x14ac:dyDescent="0.25">
      <c r="F16629" s="513">
        <v>433</v>
      </c>
      <c r="G16629" s="508" t="s">
        <v>4205</v>
      </c>
      <c r="J16629" s="595">
        <f t="shared" si="494"/>
        <v>0</v>
      </c>
    </row>
    <row r="16630" spans="6:10" hidden="1" x14ac:dyDescent="0.25">
      <c r="F16630" s="513">
        <v>434</v>
      </c>
      <c r="G16630" s="508" t="s">
        <v>4206</v>
      </c>
      <c r="J16630" s="595">
        <f t="shared" si="494"/>
        <v>0</v>
      </c>
    </row>
    <row r="16631" spans="6:10" hidden="1" x14ac:dyDescent="0.25">
      <c r="F16631" s="513">
        <v>435</v>
      </c>
      <c r="G16631" s="508" t="s">
        <v>3812</v>
      </c>
      <c r="J16631" s="595">
        <f t="shared" si="494"/>
        <v>0</v>
      </c>
    </row>
    <row r="16632" spans="6:10" hidden="1" x14ac:dyDescent="0.25">
      <c r="F16632" s="513">
        <v>441</v>
      </c>
      <c r="G16632" s="508" t="s">
        <v>4207</v>
      </c>
      <c r="J16632" s="595">
        <f t="shared" si="494"/>
        <v>0</v>
      </c>
    </row>
    <row r="16633" spans="6:10" hidden="1" x14ac:dyDescent="0.25">
      <c r="F16633" s="513">
        <v>442</v>
      </c>
      <c r="G16633" s="508" t="s">
        <v>4208</v>
      </c>
      <c r="J16633" s="595">
        <f t="shared" si="494"/>
        <v>0</v>
      </c>
    </row>
    <row r="16634" spans="6:10" hidden="1" x14ac:dyDescent="0.25">
      <c r="F16634" s="513">
        <v>443</v>
      </c>
      <c r="G16634" s="508" t="s">
        <v>3817</v>
      </c>
      <c r="J16634" s="595">
        <f t="shared" si="494"/>
        <v>0</v>
      </c>
    </row>
    <row r="16635" spans="6:10" hidden="1" x14ac:dyDescent="0.25">
      <c r="F16635" s="513">
        <v>444</v>
      </c>
      <c r="G16635" s="508" t="s">
        <v>3818</v>
      </c>
      <c r="J16635" s="595">
        <f t="shared" si="494"/>
        <v>0</v>
      </c>
    </row>
    <row r="16636" spans="6:10" ht="30" hidden="1" x14ac:dyDescent="0.25">
      <c r="F16636" s="513">
        <v>4511</v>
      </c>
      <c r="G16636" s="223" t="s">
        <v>1692</v>
      </c>
      <c r="J16636" s="595">
        <f t="shared" si="494"/>
        <v>0</v>
      </c>
    </row>
    <row r="16637" spans="6:10" ht="30" hidden="1" x14ac:dyDescent="0.25">
      <c r="F16637" s="513">
        <v>4512</v>
      </c>
      <c r="G16637" s="223" t="s">
        <v>1701</v>
      </c>
      <c r="J16637" s="595">
        <f t="shared" si="494"/>
        <v>0</v>
      </c>
    </row>
    <row r="16638" spans="6:10" hidden="1" x14ac:dyDescent="0.25">
      <c r="F16638" s="513">
        <v>452</v>
      </c>
      <c r="G16638" s="508" t="s">
        <v>4209</v>
      </c>
      <c r="J16638" s="595">
        <f t="shared" si="494"/>
        <v>0</v>
      </c>
    </row>
    <row r="16639" spans="6:10" hidden="1" x14ac:dyDescent="0.25">
      <c r="F16639" s="513">
        <v>453</v>
      </c>
      <c r="G16639" s="508" t="s">
        <v>4210</v>
      </c>
      <c r="J16639" s="595">
        <f t="shared" si="494"/>
        <v>0</v>
      </c>
    </row>
    <row r="16640" spans="6:10" hidden="1" x14ac:dyDescent="0.25">
      <c r="F16640" s="513">
        <v>454</v>
      </c>
      <c r="G16640" s="508" t="s">
        <v>3823</v>
      </c>
      <c r="J16640" s="595">
        <f t="shared" si="494"/>
        <v>0</v>
      </c>
    </row>
    <row r="16641" spans="6:10" hidden="1" x14ac:dyDescent="0.25">
      <c r="F16641" s="513">
        <v>461</v>
      </c>
      <c r="G16641" s="508" t="s">
        <v>4191</v>
      </c>
      <c r="J16641" s="595">
        <f t="shared" si="494"/>
        <v>0</v>
      </c>
    </row>
    <row r="16642" spans="6:10" hidden="1" x14ac:dyDescent="0.25">
      <c r="F16642" s="513">
        <v>462</v>
      </c>
      <c r="G16642" s="508" t="s">
        <v>3826</v>
      </c>
      <c r="J16642" s="595">
        <f t="shared" si="494"/>
        <v>0</v>
      </c>
    </row>
    <row r="16643" spans="6:10" ht="15.75" hidden="1" thickBot="1" x14ac:dyDescent="0.3">
      <c r="F16643" s="513">
        <v>4631</v>
      </c>
      <c r="G16643" s="508" t="s">
        <v>3827</v>
      </c>
      <c r="J16643" s="595">
        <f t="shared" si="494"/>
        <v>0</v>
      </c>
    </row>
    <row r="16644" spans="6:10" hidden="1" x14ac:dyDescent="0.25">
      <c r="F16644" s="513">
        <v>4632</v>
      </c>
      <c r="G16644" s="508" t="s">
        <v>3828</v>
      </c>
      <c r="J16644" s="595">
        <f t="shared" si="494"/>
        <v>0</v>
      </c>
    </row>
    <row r="16645" spans="6:10" hidden="1" x14ac:dyDescent="0.25">
      <c r="F16645" s="513">
        <v>464</v>
      </c>
      <c r="G16645" s="508" t="s">
        <v>3829</v>
      </c>
      <c r="J16645" s="595">
        <f t="shared" si="494"/>
        <v>0</v>
      </c>
    </row>
    <row r="16646" spans="6:10" hidden="1" x14ac:dyDescent="0.25">
      <c r="F16646" s="513">
        <v>465</v>
      </c>
      <c r="G16646" s="508" t="s">
        <v>4192</v>
      </c>
      <c r="J16646" s="595">
        <f t="shared" si="494"/>
        <v>0</v>
      </c>
    </row>
    <row r="16647" spans="6:10" hidden="1" x14ac:dyDescent="0.25">
      <c r="F16647" s="513">
        <v>472</v>
      </c>
      <c r="G16647" s="508" t="s">
        <v>3833</v>
      </c>
      <c r="J16647" s="595">
        <f t="shared" si="494"/>
        <v>0</v>
      </c>
    </row>
    <row r="16648" spans="6:10" hidden="1" x14ac:dyDescent="0.25">
      <c r="F16648" s="513">
        <v>481</v>
      </c>
      <c r="G16648" s="508" t="s">
        <v>4211</v>
      </c>
      <c r="J16648" s="595">
        <f t="shared" si="494"/>
        <v>0</v>
      </c>
    </row>
    <row r="16649" spans="6:10" hidden="1" x14ac:dyDescent="0.25">
      <c r="F16649" s="513">
        <v>482</v>
      </c>
      <c r="G16649" s="508" t="s">
        <v>4212</v>
      </c>
      <c r="J16649" s="595">
        <f t="shared" si="494"/>
        <v>0</v>
      </c>
    </row>
    <row r="16650" spans="6:10" hidden="1" x14ac:dyDescent="0.25">
      <c r="F16650" s="513">
        <v>483</v>
      </c>
      <c r="G16650" s="510" t="s">
        <v>4213</v>
      </c>
      <c r="J16650" s="595">
        <f t="shared" si="494"/>
        <v>0</v>
      </c>
    </row>
    <row r="16651" spans="6:10" ht="30" hidden="1" x14ac:dyDescent="0.25">
      <c r="F16651" s="513">
        <v>484</v>
      </c>
      <c r="G16651" s="508" t="s">
        <v>4214</v>
      </c>
      <c r="J16651" s="595">
        <f t="shared" si="494"/>
        <v>0</v>
      </c>
    </row>
    <row r="16652" spans="6:10" ht="30" hidden="1" x14ac:dyDescent="0.25">
      <c r="F16652" s="513">
        <v>485</v>
      </c>
      <c r="G16652" s="508" t="s">
        <v>4215</v>
      </c>
      <c r="J16652" s="595">
        <f t="shared" si="494"/>
        <v>0</v>
      </c>
    </row>
    <row r="16653" spans="6:10" ht="30" hidden="1" x14ac:dyDescent="0.25">
      <c r="F16653" s="513">
        <v>489</v>
      </c>
      <c r="G16653" s="508" t="s">
        <v>3841</v>
      </c>
      <c r="J16653" s="595">
        <f t="shared" si="494"/>
        <v>0</v>
      </c>
    </row>
    <row r="16654" spans="6:10" hidden="1" x14ac:dyDescent="0.25">
      <c r="F16654" s="513">
        <v>494</v>
      </c>
      <c r="G16654" s="508" t="s">
        <v>4193</v>
      </c>
      <c r="J16654" s="595">
        <f t="shared" si="494"/>
        <v>0</v>
      </c>
    </row>
    <row r="16655" spans="6:10" ht="30" hidden="1" x14ac:dyDescent="0.25">
      <c r="F16655" s="513">
        <v>495</v>
      </c>
      <c r="G16655" s="508" t="s">
        <v>4194</v>
      </c>
      <c r="J16655" s="595">
        <f t="shared" si="494"/>
        <v>0</v>
      </c>
    </row>
    <row r="16656" spans="6:10" ht="30" hidden="1" x14ac:dyDescent="0.25">
      <c r="F16656" s="513">
        <v>496</v>
      </c>
      <c r="G16656" s="508" t="s">
        <v>4195</v>
      </c>
      <c r="J16656" s="595">
        <f t="shared" si="494"/>
        <v>0</v>
      </c>
    </row>
    <row r="16657" spans="6:10" hidden="1" x14ac:dyDescent="0.25">
      <c r="F16657" s="513">
        <v>499</v>
      </c>
      <c r="G16657" s="508" t="s">
        <v>4196</v>
      </c>
      <c r="J16657" s="595">
        <f t="shared" si="494"/>
        <v>0</v>
      </c>
    </row>
    <row r="16658" spans="6:10" hidden="1" x14ac:dyDescent="0.25">
      <c r="F16658" s="513">
        <v>511</v>
      </c>
      <c r="G16658" s="510" t="s">
        <v>4216</v>
      </c>
      <c r="J16658" s="595">
        <f t="shared" si="494"/>
        <v>0</v>
      </c>
    </row>
    <row r="16659" spans="6:10" hidden="1" x14ac:dyDescent="0.25">
      <c r="F16659" s="513">
        <v>512</v>
      </c>
      <c r="G16659" s="510" t="s">
        <v>4217</v>
      </c>
      <c r="J16659" s="595">
        <f t="shared" si="494"/>
        <v>0</v>
      </c>
    </row>
    <row r="16660" spans="6:10" hidden="1" x14ac:dyDescent="0.25">
      <c r="F16660" s="513">
        <v>513</v>
      </c>
      <c r="G16660" s="510" t="s">
        <v>4218</v>
      </c>
      <c r="J16660" s="595">
        <f t="shared" si="494"/>
        <v>0</v>
      </c>
    </row>
    <row r="16661" spans="6:10" hidden="1" x14ac:dyDescent="0.25">
      <c r="F16661" s="513">
        <v>514</v>
      </c>
      <c r="G16661" s="508" t="s">
        <v>4219</v>
      </c>
      <c r="J16661" s="595">
        <f t="shared" si="494"/>
        <v>0</v>
      </c>
    </row>
    <row r="16662" spans="6:10" hidden="1" x14ac:dyDescent="0.25">
      <c r="F16662" s="513">
        <v>515</v>
      </c>
      <c r="G16662" s="508" t="s">
        <v>3852</v>
      </c>
      <c r="J16662" s="595">
        <f t="shared" si="494"/>
        <v>0</v>
      </c>
    </row>
    <row r="16663" spans="6:10" hidden="1" x14ac:dyDescent="0.25">
      <c r="F16663" s="513">
        <v>521</v>
      </c>
      <c r="G16663" s="508" t="s">
        <v>4220</v>
      </c>
      <c r="J16663" s="595">
        <f t="shared" si="494"/>
        <v>0</v>
      </c>
    </row>
    <row r="16664" spans="6:10" hidden="1" x14ac:dyDescent="0.25">
      <c r="F16664" s="513">
        <v>522</v>
      </c>
      <c r="G16664" s="508" t="s">
        <v>4221</v>
      </c>
      <c r="J16664" s="595">
        <f t="shared" si="494"/>
        <v>0</v>
      </c>
    </row>
    <row r="16665" spans="6:10" hidden="1" x14ac:dyDescent="0.25">
      <c r="F16665" s="513">
        <v>523</v>
      </c>
      <c r="G16665" s="508" t="s">
        <v>3857</v>
      </c>
      <c r="J16665" s="595">
        <f t="shared" si="494"/>
        <v>0</v>
      </c>
    </row>
    <row r="16666" spans="6:10" hidden="1" x14ac:dyDescent="0.25">
      <c r="F16666" s="513">
        <v>531</v>
      </c>
      <c r="G16666" s="505" t="s">
        <v>4197</v>
      </c>
      <c r="J16666" s="595">
        <f t="shared" si="494"/>
        <v>0</v>
      </c>
    </row>
    <row r="16667" spans="6:10" hidden="1" x14ac:dyDescent="0.25">
      <c r="F16667" s="513">
        <v>541</v>
      </c>
      <c r="G16667" s="508" t="s">
        <v>4222</v>
      </c>
      <c r="J16667" s="595">
        <f t="shared" si="494"/>
        <v>0</v>
      </c>
    </row>
    <row r="16668" spans="6:10" hidden="1" x14ac:dyDescent="0.25">
      <c r="F16668" s="513">
        <v>542</v>
      </c>
      <c r="G16668" s="508" t="s">
        <v>4223</v>
      </c>
      <c r="J16668" s="595">
        <f t="shared" si="494"/>
        <v>0</v>
      </c>
    </row>
    <row r="16669" spans="6:10" hidden="1" x14ac:dyDescent="0.25">
      <c r="F16669" s="513">
        <v>543</v>
      </c>
      <c r="G16669" s="508" t="s">
        <v>3862</v>
      </c>
      <c r="J16669" s="595">
        <f t="shared" si="494"/>
        <v>0</v>
      </c>
    </row>
    <row r="16670" spans="6:10" ht="30" hidden="1" x14ac:dyDescent="0.25">
      <c r="F16670" s="513">
        <v>551</v>
      </c>
      <c r="G16670" s="508" t="s">
        <v>4198</v>
      </c>
      <c r="J16670" s="595">
        <f t="shared" si="494"/>
        <v>0</v>
      </c>
    </row>
    <row r="16671" spans="6:10" hidden="1" x14ac:dyDescent="0.25">
      <c r="F16671" s="514">
        <v>611</v>
      </c>
      <c r="G16671" s="512" t="s">
        <v>3868</v>
      </c>
      <c r="J16671" s="595">
        <f t="shared" si="494"/>
        <v>0</v>
      </c>
    </row>
    <row r="16672" spans="6:10" ht="15.75" hidden="1" thickBot="1" x14ac:dyDescent="0.3">
      <c r="F16672" s="514">
        <v>620</v>
      </c>
      <c r="G16672" s="512" t="s">
        <v>88</v>
      </c>
      <c r="J16672" s="595">
        <f t="shared" si="494"/>
        <v>0</v>
      </c>
    </row>
    <row r="16673" spans="5:10" hidden="1" x14ac:dyDescent="0.25">
      <c r="E16673" s="506"/>
      <c r="F16673" s="514"/>
      <c r="G16673" s="326" t="s">
        <v>4390</v>
      </c>
      <c r="H16673" s="596"/>
      <c r="I16673" s="622"/>
      <c r="J16673" s="597"/>
    </row>
    <row r="16674" spans="5:10" ht="15.75" hidden="1" thickBot="1" x14ac:dyDescent="0.3">
      <c r="E16674" s="222"/>
      <c r="F16674" s="249" t="s">
        <v>234</v>
      </c>
      <c r="G16674" s="252" t="s">
        <v>235</v>
      </c>
      <c r="H16674" s="598">
        <f>SUM(H16613:H16672)</f>
        <v>0</v>
      </c>
      <c r="I16674" s="599"/>
      <c r="J16674" s="599">
        <f>SUM(H16674:I16674)</f>
        <v>0</v>
      </c>
    </row>
    <row r="16675" spans="5:10" hidden="1" x14ac:dyDescent="0.25">
      <c r="F16675" s="249" t="s">
        <v>236</v>
      </c>
      <c r="G16675" s="252" t="s">
        <v>237</v>
      </c>
      <c r="J16675" s="599">
        <f t="shared" ref="J16675:J16689" si="495">SUM(H16675:I16675)</f>
        <v>0</v>
      </c>
    </row>
    <row r="16676" spans="5:10" hidden="1" x14ac:dyDescent="0.25">
      <c r="F16676" s="249" t="s">
        <v>238</v>
      </c>
      <c r="G16676" s="252" t="s">
        <v>239</v>
      </c>
      <c r="J16676" s="599">
        <f t="shared" si="495"/>
        <v>0</v>
      </c>
    </row>
    <row r="16677" spans="5:10" hidden="1" x14ac:dyDescent="0.25">
      <c r="F16677" s="249" t="s">
        <v>240</v>
      </c>
      <c r="G16677" s="252" t="s">
        <v>241</v>
      </c>
      <c r="J16677" s="599">
        <f t="shared" si="495"/>
        <v>0</v>
      </c>
    </row>
    <row r="16678" spans="5:10" hidden="1" x14ac:dyDescent="0.25">
      <c r="F16678" s="249" t="s">
        <v>242</v>
      </c>
      <c r="G16678" s="252" t="s">
        <v>243</v>
      </c>
      <c r="J16678" s="599">
        <f t="shared" si="495"/>
        <v>0</v>
      </c>
    </row>
    <row r="16679" spans="5:10" hidden="1" x14ac:dyDescent="0.25">
      <c r="F16679" s="249" t="s">
        <v>244</v>
      </c>
      <c r="G16679" s="252" t="s">
        <v>245</v>
      </c>
      <c r="J16679" s="599">
        <f t="shared" si="495"/>
        <v>0</v>
      </c>
    </row>
    <row r="16680" spans="5:10" hidden="1" x14ac:dyDescent="0.25">
      <c r="F16680" s="249" t="s">
        <v>246</v>
      </c>
      <c r="G16680" s="252" t="s">
        <v>247</v>
      </c>
      <c r="J16680" s="599">
        <f t="shared" si="495"/>
        <v>0</v>
      </c>
    </row>
    <row r="16681" spans="5:10" hidden="1" x14ac:dyDescent="0.25">
      <c r="F16681" s="249" t="s">
        <v>248</v>
      </c>
      <c r="G16681" s="252" t="s">
        <v>249</v>
      </c>
      <c r="J16681" s="599">
        <f t="shared" si="495"/>
        <v>0</v>
      </c>
    </row>
    <row r="16682" spans="5:10" hidden="1" x14ac:dyDescent="0.25">
      <c r="F16682" s="249" t="s">
        <v>250</v>
      </c>
      <c r="G16682" s="252" t="s">
        <v>57</v>
      </c>
      <c r="J16682" s="599">
        <f t="shared" si="495"/>
        <v>0</v>
      </c>
    </row>
    <row r="16683" spans="5:10" hidden="1" x14ac:dyDescent="0.25">
      <c r="F16683" s="249" t="s">
        <v>251</v>
      </c>
      <c r="G16683" s="252" t="s">
        <v>252</v>
      </c>
      <c r="J16683" s="599">
        <f t="shared" si="495"/>
        <v>0</v>
      </c>
    </row>
    <row r="16684" spans="5:10" hidden="1" x14ac:dyDescent="0.25">
      <c r="F16684" s="249" t="s">
        <v>253</v>
      </c>
      <c r="G16684" s="252" t="s">
        <v>254</v>
      </c>
      <c r="J16684" s="599">
        <f t="shared" si="495"/>
        <v>0</v>
      </c>
    </row>
    <row r="16685" spans="5:10" ht="30" hidden="1" x14ac:dyDescent="0.25">
      <c r="F16685" s="249" t="s">
        <v>255</v>
      </c>
      <c r="G16685" s="252" t="s">
        <v>256</v>
      </c>
      <c r="J16685" s="599">
        <f t="shared" si="495"/>
        <v>0</v>
      </c>
    </row>
    <row r="16686" spans="5:10" hidden="1" x14ac:dyDescent="0.25">
      <c r="F16686" s="249" t="s">
        <v>257</v>
      </c>
      <c r="G16686" s="252" t="s">
        <v>258</v>
      </c>
      <c r="J16686" s="599">
        <f t="shared" si="495"/>
        <v>0</v>
      </c>
    </row>
    <row r="16687" spans="5:10" ht="30" hidden="1" x14ac:dyDescent="0.25">
      <c r="F16687" s="249" t="s">
        <v>259</v>
      </c>
      <c r="G16687" s="252" t="s">
        <v>260</v>
      </c>
      <c r="J16687" s="599">
        <f t="shared" si="495"/>
        <v>0</v>
      </c>
    </row>
    <row r="16688" spans="5:10" hidden="1" x14ac:dyDescent="0.25">
      <c r="F16688" s="249" t="s">
        <v>261</v>
      </c>
      <c r="G16688" s="252" t="s">
        <v>262</v>
      </c>
      <c r="J16688" s="599">
        <f t="shared" si="495"/>
        <v>0</v>
      </c>
    </row>
    <row r="16689" spans="5:10" ht="15.75" hidden="1" thickBot="1" x14ac:dyDescent="0.3">
      <c r="F16689" s="249" t="s">
        <v>263</v>
      </c>
      <c r="G16689" s="252" t="s">
        <v>264</v>
      </c>
      <c r="H16689" s="598"/>
      <c r="I16689" s="599"/>
      <c r="J16689" s="599">
        <f t="shared" si="495"/>
        <v>0</v>
      </c>
    </row>
    <row r="16690" spans="5:10" ht="15.75" hidden="1" thickBot="1" x14ac:dyDescent="0.3">
      <c r="G16690" s="229" t="s">
        <v>4391</v>
      </c>
      <c r="H16690" s="600">
        <f>SUM(H16674:H16689)</f>
        <v>0</v>
      </c>
      <c r="I16690" s="601">
        <f>SUM(I16675:I16689)</f>
        <v>0</v>
      </c>
      <c r="J16690" s="601">
        <f>SUM(J16674:J16689)</f>
        <v>0</v>
      </c>
    </row>
    <row r="16691" spans="5:10" ht="28.5" hidden="1" collapsed="1" x14ac:dyDescent="0.25">
      <c r="E16691" s="506"/>
      <c r="F16691" s="514"/>
      <c r="G16691" s="231" t="s">
        <v>4486</v>
      </c>
      <c r="H16691" s="602"/>
      <c r="I16691" s="623"/>
      <c r="J16691" s="603"/>
    </row>
    <row r="16692" spans="5:10" ht="15.75" hidden="1" thickBot="1" x14ac:dyDescent="0.3">
      <c r="E16692" s="222"/>
      <c r="F16692" s="249" t="s">
        <v>234</v>
      </c>
      <c r="G16692" s="252" t="s">
        <v>235</v>
      </c>
      <c r="H16692" s="598">
        <f>SUM(H16613:H16672)</f>
        <v>0</v>
      </c>
      <c r="I16692" s="599"/>
      <c r="J16692" s="599">
        <f>SUM(H16692:I16692)</f>
        <v>0</v>
      </c>
    </row>
    <row r="16693" spans="5:10" hidden="1" x14ac:dyDescent="0.25">
      <c r="F16693" s="249" t="s">
        <v>236</v>
      </c>
      <c r="G16693" s="252" t="s">
        <v>237</v>
      </c>
      <c r="J16693" s="599">
        <f t="shared" ref="J16693:J16707" si="496">SUM(H16693:I16693)</f>
        <v>0</v>
      </c>
    </row>
    <row r="16694" spans="5:10" hidden="1" x14ac:dyDescent="0.25">
      <c r="F16694" s="249" t="s">
        <v>238</v>
      </c>
      <c r="G16694" s="252" t="s">
        <v>239</v>
      </c>
      <c r="J16694" s="599">
        <f t="shared" si="496"/>
        <v>0</v>
      </c>
    </row>
    <row r="16695" spans="5:10" hidden="1" x14ac:dyDescent="0.25">
      <c r="F16695" s="249" t="s">
        <v>240</v>
      </c>
      <c r="G16695" s="252" t="s">
        <v>241</v>
      </c>
      <c r="J16695" s="599">
        <f t="shared" si="496"/>
        <v>0</v>
      </c>
    </row>
    <row r="16696" spans="5:10" hidden="1" x14ac:dyDescent="0.25">
      <c r="F16696" s="249" t="s">
        <v>242</v>
      </c>
      <c r="G16696" s="252" t="s">
        <v>243</v>
      </c>
      <c r="J16696" s="599">
        <f t="shared" si="496"/>
        <v>0</v>
      </c>
    </row>
    <row r="16697" spans="5:10" hidden="1" x14ac:dyDescent="0.25">
      <c r="F16697" s="249" t="s">
        <v>244</v>
      </c>
      <c r="G16697" s="252" t="s">
        <v>245</v>
      </c>
      <c r="J16697" s="599">
        <f t="shared" si="496"/>
        <v>0</v>
      </c>
    </row>
    <row r="16698" spans="5:10" hidden="1" x14ac:dyDescent="0.25">
      <c r="F16698" s="249" t="s">
        <v>246</v>
      </c>
      <c r="G16698" s="252" t="s">
        <v>247</v>
      </c>
      <c r="J16698" s="599">
        <f t="shared" si="496"/>
        <v>0</v>
      </c>
    </row>
    <row r="16699" spans="5:10" hidden="1" x14ac:dyDescent="0.25">
      <c r="F16699" s="249" t="s">
        <v>248</v>
      </c>
      <c r="G16699" s="252" t="s">
        <v>249</v>
      </c>
      <c r="J16699" s="599">
        <f t="shared" si="496"/>
        <v>0</v>
      </c>
    </row>
    <row r="16700" spans="5:10" hidden="1" x14ac:dyDescent="0.25">
      <c r="F16700" s="249" t="s">
        <v>250</v>
      </c>
      <c r="G16700" s="252" t="s">
        <v>57</v>
      </c>
      <c r="J16700" s="599">
        <f t="shared" si="496"/>
        <v>0</v>
      </c>
    </row>
    <row r="16701" spans="5:10" hidden="1" x14ac:dyDescent="0.25">
      <c r="F16701" s="249" t="s">
        <v>251</v>
      </c>
      <c r="G16701" s="252" t="s">
        <v>252</v>
      </c>
      <c r="J16701" s="599">
        <f t="shared" si="496"/>
        <v>0</v>
      </c>
    </row>
    <row r="16702" spans="5:10" hidden="1" x14ac:dyDescent="0.25">
      <c r="F16702" s="249" t="s">
        <v>253</v>
      </c>
      <c r="G16702" s="252" t="s">
        <v>254</v>
      </c>
      <c r="J16702" s="599">
        <f t="shared" si="496"/>
        <v>0</v>
      </c>
    </row>
    <row r="16703" spans="5:10" ht="30" hidden="1" x14ac:dyDescent="0.25">
      <c r="F16703" s="249" t="s">
        <v>255</v>
      </c>
      <c r="G16703" s="252" t="s">
        <v>256</v>
      </c>
      <c r="J16703" s="599">
        <f t="shared" si="496"/>
        <v>0</v>
      </c>
    </row>
    <row r="16704" spans="5:10" hidden="1" x14ac:dyDescent="0.25">
      <c r="F16704" s="249" t="s">
        <v>257</v>
      </c>
      <c r="G16704" s="252" t="s">
        <v>258</v>
      </c>
      <c r="J16704" s="599">
        <f t="shared" si="496"/>
        <v>0</v>
      </c>
    </row>
    <row r="16705" spans="1:25" ht="30" hidden="1" x14ac:dyDescent="0.25">
      <c r="F16705" s="249" t="s">
        <v>259</v>
      </c>
      <c r="G16705" s="252" t="s">
        <v>260</v>
      </c>
      <c r="J16705" s="599">
        <f t="shared" si="496"/>
        <v>0</v>
      </c>
    </row>
    <row r="16706" spans="1:25" hidden="1" x14ac:dyDescent="0.25">
      <c r="F16706" s="249" t="s">
        <v>261</v>
      </c>
      <c r="G16706" s="252" t="s">
        <v>262</v>
      </c>
      <c r="J16706" s="599">
        <f t="shared" si="496"/>
        <v>0</v>
      </c>
    </row>
    <row r="16707" spans="1:25" ht="15.75" hidden="1" thickBot="1" x14ac:dyDescent="0.3">
      <c r="F16707" s="249" t="s">
        <v>263</v>
      </c>
      <c r="G16707" s="252" t="s">
        <v>264</v>
      </c>
      <c r="H16707" s="598"/>
      <c r="I16707" s="599"/>
      <c r="J16707" s="599">
        <f t="shared" si="496"/>
        <v>0</v>
      </c>
    </row>
    <row r="16708" spans="1:25" ht="15.75" hidden="1" collapsed="1" thickBot="1" x14ac:dyDescent="0.3">
      <c r="G16708" s="229" t="s">
        <v>4487</v>
      </c>
      <c r="H16708" s="600">
        <f>SUM(H16692:H16707)</f>
        <v>0</v>
      </c>
      <c r="I16708" s="601">
        <f>SUM(I16693:I16707)</f>
        <v>0</v>
      </c>
      <c r="J16708" s="601">
        <f>SUM(J16692:J16707)</f>
        <v>0</v>
      </c>
    </row>
    <row r="16709" spans="1:25" hidden="1" x14ac:dyDescent="0.25">
      <c r="G16709" s="286"/>
      <c r="H16709" s="604"/>
      <c r="I16709" s="605"/>
      <c r="J16709" s="605"/>
    </row>
    <row r="16710" spans="1:25" hidden="1" x14ac:dyDescent="0.25">
      <c r="C16710" s="228" t="s">
        <v>4140</v>
      </c>
      <c r="D16710" s="219"/>
      <c r="G16710" s="511" t="s">
        <v>4141</v>
      </c>
    </row>
    <row r="16711" spans="1:25" s="88" customFormat="1" hidden="1" x14ac:dyDescent="0.25">
      <c r="A16711" s="509"/>
      <c r="B16711" s="256"/>
      <c r="C16711" s="316"/>
      <c r="D16711" s="336" t="s">
        <v>3908</v>
      </c>
      <c r="E16711" s="337"/>
      <c r="F16711" s="335"/>
      <c r="G16711" s="314" t="s">
        <v>103</v>
      </c>
      <c r="H16711" s="627"/>
      <c r="I16711" s="610"/>
      <c r="J16711" s="628"/>
      <c r="K16711" s="533"/>
      <c r="L16711" s="533"/>
      <c r="M16711" s="533"/>
      <c r="N16711" s="533"/>
      <c r="O16711" s="533"/>
      <c r="P16711" s="533"/>
      <c r="Q16711" s="533"/>
      <c r="R16711" s="533"/>
      <c r="S16711" s="533"/>
      <c r="T16711" s="533"/>
      <c r="U16711" s="533"/>
      <c r="V16711" s="533"/>
      <c r="W16711" s="533"/>
      <c r="X16711" s="533"/>
      <c r="Y16711" s="533"/>
    </row>
    <row r="16712" spans="1:25" hidden="1" x14ac:dyDescent="0.25">
      <c r="F16712" s="513">
        <v>411</v>
      </c>
      <c r="G16712" s="508" t="s">
        <v>4189</v>
      </c>
      <c r="J16712" s="595">
        <f>SUM(H16712:I16712)</f>
        <v>0</v>
      </c>
    </row>
    <row r="16713" spans="1:25" hidden="1" x14ac:dyDescent="0.25">
      <c r="F16713" s="513">
        <v>412</v>
      </c>
      <c r="G16713" s="505" t="s">
        <v>3784</v>
      </c>
      <c r="J16713" s="595">
        <f t="shared" ref="J16713:J16771" si="497">SUM(H16713:I16713)</f>
        <v>0</v>
      </c>
    </row>
    <row r="16714" spans="1:25" hidden="1" x14ac:dyDescent="0.25">
      <c r="F16714" s="513">
        <v>413</v>
      </c>
      <c r="G16714" s="508" t="s">
        <v>4190</v>
      </c>
      <c r="J16714" s="595">
        <f t="shared" si="497"/>
        <v>0</v>
      </c>
    </row>
    <row r="16715" spans="1:25" hidden="1" x14ac:dyDescent="0.25">
      <c r="F16715" s="513">
        <v>414</v>
      </c>
      <c r="G16715" s="508" t="s">
        <v>3787</v>
      </c>
      <c r="J16715" s="595">
        <f t="shared" si="497"/>
        <v>0</v>
      </c>
    </row>
    <row r="16716" spans="1:25" hidden="1" x14ac:dyDescent="0.25">
      <c r="F16716" s="513">
        <v>415</v>
      </c>
      <c r="G16716" s="508" t="s">
        <v>4199</v>
      </c>
      <c r="J16716" s="595">
        <f t="shared" si="497"/>
        <v>0</v>
      </c>
    </row>
    <row r="16717" spans="1:25" hidden="1" x14ac:dyDescent="0.25">
      <c r="F16717" s="513">
        <v>416</v>
      </c>
      <c r="G16717" s="508" t="s">
        <v>4200</v>
      </c>
      <c r="J16717" s="595">
        <f t="shared" si="497"/>
        <v>0</v>
      </c>
    </row>
    <row r="16718" spans="1:25" hidden="1" x14ac:dyDescent="0.25">
      <c r="F16718" s="513">
        <v>417</v>
      </c>
      <c r="G16718" s="508" t="s">
        <v>4201</v>
      </c>
      <c r="J16718" s="595">
        <f t="shared" si="497"/>
        <v>0</v>
      </c>
    </row>
    <row r="16719" spans="1:25" hidden="1" x14ac:dyDescent="0.25">
      <c r="F16719" s="513">
        <v>418</v>
      </c>
      <c r="G16719" s="508" t="s">
        <v>3793</v>
      </c>
      <c r="J16719" s="595">
        <f t="shared" si="497"/>
        <v>0</v>
      </c>
    </row>
    <row r="16720" spans="1:25" hidden="1" x14ac:dyDescent="0.25">
      <c r="F16720" s="513">
        <v>421</v>
      </c>
      <c r="G16720" s="508" t="s">
        <v>3797</v>
      </c>
      <c r="J16720" s="595">
        <f t="shared" si="497"/>
        <v>0</v>
      </c>
    </row>
    <row r="16721" spans="6:10" hidden="1" x14ac:dyDescent="0.25">
      <c r="F16721" s="513">
        <v>422</v>
      </c>
      <c r="G16721" s="508" t="s">
        <v>3798</v>
      </c>
      <c r="J16721" s="595">
        <f t="shared" si="497"/>
        <v>0</v>
      </c>
    </row>
    <row r="16722" spans="6:10" hidden="1" x14ac:dyDescent="0.25">
      <c r="F16722" s="513">
        <v>423</v>
      </c>
      <c r="G16722" s="508" t="s">
        <v>3799</v>
      </c>
      <c r="J16722" s="595">
        <f t="shared" si="497"/>
        <v>0</v>
      </c>
    </row>
    <row r="16723" spans="6:10" hidden="1" x14ac:dyDescent="0.25">
      <c r="F16723" s="513">
        <v>424</v>
      </c>
      <c r="G16723" s="508" t="s">
        <v>3801</v>
      </c>
      <c r="J16723" s="595">
        <f t="shared" si="497"/>
        <v>0</v>
      </c>
    </row>
    <row r="16724" spans="6:10" hidden="1" x14ac:dyDescent="0.25">
      <c r="F16724" s="513">
        <v>425</v>
      </c>
      <c r="G16724" s="508" t="s">
        <v>4202</v>
      </c>
      <c r="J16724" s="595">
        <f t="shared" si="497"/>
        <v>0</v>
      </c>
    </row>
    <row r="16725" spans="6:10" hidden="1" x14ac:dyDescent="0.25">
      <c r="F16725" s="513">
        <v>426</v>
      </c>
      <c r="G16725" s="508" t="s">
        <v>3805</v>
      </c>
      <c r="J16725" s="595">
        <f t="shared" si="497"/>
        <v>0</v>
      </c>
    </row>
    <row r="16726" spans="6:10" hidden="1" x14ac:dyDescent="0.25">
      <c r="F16726" s="513">
        <v>431</v>
      </c>
      <c r="G16726" s="508" t="s">
        <v>4203</v>
      </c>
      <c r="J16726" s="595">
        <f t="shared" si="497"/>
        <v>0</v>
      </c>
    </row>
    <row r="16727" spans="6:10" hidden="1" x14ac:dyDescent="0.25">
      <c r="F16727" s="513">
        <v>432</v>
      </c>
      <c r="G16727" s="508" t="s">
        <v>4204</v>
      </c>
      <c r="J16727" s="595">
        <f t="shared" si="497"/>
        <v>0</v>
      </c>
    </row>
    <row r="16728" spans="6:10" hidden="1" x14ac:dyDescent="0.25">
      <c r="F16728" s="513">
        <v>433</v>
      </c>
      <c r="G16728" s="508" t="s">
        <v>4205</v>
      </c>
      <c r="J16728" s="595">
        <f t="shared" si="497"/>
        <v>0</v>
      </c>
    </row>
    <row r="16729" spans="6:10" hidden="1" x14ac:dyDescent="0.25">
      <c r="F16729" s="513">
        <v>434</v>
      </c>
      <c r="G16729" s="508" t="s">
        <v>4206</v>
      </c>
      <c r="J16729" s="595">
        <f t="shared" si="497"/>
        <v>0</v>
      </c>
    </row>
    <row r="16730" spans="6:10" hidden="1" x14ac:dyDescent="0.25">
      <c r="F16730" s="513">
        <v>435</v>
      </c>
      <c r="G16730" s="508" t="s">
        <v>3812</v>
      </c>
      <c r="J16730" s="595">
        <f t="shared" si="497"/>
        <v>0</v>
      </c>
    </row>
    <row r="16731" spans="6:10" hidden="1" x14ac:dyDescent="0.25">
      <c r="F16731" s="513">
        <v>441</v>
      </c>
      <c r="G16731" s="508" t="s">
        <v>4207</v>
      </c>
      <c r="J16731" s="595">
        <f t="shared" si="497"/>
        <v>0</v>
      </c>
    </row>
    <row r="16732" spans="6:10" hidden="1" x14ac:dyDescent="0.25">
      <c r="F16732" s="513">
        <v>442</v>
      </c>
      <c r="G16732" s="508" t="s">
        <v>4208</v>
      </c>
      <c r="J16732" s="595">
        <f t="shared" si="497"/>
        <v>0</v>
      </c>
    </row>
    <row r="16733" spans="6:10" hidden="1" x14ac:dyDescent="0.25">
      <c r="F16733" s="513">
        <v>443</v>
      </c>
      <c r="G16733" s="508" t="s">
        <v>3817</v>
      </c>
      <c r="J16733" s="595">
        <f t="shared" si="497"/>
        <v>0</v>
      </c>
    </row>
    <row r="16734" spans="6:10" hidden="1" x14ac:dyDescent="0.25">
      <c r="F16734" s="513">
        <v>444</v>
      </c>
      <c r="G16734" s="508" t="s">
        <v>3818</v>
      </c>
      <c r="J16734" s="595">
        <f t="shared" si="497"/>
        <v>0</v>
      </c>
    </row>
    <row r="16735" spans="6:10" ht="30" hidden="1" x14ac:dyDescent="0.25">
      <c r="F16735" s="513">
        <v>4511</v>
      </c>
      <c r="G16735" s="223" t="s">
        <v>1692</v>
      </c>
      <c r="J16735" s="595">
        <f t="shared" si="497"/>
        <v>0</v>
      </c>
    </row>
    <row r="16736" spans="6:10" ht="30" hidden="1" x14ac:dyDescent="0.25">
      <c r="F16736" s="513">
        <v>4512</v>
      </c>
      <c r="G16736" s="223" t="s">
        <v>1701</v>
      </c>
      <c r="J16736" s="595">
        <f t="shared" si="497"/>
        <v>0</v>
      </c>
    </row>
    <row r="16737" spans="6:10" hidden="1" x14ac:dyDescent="0.25">
      <c r="F16737" s="513">
        <v>452</v>
      </c>
      <c r="G16737" s="508" t="s">
        <v>4209</v>
      </c>
      <c r="J16737" s="595">
        <f t="shared" si="497"/>
        <v>0</v>
      </c>
    </row>
    <row r="16738" spans="6:10" hidden="1" x14ac:dyDescent="0.25">
      <c r="F16738" s="513">
        <v>453</v>
      </c>
      <c r="G16738" s="508" t="s">
        <v>4210</v>
      </c>
      <c r="J16738" s="595">
        <f t="shared" si="497"/>
        <v>0</v>
      </c>
    </row>
    <row r="16739" spans="6:10" hidden="1" x14ac:dyDescent="0.25">
      <c r="F16739" s="513">
        <v>454</v>
      </c>
      <c r="G16739" s="508" t="s">
        <v>3823</v>
      </c>
      <c r="J16739" s="595">
        <f t="shared" si="497"/>
        <v>0</v>
      </c>
    </row>
    <row r="16740" spans="6:10" hidden="1" x14ac:dyDescent="0.25">
      <c r="F16740" s="513">
        <v>461</v>
      </c>
      <c r="G16740" s="508" t="s">
        <v>4191</v>
      </c>
      <c r="J16740" s="595">
        <f t="shared" si="497"/>
        <v>0</v>
      </c>
    </row>
    <row r="16741" spans="6:10" hidden="1" x14ac:dyDescent="0.25">
      <c r="F16741" s="513">
        <v>462</v>
      </c>
      <c r="G16741" s="508" t="s">
        <v>3826</v>
      </c>
      <c r="J16741" s="595">
        <f t="shared" si="497"/>
        <v>0</v>
      </c>
    </row>
    <row r="16742" spans="6:10" hidden="1" x14ac:dyDescent="0.25">
      <c r="F16742" s="513">
        <v>4631</v>
      </c>
      <c r="G16742" s="508" t="s">
        <v>3827</v>
      </c>
      <c r="J16742" s="595">
        <f t="shared" si="497"/>
        <v>0</v>
      </c>
    </row>
    <row r="16743" spans="6:10" hidden="1" x14ac:dyDescent="0.25">
      <c r="F16743" s="513">
        <v>4632</v>
      </c>
      <c r="G16743" s="508" t="s">
        <v>3828</v>
      </c>
      <c r="J16743" s="595">
        <f t="shared" si="497"/>
        <v>0</v>
      </c>
    </row>
    <row r="16744" spans="6:10" hidden="1" x14ac:dyDescent="0.25">
      <c r="F16744" s="513">
        <v>464</v>
      </c>
      <c r="G16744" s="508" t="s">
        <v>3829</v>
      </c>
      <c r="J16744" s="595">
        <f t="shared" si="497"/>
        <v>0</v>
      </c>
    </row>
    <row r="16745" spans="6:10" hidden="1" x14ac:dyDescent="0.25">
      <c r="F16745" s="513">
        <v>465</v>
      </c>
      <c r="G16745" s="508" t="s">
        <v>4192</v>
      </c>
      <c r="J16745" s="595">
        <f t="shared" si="497"/>
        <v>0</v>
      </c>
    </row>
    <row r="16746" spans="6:10" hidden="1" x14ac:dyDescent="0.25">
      <c r="F16746" s="513">
        <v>472</v>
      </c>
      <c r="G16746" s="508" t="s">
        <v>3833</v>
      </c>
      <c r="J16746" s="595">
        <f t="shared" si="497"/>
        <v>0</v>
      </c>
    </row>
    <row r="16747" spans="6:10" hidden="1" x14ac:dyDescent="0.25">
      <c r="F16747" s="513">
        <v>481</v>
      </c>
      <c r="G16747" s="508" t="s">
        <v>4211</v>
      </c>
      <c r="J16747" s="595">
        <f t="shared" si="497"/>
        <v>0</v>
      </c>
    </row>
    <row r="16748" spans="6:10" hidden="1" x14ac:dyDescent="0.25">
      <c r="F16748" s="513">
        <v>482</v>
      </c>
      <c r="G16748" s="508" t="s">
        <v>4212</v>
      </c>
      <c r="J16748" s="595">
        <f t="shared" si="497"/>
        <v>0</v>
      </c>
    </row>
    <row r="16749" spans="6:10" hidden="1" x14ac:dyDescent="0.25">
      <c r="F16749" s="513">
        <v>483</v>
      </c>
      <c r="G16749" s="510" t="s">
        <v>4213</v>
      </c>
      <c r="J16749" s="595">
        <f t="shared" si="497"/>
        <v>0</v>
      </c>
    </row>
    <row r="16750" spans="6:10" ht="30" hidden="1" x14ac:dyDescent="0.25">
      <c r="F16750" s="513">
        <v>484</v>
      </c>
      <c r="G16750" s="508" t="s">
        <v>4214</v>
      </c>
      <c r="J16750" s="595">
        <f t="shared" si="497"/>
        <v>0</v>
      </c>
    </row>
    <row r="16751" spans="6:10" ht="30" hidden="1" x14ac:dyDescent="0.25">
      <c r="F16751" s="513">
        <v>485</v>
      </c>
      <c r="G16751" s="508" t="s">
        <v>4215</v>
      </c>
      <c r="J16751" s="595">
        <f t="shared" si="497"/>
        <v>0</v>
      </c>
    </row>
    <row r="16752" spans="6:10" ht="30" hidden="1" x14ac:dyDescent="0.25">
      <c r="F16752" s="513">
        <v>489</v>
      </c>
      <c r="G16752" s="508" t="s">
        <v>3841</v>
      </c>
      <c r="J16752" s="595">
        <f t="shared" si="497"/>
        <v>0</v>
      </c>
    </row>
    <row r="16753" spans="6:10" hidden="1" x14ac:dyDescent="0.25">
      <c r="F16753" s="513">
        <v>494</v>
      </c>
      <c r="G16753" s="508" t="s">
        <v>4193</v>
      </c>
      <c r="J16753" s="595">
        <f t="shared" si="497"/>
        <v>0</v>
      </c>
    </row>
    <row r="16754" spans="6:10" ht="30" hidden="1" x14ac:dyDescent="0.25">
      <c r="F16754" s="513">
        <v>495</v>
      </c>
      <c r="G16754" s="508" t="s">
        <v>4194</v>
      </c>
      <c r="J16754" s="595">
        <f t="shared" si="497"/>
        <v>0</v>
      </c>
    </row>
    <row r="16755" spans="6:10" ht="30" hidden="1" x14ac:dyDescent="0.25">
      <c r="F16755" s="513">
        <v>496</v>
      </c>
      <c r="G16755" s="508" t="s">
        <v>4195</v>
      </c>
      <c r="J16755" s="595">
        <f t="shared" si="497"/>
        <v>0</v>
      </c>
    </row>
    <row r="16756" spans="6:10" hidden="1" x14ac:dyDescent="0.25">
      <c r="F16756" s="513">
        <v>499</v>
      </c>
      <c r="G16756" s="508" t="s">
        <v>4196</v>
      </c>
      <c r="J16756" s="595">
        <f t="shared" si="497"/>
        <v>0</v>
      </c>
    </row>
    <row r="16757" spans="6:10" hidden="1" x14ac:dyDescent="0.25">
      <c r="F16757" s="513">
        <v>511</v>
      </c>
      <c r="G16757" s="510" t="s">
        <v>4216</v>
      </c>
      <c r="J16757" s="595">
        <f t="shared" si="497"/>
        <v>0</v>
      </c>
    </row>
    <row r="16758" spans="6:10" hidden="1" x14ac:dyDescent="0.25">
      <c r="F16758" s="513">
        <v>512</v>
      </c>
      <c r="G16758" s="510" t="s">
        <v>4217</v>
      </c>
      <c r="J16758" s="595">
        <f t="shared" si="497"/>
        <v>0</v>
      </c>
    </row>
    <row r="16759" spans="6:10" hidden="1" x14ac:dyDescent="0.25">
      <c r="F16759" s="513">
        <v>513</v>
      </c>
      <c r="G16759" s="510" t="s">
        <v>4218</v>
      </c>
      <c r="J16759" s="595">
        <f t="shared" si="497"/>
        <v>0</v>
      </c>
    </row>
    <row r="16760" spans="6:10" hidden="1" x14ac:dyDescent="0.25">
      <c r="F16760" s="513">
        <v>514</v>
      </c>
      <c r="G16760" s="508" t="s">
        <v>4219</v>
      </c>
      <c r="J16760" s="595">
        <f t="shared" si="497"/>
        <v>0</v>
      </c>
    </row>
    <row r="16761" spans="6:10" hidden="1" x14ac:dyDescent="0.25">
      <c r="F16761" s="513">
        <v>515</v>
      </c>
      <c r="G16761" s="508" t="s">
        <v>3852</v>
      </c>
      <c r="J16761" s="595">
        <f t="shared" si="497"/>
        <v>0</v>
      </c>
    </row>
    <row r="16762" spans="6:10" hidden="1" x14ac:dyDescent="0.25">
      <c r="F16762" s="513">
        <v>521</v>
      </c>
      <c r="G16762" s="508" t="s">
        <v>4220</v>
      </c>
      <c r="J16762" s="595">
        <f t="shared" si="497"/>
        <v>0</v>
      </c>
    </row>
    <row r="16763" spans="6:10" hidden="1" x14ac:dyDescent="0.25">
      <c r="F16763" s="513">
        <v>522</v>
      </c>
      <c r="G16763" s="508" t="s">
        <v>4221</v>
      </c>
      <c r="J16763" s="595">
        <f t="shared" si="497"/>
        <v>0</v>
      </c>
    </row>
    <row r="16764" spans="6:10" hidden="1" x14ac:dyDescent="0.25">
      <c r="F16764" s="513">
        <v>523</v>
      </c>
      <c r="G16764" s="508" t="s">
        <v>3857</v>
      </c>
      <c r="J16764" s="595">
        <f t="shared" si="497"/>
        <v>0</v>
      </c>
    </row>
    <row r="16765" spans="6:10" hidden="1" x14ac:dyDescent="0.25">
      <c r="F16765" s="513">
        <v>531</v>
      </c>
      <c r="G16765" s="505" t="s">
        <v>4197</v>
      </c>
      <c r="J16765" s="595">
        <f t="shared" si="497"/>
        <v>0</v>
      </c>
    </row>
    <row r="16766" spans="6:10" hidden="1" x14ac:dyDescent="0.25">
      <c r="F16766" s="513">
        <v>541</v>
      </c>
      <c r="G16766" s="508" t="s">
        <v>4222</v>
      </c>
      <c r="J16766" s="595">
        <f t="shared" si="497"/>
        <v>0</v>
      </c>
    </row>
    <row r="16767" spans="6:10" hidden="1" x14ac:dyDescent="0.25">
      <c r="F16767" s="513">
        <v>542</v>
      </c>
      <c r="G16767" s="508" t="s">
        <v>4223</v>
      </c>
      <c r="J16767" s="595">
        <f t="shared" si="497"/>
        <v>0</v>
      </c>
    </row>
    <row r="16768" spans="6:10" hidden="1" x14ac:dyDescent="0.25">
      <c r="F16768" s="513">
        <v>543</v>
      </c>
      <c r="G16768" s="508" t="s">
        <v>3862</v>
      </c>
      <c r="J16768" s="595">
        <f t="shared" si="497"/>
        <v>0</v>
      </c>
    </row>
    <row r="16769" spans="5:10" ht="30" hidden="1" x14ac:dyDescent="0.25">
      <c r="F16769" s="513">
        <v>551</v>
      </c>
      <c r="G16769" s="508" t="s">
        <v>4198</v>
      </c>
      <c r="J16769" s="595">
        <f t="shared" si="497"/>
        <v>0</v>
      </c>
    </row>
    <row r="16770" spans="5:10" hidden="1" x14ac:dyDescent="0.25">
      <c r="F16770" s="514">
        <v>611</v>
      </c>
      <c r="G16770" s="512" t="s">
        <v>3868</v>
      </c>
      <c r="J16770" s="595">
        <f t="shared" si="497"/>
        <v>0</v>
      </c>
    </row>
    <row r="16771" spans="5:10" ht="15.75" hidden="1" thickBot="1" x14ac:dyDescent="0.3">
      <c r="F16771" s="514">
        <v>620</v>
      </c>
      <c r="G16771" s="512" t="s">
        <v>88</v>
      </c>
      <c r="J16771" s="595">
        <f t="shared" si="497"/>
        <v>0</v>
      </c>
    </row>
    <row r="16772" spans="5:10" hidden="1" x14ac:dyDescent="0.25">
      <c r="E16772" s="506"/>
      <c r="F16772" s="514"/>
      <c r="G16772" s="326" t="s">
        <v>4390</v>
      </c>
      <c r="H16772" s="596"/>
      <c r="I16772" s="622"/>
      <c r="J16772" s="597"/>
    </row>
    <row r="16773" spans="5:10" hidden="1" x14ac:dyDescent="0.25">
      <c r="E16773" s="222"/>
      <c r="F16773" s="249" t="s">
        <v>234</v>
      </c>
      <c r="G16773" s="252" t="s">
        <v>235</v>
      </c>
      <c r="H16773" s="598">
        <f>SUM(H16712:H16771)</f>
        <v>0</v>
      </c>
      <c r="I16773" s="599"/>
      <c r="J16773" s="599">
        <f>SUM(H16773:I16773)</f>
        <v>0</v>
      </c>
    </row>
    <row r="16774" spans="5:10" hidden="1" x14ac:dyDescent="0.25">
      <c r="F16774" s="249" t="s">
        <v>236</v>
      </c>
      <c r="G16774" s="252" t="s">
        <v>237</v>
      </c>
      <c r="J16774" s="599">
        <f t="shared" ref="J16774:J16788" si="498">SUM(H16774:I16774)</f>
        <v>0</v>
      </c>
    </row>
    <row r="16775" spans="5:10" hidden="1" x14ac:dyDescent="0.25">
      <c r="F16775" s="249" t="s">
        <v>238</v>
      </c>
      <c r="G16775" s="252" t="s">
        <v>239</v>
      </c>
      <c r="J16775" s="599">
        <f t="shared" si="498"/>
        <v>0</v>
      </c>
    </row>
    <row r="16776" spans="5:10" hidden="1" x14ac:dyDescent="0.25">
      <c r="F16776" s="249" t="s">
        <v>240</v>
      </c>
      <c r="G16776" s="252" t="s">
        <v>241</v>
      </c>
      <c r="J16776" s="599">
        <f t="shared" si="498"/>
        <v>0</v>
      </c>
    </row>
    <row r="16777" spans="5:10" hidden="1" x14ac:dyDescent="0.25">
      <c r="F16777" s="249" t="s">
        <v>242</v>
      </c>
      <c r="G16777" s="252" t="s">
        <v>243</v>
      </c>
      <c r="J16777" s="599">
        <f t="shared" si="498"/>
        <v>0</v>
      </c>
    </row>
    <row r="16778" spans="5:10" hidden="1" x14ac:dyDescent="0.25">
      <c r="F16778" s="249" t="s">
        <v>244</v>
      </c>
      <c r="G16778" s="252" t="s">
        <v>245</v>
      </c>
      <c r="J16778" s="599">
        <f t="shared" si="498"/>
        <v>0</v>
      </c>
    </row>
    <row r="16779" spans="5:10" hidden="1" x14ac:dyDescent="0.25">
      <c r="F16779" s="249" t="s">
        <v>246</v>
      </c>
      <c r="G16779" s="252" t="s">
        <v>247</v>
      </c>
      <c r="J16779" s="599">
        <f t="shared" si="498"/>
        <v>0</v>
      </c>
    </row>
    <row r="16780" spans="5:10" hidden="1" x14ac:dyDescent="0.25">
      <c r="F16780" s="249" t="s">
        <v>248</v>
      </c>
      <c r="G16780" s="252" t="s">
        <v>249</v>
      </c>
      <c r="J16780" s="599">
        <f t="shared" si="498"/>
        <v>0</v>
      </c>
    </row>
    <row r="16781" spans="5:10" hidden="1" x14ac:dyDescent="0.25">
      <c r="F16781" s="249" t="s">
        <v>250</v>
      </c>
      <c r="G16781" s="252" t="s">
        <v>57</v>
      </c>
      <c r="J16781" s="599">
        <f t="shared" si="498"/>
        <v>0</v>
      </c>
    </row>
    <row r="16782" spans="5:10" hidden="1" x14ac:dyDescent="0.25">
      <c r="F16782" s="249" t="s">
        <v>251</v>
      </c>
      <c r="G16782" s="252" t="s">
        <v>252</v>
      </c>
      <c r="J16782" s="599">
        <f t="shared" si="498"/>
        <v>0</v>
      </c>
    </row>
    <row r="16783" spans="5:10" hidden="1" x14ac:dyDescent="0.25">
      <c r="F16783" s="249" t="s">
        <v>253</v>
      </c>
      <c r="G16783" s="252" t="s">
        <v>254</v>
      </c>
      <c r="J16783" s="599">
        <f t="shared" si="498"/>
        <v>0</v>
      </c>
    </row>
    <row r="16784" spans="5:10" ht="30" hidden="1" x14ac:dyDescent="0.25">
      <c r="F16784" s="249" t="s">
        <v>255</v>
      </c>
      <c r="G16784" s="252" t="s">
        <v>256</v>
      </c>
      <c r="J16784" s="599">
        <f t="shared" si="498"/>
        <v>0</v>
      </c>
    </row>
    <row r="16785" spans="5:10" hidden="1" x14ac:dyDescent="0.25">
      <c r="F16785" s="249" t="s">
        <v>257</v>
      </c>
      <c r="G16785" s="252" t="s">
        <v>258</v>
      </c>
      <c r="J16785" s="599">
        <f t="shared" si="498"/>
        <v>0</v>
      </c>
    </row>
    <row r="16786" spans="5:10" ht="30" hidden="1" x14ac:dyDescent="0.25">
      <c r="F16786" s="249" t="s">
        <v>259</v>
      </c>
      <c r="G16786" s="252" t="s">
        <v>260</v>
      </c>
      <c r="J16786" s="599">
        <f t="shared" si="498"/>
        <v>0</v>
      </c>
    </row>
    <row r="16787" spans="5:10" hidden="1" x14ac:dyDescent="0.25">
      <c r="F16787" s="249" t="s">
        <v>261</v>
      </c>
      <c r="G16787" s="252" t="s">
        <v>262</v>
      </c>
      <c r="J16787" s="599">
        <f t="shared" si="498"/>
        <v>0</v>
      </c>
    </row>
    <row r="16788" spans="5:10" ht="15.75" hidden="1" thickBot="1" x14ac:dyDescent="0.3">
      <c r="F16788" s="249" t="s">
        <v>263</v>
      </c>
      <c r="G16788" s="252" t="s">
        <v>264</v>
      </c>
      <c r="H16788" s="598"/>
      <c r="I16788" s="599"/>
      <c r="J16788" s="599">
        <f t="shared" si="498"/>
        <v>0</v>
      </c>
    </row>
    <row r="16789" spans="5:10" ht="15.75" hidden="1" thickBot="1" x14ac:dyDescent="0.3">
      <c r="G16789" s="229" t="s">
        <v>4391</v>
      </c>
      <c r="H16789" s="600">
        <f>SUM(H16773:H16788)</f>
        <v>0</v>
      </c>
      <c r="I16789" s="601">
        <f>SUM(I16774:I16788)</f>
        <v>0</v>
      </c>
      <c r="J16789" s="601">
        <f>SUM(J16773:J16788)</f>
        <v>0</v>
      </c>
    </row>
    <row r="16790" spans="5:10" ht="28.5" hidden="1" collapsed="1" x14ac:dyDescent="0.25">
      <c r="E16790" s="506"/>
      <c r="F16790" s="514"/>
      <c r="G16790" s="231" t="s">
        <v>4277</v>
      </c>
      <c r="H16790" s="602"/>
      <c r="I16790" s="623"/>
      <c r="J16790" s="603"/>
    </row>
    <row r="16791" spans="5:10" hidden="1" x14ac:dyDescent="0.25">
      <c r="E16791" s="222"/>
      <c r="F16791" s="249" t="s">
        <v>234</v>
      </c>
      <c r="G16791" s="252" t="s">
        <v>235</v>
      </c>
      <c r="H16791" s="598">
        <f>SUM(H16712:H16771)</f>
        <v>0</v>
      </c>
      <c r="I16791" s="599"/>
      <c r="J16791" s="599">
        <f>SUM(H16791:I16791)</f>
        <v>0</v>
      </c>
    </row>
    <row r="16792" spans="5:10" hidden="1" x14ac:dyDescent="0.25">
      <c r="F16792" s="249" t="s">
        <v>236</v>
      </c>
      <c r="G16792" s="252" t="s">
        <v>237</v>
      </c>
      <c r="J16792" s="599">
        <f t="shared" ref="J16792:J16806" si="499">SUM(H16792:I16792)</f>
        <v>0</v>
      </c>
    </row>
    <row r="16793" spans="5:10" hidden="1" x14ac:dyDescent="0.25">
      <c r="F16793" s="249" t="s">
        <v>238</v>
      </c>
      <c r="G16793" s="252" t="s">
        <v>239</v>
      </c>
      <c r="J16793" s="599">
        <f t="shared" si="499"/>
        <v>0</v>
      </c>
    </row>
    <row r="16794" spans="5:10" hidden="1" x14ac:dyDescent="0.25">
      <c r="F16794" s="249" t="s">
        <v>240</v>
      </c>
      <c r="G16794" s="252" t="s">
        <v>241</v>
      </c>
      <c r="J16794" s="599">
        <f t="shared" si="499"/>
        <v>0</v>
      </c>
    </row>
    <row r="16795" spans="5:10" hidden="1" x14ac:dyDescent="0.25">
      <c r="F16795" s="249" t="s">
        <v>242</v>
      </c>
      <c r="G16795" s="252" t="s">
        <v>243</v>
      </c>
      <c r="J16795" s="599">
        <f t="shared" si="499"/>
        <v>0</v>
      </c>
    </row>
    <row r="16796" spans="5:10" hidden="1" x14ac:dyDescent="0.25">
      <c r="F16796" s="249" t="s">
        <v>244</v>
      </c>
      <c r="G16796" s="252" t="s">
        <v>245</v>
      </c>
      <c r="J16796" s="599">
        <f t="shared" si="499"/>
        <v>0</v>
      </c>
    </row>
    <row r="16797" spans="5:10" hidden="1" x14ac:dyDescent="0.25">
      <c r="F16797" s="249" t="s">
        <v>246</v>
      </c>
      <c r="G16797" s="252" t="s">
        <v>247</v>
      </c>
      <c r="J16797" s="599">
        <f t="shared" si="499"/>
        <v>0</v>
      </c>
    </row>
    <row r="16798" spans="5:10" hidden="1" x14ac:dyDescent="0.25">
      <c r="F16798" s="249" t="s">
        <v>248</v>
      </c>
      <c r="G16798" s="252" t="s">
        <v>249</v>
      </c>
      <c r="J16798" s="599">
        <f t="shared" si="499"/>
        <v>0</v>
      </c>
    </row>
    <row r="16799" spans="5:10" hidden="1" x14ac:dyDescent="0.25">
      <c r="F16799" s="249" t="s">
        <v>250</v>
      </c>
      <c r="G16799" s="252" t="s">
        <v>57</v>
      </c>
      <c r="J16799" s="599">
        <f t="shared" si="499"/>
        <v>0</v>
      </c>
    </row>
    <row r="16800" spans="5:10" hidden="1" x14ac:dyDescent="0.25">
      <c r="F16800" s="249" t="s">
        <v>251</v>
      </c>
      <c r="G16800" s="252" t="s">
        <v>252</v>
      </c>
      <c r="J16800" s="599">
        <f t="shared" si="499"/>
        <v>0</v>
      </c>
    </row>
    <row r="16801" spans="1:25" hidden="1" x14ac:dyDescent="0.25">
      <c r="F16801" s="249" t="s">
        <v>253</v>
      </c>
      <c r="G16801" s="252" t="s">
        <v>254</v>
      </c>
      <c r="J16801" s="599">
        <f t="shared" si="499"/>
        <v>0</v>
      </c>
    </row>
    <row r="16802" spans="1:25" ht="30" hidden="1" x14ac:dyDescent="0.25">
      <c r="F16802" s="249" t="s">
        <v>255</v>
      </c>
      <c r="G16802" s="252" t="s">
        <v>256</v>
      </c>
      <c r="J16802" s="599">
        <f t="shared" si="499"/>
        <v>0</v>
      </c>
    </row>
    <row r="16803" spans="1:25" hidden="1" x14ac:dyDescent="0.25">
      <c r="F16803" s="249" t="s">
        <v>257</v>
      </c>
      <c r="G16803" s="252" t="s">
        <v>258</v>
      </c>
      <c r="J16803" s="599">
        <f t="shared" si="499"/>
        <v>0</v>
      </c>
    </row>
    <row r="16804" spans="1:25" ht="30" hidden="1" x14ac:dyDescent="0.25">
      <c r="F16804" s="249" t="s">
        <v>259</v>
      </c>
      <c r="G16804" s="252" t="s">
        <v>260</v>
      </c>
      <c r="J16804" s="599">
        <f t="shared" si="499"/>
        <v>0</v>
      </c>
    </row>
    <row r="16805" spans="1:25" hidden="1" x14ac:dyDescent="0.25">
      <c r="F16805" s="249" t="s">
        <v>261</v>
      </c>
      <c r="G16805" s="252" t="s">
        <v>262</v>
      </c>
      <c r="J16805" s="599">
        <f t="shared" si="499"/>
        <v>0</v>
      </c>
    </row>
    <row r="16806" spans="1:25" ht="15.75" hidden="1" thickBot="1" x14ac:dyDescent="0.3">
      <c r="F16806" s="249" t="s">
        <v>263</v>
      </c>
      <c r="G16806" s="252" t="s">
        <v>264</v>
      </c>
      <c r="H16806" s="598"/>
      <c r="I16806" s="599"/>
      <c r="J16806" s="599">
        <f t="shared" si="499"/>
        <v>0</v>
      </c>
    </row>
    <row r="16807" spans="1:25" ht="15.75" hidden="1" collapsed="1" thickBot="1" x14ac:dyDescent="0.3">
      <c r="G16807" s="229" t="s">
        <v>4278</v>
      </c>
      <c r="H16807" s="600">
        <f>SUM(H16791:H16806)</f>
        <v>0</v>
      </c>
      <c r="I16807" s="601">
        <f>SUM(I16792:I16806)</f>
        <v>0</v>
      </c>
      <c r="J16807" s="601">
        <f>SUM(J16791:J16806)</f>
        <v>0</v>
      </c>
    </row>
    <row r="16808" spans="1:25" s="88" customFormat="1" ht="15.75" hidden="1" customHeight="1" x14ac:dyDescent="0.25">
      <c r="A16808" s="509"/>
      <c r="B16808" s="256"/>
      <c r="C16808" s="316"/>
      <c r="D16808" s="251"/>
      <c r="E16808" s="251"/>
      <c r="F16808" s="257"/>
      <c r="G16808" s="507"/>
      <c r="H16808" s="627"/>
      <c r="I16808" s="610"/>
      <c r="J16808" s="628"/>
      <c r="K16808" s="533"/>
      <c r="L16808" s="533"/>
      <c r="M16808" s="533"/>
      <c r="N16808" s="533"/>
      <c r="O16808" s="533"/>
      <c r="P16808" s="533"/>
      <c r="Q16808" s="533"/>
      <c r="R16808" s="533"/>
      <c r="S16808" s="533"/>
      <c r="T16808" s="533"/>
      <c r="U16808" s="533"/>
      <c r="V16808" s="533"/>
      <c r="W16808" s="533"/>
      <c r="X16808" s="533"/>
      <c r="Y16808" s="533"/>
    </row>
    <row r="16809" spans="1:25" s="88" customFormat="1" hidden="1" x14ac:dyDescent="0.25">
      <c r="A16809" s="509"/>
      <c r="B16809" s="256"/>
      <c r="C16809" s="316"/>
      <c r="D16809" s="251"/>
      <c r="E16809" s="251"/>
      <c r="F16809" s="514"/>
      <c r="G16809" s="250" t="s">
        <v>4272</v>
      </c>
      <c r="H16809" s="606"/>
      <c r="I16809" s="624"/>
      <c r="J16809" s="607"/>
      <c r="K16809" s="533"/>
      <c r="L16809" s="533"/>
      <c r="M16809" s="533"/>
      <c r="N16809" s="533"/>
      <c r="O16809" s="533"/>
      <c r="P16809" s="533"/>
      <c r="Q16809" s="533"/>
      <c r="R16809" s="533"/>
      <c r="S16809" s="533"/>
      <c r="T16809" s="533"/>
      <c r="U16809" s="533"/>
      <c r="V16809" s="533"/>
      <c r="W16809" s="533"/>
      <c r="X16809" s="533"/>
      <c r="Y16809" s="533"/>
    </row>
    <row r="16810" spans="1:25" s="88" customFormat="1" ht="15.75" hidden="1" thickBot="1" x14ac:dyDescent="0.3">
      <c r="A16810" s="509"/>
      <c r="B16810" s="256"/>
      <c r="C16810" s="316"/>
      <c r="D16810" s="251"/>
      <c r="E16810" s="251"/>
      <c r="F16810" s="249" t="s">
        <v>234</v>
      </c>
      <c r="G16810" s="252" t="s">
        <v>235</v>
      </c>
      <c r="H16810" s="598">
        <f>SUM(H16395,H16494,H16593,H16692,H16791)</f>
        <v>0</v>
      </c>
      <c r="I16810" s="599"/>
      <c r="J16810" s="599">
        <f>SUM(H16810:I16810)</f>
        <v>0</v>
      </c>
      <c r="K16810" s="533"/>
      <c r="L16810" s="533"/>
      <c r="M16810" s="533"/>
      <c r="N16810" s="533"/>
      <c r="O16810" s="533"/>
      <c r="P16810" s="533"/>
      <c r="Q16810" s="533"/>
      <c r="R16810" s="533"/>
      <c r="S16810" s="533"/>
      <c r="T16810" s="533"/>
      <c r="U16810" s="533"/>
      <c r="V16810" s="533"/>
      <c r="W16810" s="533"/>
      <c r="X16810" s="533"/>
      <c r="Y16810" s="533"/>
    </row>
    <row r="16811" spans="1:25" s="88" customFormat="1" hidden="1" x14ac:dyDescent="0.25">
      <c r="A16811" s="509"/>
      <c r="B16811" s="256"/>
      <c r="C16811" s="316"/>
      <c r="D16811" s="251"/>
      <c r="E16811" s="251"/>
      <c r="F16811" s="249" t="s">
        <v>236</v>
      </c>
      <c r="G16811" s="252" t="s">
        <v>237</v>
      </c>
      <c r="H16811" s="594"/>
      <c r="I16811" s="595"/>
      <c r="J16811" s="599">
        <f t="shared" ref="J16811:J16825" si="500">SUM(H16811:I16811)</f>
        <v>0</v>
      </c>
      <c r="K16811" s="533"/>
      <c r="L16811" s="533"/>
      <c r="M16811" s="533"/>
      <c r="N16811" s="533"/>
      <c r="O16811" s="533"/>
      <c r="P16811" s="533"/>
      <c r="Q16811" s="533"/>
      <c r="R16811" s="533"/>
      <c r="S16811" s="533"/>
      <c r="T16811" s="533"/>
      <c r="U16811" s="533"/>
      <c r="V16811" s="533"/>
      <c r="W16811" s="533"/>
      <c r="X16811" s="533"/>
      <c r="Y16811" s="533"/>
    </row>
    <row r="16812" spans="1:25" s="88" customFormat="1" hidden="1" x14ac:dyDescent="0.25">
      <c r="A16812" s="509"/>
      <c r="B16812" s="256"/>
      <c r="C16812" s="316"/>
      <c r="D16812" s="251"/>
      <c r="E16812" s="251"/>
      <c r="F16812" s="249" t="s">
        <v>238</v>
      </c>
      <c r="G16812" s="252" t="s">
        <v>239</v>
      </c>
      <c r="H16812" s="594"/>
      <c r="I16812" s="595"/>
      <c r="J16812" s="599">
        <f t="shared" si="500"/>
        <v>0</v>
      </c>
      <c r="K16812" s="533"/>
      <c r="L16812" s="533"/>
      <c r="M16812" s="533"/>
      <c r="N16812" s="533"/>
      <c r="O16812" s="533"/>
      <c r="P16812" s="533"/>
      <c r="Q16812" s="533"/>
      <c r="R16812" s="533"/>
      <c r="S16812" s="533"/>
      <c r="T16812" s="533"/>
      <c r="U16812" s="533"/>
      <c r="V16812" s="533"/>
      <c r="W16812" s="533"/>
      <c r="X16812" s="533"/>
      <c r="Y16812" s="533"/>
    </row>
    <row r="16813" spans="1:25" s="88" customFormat="1" hidden="1" x14ac:dyDescent="0.25">
      <c r="A16813" s="509"/>
      <c r="B16813" s="256"/>
      <c r="C16813" s="316"/>
      <c r="D16813" s="251"/>
      <c r="E16813" s="251"/>
      <c r="F16813" s="249" t="s">
        <v>240</v>
      </c>
      <c r="G16813" s="252" t="s">
        <v>241</v>
      </c>
      <c r="H16813" s="594"/>
      <c r="I16813" s="595"/>
      <c r="J16813" s="599">
        <f t="shared" si="500"/>
        <v>0</v>
      </c>
      <c r="K16813" s="533"/>
      <c r="L16813" s="533"/>
      <c r="M16813" s="533"/>
      <c r="N16813" s="533"/>
      <c r="O16813" s="533"/>
      <c r="P16813" s="533"/>
      <c r="Q16813" s="533"/>
      <c r="R16813" s="533"/>
      <c r="S16813" s="533"/>
      <c r="T16813" s="533"/>
      <c r="U16813" s="533"/>
      <c r="V16813" s="533"/>
      <c r="W16813" s="533"/>
      <c r="X16813" s="533"/>
      <c r="Y16813" s="533"/>
    </row>
    <row r="16814" spans="1:25" s="88" customFormat="1" hidden="1" x14ac:dyDescent="0.25">
      <c r="A16814" s="509"/>
      <c r="B16814" s="256"/>
      <c r="C16814" s="316"/>
      <c r="D16814" s="251"/>
      <c r="E16814" s="251"/>
      <c r="F16814" s="249" t="s">
        <v>242</v>
      </c>
      <c r="G16814" s="252" t="s">
        <v>243</v>
      </c>
      <c r="H16814" s="594"/>
      <c r="I16814" s="595"/>
      <c r="J16814" s="599">
        <f t="shared" si="500"/>
        <v>0</v>
      </c>
      <c r="K16814" s="533"/>
      <c r="L16814" s="533"/>
      <c r="M16814" s="533"/>
      <c r="N16814" s="533"/>
      <c r="O16814" s="533"/>
      <c r="P16814" s="533"/>
      <c r="Q16814" s="533"/>
      <c r="R16814" s="533"/>
      <c r="S16814" s="533"/>
      <c r="T16814" s="533"/>
      <c r="U16814" s="533"/>
      <c r="V16814" s="533"/>
      <c r="W16814" s="533"/>
      <c r="X16814" s="533"/>
      <c r="Y16814" s="533"/>
    </row>
    <row r="16815" spans="1:25" s="88" customFormat="1" hidden="1" x14ac:dyDescent="0.25">
      <c r="A16815" s="509"/>
      <c r="B16815" s="256"/>
      <c r="C16815" s="316"/>
      <c r="D16815" s="251"/>
      <c r="E16815" s="251"/>
      <c r="F16815" s="249" t="s">
        <v>244</v>
      </c>
      <c r="G16815" s="252" t="s">
        <v>245</v>
      </c>
      <c r="H16815" s="594"/>
      <c r="I16815" s="595"/>
      <c r="J16815" s="599">
        <f t="shared" si="500"/>
        <v>0</v>
      </c>
      <c r="K16815" s="533"/>
      <c r="L16815" s="533"/>
      <c r="M16815" s="533"/>
      <c r="N16815" s="533"/>
      <c r="O16815" s="533"/>
      <c r="P16815" s="533"/>
      <c r="Q16815" s="533"/>
      <c r="R16815" s="533"/>
      <c r="S16815" s="533"/>
      <c r="T16815" s="533"/>
      <c r="U16815" s="533"/>
      <c r="V16815" s="533"/>
      <c r="W16815" s="533"/>
      <c r="X16815" s="533"/>
      <c r="Y16815" s="533"/>
    </row>
    <row r="16816" spans="1:25" s="88" customFormat="1" hidden="1" x14ac:dyDescent="0.25">
      <c r="A16816" s="509"/>
      <c r="B16816" s="256"/>
      <c r="C16816" s="316"/>
      <c r="D16816" s="251"/>
      <c r="E16816" s="251"/>
      <c r="F16816" s="249" t="s">
        <v>246</v>
      </c>
      <c r="G16816" s="252" t="s">
        <v>247</v>
      </c>
      <c r="H16816" s="594"/>
      <c r="I16816" s="595"/>
      <c r="J16816" s="599">
        <f t="shared" si="500"/>
        <v>0</v>
      </c>
      <c r="K16816" s="533"/>
      <c r="L16816" s="533"/>
      <c r="M16816" s="533"/>
      <c r="N16816" s="533"/>
      <c r="O16816" s="533"/>
      <c r="P16816" s="533"/>
      <c r="Q16816" s="533"/>
      <c r="R16816" s="533"/>
      <c r="S16816" s="533"/>
      <c r="T16816" s="533"/>
      <c r="U16816" s="533"/>
      <c r="V16816" s="533"/>
      <c r="W16816" s="533"/>
      <c r="X16816" s="533"/>
      <c r="Y16816" s="533"/>
    </row>
    <row r="16817" spans="1:25" s="88" customFormat="1" hidden="1" x14ac:dyDescent="0.25">
      <c r="A16817" s="509"/>
      <c r="B16817" s="256"/>
      <c r="C16817" s="316"/>
      <c r="D16817" s="251"/>
      <c r="E16817" s="251"/>
      <c r="F16817" s="249" t="s">
        <v>248</v>
      </c>
      <c r="G16817" s="252" t="s">
        <v>249</v>
      </c>
      <c r="H16817" s="594"/>
      <c r="I16817" s="595"/>
      <c r="J16817" s="599">
        <f t="shared" si="500"/>
        <v>0</v>
      </c>
      <c r="K16817" s="533"/>
      <c r="L16817" s="533"/>
      <c r="M16817" s="533"/>
      <c r="N16817" s="533"/>
      <c r="O16817" s="533"/>
      <c r="P16817" s="533"/>
      <c r="Q16817" s="533"/>
      <c r="R16817" s="533"/>
      <c r="S16817" s="533"/>
      <c r="T16817" s="533"/>
      <c r="U16817" s="533"/>
      <c r="V16817" s="533"/>
      <c r="W16817" s="533"/>
      <c r="X16817" s="533"/>
      <c r="Y16817" s="533"/>
    </row>
    <row r="16818" spans="1:25" s="88" customFormat="1" hidden="1" x14ac:dyDescent="0.25">
      <c r="A16818" s="509"/>
      <c r="B16818" s="256"/>
      <c r="C16818" s="316"/>
      <c r="D16818" s="251"/>
      <c r="E16818" s="251"/>
      <c r="F16818" s="249" t="s">
        <v>250</v>
      </c>
      <c r="G16818" s="252" t="s">
        <v>57</v>
      </c>
      <c r="H16818" s="594"/>
      <c r="I16818" s="595"/>
      <c r="J16818" s="599">
        <f t="shared" si="500"/>
        <v>0</v>
      </c>
      <c r="K16818" s="533"/>
      <c r="L16818" s="533"/>
      <c r="M16818" s="533"/>
      <c r="N16818" s="533"/>
      <c r="O16818" s="533"/>
      <c r="P16818" s="533"/>
      <c r="Q16818" s="533"/>
      <c r="R16818" s="533"/>
      <c r="S16818" s="533"/>
      <c r="T16818" s="533"/>
      <c r="U16818" s="533"/>
      <c r="V16818" s="533"/>
      <c r="W16818" s="533"/>
      <c r="X16818" s="533"/>
      <c r="Y16818" s="533"/>
    </row>
    <row r="16819" spans="1:25" s="88" customFormat="1" hidden="1" x14ac:dyDescent="0.25">
      <c r="A16819" s="509"/>
      <c r="B16819" s="256"/>
      <c r="C16819" s="316"/>
      <c r="D16819" s="251"/>
      <c r="E16819" s="251"/>
      <c r="F16819" s="249" t="s">
        <v>251</v>
      </c>
      <c r="G16819" s="252" t="s">
        <v>252</v>
      </c>
      <c r="H16819" s="594"/>
      <c r="I16819" s="595"/>
      <c r="J16819" s="599">
        <f t="shared" si="500"/>
        <v>0</v>
      </c>
      <c r="K16819" s="533"/>
      <c r="L16819" s="533"/>
      <c r="M16819" s="533"/>
      <c r="N16819" s="533"/>
      <c r="O16819" s="533"/>
      <c r="P16819" s="533"/>
      <c r="Q16819" s="533"/>
      <c r="R16819" s="533"/>
      <c r="S16819" s="533"/>
      <c r="T16819" s="533"/>
      <c r="U16819" s="533"/>
      <c r="V16819" s="533"/>
      <c r="W16819" s="533"/>
      <c r="X16819" s="533"/>
      <c r="Y16819" s="533"/>
    </row>
    <row r="16820" spans="1:25" s="88" customFormat="1" hidden="1" x14ac:dyDescent="0.25">
      <c r="A16820" s="509"/>
      <c r="B16820" s="256"/>
      <c r="C16820" s="316"/>
      <c r="D16820" s="251"/>
      <c r="E16820" s="251"/>
      <c r="F16820" s="249" t="s">
        <v>253</v>
      </c>
      <c r="G16820" s="252" t="s">
        <v>254</v>
      </c>
      <c r="H16820" s="594"/>
      <c r="I16820" s="595"/>
      <c r="J16820" s="599">
        <f t="shared" si="500"/>
        <v>0</v>
      </c>
      <c r="K16820" s="533"/>
      <c r="L16820" s="533"/>
      <c r="M16820" s="533"/>
      <c r="N16820" s="533"/>
      <c r="O16820" s="533"/>
      <c r="P16820" s="533"/>
      <c r="Q16820" s="533"/>
      <c r="R16820" s="533"/>
      <c r="S16820" s="533"/>
      <c r="T16820" s="533"/>
      <c r="U16820" s="533"/>
      <c r="V16820" s="533"/>
      <c r="W16820" s="533"/>
      <c r="X16820" s="533"/>
      <c r="Y16820" s="533"/>
    </row>
    <row r="16821" spans="1:25" s="88" customFormat="1" ht="30" hidden="1" x14ac:dyDescent="0.25">
      <c r="A16821" s="509"/>
      <c r="B16821" s="256"/>
      <c r="C16821" s="316"/>
      <c r="D16821" s="251"/>
      <c r="E16821" s="251"/>
      <c r="F16821" s="249" t="s">
        <v>255</v>
      </c>
      <c r="G16821" s="252" t="s">
        <v>256</v>
      </c>
      <c r="H16821" s="594"/>
      <c r="I16821" s="595"/>
      <c r="J16821" s="599">
        <f t="shared" si="500"/>
        <v>0</v>
      </c>
      <c r="K16821" s="533"/>
      <c r="L16821" s="533"/>
      <c r="M16821" s="533"/>
      <c r="N16821" s="533"/>
      <c r="O16821" s="533"/>
      <c r="P16821" s="533"/>
      <c r="Q16821" s="533"/>
      <c r="R16821" s="533"/>
      <c r="S16821" s="533"/>
      <c r="T16821" s="533"/>
      <c r="U16821" s="533"/>
      <c r="V16821" s="533"/>
      <c r="W16821" s="533"/>
      <c r="X16821" s="533"/>
      <c r="Y16821" s="533"/>
    </row>
    <row r="16822" spans="1:25" s="88" customFormat="1" hidden="1" x14ac:dyDescent="0.25">
      <c r="A16822" s="509"/>
      <c r="B16822" s="256"/>
      <c r="C16822" s="316"/>
      <c r="D16822" s="251"/>
      <c r="E16822" s="251"/>
      <c r="F16822" s="249" t="s">
        <v>257</v>
      </c>
      <c r="G16822" s="252" t="s">
        <v>258</v>
      </c>
      <c r="H16822" s="594"/>
      <c r="I16822" s="595"/>
      <c r="J16822" s="599">
        <f t="shared" si="500"/>
        <v>0</v>
      </c>
      <c r="K16822" s="533"/>
      <c r="L16822" s="533"/>
      <c r="M16822" s="533"/>
      <c r="N16822" s="533"/>
      <c r="O16822" s="533"/>
      <c r="P16822" s="533"/>
      <c r="Q16822" s="533"/>
      <c r="R16822" s="533"/>
      <c r="S16822" s="533"/>
      <c r="T16822" s="533"/>
      <c r="U16822" s="533"/>
      <c r="V16822" s="533"/>
      <c r="W16822" s="533"/>
      <c r="X16822" s="533"/>
      <c r="Y16822" s="533"/>
    </row>
    <row r="16823" spans="1:25" s="88" customFormat="1" ht="30" hidden="1" x14ac:dyDescent="0.25">
      <c r="A16823" s="509"/>
      <c r="B16823" s="256"/>
      <c r="C16823" s="316"/>
      <c r="D16823" s="251"/>
      <c r="E16823" s="251"/>
      <c r="F16823" s="249" t="s">
        <v>259</v>
      </c>
      <c r="G16823" s="252" t="s">
        <v>260</v>
      </c>
      <c r="H16823" s="594"/>
      <c r="I16823" s="595"/>
      <c r="J16823" s="599">
        <f t="shared" si="500"/>
        <v>0</v>
      </c>
      <c r="K16823" s="533"/>
      <c r="L16823" s="533"/>
      <c r="M16823" s="533"/>
      <c r="N16823" s="533"/>
      <c r="O16823" s="533"/>
      <c r="P16823" s="533"/>
      <c r="Q16823" s="533"/>
      <c r="R16823" s="533"/>
      <c r="S16823" s="533"/>
      <c r="T16823" s="533"/>
      <c r="U16823" s="533"/>
      <c r="V16823" s="533"/>
      <c r="W16823" s="533"/>
      <c r="X16823" s="533"/>
      <c r="Y16823" s="533"/>
    </row>
    <row r="16824" spans="1:25" s="88" customFormat="1" hidden="1" x14ac:dyDescent="0.25">
      <c r="A16824" s="509"/>
      <c r="B16824" s="256"/>
      <c r="C16824" s="316"/>
      <c r="D16824" s="251"/>
      <c r="E16824" s="251"/>
      <c r="F16824" s="249" t="s">
        <v>261</v>
      </c>
      <c r="G16824" s="252" t="s">
        <v>262</v>
      </c>
      <c r="H16824" s="594"/>
      <c r="I16824" s="595"/>
      <c r="J16824" s="599">
        <f t="shared" si="500"/>
        <v>0</v>
      </c>
      <c r="K16824" s="533"/>
      <c r="L16824" s="533"/>
      <c r="M16824" s="533"/>
      <c r="N16824" s="533"/>
      <c r="O16824" s="533"/>
      <c r="P16824" s="533"/>
      <c r="Q16824" s="533"/>
      <c r="R16824" s="533"/>
      <c r="S16824" s="533"/>
      <c r="T16824" s="533"/>
      <c r="U16824" s="533"/>
      <c r="V16824" s="533"/>
      <c r="W16824" s="533"/>
      <c r="X16824" s="533"/>
      <c r="Y16824" s="533"/>
    </row>
    <row r="16825" spans="1:25" s="88" customFormat="1" ht="15.75" hidden="1" thickBot="1" x14ac:dyDescent="0.3">
      <c r="A16825" s="509"/>
      <c r="B16825" s="256"/>
      <c r="C16825" s="316"/>
      <c r="D16825" s="251"/>
      <c r="E16825" s="251"/>
      <c r="F16825" s="249" t="s">
        <v>263</v>
      </c>
      <c r="G16825" s="252" t="s">
        <v>264</v>
      </c>
      <c r="H16825" s="598"/>
      <c r="I16825" s="599"/>
      <c r="J16825" s="599">
        <f t="shared" si="500"/>
        <v>0</v>
      </c>
      <c r="K16825" s="533"/>
      <c r="L16825" s="533"/>
      <c r="M16825" s="533"/>
      <c r="N16825" s="533"/>
      <c r="O16825" s="533"/>
      <c r="P16825" s="533"/>
      <c r="Q16825" s="533"/>
      <c r="R16825" s="533"/>
      <c r="S16825" s="533"/>
      <c r="T16825" s="533"/>
      <c r="U16825" s="533"/>
      <c r="V16825" s="533"/>
      <c r="W16825" s="533"/>
      <c r="X16825" s="533"/>
      <c r="Y16825" s="533"/>
    </row>
    <row r="16826" spans="1:25" s="88" customFormat="1" ht="15.75" hidden="1" thickBot="1" x14ac:dyDescent="0.3">
      <c r="A16826" s="509"/>
      <c r="B16826" s="256"/>
      <c r="C16826" s="316"/>
      <c r="D16826" s="251"/>
      <c r="E16826" s="251"/>
      <c r="F16826" s="218"/>
      <c r="G16826" s="229" t="s">
        <v>4273</v>
      </c>
      <c r="H16826" s="600">
        <f>SUM(H16810:H16825)</f>
        <v>0</v>
      </c>
      <c r="I16826" s="601">
        <f>SUM(I16811:I16825)</f>
        <v>0</v>
      </c>
      <c r="J16826" s="601">
        <f>SUM(J16810:J16825)</f>
        <v>0</v>
      </c>
      <c r="K16826" s="533"/>
      <c r="L16826" s="533"/>
      <c r="M16826" s="533"/>
      <c r="N16826" s="533"/>
      <c r="O16826" s="533"/>
      <c r="P16826" s="533"/>
      <c r="Q16826" s="533"/>
      <c r="R16826" s="533"/>
      <c r="S16826" s="533"/>
      <c r="T16826" s="533"/>
      <c r="U16826" s="533"/>
      <c r="V16826" s="533"/>
      <c r="W16826" s="533"/>
      <c r="X16826" s="533"/>
      <c r="Y16826" s="533"/>
    </row>
    <row r="16827" spans="1:25" hidden="1" x14ac:dyDescent="0.25"/>
    <row r="16828" spans="1:25" hidden="1" x14ac:dyDescent="0.25">
      <c r="E16828" s="506"/>
      <c r="F16828" s="514"/>
      <c r="G16828" s="250" t="s">
        <v>4480</v>
      </c>
      <c r="H16828" s="606"/>
      <c r="I16828" s="624"/>
      <c r="J16828" s="607"/>
    </row>
    <row r="16829" spans="1:25" ht="15.75" hidden="1" thickBot="1" x14ac:dyDescent="0.3">
      <c r="E16829" s="222"/>
      <c r="F16829" s="249" t="s">
        <v>234</v>
      </c>
      <c r="G16829" s="252" t="s">
        <v>235</v>
      </c>
      <c r="H16829" s="598">
        <f>SUM(H16810)</f>
        <v>0</v>
      </c>
      <c r="I16829" s="599"/>
      <c r="J16829" s="599">
        <f>SUM(H16829:I16829)</f>
        <v>0</v>
      </c>
    </row>
    <row r="16830" spans="1:25" hidden="1" x14ac:dyDescent="0.25">
      <c r="F16830" s="249" t="s">
        <v>236</v>
      </c>
      <c r="G16830" s="252" t="s">
        <v>237</v>
      </c>
      <c r="J16830" s="599">
        <f t="shared" ref="J16830:J16844" si="501">SUM(H16830:I16830)</f>
        <v>0</v>
      </c>
    </row>
    <row r="16831" spans="1:25" hidden="1" x14ac:dyDescent="0.25">
      <c r="F16831" s="249" t="s">
        <v>238</v>
      </c>
      <c r="G16831" s="252" t="s">
        <v>239</v>
      </c>
      <c r="J16831" s="599">
        <f t="shared" si="501"/>
        <v>0</v>
      </c>
    </row>
    <row r="16832" spans="1:25" hidden="1" x14ac:dyDescent="0.25">
      <c r="F16832" s="249" t="s">
        <v>240</v>
      </c>
      <c r="G16832" s="252" t="s">
        <v>241</v>
      </c>
      <c r="J16832" s="599">
        <f t="shared" si="501"/>
        <v>0</v>
      </c>
    </row>
    <row r="16833" spans="1:25" hidden="1" x14ac:dyDescent="0.25">
      <c r="F16833" s="249" t="s">
        <v>242</v>
      </c>
      <c r="G16833" s="252" t="s">
        <v>243</v>
      </c>
      <c r="J16833" s="599">
        <f t="shared" si="501"/>
        <v>0</v>
      </c>
    </row>
    <row r="16834" spans="1:25" hidden="1" x14ac:dyDescent="0.25">
      <c r="F16834" s="249" t="s">
        <v>244</v>
      </c>
      <c r="G16834" s="252" t="s">
        <v>245</v>
      </c>
      <c r="J16834" s="599">
        <f t="shared" si="501"/>
        <v>0</v>
      </c>
    </row>
    <row r="16835" spans="1:25" hidden="1" x14ac:dyDescent="0.25">
      <c r="F16835" s="249" t="s">
        <v>246</v>
      </c>
      <c r="G16835" s="252" t="s">
        <v>247</v>
      </c>
      <c r="J16835" s="599">
        <f t="shared" si="501"/>
        <v>0</v>
      </c>
    </row>
    <row r="16836" spans="1:25" hidden="1" x14ac:dyDescent="0.25">
      <c r="F16836" s="249" t="s">
        <v>248</v>
      </c>
      <c r="G16836" s="252" t="s">
        <v>249</v>
      </c>
      <c r="J16836" s="599">
        <f t="shared" si="501"/>
        <v>0</v>
      </c>
    </row>
    <row r="16837" spans="1:25" hidden="1" x14ac:dyDescent="0.25">
      <c r="F16837" s="249" t="s">
        <v>250</v>
      </c>
      <c r="G16837" s="252" t="s">
        <v>57</v>
      </c>
      <c r="J16837" s="599">
        <f t="shared" si="501"/>
        <v>0</v>
      </c>
    </row>
    <row r="16838" spans="1:25" hidden="1" x14ac:dyDescent="0.25">
      <c r="F16838" s="249" t="s">
        <v>251</v>
      </c>
      <c r="G16838" s="252" t="s">
        <v>252</v>
      </c>
      <c r="J16838" s="599">
        <f t="shared" si="501"/>
        <v>0</v>
      </c>
    </row>
    <row r="16839" spans="1:25" hidden="1" x14ac:dyDescent="0.25">
      <c r="F16839" s="249" t="s">
        <v>253</v>
      </c>
      <c r="G16839" s="252" t="s">
        <v>254</v>
      </c>
      <c r="J16839" s="599">
        <f t="shared" si="501"/>
        <v>0</v>
      </c>
    </row>
    <row r="16840" spans="1:25" ht="30" hidden="1" x14ac:dyDescent="0.25">
      <c r="F16840" s="249" t="s">
        <v>255</v>
      </c>
      <c r="G16840" s="252" t="s">
        <v>256</v>
      </c>
      <c r="J16840" s="599">
        <f t="shared" si="501"/>
        <v>0</v>
      </c>
    </row>
    <row r="16841" spans="1:25" hidden="1" x14ac:dyDescent="0.25">
      <c r="F16841" s="249" t="s">
        <v>257</v>
      </c>
      <c r="G16841" s="252" t="s">
        <v>258</v>
      </c>
      <c r="J16841" s="599">
        <f t="shared" si="501"/>
        <v>0</v>
      </c>
    </row>
    <row r="16842" spans="1:25" ht="30" hidden="1" x14ac:dyDescent="0.25">
      <c r="F16842" s="249" t="s">
        <v>259</v>
      </c>
      <c r="G16842" s="252" t="s">
        <v>260</v>
      </c>
      <c r="J16842" s="599">
        <f t="shared" si="501"/>
        <v>0</v>
      </c>
    </row>
    <row r="16843" spans="1:25" hidden="1" x14ac:dyDescent="0.25">
      <c r="F16843" s="249" t="s">
        <v>261</v>
      </c>
      <c r="G16843" s="252" t="s">
        <v>262</v>
      </c>
      <c r="J16843" s="599">
        <f t="shared" si="501"/>
        <v>0</v>
      </c>
    </row>
    <row r="16844" spans="1:25" ht="15.75" hidden="1" thickBot="1" x14ac:dyDescent="0.3">
      <c r="F16844" s="249" t="s">
        <v>263</v>
      </c>
      <c r="G16844" s="252" t="s">
        <v>264</v>
      </c>
      <c r="H16844" s="598"/>
      <c r="I16844" s="599"/>
      <c r="J16844" s="599">
        <f t="shared" si="501"/>
        <v>0</v>
      </c>
    </row>
    <row r="16845" spans="1:25" ht="15.75" hidden="1" thickBot="1" x14ac:dyDescent="0.3">
      <c r="G16845" s="229" t="s">
        <v>4481</v>
      </c>
      <c r="H16845" s="600">
        <f>SUM(H16829:H16844)</f>
        <v>0</v>
      </c>
      <c r="I16845" s="601">
        <f>SUM(I16830:I16844)</f>
        <v>0</v>
      </c>
      <c r="J16845" s="601">
        <f>SUM(J16829:J16844)</f>
        <v>0</v>
      </c>
    </row>
    <row r="16846" spans="1:25" hidden="1" x14ac:dyDescent="0.25"/>
    <row r="16847" spans="1:25" ht="28.5" hidden="1" x14ac:dyDescent="0.25">
      <c r="A16847" s="495">
        <v>4</v>
      </c>
      <c r="B16847" s="494">
        <v>13</v>
      </c>
      <c r="C16847" s="495"/>
      <c r="D16847" s="496"/>
      <c r="E16847" s="497"/>
      <c r="F16847" s="497"/>
      <c r="G16847" s="498" t="s">
        <v>4349</v>
      </c>
      <c r="H16847" s="626"/>
      <c r="I16847" s="631"/>
      <c r="J16847" s="617"/>
      <c r="K16847" s="529"/>
      <c r="L16847" s="529"/>
      <c r="M16847" s="522"/>
      <c r="N16847" s="533"/>
    </row>
    <row r="16848" spans="1:25" s="88" customFormat="1" hidden="1" x14ac:dyDescent="0.25">
      <c r="A16848" s="509"/>
      <c r="B16848" s="256"/>
      <c r="C16848" s="265" t="s">
        <v>3596</v>
      </c>
      <c r="D16848" s="265"/>
      <c r="E16848" s="248"/>
      <c r="F16848" s="248"/>
      <c r="G16848" s="306" t="s">
        <v>4271</v>
      </c>
      <c r="H16848" s="611"/>
      <c r="I16848" s="612"/>
      <c r="J16848" s="612"/>
      <c r="K16848" s="533"/>
      <c r="L16848" s="533"/>
      <c r="M16848" s="533"/>
      <c r="N16848" s="533"/>
      <c r="O16848" s="533"/>
      <c r="P16848" s="533"/>
      <c r="Q16848" s="533"/>
      <c r="R16848" s="533"/>
      <c r="S16848" s="533"/>
      <c r="T16848" s="533"/>
      <c r="U16848" s="533"/>
      <c r="V16848" s="533"/>
      <c r="W16848" s="533"/>
      <c r="X16848" s="533"/>
      <c r="Y16848" s="533"/>
    </row>
    <row r="16849" spans="1:25" ht="28.5" hidden="1" x14ac:dyDescent="0.25">
      <c r="C16849" s="228" t="s">
        <v>4134</v>
      </c>
      <c r="D16849" s="219"/>
      <c r="G16849" s="511" t="s">
        <v>4135</v>
      </c>
    </row>
    <row r="16850" spans="1:25" s="88" customFormat="1" hidden="1" x14ac:dyDescent="0.25">
      <c r="A16850" s="509"/>
      <c r="B16850" s="256"/>
      <c r="C16850" s="265"/>
      <c r="D16850" s="334" t="s">
        <v>3904</v>
      </c>
      <c r="E16850" s="329"/>
      <c r="F16850" s="329"/>
      <c r="G16850" s="330" t="s">
        <v>4313</v>
      </c>
      <c r="H16850" s="611"/>
      <c r="I16850" s="612"/>
      <c r="J16850" s="612"/>
      <c r="K16850" s="533"/>
      <c r="L16850" s="533"/>
      <c r="M16850" s="533"/>
      <c r="N16850" s="533"/>
      <c r="O16850" s="533"/>
      <c r="P16850" s="533"/>
      <c r="Q16850" s="533"/>
      <c r="R16850" s="533"/>
      <c r="S16850" s="533"/>
      <c r="T16850" s="533"/>
      <c r="U16850" s="533"/>
      <c r="V16850" s="533"/>
      <c r="W16850" s="533"/>
      <c r="X16850" s="533"/>
      <c r="Y16850" s="533"/>
    </row>
    <row r="16851" spans="1:25" hidden="1" x14ac:dyDescent="0.25">
      <c r="F16851" s="513">
        <v>411</v>
      </c>
      <c r="G16851" s="508" t="s">
        <v>4189</v>
      </c>
      <c r="J16851" s="595">
        <f>SUM(H16851:I16851)</f>
        <v>0</v>
      </c>
    </row>
    <row r="16852" spans="1:25" hidden="1" x14ac:dyDescent="0.25">
      <c r="F16852" s="513">
        <v>412</v>
      </c>
      <c r="G16852" s="505" t="s">
        <v>3784</v>
      </c>
      <c r="J16852" s="595">
        <f t="shared" ref="J16852:J16910" si="502">SUM(H16852:I16852)</f>
        <v>0</v>
      </c>
    </row>
    <row r="16853" spans="1:25" hidden="1" x14ac:dyDescent="0.25">
      <c r="F16853" s="513">
        <v>413</v>
      </c>
      <c r="G16853" s="508" t="s">
        <v>4190</v>
      </c>
      <c r="J16853" s="595">
        <f t="shared" si="502"/>
        <v>0</v>
      </c>
    </row>
    <row r="16854" spans="1:25" hidden="1" x14ac:dyDescent="0.25">
      <c r="F16854" s="513">
        <v>414</v>
      </c>
      <c r="G16854" s="508" t="s">
        <v>3787</v>
      </c>
      <c r="J16854" s="595">
        <f t="shared" si="502"/>
        <v>0</v>
      </c>
    </row>
    <row r="16855" spans="1:25" hidden="1" x14ac:dyDescent="0.25">
      <c r="F16855" s="513">
        <v>415</v>
      </c>
      <c r="G16855" s="508" t="s">
        <v>4199</v>
      </c>
      <c r="J16855" s="595">
        <f t="shared" si="502"/>
        <v>0</v>
      </c>
    </row>
    <row r="16856" spans="1:25" hidden="1" x14ac:dyDescent="0.25">
      <c r="F16856" s="513">
        <v>416</v>
      </c>
      <c r="G16856" s="508" t="s">
        <v>4200</v>
      </c>
      <c r="J16856" s="595">
        <f t="shared" si="502"/>
        <v>0</v>
      </c>
    </row>
    <row r="16857" spans="1:25" hidden="1" x14ac:dyDescent="0.25">
      <c r="F16857" s="513">
        <v>417</v>
      </c>
      <c r="G16857" s="508" t="s">
        <v>4201</v>
      </c>
      <c r="J16857" s="595">
        <f t="shared" si="502"/>
        <v>0</v>
      </c>
    </row>
    <row r="16858" spans="1:25" hidden="1" x14ac:dyDescent="0.25">
      <c r="F16858" s="513">
        <v>418</v>
      </c>
      <c r="G16858" s="508" t="s">
        <v>3793</v>
      </c>
      <c r="J16858" s="595">
        <f t="shared" si="502"/>
        <v>0</v>
      </c>
    </row>
    <row r="16859" spans="1:25" hidden="1" x14ac:dyDescent="0.25">
      <c r="F16859" s="513">
        <v>421</v>
      </c>
      <c r="G16859" s="508" t="s">
        <v>3797</v>
      </c>
      <c r="J16859" s="595">
        <f t="shared" si="502"/>
        <v>0</v>
      </c>
    </row>
    <row r="16860" spans="1:25" hidden="1" x14ac:dyDescent="0.25">
      <c r="F16860" s="513">
        <v>422</v>
      </c>
      <c r="G16860" s="508" t="s">
        <v>3798</v>
      </c>
      <c r="J16860" s="595">
        <f t="shared" si="502"/>
        <v>0</v>
      </c>
    </row>
    <row r="16861" spans="1:25" hidden="1" x14ac:dyDescent="0.25">
      <c r="F16861" s="513">
        <v>423</v>
      </c>
      <c r="G16861" s="508" t="s">
        <v>3799</v>
      </c>
      <c r="J16861" s="595">
        <f t="shared" si="502"/>
        <v>0</v>
      </c>
    </row>
    <row r="16862" spans="1:25" hidden="1" x14ac:dyDescent="0.25">
      <c r="F16862" s="513">
        <v>424</v>
      </c>
      <c r="G16862" s="508" t="s">
        <v>3801</v>
      </c>
      <c r="J16862" s="595">
        <f t="shared" si="502"/>
        <v>0</v>
      </c>
    </row>
    <row r="16863" spans="1:25" hidden="1" x14ac:dyDescent="0.25">
      <c r="F16863" s="513">
        <v>425</v>
      </c>
      <c r="G16863" s="508" t="s">
        <v>4202</v>
      </c>
      <c r="J16863" s="595">
        <f t="shared" si="502"/>
        <v>0</v>
      </c>
    </row>
    <row r="16864" spans="1:25" hidden="1" x14ac:dyDescent="0.25">
      <c r="F16864" s="513">
        <v>426</v>
      </c>
      <c r="G16864" s="508" t="s">
        <v>3805</v>
      </c>
      <c r="J16864" s="595">
        <f t="shared" si="502"/>
        <v>0</v>
      </c>
    </row>
    <row r="16865" spans="6:10" ht="14.25" hidden="1" customHeight="1" x14ac:dyDescent="0.25">
      <c r="F16865" s="513">
        <v>431</v>
      </c>
      <c r="G16865" s="508" t="s">
        <v>4203</v>
      </c>
      <c r="J16865" s="595">
        <f t="shared" si="502"/>
        <v>0</v>
      </c>
    </row>
    <row r="16866" spans="6:10" hidden="1" x14ac:dyDescent="0.25">
      <c r="F16866" s="513">
        <v>432</v>
      </c>
      <c r="G16866" s="508" t="s">
        <v>4204</v>
      </c>
      <c r="J16866" s="595">
        <f t="shared" si="502"/>
        <v>0</v>
      </c>
    </row>
    <row r="16867" spans="6:10" hidden="1" x14ac:dyDescent="0.25">
      <c r="F16867" s="513">
        <v>433</v>
      </c>
      <c r="G16867" s="508" t="s">
        <v>4205</v>
      </c>
      <c r="J16867" s="595">
        <f t="shared" si="502"/>
        <v>0</v>
      </c>
    </row>
    <row r="16868" spans="6:10" hidden="1" x14ac:dyDescent="0.25">
      <c r="F16868" s="513">
        <v>434</v>
      </c>
      <c r="G16868" s="508" t="s">
        <v>4206</v>
      </c>
      <c r="J16868" s="595">
        <f t="shared" si="502"/>
        <v>0</v>
      </c>
    </row>
    <row r="16869" spans="6:10" hidden="1" x14ac:dyDescent="0.25">
      <c r="F16869" s="513">
        <v>435</v>
      </c>
      <c r="G16869" s="508" t="s">
        <v>3812</v>
      </c>
      <c r="J16869" s="595">
        <f t="shared" si="502"/>
        <v>0</v>
      </c>
    </row>
    <row r="16870" spans="6:10" hidden="1" x14ac:dyDescent="0.25">
      <c r="F16870" s="513">
        <v>441</v>
      </c>
      <c r="G16870" s="508" t="s">
        <v>4207</v>
      </c>
      <c r="J16870" s="595">
        <f t="shared" si="502"/>
        <v>0</v>
      </c>
    </row>
    <row r="16871" spans="6:10" hidden="1" x14ac:dyDescent="0.25">
      <c r="F16871" s="513">
        <v>442</v>
      </c>
      <c r="G16871" s="508" t="s">
        <v>4208</v>
      </c>
      <c r="J16871" s="595">
        <f t="shared" si="502"/>
        <v>0</v>
      </c>
    </row>
    <row r="16872" spans="6:10" hidden="1" x14ac:dyDescent="0.25">
      <c r="F16872" s="513">
        <v>443</v>
      </c>
      <c r="G16872" s="508" t="s">
        <v>3817</v>
      </c>
      <c r="J16872" s="595">
        <f t="shared" si="502"/>
        <v>0</v>
      </c>
    </row>
    <row r="16873" spans="6:10" hidden="1" x14ac:dyDescent="0.25">
      <c r="F16873" s="513">
        <v>444</v>
      </c>
      <c r="G16873" s="508" t="s">
        <v>3818</v>
      </c>
      <c r="J16873" s="595">
        <f t="shared" si="502"/>
        <v>0</v>
      </c>
    </row>
    <row r="16874" spans="6:10" ht="30" hidden="1" x14ac:dyDescent="0.25">
      <c r="F16874" s="513">
        <v>4511</v>
      </c>
      <c r="G16874" s="223" t="s">
        <v>1692</v>
      </c>
      <c r="J16874" s="595">
        <f t="shared" si="502"/>
        <v>0</v>
      </c>
    </row>
    <row r="16875" spans="6:10" ht="30" hidden="1" x14ac:dyDescent="0.25">
      <c r="F16875" s="513">
        <v>4512</v>
      </c>
      <c r="G16875" s="223" t="s">
        <v>1701</v>
      </c>
      <c r="J16875" s="595">
        <f t="shared" si="502"/>
        <v>0</v>
      </c>
    </row>
    <row r="16876" spans="6:10" hidden="1" x14ac:dyDescent="0.25">
      <c r="F16876" s="513">
        <v>452</v>
      </c>
      <c r="G16876" s="508" t="s">
        <v>4209</v>
      </c>
      <c r="J16876" s="595">
        <f t="shared" si="502"/>
        <v>0</v>
      </c>
    </row>
    <row r="16877" spans="6:10" hidden="1" x14ac:dyDescent="0.25">
      <c r="F16877" s="513">
        <v>453</v>
      </c>
      <c r="G16877" s="508" t="s">
        <v>4210</v>
      </c>
      <c r="J16877" s="595">
        <f t="shared" si="502"/>
        <v>0</v>
      </c>
    </row>
    <row r="16878" spans="6:10" hidden="1" x14ac:dyDescent="0.25">
      <c r="F16878" s="513">
        <v>454</v>
      </c>
      <c r="G16878" s="508" t="s">
        <v>3823</v>
      </c>
      <c r="J16878" s="595">
        <f t="shared" si="502"/>
        <v>0</v>
      </c>
    </row>
    <row r="16879" spans="6:10" hidden="1" x14ac:dyDescent="0.25">
      <c r="F16879" s="513">
        <v>461</v>
      </c>
      <c r="G16879" s="508" t="s">
        <v>4191</v>
      </c>
      <c r="J16879" s="595">
        <f t="shared" si="502"/>
        <v>0</v>
      </c>
    </row>
    <row r="16880" spans="6:10" hidden="1" x14ac:dyDescent="0.25">
      <c r="F16880" s="513">
        <v>462</v>
      </c>
      <c r="G16880" s="508" t="s">
        <v>3826</v>
      </c>
      <c r="J16880" s="595">
        <f t="shared" si="502"/>
        <v>0</v>
      </c>
    </row>
    <row r="16881" spans="6:10" hidden="1" x14ac:dyDescent="0.25">
      <c r="F16881" s="513">
        <v>4631</v>
      </c>
      <c r="G16881" s="508" t="s">
        <v>3827</v>
      </c>
      <c r="J16881" s="595">
        <f t="shared" si="502"/>
        <v>0</v>
      </c>
    </row>
    <row r="16882" spans="6:10" hidden="1" x14ac:dyDescent="0.25">
      <c r="F16882" s="513">
        <v>4632</v>
      </c>
      <c r="G16882" s="508" t="s">
        <v>3828</v>
      </c>
      <c r="J16882" s="595">
        <f t="shared" si="502"/>
        <v>0</v>
      </c>
    </row>
    <row r="16883" spans="6:10" hidden="1" x14ac:dyDescent="0.25">
      <c r="F16883" s="513">
        <v>464</v>
      </c>
      <c r="G16883" s="508" t="s">
        <v>3829</v>
      </c>
      <c r="J16883" s="595">
        <f t="shared" si="502"/>
        <v>0</v>
      </c>
    </row>
    <row r="16884" spans="6:10" hidden="1" x14ac:dyDescent="0.25">
      <c r="F16884" s="513">
        <v>465</v>
      </c>
      <c r="G16884" s="508" t="s">
        <v>4192</v>
      </c>
      <c r="J16884" s="595">
        <f t="shared" si="502"/>
        <v>0</v>
      </c>
    </row>
    <row r="16885" spans="6:10" ht="15.75" hidden="1" thickBot="1" x14ac:dyDescent="0.3">
      <c r="F16885" s="513">
        <v>472</v>
      </c>
      <c r="G16885" s="508" t="s">
        <v>3833</v>
      </c>
      <c r="J16885" s="595">
        <f t="shared" si="502"/>
        <v>0</v>
      </c>
    </row>
    <row r="16886" spans="6:10" hidden="1" x14ac:dyDescent="0.25">
      <c r="F16886" s="513">
        <v>481</v>
      </c>
      <c r="G16886" s="508" t="s">
        <v>4211</v>
      </c>
      <c r="J16886" s="595">
        <f t="shared" si="502"/>
        <v>0</v>
      </c>
    </row>
    <row r="16887" spans="6:10" hidden="1" x14ac:dyDescent="0.25">
      <c r="F16887" s="513">
        <v>482</v>
      </c>
      <c r="G16887" s="508" t="s">
        <v>4212</v>
      </c>
      <c r="J16887" s="595">
        <f t="shared" si="502"/>
        <v>0</v>
      </c>
    </row>
    <row r="16888" spans="6:10" hidden="1" x14ac:dyDescent="0.25">
      <c r="F16888" s="513">
        <v>483</v>
      </c>
      <c r="G16888" s="510" t="s">
        <v>4213</v>
      </c>
      <c r="J16888" s="595">
        <f t="shared" si="502"/>
        <v>0</v>
      </c>
    </row>
    <row r="16889" spans="6:10" ht="30" hidden="1" x14ac:dyDescent="0.25">
      <c r="F16889" s="513">
        <v>484</v>
      </c>
      <c r="G16889" s="508" t="s">
        <v>4214</v>
      </c>
      <c r="J16889" s="595">
        <f t="shared" si="502"/>
        <v>0</v>
      </c>
    </row>
    <row r="16890" spans="6:10" ht="30" hidden="1" x14ac:dyDescent="0.25">
      <c r="F16890" s="513">
        <v>485</v>
      </c>
      <c r="G16890" s="508" t="s">
        <v>4215</v>
      </c>
      <c r="J16890" s="595">
        <f t="shared" si="502"/>
        <v>0</v>
      </c>
    </row>
    <row r="16891" spans="6:10" ht="30" hidden="1" x14ac:dyDescent="0.25">
      <c r="F16891" s="513">
        <v>489</v>
      </c>
      <c r="G16891" s="508" t="s">
        <v>3841</v>
      </c>
      <c r="J16891" s="595">
        <f t="shared" si="502"/>
        <v>0</v>
      </c>
    </row>
    <row r="16892" spans="6:10" hidden="1" x14ac:dyDescent="0.25">
      <c r="F16892" s="513">
        <v>494</v>
      </c>
      <c r="G16892" s="508" t="s">
        <v>4193</v>
      </c>
      <c r="J16892" s="595">
        <f t="shared" si="502"/>
        <v>0</v>
      </c>
    </row>
    <row r="16893" spans="6:10" ht="30" hidden="1" x14ac:dyDescent="0.25">
      <c r="F16893" s="513">
        <v>495</v>
      </c>
      <c r="G16893" s="508" t="s">
        <v>4194</v>
      </c>
      <c r="J16893" s="595">
        <f t="shared" si="502"/>
        <v>0</v>
      </c>
    </row>
    <row r="16894" spans="6:10" ht="30" hidden="1" x14ac:dyDescent="0.25">
      <c r="F16894" s="513">
        <v>496</v>
      </c>
      <c r="G16894" s="508" t="s">
        <v>4195</v>
      </c>
      <c r="J16894" s="595">
        <f t="shared" si="502"/>
        <v>0</v>
      </c>
    </row>
    <row r="16895" spans="6:10" hidden="1" x14ac:dyDescent="0.25">
      <c r="F16895" s="513">
        <v>499</v>
      </c>
      <c r="G16895" s="508" t="s">
        <v>4196</v>
      </c>
      <c r="J16895" s="595">
        <f t="shared" si="502"/>
        <v>0</v>
      </c>
    </row>
    <row r="16896" spans="6:10" hidden="1" x14ac:dyDescent="0.25">
      <c r="F16896" s="513">
        <v>511</v>
      </c>
      <c r="G16896" s="510" t="s">
        <v>4216</v>
      </c>
      <c r="J16896" s="595">
        <f t="shared" si="502"/>
        <v>0</v>
      </c>
    </row>
    <row r="16897" spans="5:10" ht="15.75" hidden="1" thickBot="1" x14ac:dyDescent="0.3">
      <c r="F16897" s="513">
        <v>512</v>
      </c>
      <c r="G16897" s="510" t="s">
        <v>4217</v>
      </c>
      <c r="J16897" s="595">
        <f t="shared" si="502"/>
        <v>0</v>
      </c>
    </row>
    <row r="16898" spans="5:10" hidden="1" x14ac:dyDescent="0.25">
      <c r="F16898" s="513">
        <v>513</v>
      </c>
      <c r="G16898" s="510" t="s">
        <v>4218</v>
      </c>
      <c r="J16898" s="595">
        <f t="shared" si="502"/>
        <v>0</v>
      </c>
    </row>
    <row r="16899" spans="5:10" hidden="1" x14ac:dyDescent="0.25">
      <c r="F16899" s="513">
        <v>514</v>
      </c>
      <c r="G16899" s="508" t="s">
        <v>4219</v>
      </c>
      <c r="J16899" s="595">
        <f t="shared" si="502"/>
        <v>0</v>
      </c>
    </row>
    <row r="16900" spans="5:10" hidden="1" x14ac:dyDescent="0.25">
      <c r="F16900" s="513">
        <v>515</v>
      </c>
      <c r="G16900" s="508" t="s">
        <v>3852</v>
      </c>
      <c r="J16900" s="595">
        <f t="shared" si="502"/>
        <v>0</v>
      </c>
    </row>
    <row r="16901" spans="5:10" hidden="1" x14ac:dyDescent="0.25">
      <c r="F16901" s="513">
        <v>521</v>
      </c>
      <c r="G16901" s="508" t="s">
        <v>4220</v>
      </c>
      <c r="J16901" s="595">
        <f t="shared" si="502"/>
        <v>0</v>
      </c>
    </row>
    <row r="16902" spans="5:10" hidden="1" x14ac:dyDescent="0.25">
      <c r="F16902" s="513">
        <v>522</v>
      </c>
      <c r="G16902" s="508" t="s">
        <v>4221</v>
      </c>
      <c r="J16902" s="595">
        <f t="shared" si="502"/>
        <v>0</v>
      </c>
    </row>
    <row r="16903" spans="5:10" hidden="1" x14ac:dyDescent="0.25">
      <c r="F16903" s="513">
        <v>523</v>
      </c>
      <c r="G16903" s="508" t="s">
        <v>3857</v>
      </c>
      <c r="J16903" s="595">
        <f t="shared" si="502"/>
        <v>0</v>
      </c>
    </row>
    <row r="16904" spans="5:10" hidden="1" x14ac:dyDescent="0.25">
      <c r="F16904" s="513">
        <v>531</v>
      </c>
      <c r="G16904" s="505" t="s">
        <v>4197</v>
      </c>
      <c r="J16904" s="595">
        <f t="shared" si="502"/>
        <v>0</v>
      </c>
    </row>
    <row r="16905" spans="5:10" hidden="1" x14ac:dyDescent="0.25">
      <c r="F16905" s="513">
        <v>541</v>
      </c>
      <c r="G16905" s="508" t="s">
        <v>4222</v>
      </c>
      <c r="J16905" s="595">
        <f t="shared" si="502"/>
        <v>0</v>
      </c>
    </row>
    <row r="16906" spans="5:10" hidden="1" x14ac:dyDescent="0.25">
      <c r="F16906" s="513">
        <v>542</v>
      </c>
      <c r="G16906" s="508" t="s">
        <v>4223</v>
      </c>
      <c r="J16906" s="595">
        <f t="shared" si="502"/>
        <v>0</v>
      </c>
    </row>
    <row r="16907" spans="5:10" hidden="1" x14ac:dyDescent="0.25">
      <c r="F16907" s="513">
        <v>543</v>
      </c>
      <c r="G16907" s="508" t="s">
        <v>3862</v>
      </c>
      <c r="J16907" s="595">
        <f t="shared" si="502"/>
        <v>0</v>
      </c>
    </row>
    <row r="16908" spans="5:10" ht="30" hidden="1" x14ac:dyDescent="0.25">
      <c r="F16908" s="513">
        <v>551</v>
      </c>
      <c r="G16908" s="508" t="s">
        <v>4198</v>
      </c>
      <c r="J16908" s="595">
        <f t="shared" si="502"/>
        <v>0</v>
      </c>
    </row>
    <row r="16909" spans="5:10" hidden="1" x14ac:dyDescent="0.25">
      <c r="F16909" s="514">
        <v>611</v>
      </c>
      <c r="G16909" s="512" t="s">
        <v>3868</v>
      </c>
      <c r="J16909" s="595">
        <f t="shared" si="502"/>
        <v>0</v>
      </c>
    </row>
    <row r="16910" spans="5:10" ht="15.75" hidden="1" thickBot="1" x14ac:dyDescent="0.3">
      <c r="F16910" s="514">
        <v>620</v>
      </c>
      <c r="G16910" s="512" t="s">
        <v>88</v>
      </c>
      <c r="J16910" s="595">
        <f t="shared" si="502"/>
        <v>0</v>
      </c>
    </row>
    <row r="16911" spans="5:10" hidden="1" x14ac:dyDescent="0.25">
      <c r="E16911" s="506"/>
      <c r="F16911" s="514"/>
      <c r="G16911" s="326" t="s">
        <v>4388</v>
      </c>
      <c r="H16911" s="596"/>
      <c r="I16911" s="622"/>
      <c r="J16911" s="597"/>
    </row>
    <row r="16912" spans="5:10" ht="15.75" hidden="1" thickBot="1" x14ac:dyDescent="0.3">
      <c r="E16912" s="222"/>
      <c r="F16912" s="249" t="s">
        <v>234</v>
      </c>
      <c r="G16912" s="252" t="s">
        <v>235</v>
      </c>
      <c r="H16912" s="598">
        <f>SUM(H16851:H16910)</f>
        <v>0</v>
      </c>
      <c r="I16912" s="599"/>
      <c r="J16912" s="599">
        <f>SUM(H16912:I16912)</f>
        <v>0</v>
      </c>
    </row>
    <row r="16913" spans="6:10" hidden="1" x14ac:dyDescent="0.25">
      <c r="F16913" s="249" t="s">
        <v>236</v>
      </c>
      <c r="G16913" s="252" t="s">
        <v>237</v>
      </c>
      <c r="J16913" s="599">
        <f t="shared" ref="J16913:J16927" si="503">SUM(H16913:I16913)</f>
        <v>0</v>
      </c>
    </row>
    <row r="16914" spans="6:10" hidden="1" x14ac:dyDescent="0.25">
      <c r="F16914" s="249" t="s">
        <v>238</v>
      </c>
      <c r="G16914" s="252" t="s">
        <v>239</v>
      </c>
      <c r="J16914" s="599">
        <f t="shared" si="503"/>
        <v>0</v>
      </c>
    </row>
    <row r="16915" spans="6:10" hidden="1" x14ac:dyDescent="0.25">
      <c r="F16915" s="249" t="s">
        <v>240</v>
      </c>
      <c r="G16915" s="252" t="s">
        <v>241</v>
      </c>
      <c r="J16915" s="599">
        <f t="shared" si="503"/>
        <v>0</v>
      </c>
    </row>
    <row r="16916" spans="6:10" hidden="1" x14ac:dyDescent="0.25">
      <c r="F16916" s="249" t="s">
        <v>242</v>
      </c>
      <c r="G16916" s="252" t="s">
        <v>243</v>
      </c>
      <c r="J16916" s="599">
        <f t="shared" si="503"/>
        <v>0</v>
      </c>
    </row>
    <row r="16917" spans="6:10" hidden="1" x14ac:dyDescent="0.25">
      <c r="F16917" s="249" t="s">
        <v>244</v>
      </c>
      <c r="G16917" s="252" t="s">
        <v>245</v>
      </c>
      <c r="J16917" s="599">
        <f t="shared" si="503"/>
        <v>0</v>
      </c>
    </row>
    <row r="16918" spans="6:10" hidden="1" x14ac:dyDescent="0.25">
      <c r="F16918" s="249" t="s">
        <v>246</v>
      </c>
      <c r="G16918" s="252" t="s">
        <v>247</v>
      </c>
      <c r="J16918" s="599">
        <f t="shared" si="503"/>
        <v>0</v>
      </c>
    </row>
    <row r="16919" spans="6:10" hidden="1" x14ac:dyDescent="0.25">
      <c r="F16919" s="249" t="s">
        <v>248</v>
      </c>
      <c r="G16919" s="252" t="s">
        <v>249</v>
      </c>
      <c r="J16919" s="599">
        <f t="shared" si="503"/>
        <v>0</v>
      </c>
    </row>
    <row r="16920" spans="6:10" hidden="1" x14ac:dyDescent="0.25">
      <c r="F16920" s="249" t="s">
        <v>250</v>
      </c>
      <c r="G16920" s="252" t="s">
        <v>57</v>
      </c>
      <c r="J16920" s="599">
        <f t="shared" si="503"/>
        <v>0</v>
      </c>
    </row>
    <row r="16921" spans="6:10" hidden="1" x14ac:dyDescent="0.25">
      <c r="F16921" s="249" t="s">
        <v>251</v>
      </c>
      <c r="G16921" s="252" t="s">
        <v>252</v>
      </c>
      <c r="J16921" s="599">
        <f t="shared" si="503"/>
        <v>0</v>
      </c>
    </row>
    <row r="16922" spans="6:10" hidden="1" x14ac:dyDescent="0.25">
      <c r="F16922" s="249" t="s">
        <v>253</v>
      </c>
      <c r="G16922" s="252" t="s">
        <v>254</v>
      </c>
      <c r="J16922" s="599">
        <f t="shared" si="503"/>
        <v>0</v>
      </c>
    </row>
    <row r="16923" spans="6:10" ht="30" hidden="1" x14ac:dyDescent="0.25">
      <c r="F16923" s="249" t="s">
        <v>255</v>
      </c>
      <c r="G16923" s="252" t="s">
        <v>256</v>
      </c>
      <c r="J16923" s="599">
        <f t="shared" si="503"/>
        <v>0</v>
      </c>
    </row>
    <row r="16924" spans="6:10" hidden="1" x14ac:dyDescent="0.25">
      <c r="F16924" s="249" t="s">
        <v>257</v>
      </c>
      <c r="G16924" s="252" t="s">
        <v>258</v>
      </c>
      <c r="J16924" s="599">
        <f t="shared" si="503"/>
        <v>0</v>
      </c>
    </row>
    <row r="16925" spans="6:10" ht="30" hidden="1" x14ac:dyDescent="0.25">
      <c r="F16925" s="249" t="s">
        <v>259</v>
      </c>
      <c r="G16925" s="252" t="s">
        <v>260</v>
      </c>
      <c r="J16925" s="599">
        <f t="shared" si="503"/>
        <v>0</v>
      </c>
    </row>
    <row r="16926" spans="6:10" hidden="1" x14ac:dyDescent="0.25">
      <c r="F16926" s="249" t="s">
        <v>261</v>
      </c>
      <c r="G16926" s="252" t="s">
        <v>262</v>
      </c>
      <c r="J16926" s="599">
        <f t="shared" si="503"/>
        <v>0</v>
      </c>
    </row>
    <row r="16927" spans="6:10" ht="15.75" hidden="1" thickBot="1" x14ac:dyDescent="0.3">
      <c r="F16927" s="249" t="s">
        <v>263</v>
      </c>
      <c r="G16927" s="252" t="s">
        <v>264</v>
      </c>
      <c r="H16927" s="598"/>
      <c r="I16927" s="599"/>
      <c r="J16927" s="599">
        <f t="shared" si="503"/>
        <v>0</v>
      </c>
    </row>
    <row r="16928" spans="6:10" ht="15.75" hidden="1" thickBot="1" x14ac:dyDescent="0.3">
      <c r="G16928" s="229" t="s">
        <v>4389</v>
      </c>
      <c r="H16928" s="600">
        <f>SUM(H16912:H16927)</f>
        <v>0</v>
      </c>
      <c r="I16928" s="601">
        <f>SUM(I16913:I16927)</f>
        <v>0</v>
      </c>
      <c r="J16928" s="601">
        <f>SUM(J16912:J16927)</f>
        <v>0</v>
      </c>
    </row>
    <row r="16929" spans="5:10" ht="28.5" hidden="1" collapsed="1" x14ac:dyDescent="0.25">
      <c r="E16929" s="506"/>
      <c r="F16929" s="514"/>
      <c r="G16929" s="231" t="s">
        <v>4350</v>
      </c>
      <c r="H16929" s="602"/>
      <c r="I16929" s="623"/>
      <c r="J16929" s="603"/>
    </row>
    <row r="16930" spans="5:10" ht="15.75" hidden="1" thickBot="1" x14ac:dyDescent="0.3">
      <c r="E16930" s="222"/>
      <c r="F16930" s="249" t="s">
        <v>234</v>
      </c>
      <c r="G16930" s="252" t="s">
        <v>235</v>
      </c>
      <c r="H16930" s="598">
        <f>SUM(H16851:H16910)</f>
        <v>0</v>
      </c>
      <c r="I16930" s="599"/>
      <c r="J16930" s="599">
        <f>SUM(H16930:I16930)</f>
        <v>0</v>
      </c>
    </row>
    <row r="16931" spans="5:10" hidden="1" x14ac:dyDescent="0.25">
      <c r="F16931" s="249" t="s">
        <v>236</v>
      </c>
      <c r="G16931" s="252" t="s">
        <v>237</v>
      </c>
      <c r="J16931" s="599">
        <f t="shared" ref="J16931:J16945" si="504">SUM(H16931:I16931)</f>
        <v>0</v>
      </c>
    </row>
    <row r="16932" spans="5:10" hidden="1" x14ac:dyDescent="0.25">
      <c r="F16932" s="249" t="s">
        <v>238</v>
      </c>
      <c r="G16932" s="252" t="s">
        <v>239</v>
      </c>
      <c r="J16932" s="599">
        <f t="shared" si="504"/>
        <v>0</v>
      </c>
    </row>
    <row r="16933" spans="5:10" hidden="1" x14ac:dyDescent="0.25">
      <c r="F16933" s="249" t="s">
        <v>240</v>
      </c>
      <c r="G16933" s="252" t="s">
        <v>241</v>
      </c>
      <c r="J16933" s="599">
        <f t="shared" si="504"/>
        <v>0</v>
      </c>
    </row>
    <row r="16934" spans="5:10" hidden="1" x14ac:dyDescent="0.25">
      <c r="F16934" s="249" t="s">
        <v>242</v>
      </c>
      <c r="G16934" s="252" t="s">
        <v>243</v>
      </c>
      <c r="J16934" s="599">
        <f t="shared" si="504"/>
        <v>0</v>
      </c>
    </row>
    <row r="16935" spans="5:10" hidden="1" x14ac:dyDescent="0.25">
      <c r="F16935" s="249" t="s">
        <v>244</v>
      </c>
      <c r="G16935" s="252" t="s">
        <v>245</v>
      </c>
      <c r="J16935" s="599">
        <f t="shared" si="504"/>
        <v>0</v>
      </c>
    </row>
    <row r="16936" spans="5:10" hidden="1" x14ac:dyDescent="0.25">
      <c r="F16936" s="249" t="s">
        <v>246</v>
      </c>
      <c r="G16936" s="252" t="s">
        <v>247</v>
      </c>
      <c r="J16936" s="599">
        <f t="shared" si="504"/>
        <v>0</v>
      </c>
    </row>
    <row r="16937" spans="5:10" hidden="1" x14ac:dyDescent="0.25">
      <c r="F16937" s="249" t="s">
        <v>248</v>
      </c>
      <c r="G16937" s="252" t="s">
        <v>249</v>
      </c>
      <c r="J16937" s="599">
        <f t="shared" si="504"/>
        <v>0</v>
      </c>
    </row>
    <row r="16938" spans="5:10" hidden="1" x14ac:dyDescent="0.25">
      <c r="F16938" s="249" t="s">
        <v>250</v>
      </c>
      <c r="G16938" s="252" t="s">
        <v>57</v>
      </c>
      <c r="J16938" s="599">
        <f t="shared" si="504"/>
        <v>0</v>
      </c>
    </row>
    <row r="16939" spans="5:10" hidden="1" x14ac:dyDescent="0.25">
      <c r="F16939" s="249" t="s">
        <v>251</v>
      </c>
      <c r="G16939" s="252" t="s">
        <v>252</v>
      </c>
      <c r="J16939" s="599">
        <f t="shared" si="504"/>
        <v>0</v>
      </c>
    </row>
    <row r="16940" spans="5:10" hidden="1" x14ac:dyDescent="0.25">
      <c r="F16940" s="249" t="s">
        <v>253</v>
      </c>
      <c r="G16940" s="252" t="s">
        <v>254</v>
      </c>
      <c r="J16940" s="599">
        <f t="shared" si="504"/>
        <v>0</v>
      </c>
    </row>
    <row r="16941" spans="5:10" ht="30" hidden="1" x14ac:dyDescent="0.25">
      <c r="F16941" s="249" t="s">
        <v>255</v>
      </c>
      <c r="G16941" s="252" t="s">
        <v>256</v>
      </c>
      <c r="J16941" s="599">
        <f t="shared" si="504"/>
        <v>0</v>
      </c>
    </row>
    <row r="16942" spans="5:10" hidden="1" x14ac:dyDescent="0.25">
      <c r="F16942" s="249" t="s">
        <v>257</v>
      </c>
      <c r="G16942" s="252" t="s">
        <v>258</v>
      </c>
      <c r="J16942" s="599">
        <f t="shared" si="504"/>
        <v>0</v>
      </c>
    </row>
    <row r="16943" spans="5:10" ht="30" hidden="1" x14ac:dyDescent="0.25">
      <c r="F16943" s="249" t="s">
        <v>259</v>
      </c>
      <c r="G16943" s="252" t="s">
        <v>260</v>
      </c>
      <c r="J16943" s="599">
        <f t="shared" si="504"/>
        <v>0</v>
      </c>
    </row>
    <row r="16944" spans="5:10" hidden="1" x14ac:dyDescent="0.25">
      <c r="F16944" s="249" t="s">
        <v>261</v>
      </c>
      <c r="G16944" s="252" t="s">
        <v>262</v>
      </c>
      <c r="J16944" s="599">
        <f t="shared" si="504"/>
        <v>0</v>
      </c>
    </row>
    <row r="16945" spans="1:25" ht="15.75" hidden="1" thickBot="1" x14ac:dyDescent="0.3">
      <c r="F16945" s="249" t="s">
        <v>263</v>
      </c>
      <c r="G16945" s="252" t="s">
        <v>264</v>
      </c>
      <c r="H16945" s="598"/>
      <c r="I16945" s="599"/>
      <c r="J16945" s="599">
        <f t="shared" si="504"/>
        <v>0</v>
      </c>
    </row>
    <row r="16946" spans="1:25" ht="15.75" hidden="1" collapsed="1" thickBot="1" x14ac:dyDescent="0.3">
      <c r="G16946" s="229" t="s">
        <v>4351</v>
      </c>
      <c r="H16946" s="600">
        <f>SUM(H16930:H16945)</f>
        <v>0</v>
      </c>
      <c r="I16946" s="601">
        <f>SUM(I16931:I16945)</f>
        <v>0</v>
      </c>
      <c r="J16946" s="601">
        <f>SUM(J16930:J16945)</f>
        <v>0</v>
      </c>
    </row>
    <row r="16947" spans="1:25" hidden="1" x14ac:dyDescent="0.25"/>
    <row r="16948" spans="1:25" ht="28.5" hidden="1" x14ac:dyDescent="0.25">
      <c r="C16948" s="228" t="s">
        <v>4138</v>
      </c>
      <c r="D16948" s="219"/>
      <c r="G16948" s="511" t="s">
        <v>4139</v>
      </c>
    </row>
    <row r="16949" spans="1:25" s="88" customFormat="1" hidden="1" x14ac:dyDescent="0.25">
      <c r="A16949" s="509"/>
      <c r="B16949" s="256"/>
      <c r="C16949" s="316"/>
      <c r="D16949" s="336" t="s">
        <v>3908</v>
      </c>
      <c r="E16949" s="337"/>
      <c r="F16949" s="335"/>
      <c r="G16949" s="314" t="s">
        <v>103</v>
      </c>
      <c r="H16949" s="627"/>
      <c r="I16949" s="610"/>
      <c r="J16949" s="628"/>
      <c r="K16949" s="533"/>
      <c r="L16949" s="533"/>
      <c r="M16949" s="533"/>
      <c r="N16949" s="533"/>
      <c r="O16949" s="533"/>
      <c r="P16949" s="533"/>
      <c r="Q16949" s="533"/>
      <c r="R16949" s="533"/>
      <c r="S16949" s="533"/>
      <c r="T16949" s="533"/>
      <c r="U16949" s="533"/>
      <c r="V16949" s="533"/>
      <c r="W16949" s="533"/>
      <c r="X16949" s="533"/>
      <c r="Y16949" s="533"/>
    </row>
    <row r="16950" spans="1:25" hidden="1" x14ac:dyDescent="0.25">
      <c r="F16950" s="513">
        <v>411</v>
      </c>
      <c r="G16950" s="508" t="s">
        <v>4189</v>
      </c>
      <c r="J16950" s="595">
        <f>SUM(H16950:I16950)</f>
        <v>0</v>
      </c>
    </row>
    <row r="16951" spans="1:25" hidden="1" x14ac:dyDescent="0.25">
      <c r="F16951" s="513">
        <v>412</v>
      </c>
      <c r="G16951" s="505" t="s">
        <v>3784</v>
      </c>
      <c r="J16951" s="595">
        <f t="shared" ref="J16951:J17009" si="505">SUM(H16951:I16951)</f>
        <v>0</v>
      </c>
    </row>
    <row r="16952" spans="1:25" hidden="1" x14ac:dyDescent="0.25">
      <c r="F16952" s="513">
        <v>413</v>
      </c>
      <c r="G16952" s="508" t="s">
        <v>4190</v>
      </c>
      <c r="J16952" s="595">
        <f t="shared" si="505"/>
        <v>0</v>
      </c>
    </row>
    <row r="16953" spans="1:25" hidden="1" x14ac:dyDescent="0.25">
      <c r="F16953" s="513">
        <v>414</v>
      </c>
      <c r="G16953" s="508" t="s">
        <v>3787</v>
      </c>
      <c r="J16953" s="595">
        <f t="shared" si="505"/>
        <v>0</v>
      </c>
    </row>
    <row r="16954" spans="1:25" hidden="1" x14ac:dyDescent="0.25">
      <c r="F16954" s="513">
        <v>415</v>
      </c>
      <c r="G16954" s="508" t="s">
        <v>4199</v>
      </c>
      <c r="J16954" s="595">
        <f t="shared" si="505"/>
        <v>0</v>
      </c>
    </row>
    <row r="16955" spans="1:25" hidden="1" x14ac:dyDescent="0.25">
      <c r="F16955" s="513">
        <v>416</v>
      </c>
      <c r="G16955" s="508" t="s">
        <v>4200</v>
      </c>
      <c r="J16955" s="595">
        <f t="shared" si="505"/>
        <v>0</v>
      </c>
    </row>
    <row r="16956" spans="1:25" hidden="1" x14ac:dyDescent="0.25">
      <c r="F16956" s="513">
        <v>417</v>
      </c>
      <c r="G16956" s="508" t="s">
        <v>4201</v>
      </c>
      <c r="J16956" s="595">
        <f t="shared" si="505"/>
        <v>0</v>
      </c>
    </row>
    <row r="16957" spans="1:25" hidden="1" x14ac:dyDescent="0.25">
      <c r="F16957" s="513">
        <v>418</v>
      </c>
      <c r="G16957" s="508" t="s">
        <v>3793</v>
      </c>
      <c r="J16957" s="595">
        <f t="shared" si="505"/>
        <v>0</v>
      </c>
    </row>
    <row r="16958" spans="1:25" hidden="1" x14ac:dyDescent="0.25">
      <c r="F16958" s="513">
        <v>421</v>
      </c>
      <c r="G16958" s="508" t="s">
        <v>3797</v>
      </c>
      <c r="J16958" s="595">
        <f t="shared" si="505"/>
        <v>0</v>
      </c>
    </row>
    <row r="16959" spans="1:25" hidden="1" x14ac:dyDescent="0.25">
      <c r="F16959" s="513">
        <v>422</v>
      </c>
      <c r="G16959" s="508" t="s">
        <v>3798</v>
      </c>
      <c r="J16959" s="595">
        <f t="shared" si="505"/>
        <v>0</v>
      </c>
    </row>
    <row r="16960" spans="1:25" ht="15.75" hidden="1" thickBot="1" x14ac:dyDescent="0.3">
      <c r="F16960" s="513">
        <v>423</v>
      </c>
      <c r="G16960" s="508" t="s">
        <v>3799</v>
      </c>
      <c r="J16960" s="595">
        <f t="shared" si="505"/>
        <v>0</v>
      </c>
    </row>
    <row r="16961" spans="6:10" hidden="1" x14ac:dyDescent="0.25">
      <c r="F16961" s="513">
        <v>424</v>
      </c>
      <c r="G16961" s="508" t="s">
        <v>3801</v>
      </c>
      <c r="J16961" s="595">
        <f t="shared" si="505"/>
        <v>0</v>
      </c>
    </row>
    <row r="16962" spans="6:10" hidden="1" x14ac:dyDescent="0.25">
      <c r="F16962" s="513">
        <v>425</v>
      </c>
      <c r="G16962" s="508" t="s">
        <v>4202</v>
      </c>
      <c r="J16962" s="595">
        <f t="shared" si="505"/>
        <v>0</v>
      </c>
    </row>
    <row r="16963" spans="6:10" hidden="1" x14ac:dyDescent="0.25">
      <c r="F16963" s="513">
        <v>426</v>
      </c>
      <c r="G16963" s="508" t="s">
        <v>3805</v>
      </c>
      <c r="J16963" s="595">
        <f t="shared" si="505"/>
        <v>0</v>
      </c>
    </row>
    <row r="16964" spans="6:10" hidden="1" x14ac:dyDescent="0.25">
      <c r="F16964" s="513">
        <v>431</v>
      </c>
      <c r="G16964" s="508" t="s">
        <v>4203</v>
      </c>
      <c r="J16964" s="595">
        <f t="shared" si="505"/>
        <v>0</v>
      </c>
    </row>
    <row r="16965" spans="6:10" hidden="1" x14ac:dyDescent="0.25">
      <c r="F16965" s="513">
        <v>432</v>
      </c>
      <c r="G16965" s="508" t="s">
        <v>4204</v>
      </c>
      <c r="J16965" s="595">
        <f t="shared" si="505"/>
        <v>0</v>
      </c>
    </row>
    <row r="16966" spans="6:10" hidden="1" x14ac:dyDescent="0.25">
      <c r="F16966" s="513">
        <v>433</v>
      </c>
      <c r="G16966" s="508" t="s">
        <v>4205</v>
      </c>
      <c r="J16966" s="595">
        <f t="shared" si="505"/>
        <v>0</v>
      </c>
    </row>
    <row r="16967" spans="6:10" hidden="1" x14ac:dyDescent="0.25">
      <c r="F16967" s="513">
        <v>434</v>
      </c>
      <c r="G16967" s="508" t="s">
        <v>4206</v>
      </c>
      <c r="J16967" s="595">
        <f t="shared" si="505"/>
        <v>0</v>
      </c>
    </row>
    <row r="16968" spans="6:10" hidden="1" x14ac:dyDescent="0.25">
      <c r="F16968" s="513">
        <v>435</v>
      </c>
      <c r="G16968" s="508" t="s">
        <v>3812</v>
      </c>
      <c r="J16968" s="595">
        <f t="shared" si="505"/>
        <v>0</v>
      </c>
    </row>
    <row r="16969" spans="6:10" hidden="1" x14ac:dyDescent="0.25">
      <c r="F16969" s="513">
        <v>441</v>
      </c>
      <c r="G16969" s="508" t="s">
        <v>4207</v>
      </c>
      <c r="J16969" s="595">
        <f t="shared" si="505"/>
        <v>0</v>
      </c>
    </row>
    <row r="16970" spans="6:10" hidden="1" x14ac:dyDescent="0.25">
      <c r="F16970" s="513">
        <v>442</v>
      </c>
      <c r="G16970" s="508" t="s">
        <v>4208</v>
      </c>
      <c r="J16970" s="595">
        <f t="shared" si="505"/>
        <v>0</v>
      </c>
    </row>
    <row r="16971" spans="6:10" hidden="1" x14ac:dyDescent="0.25">
      <c r="F16971" s="513">
        <v>443</v>
      </c>
      <c r="G16971" s="508" t="s">
        <v>3817</v>
      </c>
      <c r="J16971" s="595">
        <f t="shared" si="505"/>
        <v>0</v>
      </c>
    </row>
    <row r="16972" spans="6:10" hidden="1" x14ac:dyDescent="0.25">
      <c r="F16972" s="513">
        <v>444</v>
      </c>
      <c r="G16972" s="508" t="s">
        <v>3818</v>
      </c>
      <c r="J16972" s="595">
        <f t="shared" si="505"/>
        <v>0</v>
      </c>
    </row>
    <row r="16973" spans="6:10" ht="30" hidden="1" x14ac:dyDescent="0.25">
      <c r="F16973" s="513">
        <v>4511</v>
      </c>
      <c r="G16973" s="223" t="s">
        <v>1692</v>
      </c>
      <c r="J16973" s="595">
        <f t="shared" si="505"/>
        <v>0</v>
      </c>
    </row>
    <row r="16974" spans="6:10" ht="30" hidden="1" x14ac:dyDescent="0.25">
      <c r="F16974" s="513">
        <v>4512</v>
      </c>
      <c r="G16974" s="223" t="s">
        <v>1701</v>
      </c>
      <c r="J16974" s="595">
        <f t="shared" si="505"/>
        <v>0</v>
      </c>
    </row>
    <row r="16975" spans="6:10" hidden="1" x14ac:dyDescent="0.25">
      <c r="F16975" s="513">
        <v>452</v>
      </c>
      <c r="G16975" s="508" t="s">
        <v>4209</v>
      </c>
      <c r="J16975" s="595">
        <f t="shared" si="505"/>
        <v>0</v>
      </c>
    </row>
    <row r="16976" spans="6:10" hidden="1" x14ac:dyDescent="0.25">
      <c r="F16976" s="513">
        <v>453</v>
      </c>
      <c r="G16976" s="508" t="s">
        <v>4210</v>
      </c>
      <c r="J16976" s="595">
        <f t="shared" si="505"/>
        <v>0</v>
      </c>
    </row>
    <row r="16977" spans="6:10" hidden="1" x14ac:dyDescent="0.25">
      <c r="F16977" s="513">
        <v>454</v>
      </c>
      <c r="G16977" s="508" t="s">
        <v>3823</v>
      </c>
      <c r="J16977" s="595">
        <f t="shared" si="505"/>
        <v>0</v>
      </c>
    </row>
    <row r="16978" spans="6:10" hidden="1" x14ac:dyDescent="0.25">
      <c r="F16978" s="513">
        <v>461</v>
      </c>
      <c r="G16978" s="508" t="s">
        <v>4191</v>
      </c>
      <c r="J16978" s="595">
        <f t="shared" si="505"/>
        <v>0</v>
      </c>
    </row>
    <row r="16979" spans="6:10" hidden="1" x14ac:dyDescent="0.25">
      <c r="F16979" s="513">
        <v>462</v>
      </c>
      <c r="G16979" s="508" t="s">
        <v>3826</v>
      </c>
      <c r="J16979" s="595">
        <f t="shared" si="505"/>
        <v>0</v>
      </c>
    </row>
    <row r="16980" spans="6:10" hidden="1" x14ac:dyDescent="0.25">
      <c r="F16980" s="513">
        <v>4631</v>
      </c>
      <c r="G16980" s="508" t="s">
        <v>3827</v>
      </c>
      <c r="J16980" s="595">
        <f t="shared" si="505"/>
        <v>0</v>
      </c>
    </row>
    <row r="16981" spans="6:10" hidden="1" x14ac:dyDescent="0.25">
      <c r="F16981" s="513">
        <v>4632</v>
      </c>
      <c r="G16981" s="508" t="s">
        <v>3828</v>
      </c>
      <c r="J16981" s="595">
        <f t="shared" si="505"/>
        <v>0</v>
      </c>
    </row>
    <row r="16982" spans="6:10" hidden="1" x14ac:dyDescent="0.25">
      <c r="F16982" s="513">
        <v>464</v>
      </c>
      <c r="G16982" s="508" t="s">
        <v>3829</v>
      </c>
      <c r="J16982" s="595">
        <f t="shared" si="505"/>
        <v>0</v>
      </c>
    </row>
    <row r="16983" spans="6:10" hidden="1" x14ac:dyDescent="0.25">
      <c r="F16983" s="513">
        <v>465</v>
      </c>
      <c r="G16983" s="508" t="s">
        <v>4192</v>
      </c>
      <c r="J16983" s="595">
        <f t="shared" si="505"/>
        <v>0</v>
      </c>
    </row>
    <row r="16984" spans="6:10" hidden="1" x14ac:dyDescent="0.25">
      <c r="F16984" s="513">
        <v>472</v>
      </c>
      <c r="G16984" s="508" t="s">
        <v>3833</v>
      </c>
      <c r="J16984" s="595">
        <f t="shared" si="505"/>
        <v>0</v>
      </c>
    </row>
    <row r="16985" spans="6:10" hidden="1" x14ac:dyDescent="0.25">
      <c r="F16985" s="513">
        <v>481</v>
      </c>
      <c r="G16985" s="508" t="s">
        <v>4211</v>
      </c>
      <c r="J16985" s="595">
        <f t="shared" si="505"/>
        <v>0</v>
      </c>
    </row>
    <row r="16986" spans="6:10" hidden="1" x14ac:dyDescent="0.25">
      <c r="F16986" s="513">
        <v>482</v>
      </c>
      <c r="G16986" s="508" t="s">
        <v>4212</v>
      </c>
      <c r="J16986" s="595">
        <f t="shared" si="505"/>
        <v>0</v>
      </c>
    </row>
    <row r="16987" spans="6:10" hidden="1" x14ac:dyDescent="0.25">
      <c r="F16987" s="513">
        <v>483</v>
      </c>
      <c r="G16987" s="510" t="s">
        <v>4213</v>
      </c>
      <c r="J16987" s="595">
        <f t="shared" si="505"/>
        <v>0</v>
      </c>
    </row>
    <row r="16988" spans="6:10" ht="30" hidden="1" x14ac:dyDescent="0.25">
      <c r="F16988" s="513">
        <v>484</v>
      </c>
      <c r="G16988" s="508" t="s">
        <v>4214</v>
      </c>
      <c r="J16988" s="595">
        <f t="shared" si="505"/>
        <v>0</v>
      </c>
    </row>
    <row r="16989" spans="6:10" ht="30" hidden="1" x14ac:dyDescent="0.25">
      <c r="F16989" s="513">
        <v>485</v>
      </c>
      <c r="G16989" s="508" t="s">
        <v>4215</v>
      </c>
      <c r="J16989" s="595">
        <f t="shared" si="505"/>
        <v>0</v>
      </c>
    </row>
    <row r="16990" spans="6:10" ht="30" hidden="1" x14ac:dyDescent="0.25">
      <c r="F16990" s="513">
        <v>489</v>
      </c>
      <c r="G16990" s="508" t="s">
        <v>3841</v>
      </c>
      <c r="J16990" s="595">
        <f t="shared" si="505"/>
        <v>0</v>
      </c>
    </row>
    <row r="16991" spans="6:10" hidden="1" x14ac:dyDescent="0.25">
      <c r="F16991" s="513">
        <v>494</v>
      </c>
      <c r="G16991" s="508" t="s">
        <v>4193</v>
      </c>
      <c r="J16991" s="595">
        <f t="shared" si="505"/>
        <v>0</v>
      </c>
    </row>
    <row r="16992" spans="6:10" ht="30" hidden="1" x14ac:dyDescent="0.25">
      <c r="F16992" s="513">
        <v>495</v>
      </c>
      <c r="G16992" s="508" t="s">
        <v>4194</v>
      </c>
      <c r="J16992" s="595">
        <f t="shared" si="505"/>
        <v>0</v>
      </c>
    </row>
    <row r="16993" spans="6:10" ht="30" hidden="1" x14ac:dyDescent="0.25">
      <c r="F16993" s="513">
        <v>496</v>
      </c>
      <c r="G16993" s="508" t="s">
        <v>4195</v>
      </c>
      <c r="J16993" s="595">
        <f t="shared" si="505"/>
        <v>0</v>
      </c>
    </row>
    <row r="16994" spans="6:10" hidden="1" x14ac:dyDescent="0.25">
      <c r="F16994" s="513">
        <v>499</v>
      </c>
      <c r="G16994" s="508" t="s">
        <v>4196</v>
      </c>
      <c r="J16994" s="595">
        <f t="shared" si="505"/>
        <v>0</v>
      </c>
    </row>
    <row r="16995" spans="6:10" hidden="1" x14ac:dyDescent="0.25">
      <c r="F16995" s="513">
        <v>511</v>
      </c>
      <c r="G16995" s="510" t="s">
        <v>4216</v>
      </c>
      <c r="J16995" s="595">
        <f t="shared" si="505"/>
        <v>0</v>
      </c>
    </row>
    <row r="16996" spans="6:10" hidden="1" x14ac:dyDescent="0.25">
      <c r="F16996" s="513">
        <v>512</v>
      </c>
      <c r="G16996" s="510" t="s">
        <v>4217</v>
      </c>
      <c r="J16996" s="595">
        <f t="shared" si="505"/>
        <v>0</v>
      </c>
    </row>
    <row r="16997" spans="6:10" hidden="1" x14ac:dyDescent="0.25">
      <c r="F16997" s="513">
        <v>513</v>
      </c>
      <c r="G16997" s="510" t="s">
        <v>4218</v>
      </c>
      <c r="J16997" s="595">
        <f t="shared" si="505"/>
        <v>0</v>
      </c>
    </row>
    <row r="16998" spans="6:10" hidden="1" x14ac:dyDescent="0.25">
      <c r="F16998" s="513">
        <v>514</v>
      </c>
      <c r="G16998" s="508" t="s">
        <v>4219</v>
      </c>
      <c r="J16998" s="595">
        <f t="shared" si="505"/>
        <v>0</v>
      </c>
    </row>
    <row r="16999" spans="6:10" hidden="1" x14ac:dyDescent="0.25">
      <c r="F16999" s="513">
        <v>515</v>
      </c>
      <c r="G16999" s="508" t="s">
        <v>3852</v>
      </c>
      <c r="J16999" s="595">
        <f t="shared" si="505"/>
        <v>0</v>
      </c>
    </row>
    <row r="17000" spans="6:10" hidden="1" x14ac:dyDescent="0.25">
      <c r="F17000" s="513">
        <v>521</v>
      </c>
      <c r="G17000" s="508" t="s">
        <v>4220</v>
      </c>
      <c r="J17000" s="595">
        <f t="shared" si="505"/>
        <v>0</v>
      </c>
    </row>
    <row r="17001" spans="6:10" hidden="1" x14ac:dyDescent="0.25">
      <c r="F17001" s="513">
        <v>522</v>
      </c>
      <c r="G17001" s="508" t="s">
        <v>4221</v>
      </c>
      <c r="J17001" s="595">
        <f t="shared" si="505"/>
        <v>0</v>
      </c>
    </row>
    <row r="17002" spans="6:10" hidden="1" x14ac:dyDescent="0.25">
      <c r="F17002" s="513">
        <v>523</v>
      </c>
      <c r="G17002" s="508" t="s">
        <v>3857</v>
      </c>
      <c r="J17002" s="595">
        <f t="shared" si="505"/>
        <v>0</v>
      </c>
    </row>
    <row r="17003" spans="6:10" hidden="1" x14ac:dyDescent="0.25">
      <c r="F17003" s="513">
        <v>531</v>
      </c>
      <c r="G17003" s="505" t="s">
        <v>4197</v>
      </c>
      <c r="J17003" s="595">
        <f t="shared" si="505"/>
        <v>0</v>
      </c>
    </row>
    <row r="17004" spans="6:10" hidden="1" x14ac:dyDescent="0.25">
      <c r="F17004" s="513">
        <v>541</v>
      </c>
      <c r="G17004" s="508" t="s">
        <v>4222</v>
      </c>
      <c r="J17004" s="595">
        <f t="shared" si="505"/>
        <v>0</v>
      </c>
    </row>
    <row r="17005" spans="6:10" hidden="1" x14ac:dyDescent="0.25">
      <c r="F17005" s="513">
        <v>542</v>
      </c>
      <c r="G17005" s="508" t="s">
        <v>4223</v>
      </c>
      <c r="J17005" s="595">
        <f t="shared" si="505"/>
        <v>0</v>
      </c>
    </row>
    <row r="17006" spans="6:10" hidden="1" x14ac:dyDescent="0.25">
      <c r="F17006" s="513">
        <v>543</v>
      </c>
      <c r="G17006" s="508" t="s">
        <v>3862</v>
      </c>
      <c r="J17006" s="595">
        <f t="shared" si="505"/>
        <v>0</v>
      </c>
    </row>
    <row r="17007" spans="6:10" ht="30" hidden="1" x14ac:dyDescent="0.25">
      <c r="F17007" s="513">
        <v>551</v>
      </c>
      <c r="G17007" s="508" t="s">
        <v>4198</v>
      </c>
      <c r="J17007" s="595">
        <f t="shared" si="505"/>
        <v>0</v>
      </c>
    </row>
    <row r="17008" spans="6:10" hidden="1" x14ac:dyDescent="0.25">
      <c r="F17008" s="514">
        <v>611</v>
      </c>
      <c r="G17008" s="512" t="s">
        <v>3868</v>
      </c>
      <c r="J17008" s="595">
        <f t="shared" si="505"/>
        <v>0</v>
      </c>
    </row>
    <row r="17009" spans="5:10" ht="15.75" hidden="1" thickBot="1" x14ac:dyDescent="0.3">
      <c r="F17009" s="514">
        <v>620</v>
      </c>
      <c r="G17009" s="512" t="s">
        <v>88</v>
      </c>
      <c r="J17009" s="595">
        <f t="shared" si="505"/>
        <v>0</v>
      </c>
    </row>
    <row r="17010" spans="5:10" hidden="1" x14ac:dyDescent="0.25">
      <c r="E17010" s="506"/>
      <c r="F17010" s="514"/>
      <c r="G17010" s="326" t="s">
        <v>4390</v>
      </c>
      <c r="H17010" s="596"/>
      <c r="I17010" s="622"/>
      <c r="J17010" s="597"/>
    </row>
    <row r="17011" spans="5:10" ht="15.75" hidden="1" thickBot="1" x14ac:dyDescent="0.3">
      <c r="E17011" s="222"/>
      <c r="F17011" s="249" t="s">
        <v>234</v>
      </c>
      <c r="G17011" s="252" t="s">
        <v>235</v>
      </c>
      <c r="H17011" s="598">
        <f>SUM(H16950:H17009)</f>
        <v>0</v>
      </c>
      <c r="I17011" s="599"/>
      <c r="J17011" s="599">
        <f>SUM(H17011:I17011)</f>
        <v>0</v>
      </c>
    </row>
    <row r="17012" spans="5:10" hidden="1" x14ac:dyDescent="0.25">
      <c r="F17012" s="249" t="s">
        <v>236</v>
      </c>
      <c r="G17012" s="252" t="s">
        <v>237</v>
      </c>
      <c r="J17012" s="599">
        <f t="shared" ref="J17012:J17026" si="506">SUM(H17012:I17012)</f>
        <v>0</v>
      </c>
    </row>
    <row r="17013" spans="5:10" hidden="1" x14ac:dyDescent="0.25">
      <c r="F17013" s="249" t="s">
        <v>238</v>
      </c>
      <c r="G17013" s="252" t="s">
        <v>239</v>
      </c>
      <c r="J17013" s="599">
        <f t="shared" si="506"/>
        <v>0</v>
      </c>
    </row>
    <row r="17014" spans="5:10" hidden="1" x14ac:dyDescent="0.25">
      <c r="F17014" s="249" t="s">
        <v>240</v>
      </c>
      <c r="G17014" s="252" t="s">
        <v>241</v>
      </c>
      <c r="J17014" s="599">
        <f t="shared" si="506"/>
        <v>0</v>
      </c>
    </row>
    <row r="17015" spans="5:10" hidden="1" x14ac:dyDescent="0.25">
      <c r="F17015" s="249" t="s">
        <v>242</v>
      </c>
      <c r="G17015" s="252" t="s">
        <v>243</v>
      </c>
      <c r="J17015" s="599">
        <f t="shared" si="506"/>
        <v>0</v>
      </c>
    </row>
    <row r="17016" spans="5:10" hidden="1" x14ac:dyDescent="0.25">
      <c r="F17016" s="249" t="s">
        <v>244</v>
      </c>
      <c r="G17016" s="252" t="s">
        <v>245</v>
      </c>
      <c r="J17016" s="599">
        <f t="shared" si="506"/>
        <v>0</v>
      </c>
    </row>
    <row r="17017" spans="5:10" hidden="1" x14ac:dyDescent="0.25">
      <c r="F17017" s="249" t="s">
        <v>246</v>
      </c>
      <c r="G17017" s="252" t="s">
        <v>247</v>
      </c>
      <c r="J17017" s="599">
        <f t="shared" si="506"/>
        <v>0</v>
      </c>
    </row>
    <row r="17018" spans="5:10" hidden="1" x14ac:dyDescent="0.25">
      <c r="F17018" s="249" t="s">
        <v>248</v>
      </c>
      <c r="G17018" s="252" t="s">
        <v>249</v>
      </c>
      <c r="J17018" s="599">
        <f t="shared" si="506"/>
        <v>0</v>
      </c>
    </row>
    <row r="17019" spans="5:10" hidden="1" x14ac:dyDescent="0.25">
      <c r="F17019" s="249" t="s">
        <v>250</v>
      </c>
      <c r="G17019" s="252" t="s">
        <v>57</v>
      </c>
      <c r="J17019" s="599">
        <f t="shared" si="506"/>
        <v>0</v>
      </c>
    </row>
    <row r="17020" spans="5:10" hidden="1" x14ac:dyDescent="0.25">
      <c r="F17020" s="249" t="s">
        <v>251</v>
      </c>
      <c r="G17020" s="252" t="s">
        <v>252</v>
      </c>
      <c r="J17020" s="599">
        <f t="shared" si="506"/>
        <v>0</v>
      </c>
    </row>
    <row r="17021" spans="5:10" hidden="1" x14ac:dyDescent="0.25">
      <c r="F17021" s="249" t="s">
        <v>253</v>
      </c>
      <c r="G17021" s="252" t="s">
        <v>254</v>
      </c>
      <c r="J17021" s="599">
        <f t="shared" si="506"/>
        <v>0</v>
      </c>
    </row>
    <row r="17022" spans="5:10" ht="30" hidden="1" x14ac:dyDescent="0.25">
      <c r="F17022" s="249" t="s">
        <v>255</v>
      </c>
      <c r="G17022" s="252" t="s">
        <v>256</v>
      </c>
      <c r="J17022" s="599">
        <f t="shared" si="506"/>
        <v>0</v>
      </c>
    </row>
    <row r="17023" spans="5:10" hidden="1" x14ac:dyDescent="0.25">
      <c r="F17023" s="249" t="s">
        <v>257</v>
      </c>
      <c r="G17023" s="252" t="s">
        <v>258</v>
      </c>
      <c r="J17023" s="599">
        <f t="shared" si="506"/>
        <v>0</v>
      </c>
    </row>
    <row r="17024" spans="5:10" ht="30" hidden="1" x14ac:dyDescent="0.25">
      <c r="F17024" s="249" t="s">
        <v>259</v>
      </c>
      <c r="G17024" s="252" t="s">
        <v>260</v>
      </c>
      <c r="J17024" s="599">
        <f t="shared" si="506"/>
        <v>0</v>
      </c>
    </row>
    <row r="17025" spans="5:10" hidden="1" x14ac:dyDescent="0.25">
      <c r="F17025" s="249" t="s">
        <v>261</v>
      </c>
      <c r="G17025" s="252" t="s">
        <v>262</v>
      </c>
      <c r="J17025" s="599">
        <f t="shared" si="506"/>
        <v>0</v>
      </c>
    </row>
    <row r="17026" spans="5:10" ht="15.75" hidden="1" thickBot="1" x14ac:dyDescent="0.3">
      <c r="F17026" s="249" t="s">
        <v>263</v>
      </c>
      <c r="G17026" s="252" t="s">
        <v>264</v>
      </c>
      <c r="H17026" s="598"/>
      <c r="I17026" s="599"/>
      <c r="J17026" s="599">
        <f t="shared" si="506"/>
        <v>0</v>
      </c>
    </row>
    <row r="17027" spans="5:10" ht="15.75" hidden="1" thickBot="1" x14ac:dyDescent="0.3">
      <c r="G17027" s="229" t="s">
        <v>4391</v>
      </c>
      <c r="H17027" s="600">
        <f>SUM(H17011:H17026)</f>
        <v>0</v>
      </c>
      <c r="I17027" s="601">
        <f>SUM(I17012:I17026)</f>
        <v>0</v>
      </c>
      <c r="J17027" s="601">
        <f>SUM(J17011:J17026)</f>
        <v>0</v>
      </c>
    </row>
    <row r="17028" spans="5:10" ht="28.5" hidden="1" collapsed="1" x14ac:dyDescent="0.25">
      <c r="E17028" s="506"/>
      <c r="F17028" s="514"/>
      <c r="G17028" s="231" t="s">
        <v>4486</v>
      </c>
      <c r="H17028" s="602"/>
      <c r="I17028" s="623"/>
      <c r="J17028" s="603"/>
    </row>
    <row r="17029" spans="5:10" ht="15.75" hidden="1" thickBot="1" x14ac:dyDescent="0.3">
      <c r="E17029" s="222"/>
      <c r="F17029" s="249" t="s">
        <v>234</v>
      </c>
      <c r="G17029" s="252" t="s">
        <v>235</v>
      </c>
      <c r="H17029" s="598">
        <f>SUM(H16950:H17009)</f>
        <v>0</v>
      </c>
      <c r="I17029" s="599"/>
      <c r="J17029" s="599">
        <f>SUM(H17029:I17029)</f>
        <v>0</v>
      </c>
    </row>
    <row r="17030" spans="5:10" hidden="1" x14ac:dyDescent="0.25">
      <c r="F17030" s="249" t="s">
        <v>236</v>
      </c>
      <c r="G17030" s="252" t="s">
        <v>237</v>
      </c>
      <c r="J17030" s="599">
        <f t="shared" ref="J17030:J17044" si="507">SUM(H17030:I17030)</f>
        <v>0</v>
      </c>
    </row>
    <row r="17031" spans="5:10" hidden="1" x14ac:dyDescent="0.25">
      <c r="F17031" s="249" t="s">
        <v>238</v>
      </c>
      <c r="G17031" s="252" t="s">
        <v>239</v>
      </c>
      <c r="J17031" s="599">
        <f t="shared" si="507"/>
        <v>0</v>
      </c>
    </row>
    <row r="17032" spans="5:10" hidden="1" x14ac:dyDescent="0.25">
      <c r="F17032" s="249" t="s">
        <v>240</v>
      </c>
      <c r="G17032" s="252" t="s">
        <v>241</v>
      </c>
      <c r="J17032" s="599">
        <f t="shared" si="507"/>
        <v>0</v>
      </c>
    </row>
    <row r="17033" spans="5:10" hidden="1" x14ac:dyDescent="0.25">
      <c r="F17033" s="249" t="s">
        <v>242</v>
      </c>
      <c r="G17033" s="252" t="s">
        <v>243</v>
      </c>
      <c r="J17033" s="599">
        <f t="shared" si="507"/>
        <v>0</v>
      </c>
    </row>
    <row r="17034" spans="5:10" hidden="1" x14ac:dyDescent="0.25">
      <c r="F17034" s="249" t="s">
        <v>244</v>
      </c>
      <c r="G17034" s="252" t="s">
        <v>245</v>
      </c>
      <c r="J17034" s="599">
        <f t="shared" si="507"/>
        <v>0</v>
      </c>
    </row>
    <row r="17035" spans="5:10" hidden="1" x14ac:dyDescent="0.25">
      <c r="F17035" s="249" t="s">
        <v>246</v>
      </c>
      <c r="G17035" s="252" t="s">
        <v>247</v>
      </c>
      <c r="J17035" s="599">
        <f t="shared" si="507"/>
        <v>0</v>
      </c>
    </row>
    <row r="17036" spans="5:10" hidden="1" x14ac:dyDescent="0.25">
      <c r="F17036" s="249" t="s">
        <v>248</v>
      </c>
      <c r="G17036" s="252" t="s">
        <v>249</v>
      </c>
      <c r="J17036" s="599">
        <f t="shared" si="507"/>
        <v>0</v>
      </c>
    </row>
    <row r="17037" spans="5:10" hidden="1" x14ac:dyDescent="0.25">
      <c r="F17037" s="249" t="s">
        <v>250</v>
      </c>
      <c r="G17037" s="252" t="s">
        <v>57</v>
      </c>
      <c r="J17037" s="599">
        <f t="shared" si="507"/>
        <v>0</v>
      </c>
    </row>
    <row r="17038" spans="5:10" hidden="1" x14ac:dyDescent="0.25">
      <c r="F17038" s="249" t="s">
        <v>251</v>
      </c>
      <c r="G17038" s="252" t="s">
        <v>252</v>
      </c>
      <c r="J17038" s="599">
        <f t="shared" si="507"/>
        <v>0</v>
      </c>
    </row>
    <row r="17039" spans="5:10" hidden="1" x14ac:dyDescent="0.25">
      <c r="F17039" s="249" t="s">
        <v>253</v>
      </c>
      <c r="G17039" s="252" t="s">
        <v>254</v>
      </c>
      <c r="J17039" s="599">
        <f t="shared" si="507"/>
        <v>0</v>
      </c>
    </row>
    <row r="17040" spans="5:10" ht="30" hidden="1" x14ac:dyDescent="0.25">
      <c r="F17040" s="249" t="s">
        <v>255</v>
      </c>
      <c r="G17040" s="252" t="s">
        <v>256</v>
      </c>
      <c r="J17040" s="599">
        <f t="shared" si="507"/>
        <v>0</v>
      </c>
    </row>
    <row r="17041" spans="1:25" hidden="1" x14ac:dyDescent="0.25">
      <c r="F17041" s="249" t="s">
        <v>257</v>
      </c>
      <c r="G17041" s="252" t="s">
        <v>258</v>
      </c>
      <c r="J17041" s="599">
        <f t="shared" si="507"/>
        <v>0</v>
      </c>
    </row>
    <row r="17042" spans="1:25" ht="30" hidden="1" x14ac:dyDescent="0.25">
      <c r="F17042" s="249" t="s">
        <v>259</v>
      </c>
      <c r="G17042" s="252" t="s">
        <v>260</v>
      </c>
      <c r="J17042" s="599">
        <f t="shared" si="507"/>
        <v>0</v>
      </c>
    </row>
    <row r="17043" spans="1:25" hidden="1" x14ac:dyDescent="0.25">
      <c r="F17043" s="249" t="s">
        <v>261</v>
      </c>
      <c r="G17043" s="252" t="s">
        <v>262</v>
      </c>
      <c r="J17043" s="599">
        <f t="shared" si="507"/>
        <v>0</v>
      </c>
    </row>
    <row r="17044" spans="1:25" ht="15.75" hidden="1" thickBot="1" x14ac:dyDescent="0.3">
      <c r="F17044" s="249" t="s">
        <v>263</v>
      </c>
      <c r="G17044" s="252" t="s">
        <v>264</v>
      </c>
      <c r="H17044" s="598"/>
      <c r="I17044" s="599"/>
      <c r="J17044" s="599">
        <f t="shared" si="507"/>
        <v>0</v>
      </c>
    </row>
    <row r="17045" spans="1:25" ht="15.75" hidden="1" collapsed="1" thickBot="1" x14ac:dyDescent="0.3">
      <c r="G17045" s="229" t="s">
        <v>4487</v>
      </c>
      <c r="H17045" s="600">
        <f>SUM(H17029:H17044)</f>
        <v>0</v>
      </c>
      <c r="I17045" s="601">
        <f>SUM(I17030:I17044)</f>
        <v>0</v>
      </c>
      <c r="J17045" s="601">
        <f>SUM(J17029:J17044)</f>
        <v>0</v>
      </c>
    </row>
    <row r="17046" spans="1:25" hidden="1" x14ac:dyDescent="0.25"/>
    <row r="17047" spans="1:25" s="88" customFormat="1" hidden="1" x14ac:dyDescent="0.25">
      <c r="A17047" s="509"/>
      <c r="B17047" s="256"/>
      <c r="C17047" s="316"/>
      <c r="D17047" s="251"/>
      <c r="E17047" s="251"/>
      <c r="F17047" s="514"/>
      <c r="G17047" s="250" t="s">
        <v>4272</v>
      </c>
      <c r="H17047" s="606"/>
      <c r="I17047" s="624"/>
      <c r="J17047" s="607"/>
      <c r="K17047" s="533"/>
      <c r="L17047" s="533"/>
      <c r="M17047" s="533"/>
      <c r="N17047" s="533"/>
      <c r="O17047" s="533"/>
      <c r="P17047" s="533"/>
      <c r="Q17047" s="533"/>
      <c r="R17047" s="533"/>
      <c r="S17047" s="533"/>
      <c r="T17047" s="533"/>
      <c r="U17047" s="533"/>
      <c r="V17047" s="533"/>
      <c r="W17047" s="533"/>
      <c r="X17047" s="533"/>
      <c r="Y17047" s="533"/>
    </row>
    <row r="17048" spans="1:25" s="88" customFormat="1" ht="15.75" hidden="1" thickBot="1" x14ac:dyDescent="0.3">
      <c r="A17048" s="509"/>
      <c r="B17048" s="256"/>
      <c r="C17048" s="316"/>
      <c r="D17048" s="251"/>
      <c r="E17048" s="251"/>
      <c r="F17048" s="249" t="s">
        <v>234</v>
      </c>
      <c r="G17048" s="252" t="s">
        <v>235</v>
      </c>
      <c r="H17048" s="598">
        <f>SUM(H17029,H16930,)</f>
        <v>0</v>
      </c>
      <c r="I17048" s="599"/>
      <c r="J17048" s="599">
        <f>SUM(H17048:I17048)</f>
        <v>0</v>
      </c>
      <c r="K17048" s="533"/>
      <c r="L17048" s="533"/>
      <c r="M17048" s="533"/>
      <c r="N17048" s="533"/>
      <c r="O17048" s="533"/>
      <c r="P17048" s="533"/>
      <c r="Q17048" s="533"/>
      <c r="R17048" s="533"/>
      <c r="S17048" s="533"/>
      <c r="T17048" s="533"/>
      <c r="U17048" s="533"/>
      <c r="V17048" s="533"/>
      <c r="W17048" s="533"/>
      <c r="X17048" s="533"/>
      <c r="Y17048" s="533"/>
    </row>
    <row r="17049" spans="1:25" s="88" customFormat="1" hidden="1" x14ac:dyDescent="0.25">
      <c r="A17049" s="509"/>
      <c r="B17049" s="256"/>
      <c r="C17049" s="316"/>
      <c r="D17049" s="251"/>
      <c r="E17049" s="251"/>
      <c r="F17049" s="249" t="s">
        <v>236</v>
      </c>
      <c r="G17049" s="252" t="s">
        <v>237</v>
      </c>
      <c r="H17049" s="594"/>
      <c r="I17049" s="595"/>
      <c r="J17049" s="599">
        <f t="shared" ref="J17049:J17063" si="508">SUM(H17049:I17049)</f>
        <v>0</v>
      </c>
      <c r="K17049" s="533"/>
      <c r="L17049" s="533"/>
      <c r="M17049" s="533"/>
      <c r="N17049" s="533"/>
      <c r="O17049" s="533"/>
      <c r="P17049" s="533"/>
      <c r="Q17049" s="533"/>
      <c r="R17049" s="533"/>
      <c r="S17049" s="533"/>
      <c r="T17049" s="533"/>
      <c r="U17049" s="533"/>
      <c r="V17049" s="533"/>
      <c r="W17049" s="533"/>
      <c r="X17049" s="533"/>
      <c r="Y17049" s="533"/>
    </row>
    <row r="17050" spans="1:25" s="88" customFormat="1" hidden="1" x14ac:dyDescent="0.25">
      <c r="A17050" s="509"/>
      <c r="B17050" s="256"/>
      <c r="C17050" s="316"/>
      <c r="D17050" s="251"/>
      <c r="E17050" s="251"/>
      <c r="F17050" s="249" t="s">
        <v>238</v>
      </c>
      <c r="G17050" s="252" t="s">
        <v>239</v>
      </c>
      <c r="H17050" s="594"/>
      <c r="I17050" s="595"/>
      <c r="J17050" s="599">
        <f t="shared" si="508"/>
        <v>0</v>
      </c>
      <c r="K17050" s="533"/>
      <c r="L17050" s="533"/>
      <c r="M17050" s="533"/>
      <c r="N17050" s="533"/>
      <c r="O17050" s="533"/>
      <c r="P17050" s="533"/>
      <c r="Q17050" s="533"/>
      <c r="R17050" s="533"/>
      <c r="S17050" s="533"/>
      <c r="T17050" s="533"/>
      <c r="U17050" s="533"/>
      <c r="V17050" s="533"/>
      <c r="W17050" s="533"/>
      <c r="X17050" s="533"/>
      <c r="Y17050" s="533"/>
    </row>
    <row r="17051" spans="1:25" s="88" customFormat="1" hidden="1" x14ac:dyDescent="0.25">
      <c r="A17051" s="509"/>
      <c r="B17051" s="256"/>
      <c r="C17051" s="316"/>
      <c r="D17051" s="251"/>
      <c r="E17051" s="251"/>
      <c r="F17051" s="249" t="s">
        <v>240</v>
      </c>
      <c r="G17051" s="252" t="s">
        <v>241</v>
      </c>
      <c r="H17051" s="594"/>
      <c r="I17051" s="595"/>
      <c r="J17051" s="599">
        <f t="shared" si="508"/>
        <v>0</v>
      </c>
      <c r="K17051" s="533"/>
      <c r="L17051" s="533"/>
      <c r="M17051" s="533"/>
      <c r="N17051" s="533"/>
      <c r="O17051" s="533"/>
      <c r="P17051" s="533"/>
      <c r="Q17051" s="533"/>
      <c r="R17051" s="533"/>
      <c r="S17051" s="533"/>
      <c r="T17051" s="533"/>
      <c r="U17051" s="533"/>
      <c r="V17051" s="533"/>
      <c r="W17051" s="533"/>
      <c r="X17051" s="533"/>
      <c r="Y17051" s="533"/>
    </row>
    <row r="17052" spans="1:25" s="88" customFormat="1" hidden="1" x14ac:dyDescent="0.25">
      <c r="A17052" s="509"/>
      <c r="B17052" s="256"/>
      <c r="C17052" s="316"/>
      <c r="D17052" s="251"/>
      <c r="E17052" s="251"/>
      <c r="F17052" s="249" t="s">
        <v>242</v>
      </c>
      <c r="G17052" s="252" t="s">
        <v>243</v>
      </c>
      <c r="H17052" s="594"/>
      <c r="I17052" s="595"/>
      <c r="J17052" s="599">
        <f t="shared" si="508"/>
        <v>0</v>
      </c>
      <c r="K17052" s="533"/>
      <c r="L17052" s="533"/>
      <c r="M17052" s="533"/>
      <c r="N17052" s="533"/>
      <c r="O17052" s="533"/>
      <c r="P17052" s="533"/>
      <c r="Q17052" s="533"/>
      <c r="R17052" s="533"/>
      <c r="S17052" s="533"/>
      <c r="T17052" s="533"/>
      <c r="U17052" s="533"/>
      <c r="V17052" s="533"/>
      <c r="W17052" s="533"/>
      <c r="X17052" s="533"/>
      <c r="Y17052" s="533"/>
    </row>
    <row r="17053" spans="1:25" s="88" customFormat="1" hidden="1" x14ac:dyDescent="0.25">
      <c r="A17053" s="509"/>
      <c r="B17053" s="256"/>
      <c r="C17053" s="316"/>
      <c r="D17053" s="251"/>
      <c r="E17053" s="251"/>
      <c r="F17053" s="249" t="s">
        <v>244</v>
      </c>
      <c r="G17053" s="252" t="s">
        <v>245</v>
      </c>
      <c r="H17053" s="594"/>
      <c r="I17053" s="595"/>
      <c r="J17053" s="599">
        <f t="shared" si="508"/>
        <v>0</v>
      </c>
      <c r="K17053" s="533"/>
      <c r="L17053" s="533"/>
      <c r="M17053" s="533"/>
      <c r="N17053" s="533"/>
      <c r="O17053" s="533"/>
      <c r="P17053" s="533"/>
      <c r="Q17053" s="533"/>
      <c r="R17053" s="533"/>
      <c r="S17053" s="533"/>
      <c r="T17053" s="533"/>
      <c r="U17053" s="533"/>
      <c r="V17053" s="533"/>
      <c r="W17053" s="533"/>
      <c r="X17053" s="533"/>
      <c r="Y17053" s="533"/>
    </row>
    <row r="17054" spans="1:25" s="88" customFormat="1" hidden="1" x14ac:dyDescent="0.25">
      <c r="A17054" s="509"/>
      <c r="B17054" s="256"/>
      <c r="C17054" s="316"/>
      <c r="D17054" s="251"/>
      <c r="E17054" s="251"/>
      <c r="F17054" s="249" t="s">
        <v>246</v>
      </c>
      <c r="G17054" s="252" t="s">
        <v>247</v>
      </c>
      <c r="H17054" s="594"/>
      <c r="I17054" s="595"/>
      <c r="J17054" s="599">
        <f t="shared" si="508"/>
        <v>0</v>
      </c>
      <c r="K17054" s="533"/>
      <c r="L17054" s="533"/>
      <c r="M17054" s="533"/>
      <c r="N17054" s="533"/>
      <c r="O17054" s="533"/>
      <c r="P17054" s="533"/>
      <c r="Q17054" s="533"/>
      <c r="R17054" s="533"/>
      <c r="S17054" s="533"/>
      <c r="T17054" s="533"/>
      <c r="U17054" s="533"/>
      <c r="V17054" s="533"/>
      <c r="W17054" s="533"/>
      <c r="X17054" s="533"/>
      <c r="Y17054" s="533"/>
    </row>
    <row r="17055" spans="1:25" s="88" customFormat="1" hidden="1" x14ac:dyDescent="0.25">
      <c r="A17055" s="509"/>
      <c r="B17055" s="256"/>
      <c r="C17055" s="316"/>
      <c r="D17055" s="251"/>
      <c r="E17055" s="251"/>
      <c r="F17055" s="249" t="s">
        <v>248</v>
      </c>
      <c r="G17055" s="252" t="s">
        <v>249</v>
      </c>
      <c r="H17055" s="594"/>
      <c r="I17055" s="595"/>
      <c r="J17055" s="599">
        <f t="shared" si="508"/>
        <v>0</v>
      </c>
      <c r="K17055" s="533"/>
      <c r="L17055" s="533"/>
      <c r="M17055" s="533"/>
      <c r="N17055" s="533"/>
      <c r="O17055" s="533"/>
      <c r="P17055" s="533"/>
      <c r="Q17055" s="533"/>
      <c r="R17055" s="533"/>
      <c r="S17055" s="533"/>
      <c r="T17055" s="533"/>
      <c r="U17055" s="533"/>
      <c r="V17055" s="533"/>
      <c r="W17055" s="533"/>
      <c r="X17055" s="533"/>
      <c r="Y17055" s="533"/>
    </row>
    <row r="17056" spans="1:25" s="88" customFormat="1" hidden="1" x14ac:dyDescent="0.25">
      <c r="A17056" s="509"/>
      <c r="B17056" s="256"/>
      <c r="C17056" s="316"/>
      <c r="D17056" s="251"/>
      <c r="E17056" s="251"/>
      <c r="F17056" s="249" t="s">
        <v>250</v>
      </c>
      <c r="G17056" s="252" t="s">
        <v>57</v>
      </c>
      <c r="H17056" s="594"/>
      <c r="I17056" s="595"/>
      <c r="J17056" s="599">
        <f t="shared" si="508"/>
        <v>0</v>
      </c>
      <c r="K17056" s="533"/>
      <c r="L17056" s="533"/>
      <c r="M17056" s="533"/>
      <c r="N17056" s="533"/>
      <c r="O17056" s="533"/>
      <c r="P17056" s="533"/>
      <c r="Q17056" s="533"/>
      <c r="R17056" s="533"/>
      <c r="S17056" s="533"/>
      <c r="T17056" s="533"/>
      <c r="U17056" s="533"/>
      <c r="V17056" s="533"/>
      <c r="W17056" s="533"/>
      <c r="X17056" s="533"/>
      <c r="Y17056" s="533"/>
    </row>
    <row r="17057" spans="1:25" s="88" customFormat="1" hidden="1" x14ac:dyDescent="0.25">
      <c r="A17057" s="509"/>
      <c r="B17057" s="256"/>
      <c r="C17057" s="316"/>
      <c r="D17057" s="251"/>
      <c r="E17057" s="251"/>
      <c r="F17057" s="249" t="s">
        <v>251</v>
      </c>
      <c r="G17057" s="252" t="s">
        <v>252</v>
      </c>
      <c r="H17057" s="594"/>
      <c r="I17057" s="595"/>
      <c r="J17057" s="599">
        <f t="shared" si="508"/>
        <v>0</v>
      </c>
      <c r="K17057" s="533"/>
      <c r="L17057" s="533"/>
      <c r="M17057" s="533"/>
      <c r="N17057" s="533"/>
      <c r="O17057" s="533"/>
      <c r="P17057" s="533"/>
      <c r="Q17057" s="533"/>
      <c r="R17057" s="533"/>
      <c r="S17057" s="533"/>
      <c r="T17057" s="533"/>
      <c r="U17057" s="533"/>
      <c r="V17057" s="533"/>
      <c r="W17057" s="533"/>
      <c r="X17057" s="533"/>
      <c r="Y17057" s="533"/>
    </row>
    <row r="17058" spans="1:25" s="88" customFormat="1" hidden="1" x14ac:dyDescent="0.25">
      <c r="A17058" s="509"/>
      <c r="B17058" s="256"/>
      <c r="C17058" s="316"/>
      <c r="D17058" s="251"/>
      <c r="E17058" s="251"/>
      <c r="F17058" s="249" t="s">
        <v>253</v>
      </c>
      <c r="G17058" s="252" t="s">
        <v>254</v>
      </c>
      <c r="H17058" s="594"/>
      <c r="I17058" s="595"/>
      <c r="J17058" s="599">
        <f t="shared" si="508"/>
        <v>0</v>
      </c>
      <c r="K17058" s="533"/>
      <c r="L17058" s="533"/>
      <c r="M17058" s="533"/>
      <c r="N17058" s="533"/>
      <c r="O17058" s="533"/>
      <c r="P17058" s="533"/>
      <c r="Q17058" s="533"/>
      <c r="R17058" s="533"/>
      <c r="S17058" s="533"/>
      <c r="T17058" s="533"/>
      <c r="U17058" s="533"/>
      <c r="V17058" s="533"/>
      <c r="W17058" s="533"/>
      <c r="X17058" s="533"/>
      <c r="Y17058" s="533"/>
    </row>
    <row r="17059" spans="1:25" s="88" customFormat="1" ht="30" hidden="1" x14ac:dyDescent="0.25">
      <c r="A17059" s="509"/>
      <c r="B17059" s="256"/>
      <c r="C17059" s="316"/>
      <c r="D17059" s="251"/>
      <c r="E17059" s="251"/>
      <c r="F17059" s="249" t="s">
        <v>255</v>
      </c>
      <c r="G17059" s="252" t="s">
        <v>256</v>
      </c>
      <c r="H17059" s="594"/>
      <c r="I17059" s="595"/>
      <c r="J17059" s="599">
        <f t="shared" si="508"/>
        <v>0</v>
      </c>
      <c r="K17059" s="533"/>
      <c r="L17059" s="533"/>
      <c r="M17059" s="533"/>
      <c r="N17059" s="533"/>
      <c r="O17059" s="533"/>
      <c r="P17059" s="533"/>
      <c r="Q17059" s="533"/>
      <c r="R17059" s="533"/>
      <c r="S17059" s="533"/>
      <c r="T17059" s="533"/>
      <c r="U17059" s="533"/>
      <c r="V17059" s="533"/>
      <c r="W17059" s="533"/>
      <c r="X17059" s="533"/>
      <c r="Y17059" s="533"/>
    </row>
    <row r="17060" spans="1:25" s="88" customFormat="1" hidden="1" x14ac:dyDescent="0.25">
      <c r="A17060" s="509"/>
      <c r="B17060" s="256"/>
      <c r="C17060" s="316"/>
      <c r="D17060" s="251"/>
      <c r="E17060" s="251"/>
      <c r="F17060" s="249" t="s">
        <v>257</v>
      </c>
      <c r="G17060" s="252" t="s">
        <v>258</v>
      </c>
      <c r="H17060" s="594"/>
      <c r="I17060" s="595"/>
      <c r="J17060" s="599">
        <f t="shared" si="508"/>
        <v>0</v>
      </c>
      <c r="K17060" s="533"/>
      <c r="L17060" s="533"/>
      <c r="M17060" s="533"/>
      <c r="N17060" s="533"/>
      <c r="O17060" s="533"/>
      <c r="P17060" s="533"/>
      <c r="Q17060" s="533"/>
      <c r="R17060" s="533"/>
      <c r="S17060" s="533"/>
      <c r="T17060" s="533"/>
      <c r="U17060" s="533"/>
      <c r="V17060" s="533"/>
      <c r="W17060" s="533"/>
      <c r="X17060" s="533"/>
      <c r="Y17060" s="533"/>
    </row>
    <row r="17061" spans="1:25" s="88" customFormat="1" ht="30" hidden="1" x14ac:dyDescent="0.25">
      <c r="A17061" s="509"/>
      <c r="B17061" s="256"/>
      <c r="C17061" s="316"/>
      <c r="D17061" s="251"/>
      <c r="E17061" s="251"/>
      <c r="F17061" s="249" t="s">
        <v>259</v>
      </c>
      <c r="G17061" s="252" t="s">
        <v>260</v>
      </c>
      <c r="H17061" s="594"/>
      <c r="I17061" s="595"/>
      <c r="J17061" s="599">
        <f t="shared" si="508"/>
        <v>0</v>
      </c>
      <c r="K17061" s="533"/>
      <c r="L17061" s="533"/>
      <c r="M17061" s="533"/>
      <c r="N17061" s="533"/>
      <c r="O17061" s="533"/>
      <c r="P17061" s="533"/>
      <c r="Q17061" s="533"/>
      <c r="R17061" s="533"/>
      <c r="S17061" s="533"/>
      <c r="T17061" s="533"/>
      <c r="U17061" s="533"/>
      <c r="V17061" s="533"/>
      <c r="W17061" s="533"/>
      <c r="X17061" s="533"/>
      <c r="Y17061" s="533"/>
    </row>
    <row r="17062" spans="1:25" s="88" customFormat="1" hidden="1" x14ac:dyDescent="0.25">
      <c r="A17062" s="509"/>
      <c r="B17062" s="256"/>
      <c r="C17062" s="316"/>
      <c r="D17062" s="251"/>
      <c r="E17062" s="251"/>
      <c r="F17062" s="249" t="s">
        <v>261</v>
      </c>
      <c r="G17062" s="252" t="s">
        <v>262</v>
      </c>
      <c r="H17062" s="594"/>
      <c r="I17062" s="595"/>
      <c r="J17062" s="599">
        <f t="shared" si="508"/>
        <v>0</v>
      </c>
      <c r="K17062" s="533"/>
      <c r="L17062" s="533"/>
      <c r="M17062" s="533"/>
      <c r="N17062" s="533"/>
      <c r="O17062" s="533"/>
      <c r="P17062" s="533"/>
      <c r="Q17062" s="533"/>
      <c r="R17062" s="533"/>
      <c r="S17062" s="533"/>
      <c r="T17062" s="533"/>
      <c r="U17062" s="533"/>
      <c r="V17062" s="533"/>
      <c r="W17062" s="533"/>
      <c r="X17062" s="533"/>
      <c r="Y17062" s="533"/>
    </row>
    <row r="17063" spans="1:25" s="88" customFormat="1" ht="15.75" hidden="1" thickBot="1" x14ac:dyDescent="0.3">
      <c r="A17063" s="509"/>
      <c r="B17063" s="256"/>
      <c r="C17063" s="316"/>
      <c r="D17063" s="251"/>
      <c r="E17063" s="251"/>
      <c r="F17063" s="249" t="s">
        <v>263</v>
      </c>
      <c r="G17063" s="252" t="s">
        <v>264</v>
      </c>
      <c r="H17063" s="598"/>
      <c r="I17063" s="599"/>
      <c r="J17063" s="599">
        <f t="shared" si="508"/>
        <v>0</v>
      </c>
      <c r="K17063" s="533"/>
      <c r="L17063" s="533"/>
      <c r="M17063" s="533"/>
      <c r="N17063" s="533"/>
      <c r="O17063" s="533"/>
      <c r="P17063" s="533"/>
      <c r="Q17063" s="533"/>
      <c r="R17063" s="533"/>
      <c r="S17063" s="533"/>
      <c r="T17063" s="533"/>
      <c r="U17063" s="533"/>
      <c r="V17063" s="533"/>
      <c r="W17063" s="533"/>
      <c r="X17063" s="533"/>
      <c r="Y17063" s="533"/>
    </row>
    <row r="17064" spans="1:25" s="88" customFormat="1" ht="15.75" hidden="1" thickBot="1" x14ac:dyDescent="0.3">
      <c r="A17064" s="509"/>
      <c r="B17064" s="256"/>
      <c r="C17064" s="316"/>
      <c r="D17064" s="251"/>
      <c r="E17064" s="251"/>
      <c r="F17064" s="218"/>
      <c r="G17064" s="229" t="s">
        <v>4273</v>
      </c>
      <c r="H17064" s="600">
        <f>SUM(H17048:H17063)</f>
        <v>0</v>
      </c>
      <c r="I17064" s="601">
        <f>SUM(I17049:I17063)</f>
        <v>0</v>
      </c>
      <c r="J17064" s="601">
        <f>SUM(J17048:J17063)</f>
        <v>0</v>
      </c>
      <c r="K17064" s="533"/>
      <c r="L17064" s="533"/>
      <c r="M17064" s="533"/>
      <c r="N17064" s="533"/>
      <c r="O17064" s="533"/>
      <c r="P17064" s="533"/>
      <c r="Q17064" s="533"/>
      <c r="R17064" s="533"/>
      <c r="S17064" s="533"/>
      <c r="T17064" s="533"/>
      <c r="U17064" s="533"/>
      <c r="V17064" s="533"/>
      <c r="W17064" s="533"/>
      <c r="X17064" s="533"/>
      <c r="Y17064" s="533"/>
    </row>
    <row r="17065" spans="1:25" hidden="1" x14ac:dyDescent="0.25"/>
    <row r="17066" spans="1:25" hidden="1" x14ac:dyDescent="0.25">
      <c r="E17066" s="506"/>
      <c r="F17066" s="514"/>
      <c r="G17066" s="250" t="s">
        <v>4482</v>
      </c>
      <c r="H17066" s="606"/>
      <c r="I17066" s="624"/>
      <c r="J17066" s="607"/>
    </row>
    <row r="17067" spans="1:25" ht="15.75" hidden="1" thickBot="1" x14ac:dyDescent="0.3">
      <c r="E17067" s="222"/>
      <c r="F17067" s="249" t="s">
        <v>234</v>
      </c>
      <c r="G17067" s="252" t="s">
        <v>235</v>
      </c>
      <c r="H17067" s="598">
        <f>SUM(H17048)</f>
        <v>0</v>
      </c>
      <c r="I17067" s="599"/>
      <c r="J17067" s="599">
        <f>SUM(H17067:I17067)</f>
        <v>0</v>
      </c>
    </row>
    <row r="17068" spans="1:25" hidden="1" x14ac:dyDescent="0.25">
      <c r="F17068" s="249" t="s">
        <v>236</v>
      </c>
      <c r="G17068" s="252" t="s">
        <v>237</v>
      </c>
      <c r="J17068" s="599">
        <f t="shared" ref="J17068:J17082" si="509">SUM(H17068:I17068)</f>
        <v>0</v>
      </c>
    </row>
    <row r="17069" spans="1:25" hidden="1" x14ac:dyDescent="0.25">
      <c r="F17069" s="249" t="s">
        <v>238</v>
      </c>
      <c r="G17069" s="252" t="s">
        <v>239</v>
      </c>
      <c r="J17069" s="599">
        <f t="shared" si="509"/>
        <v>0</v>
      </c>
    </row>
    <row r="17070" spans="1:25" hidden="1" x14ac:dyDescent="0.25">
      <c r="F17070" s="249" t="s">
        <v>240</v>
      </c>
      <c r="G17070" s="252" t="s">
        <v>241</v>
      </c>
      <c r="J17070" s="599">
        <f t="shared" si="509"/>
        <v>0</v>
      </c>
    </row>
    <row r="17071" spans="1:25" hidden="1" x14ac:dyDescent="0.25">
      <c r="F17071" s="249" t="s">
        <v>242</v>
      </c>
      <c r="G17071" s="252" t="s">
        <v>243</v>
      </c>
      <c r="J17071" s="599">
        <f t="shared" si="509"/>
        <v>0</v>
      </c>
    </row>
    <row r="17072" spans="1:25" hidden="1" x14ac:dyDescent="0.25">
      <c r="F17072" s="249" t="s">
        <v>244</v>
      </c>
      <c r="G17072" s="252" t="s">
        <v>245</v>
      </c>
      <c r="J17072" s="599">
        <f t="shared" si="509"/>
        <v>0</v>
      </c>
    </row>
    <row r="17073" spans="1:10" hidden="1" x14ac:dyDescent="0.25">
      <c r="F17073" s="249" t="s">
        <v>246</v>
      </c>
      <c r="G17073" s="252" t="s">
        <v>247</v>
      </c>
      <c r="J17073" s="599">
        <f t="shared" si="509"/>
        <v>0</v>
      </c>
    </row>
    <row r="17074" spans="1:10" hidden="1" x14ac:dyDescent="0.25">
      <c r="F17074" s="249" t="s">
        <v>248</v>
      </c>
      <c r="G17074" s="252" t="s">
        <v>249</v>
      </c>
      <c r="J17074" s="599">
        <f t="shared" si="509"/>
        <v>0</v>
      </c>
    </row>
    <row r="17075" spans="1:10" hidden="1" x14ac:dyDescent="0.25">
      <c r="F17075" s="249" t="s">
        <v>250</v>
      </c>
      <c r="G17075" s="252" t="s">
        <v>57</v>
      </c>
      <c r="J17075" s="599">
        <f t="shared" si="509"/>
        <v>0</v>
      </c>
    </row>
    <row r="17076" spans="1:10" hidden="1" x14ac:dyDescent="0.25">
      <c r="F17076" s="249" t="s">
        <v>251</v>
      </c>
      <c r="G17076" s="252" t="s">
        <v>252</v>
      </c>
      <c r="J17076" s="599">
        <f t="shared" si="509"/>
        <v>0</v>
      </c>
    </row>
    <row r="17077" spans="1:10" hidden="1" x14ac:dyDescent="0.25">
      <c r="F17077" s="249" t="s">
        <v>253</v>
      </c>
      <c r="G17077" s="252" t="s">
        <v>254</v>
      </c>
      <c r="J17077" s="599">
        <f t="shared" si="509"/>
        <v>0</v>
      </c>
    </row>
    <row r="17078" spans="1:10" ht="30" hidden="1" x14ac:dyDescent="0.25">
      <c r="F17078" s="249" t="s">
        <v>255</v>
      </c>
      <c r="G17078" s="252" t="s">
        <v>256</v>
      </c>
      <c r="J17078" s="599">
        <f t="shared" si="509"/>
        <v>0</v>
      </c>
    </row>
    <row r="17079" spans="1:10" hidden="1" x14ac:dyDescent="0.25">
      <c r="F17079" s="249" t="s">
        <v>257</v>
      </c>
      <c r="G17079" s="252" t="s">
        <v>258</v>
      </c>
      <c r="J17079" s="599">
        <f t="shared" si="509"/>
        <v>0</v>
      </c>
    </row>
    <row r="17080" spans="1:10" ht="30" hidden="1" x14ac:dyDescent="0.25">
      <c r="F17080" s="249" t="s">
        <v>259</v>
      </c>
      <c r="G17080" s="252" t="s">
        <v>260</v>
      </c>
      <c r="J17080" s="599">
        <f t="shared" si="509"/>
        <v>0</v>
      </c>
    </row>
    <row r="17081" spans="1:10" hidden="1" x14ac:dyDescent="0.25">
      <c r="F17081" s="249" t="s">
        <v>261</v>
      </c>
      <c r="G17081" s="252" t="s">
        <v>262</v>
      </c>
      <c r="J17081" s="599">
        <f t="shared" si="509"/>
        <v>0</v>
      </c>
    </row>
    <row r="17082" spans="1:10" ht="15.75" hidden="1" thickBot="1" x14ac:dyDescent="0.3">
      <c r="F17082" s="249" t="s">
        <v>263</v>
      </c>
      <c r="G17082" s="252" t="s">
        <v>264</v>
      </c>
      <c r="H17082" s="598"/>
      <c r="I17082" s="599"/>
      <c r="J17082" s="599">
        <f t="shared" si="509"/>
        <v>0</v>
      </c>
    </row>
    <row r="17083" spans="1:10" ht="15.75" hidden="1" thickBot="1" x14ac:dyDescent="0.3">
      <c r="G17083" s="229" t="s">
        <v>4483</v>
      </c>
      <c r="H17083" s="600">
        <f>SUM(H17067:H17082)</f>
        <v>0</v>
      </c>
      <c r="I17083" s="601">
        <f>SUM(I17068:I17082)</f>
        <v>0</v>
      </c>
      <c r="J17083" s="601">
        <f>SUM(J17067:J17082)</f>
        <v>0</v>
      </c>
    </row>
    <row r="17084" spans="1:10" hidden="1" x14ac:dyDescent="0.25">
      <c r="G17084" s="286"/>
      <c r="H17084" s="604"/>
      <c r="I17084" s="605"/>
      <c r="J17084" s="605"/>
    </row>
    <row r="17085" spans="1:10" hidden="1" x14ac:dyDescent="0.25">
      <c r="A17085" s="579"/>
      <c r="B17085" s="579"/>
      <c r="C17085" s="580"/>
      <c r="D17085" s="579"/>
      <c r="E17085" s="579"/>
      <c r="F17085" s="579"/>
      <c r="G17085" s="581"/>
      <c r="H17085" s="620"/>
      <c r="I17085" s="621"/>
      <c r="J17085" s="621"/>
    </row>
    <row r="17086" spans="1:10" x14ac:dyDescent="0.25">
      <c r="E17086" s="517"/>
      <c r="F17086" s="528"/>
      <c r="G17086" s="250" t="s">
        <v>5195</v>
      </c>
      <c r="H17086" s="606"/>
      <c r="I17086" s="624"/>
      <c r="J17086" s="607"/>
    </row>
    <row r="17087" spans="1:10" x14ac:dyDescent="0.25">
      <c r="E17087" s="222"/>
      <c r="F17087" s="249" t="s">
        <v>234</v>
      </c>
      <c r="G17087" s="252" t="s">
        <v>235</v>
      </c>
      <c r="H17087" s="598">
        <f>SUM(H15554,H13899,H11383,H10745,H8838,H8104,H7409,H6832,H6261,H5644)</f>
        <v>543501206</v>
      </c>
      <c r="I17087" s="599"/>
      <c r="J17087" s="599">
        <f>SUM(H17087:I17087)</f>
        <v>543501206</v>
      </c>
    </row>
    <row r="17088" spans="1:10" hidden="1" x14ac:dyDescent="0.25">
      <c r="F17088" s="249" t="s">
        <v>236</v>
      </c>
      <c r="G17088" s="252" t="s">
        <v>237</v>
      </c>
      <c r="J17088" s="599">
        <f t="shared" ref="J17088:J17102" si="510">SUM(H17088:I17088)</f>
        <v>0</v>
      </c>
    </row>
    <row r="17089" spans="6:10" hidden="1" x14ac:dyDescent="0.25">
      <c r="F17089" s="249" t="s">
        <v>238</v>
      </c>
      <c r="G17089" s="252" t="s">
        <v>239</v>
      </c>
      <c r="J17089" s="599">
        <f t="shared" si="510"/>
        <v>0</v>
      </c>
    </row>
    <row r="17090" spans="6:10" x14ac:dyDescent="0.25">
      <c r="F17090" s="249" t="s">
        <v>240</v>
      </c>
      <c r="G17090" s="252" t="s">
        <v>241</v>
      </c>
      <c r="I17090" s="595">
        <f>SUM(I13886,I11370,I8825)</f>
        <v>6985884</v>
      </c>
      <c r="J17090" s="599">
        <f t="shared" si="510"/>
        <v>6985884</v>
      </c>
    </row>
    <row r="17091" spans="6:10" hidden="1" x14ac:dyDescent="0.25">
      <c r="F17091" s="249" t="s">
        <v>242</v>
      </c>
      <c r="G17091" s="252" t="s">
        <v>243</v>
      </c>
      <c r="J17091" s="599">
        <f t="shared" si="510"/>
        <v>0</v>
      </c>
    </row>
    <row r="17092" spans="6:10" hidden="1" x14ac:dyDescent="0.25">
      <c r="F17092" s="249" t="s">
        <v>244</v>
      </c>
      <c r="G17092" s="252" t="s">
        <v>245</v>
      </c>
      <c r="J17092" s="599">
        <f t="shared" si="510"/>
        <v>0</v>
      </c>
    </row>
    <row r="17093" spans="6:10" ht="15.75" thickBot="1" x14ac:dyDescent="0.3">
      <c r="F17093" s="249" t="s">
        <v>246</v>
      </c>
      <c r="G17093" s="252" t="s">
        <v>247</v>
      </c>
      <c r="I17093" s="595">
        <f>SUM(I13889)</f>
        <v>8859216</v>
      </c>
      <c r="J17093" s="599">
        <f t="shared" si="510"/>
        <v>8859216</v>
      </c>
    </row>
    <row r="17094" spans="6:10" hidden="1" x14ac:dyDescent="0.25">
      <c r="F17094" s="249" t="s">
        <v>248</v>
      </c>
      <c r="G17094" s="252" t="s">
        <v>249</v>
      </c>
      <c r="J17094" s="599">
        <f t="shared" si="510"/>
        <v>0</v>
      </c>
    </row>
    <row r="17095" spans="6:10" hidden="1" x14ac:dyDescent="0.25">
      <c r="F17095" s="249" t="s">
        <v>250</v>
      </c>
      <c r="G17095" s="252" t="s">
        <v>57</v>
      </c>
      <c r="J17095" s="599">
        <f t="shared" si="510"/>
        <v>0</v>
      </c>
    </row>
    <row r="17096" spans="6:10" hidden="1" x14ac:dyDescent="0.25">
      <c r="F17096" s="249" t="s">
        <v>251</v>
      </c>
      <c r="G17096" s="252" t="s">
        <v>252</v>
      </c>
      <c r="J17096" s="599">
        <f t="shared" si="510"/>
        <v>0</v>
      </c>
    </row>
    <row r="17097" spans="6:10" hidden="1" x14ac:dyDescent="0.25">
      <c r="F17097" s="249" t="s">
        <v>253</v>
      </c>
      <c r="G17097" s="252" t="s">
        <v>254</v>
      </c>
      <c r="J17097" s="599">
        <f t="shared" si="510"/>
        <v>0</v>
      </c>
    </row>
    <row r="17098" spans="6:10" ht="30" hidden="1" x14ac:dyDescent="0.25">
      <c r="F17098" s="249" t="s">
        <v>255</v>
      </c>
      <c r="G17098" s="252" t="s">
        <v>256</v>
      </c>
      <c r="J17098" s="599">
        <f t="shared" si="510"/>
        <v>0</v>
      </c>
    </row>
    <row r="17099" spans="6:10" hidden="1" x14ac:dyDescent="0.25">
      <c r="F17099" s="249" t="s">
        <v>257</v>
      </c>
      <c r="G17099" s="252" t="s">
        <v>258</v>
      </c>
      <c r="J17099" s="599">
        <f t="shared" si="510"/>
        <v>0</v>
      </c>
    </row>
    <row r="17100" spans="6:10" ht="30" hidden="1" x14ac:dyDescent="0.25">
      <c r="F17100" s="249" t="s">
        <v>259</v>
      </c>
      <c r="G17100" s="252" t="s">
        <v>260</v>
      </c>
      <c r="J17100" s="599">
        <f t="shared" si="510"/>
        <v>0</v>
      </c>
    </row>
    <row r="17101" spans="6:10" hidden="1" x14ac:dyDescent="0.25">
      <c r="F17101" s="249" t="s">
        <v>261</v>
      </c>
      <c r="G17101" s="252" t="s">
        <v>262</v>
      </c>
      <c r="J17101" s="599">
        <f t="shared" si="510"/>
        <v>0</v>
      </c>
    </row>
    <row r="17102" spans="6:10" ht="15.75" hidden="1" thickBot="1" x14ac:dyDescent="0.3">
      <c r="F17102" s="249" t="s">
        <v>263</v>
      </c>
      <c r="G17102" s="252" t="s">
        <v>264</v>
      </c>
      <c r="H17102" s="598"/>
      <c r="I17102" s="599"/>
      <c r="J17102" s="599">
        <f t="shared" si="510"/>
        <v>0</v>
      </c>
    </row>
    <row r="17103" spans="6:10" ht="15.75" thickBot="1" x14ac:dyDescent="0.3">
      <c r="G17103" s="229" t="s">
        <v>5196</v>
      </c>
      <c r="H17103" s="600">
        <f>SUM(H17087:H17102)</f>
        <v>543501206</v>
      </c>
      <c r="I17103" s="601">
        <f>SUM(I17088:I17102)</f>
        <v>15845100</v>
      </c>
      <c r="J17103" s="601">
        <f>SUM(J17087:J17102)</f>
        <v>559346306</v>
      </c>
    </row>
    <row r="17104" spans="6:10" ht="15.75" hidden="1" customHeight="1" x14ac:dyDescent="0.25">
      <c r="G17104" s="286"/>
      <c r="H17104" s="604"/>
      <c r="I17104" s="605"/>
      <c r="J17104" s="605"/>
    </row>
    <row r="17105" spans="1:13" hidden="1" x14ac:dyDescent="0.25">
      <c r="A17105" s="501"/>
      <c r="B17105" s="500">
        <v>1</v>
      </c>
      <c r="C17105" s="501"/>
      <c r="D17105" s="502"/>
      <c r="E17105" s="503"/>
      <c r="F17105" s="503"/>
      <c r="G17105" s="504" t="s">
        <v>3670</v>
      </c>
      <c r="H17105" s="636"/>
      <c r="I17105" s="637"/>
      <c r="J17105" s="617"/>
      <c r="K17105" s="522"/>
      <c r="L17105" s="522"/>
      <c r="M17105" s="522"/>
    </row>
    <row r="17106" spans="1:13" hidden="1" x14ac:dyDescent="0.25">
      <c r="C17106" s="228" t="s">
        <v>3608</v>
      </c>
      <c r="D17106" s="219"/>
      <c r="G17106" s="511" t="s">
        <v>4224</v>
      </c>
    </row>
    <row r="17107" spans="1:13" hidden="1" x14ac:dyDescent="0.25">
      <c r="C17107" s="228" t="s">
        <v>4161</v>
      </c>
      <c r="D17107" s="219"/>
      <c r="G17107" s="539" t="s">
        <v>3673</v>
      </c>
    </row>
    <row r="17108" spans="1:13" hidden="1" x14ac:dyDescent="0.25">
      <c r="C17108" s="228"/>
      <c r="D17108" s="312">
        <v>330</v>
      </c>
      <c r="E17108" s="312"/>
      <c r="F17108" s="312"/>
      <c r="G17108" s="313" t="s">
        <v>130</v>
      </c>
    </row>
    <row r="17109" spans="1:13" hidden="1" x14ac:dyDescent="0.25">
      <c r="F17109" s="513">
        <v>411</v>
      </c>
      <c r="G17109" s="508" t="s">
        <v>4189</v>
      </c>
      <c r="J17109" s="595">
        <f>SUM(H17109:I17109)</f>
        <v>0</v>
      </c>
    </row>
    <row r="17110" spans="1:13" hidden="1" x14ac:dyDescent="0.25">
      <c r="F17110" s="513">
        <v>412</v>
      </c>
      <c r="G17110" s="505" t="s">
        <v>3784</v>
      </c>
      <c r="J17110" s="595">
        <f t="shared" ref="J17110:J17168" si="511">SUM(H17110:I17110)</f>
        <v>0</v>
      </c>
    </row>
    <row r="17111" spans="1:13" hidden="1" x14ac:dyDescent="0.25">
      <c r="F17111" s="513">
        <v>413</v>
      </c>
      <c r="G17111" s="508" t="s">
        <v>4190</v>
      </c>
      <c r="J17111" s="595">
        <f t="shared" si="511"/>
        <v>0</v>
      </c>
    </row>
    <row r="17112" spans="1:13" hidden="1" x14ac:dyDescent="0.25">
      <c r="F17112" s="513">
        <v>414</v>
      </c>
      <c r="G17112" s="508" t="s">
        <v>3787</v>
      </c>
      <c r="J17112" s="595">
        <f t="shared" si="511"/>
        <v>0</v>
      </c>
    </row>
    <row r="17113" spans="1:13" hidden="1" x14ac:dyDescent="0.25">
      <c r="F17113" s="513">
        <v>415</v>
      </c>
      <c r="G17113" s="508" t="s">
        <v>4199</v>
      </c>
      <c r="J17113" s="595">
        <f t="shared" si="511"/>
        <v>0</v>
      </c>
    </row>
    <row r="17114" spans="1:13" hidden="1" x14ac:dyDescent="0.25">
      <c r="F17114" s="513">
        <v>416</v>
      </c>
      <c r="G17114" s="508" t="s">
        <v>4200</v>
      </c>
      <c r="J17114" s="595">
        <f t="shared" si="511"/>
        <v>0</v>
      </c>
    </row>
    <row r="17115" spans="1:13" hidden="1" x14ac:dyDescent="0.25">
      <c r="F17115" s="513">
        <v>417</v>
      </c>
      <c r="G17115" s="508" t="s">
        <v>4201</v>
      </c>
      <c r="J17115" s="595">
        <f t="shared" si="511"/>
        <v>0</v>
      </c>
    </row>
    <row r="17116" spans="1:13" hidden="1" x14ac:dyDescent="0.25">
      <c r="F17116" s="513">
        <v>418</v>
      </c>
      <c r="G17116" s="508" t="s">
        <v>3793</v>
      </c>
      <c r="J17116" s="595">
        <f t="shared" si="511"/>
        <v>0</v>
      </c>
    </row>
    <row r="17117" spans="1:13" hidden="1" x14ac:dyDescent="0.25">
      <c r="F17117" s="513">
        <v>421</v>
      </c>
      <c r="G17117" s="508" t="s">
        <v>3797</v>
      </c>
      <c r="J17117" s="595">
        <f t="shared" si="511"/>
        <v>0</v>
      </c>
    </row>
    <row r="17118" spans="1:13" hidden="1" x14ac:dyDescent="0.25">
      <c r="F17118" s="513">
        <v>422</v>
      </c>
      <c r="G17118" s="508" t="s">
        <v>3798</v>
      </c>
      <c r="J17118" s="595">
        <f t="shared" si="511"/>
        <v>0</v>
      </c>
    </row>
    <row r="17119" spans="1:13" hidden="1" x14ac:dyDescent="0.25">
      <c r="F17119" s="513">
        <v>423</v>
      </c>
      <c r="G17119" s="508" t="s">
        <v>3799</v>
      </c>
      <c r="J17119" s="595">
        <f t="shared" si="511"/>
        <v>0</v>
      </c>
    </row>
    <row r="17120" spans="1:13" hidden="1" x14ac:dyDescent="0.25">
      <c r="F17120" s="513">
        <v>424</v>
      </c>
      <c r="G17120" s="508" t="s">
        <v>3801</v>
      </c>
      <c r="J17120" s="595">
        <f t="shared" si="511"/>
        <v>0</v>
      </c>
    </row>
    <row r="17121" spans="6:10" hidden="1" x14ac:dyDescent="0.25">
      <c r="F17121" s="513">
        <v>425</v>
      </c>
      <c r="G17121" s="508" t="s">
        <v>4202</v>
      </c>
      <c r="J17121" s="595">
        <f t="shared" si="511"/>
        <v>0</v>
      </c>
    </row>
    <row r="17122" spans="6:10" ht="15.75" hidden="1" thickBot="1" x14ac:dyDescent="0.3">
      <c r="F17122" s="513">
        <v>426</v>
      </c>
      <c r="G17122" s="508" t="s">
        <v>3805</v>
      </c>
      <c r="J17122" s="595">
        <f t="shared" si="511"/>
        <v>0</v>
      </c>
    </row>
    <row r="17123" spans="6:10" hidden="1" x14ac:dyDescent="0.25">
      <c r="F17123" s="513">
        <v>431</v>
      </c>
      <c r="G17123" s="508" t="s">
        <v>4203</v>
      </c>
      <c r="J17123" s="595">
        <f t="shared" si="511"/>
        <v>0</v>
      </c>
    </row>
    <row r="17124" spans="6:10" hidden="1" x14ac:dyDescent="0.25">
      <c r="F17124" s="513">
        <v>432</v>
      </c>
      <c r="G17124" s="508" t="s">
        <v>4204</v>
      </c>
      <c r="J17124" s="595">
        <f t="shared" si="511"/>
        <v>0</v>
      </c>
    </row>
    <row r="17125" spans="6:10" hidden="1" x14ac:dyDescent="0.25">
      <c r="F17125" s="513">
        <v>433</v>
      </c>
      <c r="G17125" s="508" t="s">
        <v>4205</v>
      </c>
      <c r="J17125" s="595">
        <f t="shared" si="511"/>
        <v>0</v>
      </c>
    </row>
    <row r="17126" spans="6:10" hidden="1" x14ac:dyDescent="0.25">
      <c r="F17126" s="513">
        <v>434</v>
      </c>
      <c r="G17126" s="508" t="s">
        <v>4206</v>
      </c>
      <c r="J17126" s="595">
        <f t="shared" si="511"/>
        <v>0</v>
      </c>
    </row>
    <row r="17127" spans="6:10" hidden="1" x14ac:dyDescent="0.25">
      <c r="F17127" s="513">
        <v>435</v>
      </c>
      <c r="G17127" s="508" t="s">
        <v>3812</v>
      </c>
      <c r="J17127" s="595">
        <f t="shared" si="511"/>
        <v>0</v>
      </c>
    </row>
    <row r="17128" spans="6:10" hidden="1" x14ac:dyDescent="0.25">
      <c r="F17128" s="513">
        <v>441</v>
      </c>
      <c r="G17128" s="508" t="s">
        <v>4207</v>
      </c>
      <c r="J17128" s="595">
        <f t="shared" si="511"/>
        <v>0</v>
      </c>
    </row>
    <row r="17129" spans="6:10" hidden="1" x14ac:dyDescent="0.25">
      <c r="F17129" s="513">
        <v>442</v>
      </c>
      <c r="G17129" s="508" t="s">
        <v>4208</v>
      </c>
      <c r="J17129" s="595">
        <f t="shared" si="511"/>
        <v>0</v>
      </c>
    </row>
    <row r="17130" spans="6:10" hidden="1" x14ac:dyDescent="0.25">
      <c r="F17130" s="513">
        <v>443</v>
      </c>
      <c r="G17130" s="508" t="s">
        <v>3817</v>
      </c>
      <c r="J17130" s="595">
        <f t="shared" si="511"/>
        <v>0</v>
      </c>
    </row>
    <row r="17131" spans="6:10" hidden="1" x14ac:dyDescent="0.25">
      <c r="F17131" s="513">
        <v>444</v>
      </c>
      <c r="G17131" s="508" t="s">
        <v>3818</v>
      </c>
      <c r="J17131" s="595">
        <f t="shared" si="511"/>
        <v>0</v>
      </c>
    </row>
    <row r="17132" spans="6:10" ht="30" hidden="1" x14ac:dyDescent="0.25">
      <c r="F17132" s="513">
        <v>4511</v>
      </c>
      <c r="G17132" s="223" t="s">
        <v>1692</v>
      </c>
      <c r="J17132" s="595">
        <f t="shared" si="511"/>
        <v>0</v>
      </c>
    </row>
    <row r="17133" spans="6:10" ht="19.5" hidden="1" customHeight="1" x14ac:dyDescent="0.25">
      <c r="F17133" s="513">
        <v>4512</v>
      </c>
      <c r="G17133" s="223" t="s">
        <v>1701</v>
      </c>
      <c r="J17133" s="595">
        <f t="shared" si="511"/>
        <v>0</v>
      </c>
    </row>
    <row r="17134" spans="6:10" hidden="1" x14ac:dyDescent="0.25">
      <c r="F17134" s="513">
        <v>452</v>
      </c>
      <c r="G17134" s="508" t="s">
        <v>4209</v>
      </c>
      <c r="J17134" s="595">
        <f t="shared" si="511"/>
        <v>0</v>
      </c>
    </row>
    <row r="17135" spans="6:10" hidden="1" x14ac:dyDescent="0.25">
      <c r="F17135" s="513">
        <v>453</v>
      </c>
      <c r="G17135" s="508" t="s">
        <v>4210</v>
      </c>
      <c r="J17135" s="595">
        <f t="shared" si="511"/>
        <v>0</v>
      </c>
    </row>
    <row r="17136" spans="6:10" hidden="1" x14ac:dyDescent="0.25">
      <c r="F17136" s="513">
        <v>454</v>
      </c>
      <c r="G17136" s="508" t="s">
        <v>3823</v>
      </c>
      <c r="J17136" s="595">
        <f t="shared" si="511"/>
        <v>0</v>
      </c>
    </row>
    <row r="17137" spans="6:10" hidden="1" x14ac:dyDescent="0.25">
      <c r="F17137" s="513">
        <v>461</v>
      </c>
      <c r="G17137" s="508" t="s">
        <v>4191</v>
      </c>
      <c r="J17137" s="595">
        <f t="shared" si="511"/>
        <v>0</v>
      </c>
    </row>
    <row r="17138" spans="6:10" hidden="1" x14ac:dyDescent="0.25">
      <c r="F17138" s="513">
        <v>462</v>
      </c>
      <c r="G17138" s="508" t="s">
        <v>3826</v>
      </c>
      <c r="J17138" s="595">
        <f t="shared" si="511"/>
        <v>0</v>
      </c>
    </row>
    <row r="17139" spans="6:10" hidden="1" x14ac:dyDescent="0.25">
      <c r="F17139" s="513">
        <v>4631</v>
      </c>
      <c r="G17139" s="508" t="s">
        <v>3827</v>
      </c>
      <c r="J17139" s="595">
        <f t="shared" si="511"/>
        <v>0</v>
      </c>
    </row>
    <row r="17140" spans="6:10" hidden="1" x14ac:dyDescent="0.25">
      <c r="F17140" s="513">
        <v>4632</v>
      </c>
      <c r="G17140" s="508" t="s">
        <v>3828</v>
      </c>
      <c r="J17140" s="595">
        <f t="shared" si="511"/>
        <v>0</v>
      </c>
    </row>
    <row r="17141" spans="6:10" hidden="1" x14ac:dyDescent="0.25">
      <c r="F17141" s="513">
        <v>464</v>
      </c>
      <c r="G17141" s="508" t="s">
        <v>3829</v>
      </c>
      <c r="J17141" s="595">
        <f t="shared" si="511"/>
        <v>0</v>
      </c>
    </row>
    <row r="17142" spans="6:10" hidden="1" x14ac:dyDescent="0.25">
      <c r="F17142" s="513">
        <v>465</v>
      </c>
      <c r="G17142" s="508" t="s">
        <v>4192</v>
      </c>
      <c r="J17142" s="595">
        <f t="shared" si="511"/>
        <v>0</v>
      </c>
    </row>
    <row r="17143" spans="6:10" hidden="1" x14ac:dyDescent="0.25">
      <c r="F17143" s="513">
        <v>472</v>
      </c>
      <c r="G17143" s="508" t="s">
        <v>3833</v>
      </c>
      <c r="J17143" s="595">
        <f t="shared" si="511"/>
        <v>0</v>
      </c>
    </row>
    <row r="17144" spans="6:10" hidden="1" x14ac:dyDescent="0.25">
      <c r="F17144" s="513">
        <v>481</v>
      </c>
      <c r="G17144" s="508" t="s">
        <v>4211</v>
      </c>
      <c r="J17144" s="595">
        <f t="shared" si="511"/>
        <v>0</v>
      </c>
    </row>
    <row r="17145" spans="6:10" hidden="1" x14ac:dyDescent="0.25">
      <c r="F17145" s="513">
        <v>482</v>
      </c>
      <c r="G17145" s="508" t="s">
        <v>4212</v>
      </c>
      <c r="J17145" s="595">
        <f t="shared" si="511"/>
        <v>0</v>
      </c>
    </row>
    <row r="17146" spans="6:10" hidden="1" x14ac:dyDescent="0.25">
      <c r="F17146" s="513">
        <v>483</v>
      </c>
      <c r="G17146" s="510" t="s">
        <v>4213</v>
      </c>
      <c r="J17146" s="595">
        <f t="shared" si="511"/>
        <v>0</v>
      </c>
    </row>
    <row r="17147" spans="6:10" ht="30" hidden="1" x14ac:dyDescent="0.25">
      <c r="F17147" s="513">
        <v>484</v>
      </c>
      <c r="G17147" s="508" t="s">
        <v>4214</v>
      </c>
      <c r="J17147" s="595">
        <f t="shared" si="511"/>
        <v>0</v>
      </c>
    </row>
    <row r="17148" spans="6:10" ht="30" hidden="1" x14ac:dyDescent="0.25">
      <c r="F17148" s="513">
        <v>485</v>
      </c>
      <c r="G17148" s="508" t="s">
        <v>4215</v>
      </c>
      <c r="J17148" s="595">
        <f t="shared" si="511"/>
        <v>0</v>
      </c>
    </row>
    <row r="17149" spans="6:10" ht="30" hidden="1" x14ac:dyDescent="0.25">
      <c r="F17149" s="513">
        <v>489</v>
      </c>
      <c r="G17149" s="508" t="s">
        <v>3841</v>
      </c>
      <c r="J17149" s="595">
        <f t="shared" si="511"/>
        <v>0</v>
      </c>
    </row>
    <row r="17150" spans="6:10" hidden="1" x14ac:dyDescent="0.25">
      <c r="F17150" s="513">
        <v>494</v>
      </c>
      <c r="G17150" s="508" t="s">
        <v>4193</v>
      </c>
      <c r="J17150" s="595">
        <f t="shared" si="511"/>
        <v>0</v>
      </c>
    </row>
    <row r="17151" spans="6:10" ht="30" hidden="1" x14ac:dyDescent="0.25">
      <c r="F17151" s="513">
        <v>495</v>
      </c>
      <c r="G17151" s="508" t="s">
        <v>4194</v>
      </c>
      <c r="J17151" s="595">
        <f t="shared" si="511"/>
        <v>0</v>
      </c>
    </row>
    <row r="17152" spans="6:10" ht="30" hidden="1" x14ac:dyDescent="0.25">
      <c r="F17152" s="513">
        <v>496</v>
      </c>
      <c r="G17152" s="508" t="s">
        <v>4195</v>
      </c>
      <c r="J17152" s="595">
        <f t="shared" si="511"/>
        <v>0</v>
      </c>
    </row>
    <row r="17153" spans="6:10" hidden="1" x14ac:dyDescent="0.25">
      <c r="F17153" s="513">
        <v>499</v>
      </c>
      <c r="G17153" s="508" t="s">
        <v>4196</v>
      </c>
      <c r="J17153" s="595">
        <f t="shared" si="511"/>
        <v>0</v>
      </c>
    </row>
    <row r="17154" spans="6:10" hidden="1" x14ac:dyDescent="0.25">
      <c r="F17154" s="513">
        <v>511</v>
      </c>
      <c r="G17154" s="510" t="s">
        <v>4216</v>
      </c>
      <c r="J17154" s="595">
        <f t="shared" si="511"/>
        <v>0</v>
      </c>
    </row>
    <row r="17155" spans="6:10" hidden="1" x14ac:dyDescent="0.25">
      <c r="F17155" s="513">
        <v>512</v>
      </c>
      <c r="G17155" s="510" t="s">
        <v>4217</v>
      </c>
      <c r="J17155" s="595">
        <f t="shared" si="511"/>
        <v>0</v>
      </c>
    </row>
    <row r="17156" spans="6:10" hidden="1" x14ac:dyDescent="0.25">
      <c r="F17156" s="513">
        <v>513</v>
      </c>
      <c r="G17156" s="510" t="s">
        <v>4218</v>
      </c>
      <c r="J17156" s="595">
        <f t="shared" si="511"/>
        <v>0</v>
      </c>
    </row>
    <row r="17157" spans="6:10" hidden="1" x14ac:dyDescent="0.25">
      <c r="F17157" s="513">
        <v>514</v>
      </c>
      <c r="G17157" s="508" t="s">
        <v>4219</v>
      </c>
      <c r="J17157" s="595">
        <f t="shared" si="511"/>
        <v>0</v>
      </c>
    </row>
    <row r="17158" spans="6:10" hidden="1" x14ac:dyDescent="0.25">
      <c r="F17158" s="513">
        <v>515</v>
      </c>
      <c r="G17158" s="508" t="s">
        <v>3852</v>
      </c>
      <c r="J17158" s="595">
        <f t="shared" si="511"/>
        <v>0</v>
      </c>
    </row>
    <row r="17159" spans="6:10" hidden="1" x14ac:dyDescent="0.25">
      <c r="F17159" s="513">
        <v>521</v>
      </c>
      <c r="G17159" s="508" t="s">
        <v>4220</v>
      </c>
      <c r="J17159" s="595">
        <f t="shared" si="511"/>
        <v>0</v>
      </c>
    </row>
    <row r="17160" spans="6:10" hidden="1" x14ac:dyDescent="0.25">
      <c r="F17160" s="513">
        <v>522</v>
      </c>
      <c r="G17160" s="508" t="s">
        <v>4221</v>
      </c>
      <c r="J17160" s="595">
        <f t="shared" si="511"/>
        <v>0</v>
      </c>
    </row>
    <row r="17161" spans="6:10" hidden="1" x14ac:dyDescent="0.25">
      <c r="F17161" s="513">
        <v>523</v>
      </c>
      <c r="G17161" s="508" t="s">
        <v>3857</v>
      </c>
      <c r="J17161" s="595">
        <f t="shared" si="511"/>
        <v>0</v>
      </c>
    </row>
    <row r="17162" spans="6:10" hidden="1" x14ac:dyDescent="0.25">
      <c r="F17162" s="513">
        <v>531</v>
      </c>
      <c r="G17162" s="505" t="s">
        <v>4197</v>
      </c>
      <c r="J17162" s="595">
        <f t="shared" si="511"/>
        <v>0</v>
      </c>
    </row>
    <row r="17163" spans="6:10" hidden="1" x14ac:dyDescent="0.25">
      <c r="F17163" s="513">
        <v>541</v>
      </c>
      <c r="G17163" s="508" t="s">
        <v>4222</v>
      </c>
      <c r="J17163" s="595">
        <f t="shared" si="511"/>
        <v>0</v>
      </c>
    </row>
    <row r="17164" spans="6:10" hidden="1" x14ac:dyDescent="0.25">
      <c r="F17164" s="513">
        <v>542</v>
      </c>
      <c r="G17164" s="508" t="s">
        <v>4223</v>
      </c>
      <c r="J17164" s="595">
        <f t="shared" si="511"/>
        <v>0</v>
      </c>
    </row>
    <row r="17165" spans="6:10" hidden="1" x14ac:dyDescent="0.25">
      <c r="F17165" s="513">
        <v>543</v>
      </c>
      <c r="G17165" s="508" t="s">
        <v>3862</v>
      </c>
      <c r="J17165" s="595">
        <f t="shared" si="511"/>
        <v>0</v>
      </c>
    </row>
    <row r="17166" spans="6:10" ht="30" hidden="1" x14ac:dyDescent="0.25">
      <c r="F17166" s="513">
        <v>551</v>
      </c>
      <c r="G17166" s="508" t="s">
        <v>4198</v>
      </c>
      <c r="J17166" s="595">
        <f t="shared" si="511"/>
        <v>0</v>
      </c>
    </row>
    <row r="17167" spans="6:10" hidden="1" x14ac:dyDescent="0.25">
      <c r="F17167" s="514">
        <v>611</v>
      </c>
      <c r="G17167" s="512" t="s">
        <v>3868</v>
      </c>
      <c r="J17167" s="595">
        <f t="shared" si="511"/>
        <v>0</v>
      </c>
    </row>
    <row r="17168" spans="6:10" ht="15.75" hidden="1" thickBot="1" x14ac:dyDescent="0.3">
      <c r="F17168" s="514">
        <v>620</v>
      </c>
      <c r="G17168" s="512" t="s">
        <v>88</v>
      </c>
      <c r="J17168" s="595">
        <f t="shared" si="511"/>
        <v>0</v>
      </c>
    </row>
    <row r="17169" spans="5:10" hidden="1" x14ac:dyDescent="0.25">
      <c r="E17169" s="506"/>
      <c r="F17169" s="514"/>
      <c r="G17169" s="327" t="s">
        <v>4367</v>
      </c>
      <c r="H17169" s="596"/>
      <c r="I17169" s="622"/>
      <c r="J17169" s="597"/>
    </row>
    <row r="17170" spans="5:10" ht="15.75" hidden="1" thickBot="1" x14ac:dyDescent="0.3">
      <c r="E17170" s="222"/>
      <c r="F17170" s="249" t="s">
        <v>234</v>
      </c>
      <c r="G17170" s="252" t="s">
        <v>235</v>
      </c>
      <c r="H17170" s="598">
        <f>SUM(H17109:H17168)</f>
        <v>0</v>
      </c>
      <c r="I17170" s="599"/>
      <c r="J17170" s="599">
        <f t="shared" ref="J17170:J17185" si="512">SUM(H17170:I17170)</f>
        <v>0</v>
      </c>
    </row>
    <row r="17171" spans="5:10" hidden="1" x14ac:dyDescent="0.25">
      <c r="F17171" s="249" t="s">
        <v>236</v>
      </c>
      <c r="G17171" s="252" t="s">
        <v>237</v>
      </c>
      <c r="J17171" s="599">
        <f t="shared" si="512"/>
        <v>0</v>
      </c>
    </row>
    <row r="17172" spans="5:10" hidden="1" x14ac:dyDescent="0.25">
      <c r="F17172" s="249" t="s">
        <v>238</v>
      </c>
      <c r="G17172" s="252" t="s">
        <v>239</v>
      </c>
      <c r="J17172" s="599">
        <f t="shared" si="512"/>
        <v>0</v>
      </c>
    </row>
    <row r="17173" spans="5:10" hidden="1" x14ac:dyDescent="0.25">
      <c r="F17173" s="249" t="s">
        <v>240</v>
      </c>
      <c r="G17173" s="252" t="s">
        <v>241</v>
      </c>
      <c r="J17173" s="599">
        <f t="shared" si="512"/>
        <v>0</v>
      </c>
    </row>
    <row r="17174" spans="5:10" hidden="1" x14ac:dyDescent="0.25">
      <c r="F17174" s="249" t="s">
        <v>242</v>
      </c>
      <c r="G17174" s="252" t="s">
        <v>243</v>
      </c>
      <c r="J17174" s="599">
        <f t="shared" si="512"/>
        <v>0</v>
      </c>
    </row>
    <row r="17175" spans="5:10" hidden="1" x14ac:dyDescent="0.25">
      <c r="F17175" s="249" t="s">
        <v>244</v>
      </c>
      <c r="G17175" s="252" t="s">
        <v>245</v>
      </c>
      <c r="J17175" s="599">
        <f t="shared" si="512"/>
        <v>0</v>
      </c>
    </row>
    <row r="17176" spans="5:10" hidden="1" x14ac:dyDescent="0.25">
      <c r="F17176" s="249" t="s">
        <v>246</v>
      </c>
      <c r="G17176" s="252" t="s">
        <v>247</v>
      </c>
      <c r="J17176" s="599">
        <f t="shared" si="512"/>
        <v>0</v>
      </c>
    </row>
    <row r="17177" spans="5:10" hidden="1" x14ac:dyDescent="0.25">
      <c r="F17177" s="249" t="s">
        <v>248</v>
      </c>
      <c r="G17177" s="252" t="s">
        <v>249</v>
      </c>
      <c r="J17177" s="599">
        <f t="shared" si="512"/>
        <v>0</v>
      </c>
    </row>
    <row r="17178" spans="5:10" hidden="1" x14ac:dyDescent="0.25">
      <c r="F17178" s="249" t="s">
        <v>250</v>
      </c>
      <c r="G17178" s="252" t="s">
        <v>57</v>
      </c>
      <c r="J17178" s="599">
        <f t="shared" si="512"/>
        <v>0</v>
      </c>
    </row>
    <row r="17179" spans="5:10" hidden="1" x14ac:dyDescent="0.25">
      <c r="F17179" s="249" t="s">
        <v>251</v>
      </c>
      <c r="G17179" s="252" t="s">
        <v>252</v>
      </c>
      <c r="J17179" s="599">
        <f t="shared" si="512"/>
        <v>0</v>
      </c>
    </row>
    <row r="17180" spans="5:10" hidden="1" x14ac:dyDescent="0.25">
      <c r="F17180" s="249" t="s">
        <v>253</v>
      </c>
      <c r="G17180" s="252" t="s">
        <v>254</v>
      </c>
      <c r="J17180" s="599">
        <f t="shared" si="512"/>
        <v>0</v>
      </c>
    </row>
    <row r="17181" spans="5:10" ht="30" hidden="1" x14ac:dyDescent="0.25">
      <c r="F17181" s="249" t="s">
        <v>255</v>
      </c>
      <c r="G17181" s="252" t="s">
        <v>256</v>
      </c>
      <c r="J17181" s="599">
        <f t="shared" si="512"/>
        <v>0</v>
      </c>
    </row>
    <row r="17182" spans="5:10" hidden="1" x14ac:dyDescent="0.25">
      <c r="F17182" s="249" t="s">
        <v>257</v>
      </c>
      <c r="G17182" s="252" t="s">
        <v>258</v>
      </c>
      <c r="J17182" s="599">
        <f t="shared" si="512"/>
        <v>0</v>
      </c>
    </row>
    <row r="17183" spans="5:10" ht="30" hidden="1" x14ac:dyDescent="0.25">
      <c r="F17183" s="249" t="s">
        <v>259</v>
      </c>
      <c r="G17183" s="252" t="s">
        <v>260</v>
      </c>
      <c r="J17183" s="599">
        <f t="shared" si="512"/>
        <v>0</v>
      </c>
    </row>
    <row r="17184" spans="5:10" hidden="1" x14ac:dyDescent="0.25">
      <c r="F17184" s="249" t="s">
        <v>261</v>
      </c>
      <c r="G17184" s="252" t="s">
        <v>262</v>
      </c>
      <c r="J17184" s="599">
        <f t="shared" si="512"/>
        <v>0</v>
      </c>
    </row>
    <row r="17185" spans="5:10" ht="15.75" hidden="1" thickBot="1" x14ac:dyDescent="0.3">
      <c r="F17185" s="249" t="s">
        <v>263</v>
      </c>
      <c r="G17185" s="252" t="s">
        <v>264</v>
      </c>
      <c r="H17185" s="598"/>
      <c r="I17185" s="599"/>
      <c r="J17185" s="599">
        <f t="shared" si="512"/>
        <v>0</v>
      </c>
    </row>
    <row r="17186" spans="5:10" ht="15.75" hidden="1" thickBot="1" x14ac:dyDescent="0.3">
      <c r="G17186" s="229" t="s">
        <v>4308</v>
      </c>
      <c r="H17186" s="600">
        <f>SUM(H17170:H17185)</f>
        <v>0</v>
      </c>
      <c r="I17186" s="601">
        <f>SUM(I17171:I17185)</f>
        <v>0</v>
      </c>
      <c r="J17186" s="601">
        <f>SUM(J17170:J17185)</f>
        <v>0</v>
      </c>
    </row>
    <row r="17187" spans="5:10" ht="28.5" hidden="1" collapsed="1" x14ac:dyDescent="0.25">
      <c r="E17187" s="506"/>
      <c r="F17187" s="514"/>
      <c r="G17187" s="231" t="s">
        <v>4484</v>
      </c>
      <c r="H17187" s="602"/>
      <c r="I17187" s="623"/>
      <c r="J17187" s="603"/>
    </row>
    <row r="17188" spans="5:10" hidden="1" x14ac:dyDescent="0.25">
      <c r="E17188" s="222"/>
      <c r="F17188" s="249" t="s">
        <v>234</v>
      </c>
      <c r="G17188" s="252" t="s">
        <v>235</v>
      </c>
      <c r="H17188" s="598">
        <f>SUM(H17109:H17168)</f>
        <v>0</v>
      </c>
      <c r="I17188" s="599"/>
      <c r="J17188" s="599">
        <f>SUM(H17188:I17188)</f>
        <v>0</v>
      </c>
    </row>
    <row r="17189" spans="5:10" ht="15.75" hidden="1" thickBot="1" x14ac:dyDescent="0.3">
      <c r="F17189" s="249" t="s">
        <v>236</v>
      </c>
      <c r="G17189" s="252" t="s">
        <v>237</v>
      </c>
      <c r="J17189" s="599">
        <f t="shared" ref="J17189:J17203" si="513">SUM(H17189:I17189)</f>
        <v>0</v>
      </c>
    </row>
    <row r="17190" spans="5:10" hidden="1" x14ac:dyDescent="0.25">
      <c r="F17190" s="249" t="s">
        <v>238</v>
      </c>
      <c r="G17190" s="252" t="s">
        <v>239</v>
      </c>
      <c r="J17190" s="599">
        <f t="shared" si="513"/>
        <v>0</v>
      </c>
    </row>
    <row r="17191" spans="5:10" hidden="1" x14ac:dyDescent="0.25">
      <c r="F17191" s="249" t="s">
        <v>240</v>
      </c>
      <c r="G17191" s="252" t="s">
        <v>241</v>
      </c>
      <c r="J17191" s="599">
        <f t="shared" si="513"/>
        <v>0</v>
      </c>
    </row>
    <row r="17192" spans="5:10" hidden="1" x14ac:dyDescent="0.25">
      <c r="F17192" s="249" t="s">
        <v>242</v>
      </c>
      <c r="G17192" s="252" t="s">
        <v>243</v>
      </c>
      <c r="J17192" s="599">
        <f t="shared" si="513"/>
        <v>0</v>
      </c>
    </row>
    <row r="17193" spans="5:10" hidden="1" x14ac:dyDescent="0.25">
      <c r="F17193" s="249" t="s">
        <v>244</v>
      </c>
      <c r="G17193" s="252" t="s">
        <v>245</v>
      </c>
      <c r="J17193" s="599">
        <f t="shared" si="513"/>
        <v>0</v>
      </c>
    </row>
    <row r="17194" spans="5:10" hidden="1" x14ac:dyDescent="0.25">
      <c r="F17194" s="249" t="s">
        <v>246</v>
      </c>
      <c r="G17194" s="252" t="s">
        <v>247</v>
      </c>
      <c r="J17194" s="599">
        <f t="shared" si="513"/>
        <v>0</v>
      </c>
    </row>
    <row r="17195" spans="5:10" hidden="1" x14ac:dyDescent="0.25">
      <c r="F17195" s="249" t="s">
        <v>248</v>
      </c>
      <c r="G17195" s="252" t="s">
        <v>249</v>
      </c>
      <c r="J17195" s="599">
        <f t="shared" si="513"/>
        <v>0</v>
      </c>
    </row>
    <row r="17196" spans="5:10" hidden="1" x14ac:dyDescent="0.25">
      <c r="F17196" s="249" t="s">
        <v>250</v>
      </c>
      <c r="G17196" s="252" t="s">
        <v>57</v>
      </c>
      <c r="J17196" s="599">
        <f t="shared" si="513"/>
        <v>0</v>
      </c>
    </row>
    <row r="17197" spans="5:10" hidden="1" x14ac:dyDescent="0.25">
      <c r="F17197" s="249" t="s">
        <v>251</v>
      </c>
      <c r="G17197" s="252" t="s">
        <v>252</v>
      </c>
      <c r="J17197" s="599">
        <f t="shared" si="513"/>
        <v>0</v>
      </c>
    </row>
    <row r="17198" spans="5:10" hidden="1" x14ac:dyDescent="0.25">
      <c r="F17198" s="249" t="s">
        <v>253</v>
      </c>
      <c r="G17198" s="252" t="s">
        <v>254</v>
      </c>
      <c r="J17198" s="599">
        <f t="shared" si="513"/>
        <v>0</v>
      </c>
    </row>
    <row r="17199" spans="5:10" ht="30" hidden="1" x14ac:dyDescent="0.25">
      <c r="F17199" s="249" t="s">
        <v>255</v>
      </c>
      <c r="G17199" s="252" t="s">
        <v>256</v>
      </c>
      <c r="J17199" s="599">
        <f t="shared" si="513"/>
        <v>0</v>
      </c>
    </row>
    <row r="17200" spans="5:10" hidden="1" x14ac:dyDescent="0.25">
      <c r="F17200" s="249" t="s">
        <v>257</v>
      </c>
      <c r="G17200" s="252" t="s">
        <v>258</v>
      </c>
      <c r="J17200" s="599">
        <f t="shared" si="513"/>
        <v>0</v>
      </c>
    </row>
    <row r="17201" spans="1:25" ht="30" hidden="1" x14ac:dyDescent="0.25">
      <c r="F17201" s="249" t="s">
        <v>259</v>
      </c>
      <c r="G17201" s="252" t="s">
        <v>260</v>
      </c>
      <c r="J17201" s="599">
        <f t="shared" si="513"/>
        <v>0</v>
      </c>
    </row>
    <row r="17202" spans="1:25" hidden="1" x14ac:dyDescent="0.25">
      <c r="F17202" s="249" t="s">
        <v>261</v>
      </c>
      <c r="G17202" s="252" t="s">
        <v>262</v>
      </c>
      <c r="J17202" s="599">
        <f t="shared" si="513"/>
        <v>0</v>
      </c>
    </row>
    <row r="17203" spans="1:25" ht="15.75" hidden="1" thickBot="1" x14ac:dyDescent="0.3">
      <c r="F17203" s="249" t="s">
        <v>263</v>
      </c>
      <c r="G17203" s="252" t="s">
        <v>264</v>
      </c>
      <c r="H17203" s="598"/>
      <c r="I17203" s="599"/>
      <c r="J17203" s="599">
        <f t="shared" si="513"/>
        <v>0</v>
      </c>
    </row>
    <row r="17204" spans="1:25" ht="15.75" hidden="1" collapsed="1" thickBot="1" x14ac:dyDescent="0.3">
      <c r="G17204" s="229" t="s">
        <v>4485</v>
      </c>
      <c r="H17204" s="600">
        <f>SUM(H17188:H17203)</f>
        <v>0</v>
      </c>
      <c r="I17204" s="601">
        <f>SUM(I17189:I17203)</f>
        <v>0</v>
      </c>
      <c r="J17204" s="601">
        <f>SUM(J17188:J17203)</f>
        <v>0</v>
      </c>
    </row>
    <row r="17205" spans="1:25" hidden="1" x14ac:dyDescent="0.25">
      <c r="G17205" s="505"/>
    </row>
    <row r="17206" spans="1:25" s="88" customFormat="1" hidden="1" x14ac:dyDescent="0.25">
      <c r="A17206" s="509"/>
      <c r="B17206" s="256"/>
      <c r="C17206" s="316"/>
      <c r="D17206" s="251"/>
      <c r="E17206" s="251"/>
      <c r="F17206" s="514"/>
      <c r="G17206" s="250" t="s">
        <v>4225</v>
      </c>
      <c r="H17206" s="606"/>
      <c r="I17206" s="624"/>
      <c r="J17206" s="607"/>
      <c r="K17206" s="533"/>
      <c r="L17206" s="533"/>
      <c r="M17206" s="533"/>
      <c r="N17206" s="533"/>
      <c r="O17206" s="533"/>
      <c r="P17206" s="533"/>
      <c r="Q17206" s="533"/>
      <c r="R17206" s="533"/>
      <c r="S17206" s="533"/>
      <c r="T17206" s="533"/>
      <c r="U17206" s="533"/>
      <c r="V17206" s="533"/>
      <c r="W17206" s="533"/>
      <c r="X17206" s="533"/>
      <c r="Y17206" s="533"/>
    </row>
    <row r="17207" spans="1:25" s="88" customFormat="1" ht="15.75" hidden="1" thickBot="1" x14ac:dyDescent="0.3">
      <c r="A17207" s="509"/>
      <c r="B17207" s="256"/>
      <c r="C17207" s="316"/>
      <c r="D17207" s="251"/>
      <c r="E17207" s="251"/>
      <c r="F17207" s="249" t="s">
        <v>234</v>
      </c>
      <c r="G17207" s="252" t="s">
        <v>235</v>
      </c>
      <c r="H17207" s="598">
        <f>SUM(H17188)</f>
        <v>0</v>
      </c>
      <c r="I17207" s="599"/>
      <c r="J17207" s="599">
        <f>SUM(H17207:I17207)</f>
        <v>0</v>
      </c>
      <c r="K17207" s="533"/>
      <c r="L17207" s="533"/>
      <c r="M17207" s="533"/>
      <c r="N17207" s="533"/>
      <c r="O17207" s="533"/>
      <c r="P17207" s="533"/>
      <c r="Q17207" s="533"/>
      <c r="R17207" s="533"/>
      <c r="S17207" s="533"/>
      <c r="T17207" s="533"/>
      <c r="U17207" s="533"/>
      <c r="V17207" s="533"/>
      <c r="W17207" s="533"/>
      <c r="X17207" s="533"/>
      <c r="Y17207" s="533"/>
    </row>
    <row r="17208" spans="1:25" s="88" customFormat="1" hidden="1" x14ac:dyDescent="0.25">
      <c r="A17208" s="509"/>
      <c r="B17208" s="256"/>
      <c r="C17208" s="316"/>
      <c r="D17208" s="251"/>
      <c r="E17208" s="251"/>
      <c r="F17208" s="249" t="s">
        <v>236</v>
      </c>
      <c r="G17208" s="252" t="s">
        <v>237</v>
      </c>
      <c r="H17208" s="594"/>
      <c r="I17208" s="595"/>
      <c r="J17208" s="599">
        <f t="shared" ref="J17208:J17222" si="514">SUM(H17208:I17208)</f>
        <v>0</v>
      </c>
      <c r="K17208" s="533"/>
      <c r="L17208" s="533"/>
      <c r="M17208" s="533"/>
      <c r="N17208" s="533"/>
      <c r="O17208" s="533"/>
      <c r="P17208" s="533"/>
      <c r="Q17208" s="533"/>
      <c r="R17208" s="533"/>
      <c r="S17208" s="533"/>
      <c r="T17208" s="533"/>
      <c r="U17208" s="533"/>
      <c r="V17208" s="533"/>
      <c r="W17208" s="533"/>
      <c r="X17208" s="533"/>
      <c r="Y17208" s="533"/>
    </row>
    <row r="17209" spans="1:25" s="88" customFormat="1" hidden="1" x14ac:dyDescent="0.25">
      <c r="A17209" s="509"/>
      <c r="B17209" s="256"/>
      <c r="C17209" s="316"/>
      <c r="D17209" s="251"/>
      <c r="E17209" s="251"/>
      <c r="F17209" s="249" t="s">
        <v>238</v>
      </c>
      <c r="G17209" s="252" t="s">
        <v>239</v>
      </c>
      <c r="H17209" s="594"/>
      <c r="I17209" s="595"/>
      <c r="J17209" s="599">
        <f t="shared" si="514"/>
        <v>0</v>
      </c>
      <c r="K17209" s="533"/>
      <c r="L17209" s="533"/>
      <c r="M17209" s="533"/>
      <c r="N17209" s="533"/>
      <c r="O17209" s="533"/>
      <c r="P17209" s="533"/>
      <c r="Q17209" s="533"/>
      <c r="R17209" s="533"/>
      <c r="S17209" s="533"/>
      <c r="T17209" s="533"/>
      <c r="U17209" s="533"/>
      <c r="V17209" s="533"/>
      <c r="W17209" s="533"/>
      <c r="X17209" s="533"/>
      <c r="Y17209" s="533"/>
    </row>
    <row r="17210" spans="1:25" s="88" customFormat="1" hidden="1" x14ac:dyDescent="0.25">
      <c r="A17210" s="509"/>
      <c r="B17210" s="256"/>
      <c r="C17210" s="316"/>
      <c r="D17210" s="251"/>
      <c r="E17210" s="251"/>
      <c r="F17210" s="249" t="s">
        <v>240</v>
      </c>
      <c r="G17210" s="252" t="s">
        <v>241</v>
      </c>
      <c r="H17210" s="594"/>
      <c r="I17210" s="595"/>
      <c r="J17210" s="599">
        <f t="shared" si="514"/>
        <v>0</v>
      </c>
      <c r="K17210" s="533"/>
      <c r="L17210" s="533"/>
      <c r="M17210" s="533"/>
      <c r="N17210" s="533"/>
      <c r="O17210" s="533"/>
      <c r="P17210" s="533"/>
      <c r="Q17210" s="533"/>
      <c r="R17210" s="533"/>
      <c r="S17210" s="533"/>
      <c r="T17210" s="533"/>
      <c r="U17210" s="533"/>
      <c r="V17210" s="533"/>
      <c r="W17210" s="533"/>
      <c r="X17210" s="533"/>
      <c r="Y17210" s="533"/>
    </row>
    <row r="17211" spans="1:25" s="88" customFormat="1" hidden="1" x14ac:dyDescent="0.25">
      <c r="A17211" s="509"/>
      <c r="B17211" s="256"/>
      <c r="C17211" s="316"/>
      <c r="D17211" s="251"/>
      <c r="E17211" s="251"/>
      <c r="F17211" s="249" t="s">
        <v>242</v>
      </c>
      <c r="G17211" s="252" t="s">
        <v>243</v>
      </c>
      <c r="H17211" s="594"/>
      <c r="I17211" s="595"/>
      <c r="J17211" s="599">
        <f t="shared" si="514"/>
        <v>0</v>
      </c>
      <c r="K17211" s="533"/>
      <c r="L17211" s="533"/>
      <c r="M17211" s="533"/>
      <c r="N17211" s="533"/>
      <c r="O17211" s="533"/>
      <c r="P17211" s="533"/>
      <c r="Q17211" s="533"/>
      <c r="R17211" s="533"/>
      <c r="S17211" s="533"/>
      <c r="T17211" s="533"/>
      <c r="U17211" s="533"/>
      <c r="V17211" s="533"/>
      <c r="W17211" s="533"/>
      <c r="X17211" s="533"/>
      <c r="Y17211" s="533"/>
    </row>
    <row r="17212" spans="1:25" s="88" customFormat="1" hidden="1" x14ac:dyDescent="0.25">
      <c r="A17212" s="509"/>
      <c r="B17212" s="256"/>
      <c r="C17212" s="316"/>
      <c r="D17212" s="251"/>
      <c r="E17212" s="251"/>
      <c r="F17212" s="249" t="s">
        <v>244</v>
      </c>
      <c r="G17212" s="252" t="s">
        <v>245</v>
      </c>
      <c r="H17212" s="594"/>
      <c r="I17212" s="595"/>
      <c r="J17212" s="599">
        <f t="shared" si="514"/>
        <v>0</v>
      </c>
      <c r="K17212" s="533"/>
      <c r="L17212" s="533"/>
      <c r="M17212" s="533"/>
      <c r="N17212" s="533"/>
      <c r="O17212" s="533"/>
      <c r="P17212" s="533"/>
      <c r="Q17212" s="533"/>
      <c r="R17212" s="533"/>
      <c r="S17212" s="533"/>
      <c r="T17212" s="533"/>
      <c r="U17212" s="533"/>
      <c r="V17212" s="533"/>
      <c r="W17212" s="533"/>
      <c r="X17212" s="533"/>
      <c r="Y17212" s="533"/>
    </row>
    <row r="17213" spans="1:25" s="88" customFormat="1" hidden="1" x14ac:dyDescent="0.25">
      <c r="A17213" s="509"/>
      <c r="B17213" s="256"/>
      <c r="C17213" s="316"/>
      <c r="D17213" s="251"/>
      <c r="E17213" s="251"/>
      <c r="F17213" s="249" t="s">
        <v>246</v>
      </c>
      <c r="G17213" s="252" t="s">
        <v>247</v>
      </c>
      <c r="H17213" s="594"/>
      <c r="I17213" s="595"/>
      <c r="J17213" s="599">
        <f t="shared" si="514"/>
        <v>0</v>
      </c>
      <c r="K17213" s="533"/>
      <c r="L17213" s="533"/>
      <c r="M17213" s="533"/>
      <c r="N17213" s="533"/>
      <c r="O17213" s="533"/>
      <c r="P17213" s="533"/>
      <c r="Q17213" s="533"/>
      <c r="R17213" s="533"/>
      <c r="S17213" s="533"/>
      <c r="T17213" s="533"/>
      <c r="U17213" s="533"/>
      <c r="V17213" s="533"/>
      <c r="W17213" s="533"/>
      <c r="X17213" s="533"/>
      <c r="Y17213" s="533"/>
    </row>
    <row r="17214" spans="1:25" s="88" customFormat="1" hidden="1" x14ac:dyDescent="0.25">
      <c r="A17214" s="509"/>
      <c r="B17214" s="256"/>
      <c r="C17214" s="316"/>
      <c r="D17214" s="251"/>
      <c r="E17214" s="251"/>
      <c r="F17214" s="249" t="s">
        <v>248</v>
      </c>
      <c r="G17214" s="252" t="s">
        <v>249</v>
      </c>
      <c r="H17214" s="594"/>
      <c r="I17214" s="595"/>
      <c r="J17214" s="599">
        <f t="shared" si="514"/>
        <v>0</v>
      </c>
      <c r="K17214" s="533"/>
      <c r="L17214" s="533"/>
      <c r="M17214" s="533"/>
      <c r="N17214" s="533"/>
      <c r="O17214" s="533"/>
      <c r="P17214" s="533"/>
      <c r="Q17214" s="533"/>
      <c r="R17214" s="533"/>
      <c r="S17214" s="533"/>
      <c r="T17214" s="533"/>
      <c r="U17214" s="533"/>
      <c r="V17214" s="533"/>
      <c r="W17214" s="533"/>
      <c r="X17214" s="533"/>
      <c r="Y17214" s="533"/>
    </row>
    <row r="17215" spans="1:25" s="88" customFormat="1" hidden="1" x14ac:dyDescent="0.25">
      <c r="A17215" s="509"/>
      <c r="B17215" s="256"/>
      <c r="C17215" s="316"/>
      <c r="D17215" s="251"/>
      <c r="E17215" s="251"/>
      <c r="F17215" s="249" t="s">
        <v>250</v>
      </c>
      <c r="G17215" s="252" t="s">
        <v>57</v>
      </c>
      <c r="H17215" s="594"/>
      <c r="I17215" s="595"/>
      <c r="J17215" s="599">
        <f t="shared" si="514"/>
        <v>0</v>
      </c>
      <c r="K17215" s="533"/>
      <c r="L17215" s="533"/>
      <c r="M17215" s="533"/>
      <c r="N17215" s="533"/>
      <c r="O17215" s="533"/>
      <c r="P17215" s="533"/>
      <c r="Q17215" s="533"/>
      <c r="R17215" s="533"/>
      <c r="S17215" s="533"/>
      <c r="T17215" s="533"/>
      <c r="U17215" s="533"/>
      <c r="V17215" s="533"/>
      <c r="W17215" s="533"/>
      <c r="X17215" s="533"/>
      <c r="Y17215" s="533"/>
    </row>
    <row r="17216" spans="1:25" s="88" customFormat="1" hidden="1" x14ac:dyDescent="0.25">
      <c r="A17216" s="509"/>
      <c r="B17216" s="256"/>
      <c r="C17216" s="316"/>
      <c r="D17216" s="251"/>
      <c r="E17216" s="251"/>
      <c r="F17216" s="249" t="s">
        <v>251</v>
      </c>
      <c r="G17216" s="252" t="s">
        <v>252</v>
      </c>
      <c r="H17216" s="594"/>
      <c r="I17216" s="595"/>
      <c r="J17216" s="599">
        <f t="shared" si="514"/>
        <v>0</v>
      </c>
      <c r="K17216" s="533"/>
      <c r="L17216" s="533"/>
      <c r="M17216" s="533"/>
      <c r="N17216" s="533"/>
      <c r="O17216" s="533"/>
      <c r="P17216" s="533"/>
      <c r="Q17216" s="533"/>
      <c r="R17216" s="533"/>
      <c r="S17216" s="533"/>
      <c r="T17216" s="533"/>
      <c r="U17216" s="533"/>
      <c r="V17216" s="533"/>
      <c r="W17216" s="533"/>
      <c r="X17216" s="533"/>
      <c r="Y17216" s="533"/>
    </row>
    <row r="17217" spans="1:25" s="88" customFormat="1" hidden="1" x14ac:dyDescent="0.25">
      <c r="A17217" s="509"/>
      <c r="B17217" s="256"/>
      <c r="C17217" s="316"/>
      <c r="D17217" s="251"/>
      <c r="E17217" s="251"/>
      <c r="F17217" s="249" t="s">
        <v>253</v>
      </c>
      <c r="G17217" s="252" t="s">
        <v>254</v>
      </c>
      <c r="H17217" s="594"/>
      <c r="I17217" s="595"/>
      <c r="J17217" s="599">
        <f t="shared" si="514"/>
        <v>0</v>
      </c>
      <c r="K17217" s="533"/>
      <c r="L17217" s="533"/>
      <c r="M17217" s="533"/>
      <c r="N17217" s="533"/>
      <c r="O17217" s="533"/>
      <c r="P17217" s="533"/>
      <c r="Q17217" s="533"/>
      <c r="R17217" s="533"/>
      <c r="S17217" s="533"/>
      <c r="T17217" s="533"/>
      <c r="U17217" s="533"/>
      <c r="V17217" s="533"/>
      <c r="W17217" s="533"/>
      <c r="X17217" s="533"/>
      <c r="Y17217" s="533"/>
    </row>
    <row r="17218" spans="1:25" s="88" customFormat="1" ht="30" hidden="1" x14ac:dyDescent="0.25">
      <c r="A17218" s="509"/>
      <c r="B17218" s="256"/>
      <c r="C17218" s="316"/>
      <c r="D17218" s="251"/>
      <c r="E17218" s="251"/>
      <c r="F17218" s="249" t="s">
        <v>255</v>
      </c>
      <c r="G17218" s="252" t="s">
        <v>256</v>
      </c>
      <c r="H17218" s="594"/>
      <c r="I17218" s="595"/>
      <c r="J17218" s="599">
        <f t="shared" si="514"/>
        <v>0</v>
      </c>
      <c r="K17218" s="533"/>
      <c r="L17218" s="533"/>
      <c r="M17218" s="533"/>
      <c r="N17218" s="533"/>
      <c r="O17218" s="533"/>
      <c r="P17218" s="533"/>
      <c r="Q17218" s="533"/>
      <c r="R17218" s="533"/>
      <c r="S17218" s="533"/>
      <c r="T17218" s="533"/>
      <c r="U17218" s="533"/>
      <c r="V17218" s="533"/>
      <c r="W17218" s="533"/>
      <c r="X17218" s="533"/>
      <c r="Y17218" s="533"/>
    </row>
    <row r="17219" spans="1:25" s="88" customFormat="1" hidden="1" x14ac:dyDescent="0.25">
      <c r="A17219" s="509"/>
      <c r="B17219" s="256"/>
      <c r="C17219" s="316"/>
      <c r="D17219" s="251"/>
      <c r="E17219" s="251"/>
      <c r="F17219" s="249" t="s">
        <v>257</v>
      </c>
      <c r="G17219" s="252" t="s">
        <v>258</v>
      </c>
      <c r="H17219" s="594"/>
      <c r="I17219" s="595"/>
      <c r="J17219" s="599">
        <f t="shared" si="514"/>
        <v>0</v>
      </c>
      <c r="K17219" s="533"/>
      <c r="L17219" s="533"/>
      <c r="M17219" s="533"/>
      <c r="N17219" s="533"/>
      <c r="O17219" s="533"/>
      <c r="P17219" s="533"/>
      <c r="Q17219" s="533"/>
      <c r="R17219" s="533"/>
      <c r="S17219" s="533"/>
      <c r="T17219" s="533"/>
      <c r="U17219" s="533"/>
      <c r="V17219" s="533"/>
      <c r="W17219" s="533"/>
      <c r="X17219" s="533"/>
      <c r="Y17219" s="533"/>
    </row>
    <row r="17220" spans="1:25" s="88" customFormat="1" ht="30" hidden="1" x14ac:dyDescent="0.25">
      <c r="A17220" s="509"/>
      <c r="B17220" s="256"/>
      <c r="C17220" s="316"/>
      <c r="D17220" s="251"/>
      <c r="E17220" s="251"/>
      <c r="F17220" s="249" t="s">
        <v>259</v>
      </c>
      <c r="G17220" s="252" t="s">
        <v>260</v>
      </c>
      <c r="H17220" s="594"/>
      <c r="I17220" s="595"/>
      <c r="J17220" s="599">
        <f t="shared" si="514"/>
        <v>0</v>
      </c>
      <c r="K17220" s="533"/>
      <c r="L17220" s="533"/>
      <c r="M17220" s="533"/>
      <c r="N17220" s="533"/>
      <c r="O17220" s="533"/>
      <c r="P17220" s="533"/>
      <c r="Q17220" s="533"/>
      <c r="R17220" s="533"/>
      <c r="S17220" s="533"/>
      <c r="T17220" s="533"/>
      <c r="U17220" s="533"/>
      <c r="V17220" s="533"/>
      <c r="W17220" s="533"/>
      <c r="X17220" s="533"/>
      <c r="Y17220" s="533"/>
    </row>
    <row r="17221" spans="1:25" s="88" customFormat="1" hidden="1" x14ac:dyDescent="0.25">
      <c r="A17221" s="509"/>
      <c r="B17221" s="256"/>
      <c r="C17221" s="316"/>
      <c r="D17221" s="251"/>
      <c r="E17221" s="251"/>
      <c r="F17221" s="249" t="s">
        <v>261</v>
      </c>
      <c r="G17221" s="252" t="s">
        <v>262</v>
      </c>
      <c r="H17221" s="594"/>
      <c r="I17221" s="595"/>
      <c r="J17221" s="599">
        <f t="shared" si="514"/>
        <v>0</v>
      </c>
      <c r="K17221" s="533"/>
      <c r="L17221" s="533"/>
      <c r="M17221" s="533"/>
      <c r="N17221" s="533"/>
      <c r="O17221" s="533"/>
      <c r="P17221" s="533"/>
      <c r="Q17221" s="533"/>
      <c r="R17221" s="533"/>
      <c r="S17221" s="533"/>
      <c r="T17221" s="533"/>
      <c r="U17221" s="533"/>
      <c r="V17221" s="533"/>
      <c r="W17221" s="533"/>
      <c r="X17221" s="533"/>
      <c r="Y17221" s="533"/>
    </row>
    <row r="17222" spans="1:25" s="88" customFormat="1" ht="15.75" hidden="1" thickBot="1" x14ac:dyDescent="0.3">
      <c r="A17222" s="509"/>
      <c r="B17222" s="256"/>
      <c r="C17222" s="316"/>
      <c r="D17222" s="251"/>
      <c r="E17222" s="251"/>
      <c r="F17222" s="249" t="s">
        <v>263</v>
      </c>
      <c r="G17222" s="252" t="s">
        <v>264</v>
      </c>
      <c r="H17222" s="598"/>
      <c r="I17222" s="599"/>
      <c r="J17222" s="599">
        <f t="shared" si="514"/>
        <v>0</v>
      </c>
      <c r="K17222" s="533"/>
      <c r="L17222" s="533"/>
      <c r="M17222" s="533"/>
      <c r="N17222" s="533"/>
      <c r="O17222" s="533"/>
      <c r="P17222" s="533"/>
      <c r="Q17222" s="533"/>
      <c r="R17222" s="533"/>
      <c r="S17222" s="533"/>
      <c r="T17222" s="533"/>
      <c r="U17222" s="533"/>
      <c r="V17222" s="533"/>
      <c r="W17222" s="533"/>
      <c r="X17222" s="533"/>
      <c r="Y17222" s="533"/>
    </row>
    <row r="17223" spans="1:25" s="88" customFormat="1" ht="15.75" hidden="1" thickBot="1" x14ac:dyDescent="0.3">
      <c r="A17223" s="509"/>
      <c r="B17223" s="256"/>
      <c r="C17223" s="316"/>
      <c r="D17223" s="251"/>
      <c r="E17223" s="251"/>
      <c r="F17223" s="218"/>
      <c r="G17223" s="229" t="s">
        <v>4226</v>
      </c>
      <c r="H17223" s="600">
        <f>SUM(H17207:H17222)</f>
        <v>0</v>
      </c>
      <c r="I17223" s="601">
        <f>SUM(I17208:I17222)</f>
        <v>0</v>
      </c>
      <c r="J17223" s="601">
        <f>SUM(J17207:J17222)</f>
        <v>0</v>
      </c>
      <c r="K17223" s="533"/>
      <c r="L17223" s="533"/>
      <c r="M17223" s="533"/>
      <c r="N17223" s="533"/>
      <c r="O17223" s="533"/>
      <c r="P17223" s="533"/>
      <c r="Q17223" s="533"/>
      <c r="R17223" s="533"/>
      <c r="S17223" s="533"/>
      <c r="T17223" s="533"/>
      <c r="U17223" s="533"/>
      <c r="V17223" s="533"/>
      <c r="W17223" s="533"/>
      <c r="X17223" s="533"/>
      <c r="Y17223" s="533"/>
    </row>
    <row r="17224" spans="1:25" hidden="1" x14ac:dyDescent="0.25"/>
    <row r="17225" spans="1:25" hidden="1" x14ac:dyDescent="0.25">
      <c r="E17225" s="506"/>
      <c r="F17225" s="514"/>
      <c r="G17225" s="250" t="s">
        <v>4228</v>
      </c>
      <c r="H17225" s="606"/>
      <c r="I17225" s="624"/>
      <c r="J17225" s="607"/>
    </row>
    <row r="17226" spans="1:25" ht="15.75" hidden="1" thickBot="1" x14ac:dyDescent="0.3">
      <c r="E17226" s="222"/>
      <c r="F17226" s="249" t="s">
        <v>234</v>
      </c>
      <c r="G17226" s="252" t="s">
        <v>235</v>
      </c>
      <c r="H17226" s="598">
        <f>SUM(H17207)</f>
        <v>0</v>
      </c>
      <c r="I17226" s="599"/>
      <c r="J17226" s="599">
        <f>SUM(H17226:I17226)</f>
        <v>0</v>
      </c>
    </row>
    <row r="17227" spans="1:25" hidden="1" x14ac:dyDescent="0.25">
      <c r="F17227" s="249" t="s">
        <v>236</v>
      </c>
      <c r="G17227" s="252" t="s">
        <v>237</v>
      </c>
      <c r="J17227" s="599">
        <f t="shared" ref="J17227:J17241" si="515">SUM(H17227:I17227)</f>
        <v>0</v>
      </c>
    </row>
    <row r="17228" spans="1:25" hidden="1" x14ac:dyDescent="0.25">
      <c r="F17228" s="249" t="s">
        <v>238</v>
      </c>
      <c r="G17228" s="252" t="s">
        <v>239</v>
      </c>
      <c r="J17228" s="599">
        <f t="shared" si="515"/>
        <v>0</v>
      </c>
    </row>
    <row r="17229" spans="1:25" hidden="1" x14ac:dyDescent="0.25">
      <c r="F17229" s="249" t="s">
        <v>240</v>
      </c>
      <c r="G17229" s="252" t="s">
        <v>241</v>
      </c>
      <c r="J17229" s="599">
        <f t="shared" si="515"/>
        <v>0</v>
      </c>
    </row>
    <row r="17230" spans="1:25" hidden="1" x14ac:dyDescent="0.25">
      <c r="F17230" s="249" t="s">
        <v>242</v>
      </c>
      <c r="G17230" s="252" t="s">
        <v>243</v>
      </c>
      <c r="J17230" s="599">
        <f t="shared" si="515"/>
        <v>0</v>
      </c>
    </row>
    <row r="17231" spans="1:25" hidden="1" x14ac:dyDescent="0.25">
      <c r="F17231" s="249" t="s">
        <v>244</v>
      </c>
      <c r="G17231" s="252" t="s">
        <v>245</v>
      </c>
      <c r="J17231" s="599">
        <f t="shared" si="515"/>
        <v>0</v>
      </c>
    </row>
    <row r="17232" spans="1:25" hidden="1" x14ac:dyDescent="0.25">
      <c r="F17232" s="249" t="s">
        <v>246</v>
      </c>
      <c r="G17232" s="252" t="s">
        <v>247</v>
      </c>
      <c r="J17232" s="599">
        <f t="shared" si="515"/>
        <v>0</v>
      </c>
    </row>
    <row r="17233" spans="5:10" hidden="1" x14ac:dyDescent="0.25">
      <c r="F17233" s="249" t="s">
        <v>248</v>
      </c>
      <c r="G17233" s="252" t="s">
        <v>249</v>
      </c>
      <c r="J17233" s="599">
        <f t="shared" si="515"/>
        <v>0</v>
      </c>
    </row>
    <row r="17234" spans="5:10" hidden="1" x14ac:dyDescent="0.25">
      <c r="F17234" s="249" t="s">
        <v>250</v>
      </c>
      <c r="G17234" s="252" t="s">
        <v>57</v>
      </c>
      <c r="J17234" s="599">
        <f t="shared" si="515"/>
        <v>0</v>
      </c>
    </row>
    <row r="17235" spans="5:10" hidden="1" x14ac:dyDescent="0.25">
      <c r="F17235" s="249" t="s">
        <v>251</v>
      </c>
      <c r="G17235" s="252" t="s">
        <v>252</v>
      </c>
      <c r="J17235" s="599">
        <f t="shared" si="515"/>
        <v>0</v>
      </c>
    </row>
    <row r="17236" spans="5:10" hidden="1" x14ac:dyDescent="0.25">
      <c r="F17236" s="249" t="s">
        <v>253</v>
      </c>
      <c r="G17236" s="252" t="s">
        <v>254</v>
      </c>
      <c r="J17236" s="599">
        <f t="shared" si="515"/>
        <v>0</v>
      </c>
    </row>
    <row r="17237" spans="5:10" ht="30" hidden="1" x14ac:dyDescent="0.25">
      <c r="F17237" s="249" t="s">
        <v>255</v>
      </c>
      <c r="G17237" s="252" t="s">
        <v>256</v>
      </c>
      <c r="J17237" s="599">
        <f t="shared" si="515"/>
        <v>0</v>
      </c>
    </row>
    <row r="17238" spans="5:10" hidden="1" x14ac:dyDescent="0.25">
      <c r="F17238" s="249" t="s">
        <v>257</v>
      </c>
      <c r="G17238" s="252" t="s">
        <v>258</v>
      </c>
      <c r="J17238" s="599">
        <f t="shared" si="515"/>
        <v>0</v>
      </c>
    </row>
    <row r="17239" spans="5:10" ht="30" hidden="1" x14ac:dyDescent="0.25">
      <c r="F17239" s="249" t="s">
        <v>259</v>
      </c>
      <c r="G17239" s="252" t="s">
        <v>260</v>
      </c>
      <c r="J17239" s="599">
        <f t="shared" si="515"/>
        <v>0</v>
      </c>
    </row>
    <row r="17240" spans="5:10" hidden="1" x14ac:dyDescent="0.25">
      <c r="F17240" s="249" t="s">
        <v>261</v>
      </c>
      <c r="G17240" s="252" t="s">
        <v>262</v>
      </c>
      <c r="J17240" s="599">
        <f t="shared" si="515"/>
        <v>0</v>
      </c>
    </row>
    <row r="17241" spans="5:10" ht="15.75" hidden="1" thickBot="1" x14ac:dyDescent="0.3">
      <c r="F17241" s="249" t="s">
        <v>263</v>
      </c>
      <c r="G17241" s="252" t="s">
        <v>264</v>
      </c>
      <c r="H17241" s="598"/>
      <c r="I17241" s="599"/>
      <c r="J17241" s="599">
        <f t="shared" si="515"/>
        <v>0</v>
      </c>
    </row>
    <row r="17242" spans="5:10" ht="15.75" hidden="1" thickBot="1" x14ac:dyDescent="0.3">
      <c r="G17242" s="229" t="s">
        <v>4229</v>
      </c>
      <c r="H17242" s="600">
        <f>SUM(H17226:H17241)</f>
        <v>0</v>
      </c>
      <c r="I17242" s="601">
        <f>SUM(I17227:I17241)</f>
        <v>0</v>
      </c>
      <c r="J17242" s="601">
        <f>SUM(J17226:J17241)</f>
        <v>0</v>
      </c>
    </row>
    <row r="17243" spans="5:10" hidden="1" x14ac:dyDescent="0.25"/>
    <row r="17244" spans="5:10" hidden="1" x14ac:dyDescent="0.25">
      <c r="E17244" s="506"/>
      <c r="F17244" s="514"/>
      <c r="G17244" s="250" t="s">
        <v>4352</v>
      </c>
      <c r="H17244" s="606"/>
      <c r="I17244" s="624"/>
      <c r="J17244" s="607"/>
    </row>
    <row r="17245" spans="5:10" ht="15.75" hidden="1" thickBot="1" x14ac:dyDescent="0.3">
      <c r="E17245" s="222"/>
      <c r="F17245" s="249" t="s">
        <v>234</v>
      </c>
      <c r="G17245" s="252" t="s">
        <v>235</v>
      </c>
      <c r="H17245" s="598">
        <f>SUM(H17226)</f>
        <v>0</v>
      </c>
      <c r="I17245" s="599"/>
      <c r="J17245" s="599">
        <f>SUM(H17245:I17245)</f>
        <v>0</v>
      </c>
    </row>
    <row r="17246" spans="5:10" hidden="1" x14ac:dyDescent="0.25">
      <c r="F17246" s="249" t="s">
        <v>236</v>
      </c>
      <c r="G17246" s="252" t="s">
        <v>237</v>
      </c>
      <c r="J17246" s="599">
        <f t="shared" ref="J17246:J17260" si="516">SUM(H17246:I17246)</f>
        <v>0</v>
      </c>
    </row>
    <row r="17247" spans="5:10" hidden="1" x14ac:dyDescent="0.25">
      <c r="F17247" s="249" t="s">
        <v>238</v>
      </c>
      <c r="G17247" s="252" t="s">
        <v>239</v>
      </c>
      <c r="J17247" s="599">
        <f t="shared" si="516"/>
        <v>0</v>
      </c>
    </row>
    <row r="17248" spans="5:10" hidden="1" x14ac:dyDescent="0.25">
      <c r="F17248" s="249" t="s">
        <v>240</v>
      </c>
      <c r="G17248" s="252" t="s">
        <v>241</v>
      </c>
      <c r="J17248" s="599">
        <f t="shared" si="516"/>
        <v>0</v>
      </c>
    </row>
    <row r="17249" spans="1:10" hidden="1" x14ac:dyDescent="0.25">
      <c r="F17249" s="249" t="s">
        <v>242</v>
      </c>
      <c r="G17249" s="252" t="s">
        <v>243</v>
      </c>
      <c r="J17249" s="599">
        <f t="shared" si="516"/>
        <v>0</v>
      </c>
    </row>
    <row r="17250" spans="1:10" hidden="1" x14ac:dyDescent="0.25">
      <c r="F17250" s="249" t="s">
        <v>244</v>
      </c>
      <c r="G17250" s="252" t="s">
        <v>245</v>
      </c>
      <c r="J17250" s="599">
        <f t="shared" si="516"/>
        <v>0</v>
      </c>
    </row>
    <row r="17251" spans="1:10" hidden="1" x14ac:dyDescent="0.25">
      <c r="F17251" s="249" t="s">
        <v>246</v>
      </c>
      <c r="G17251" s="252" t="s">
        <v>247</v>
      </c>
      <c r="J17251" s="599">
        <f t="shared" si="516"/>
        <v>0</v>
      </c>
    </row>
    <row r="17252" spans="1:10" hidden="1" x14ac:dyDescent="0.25">
      <c r="F17252" s="249" t="s">
        <v>248</v>
      </c>
      <c r="G17252" s="252" t="s">
        <v>249</v>
      </c>
      <c r="J17252" s="599">
        <f t="shared" si="516"/>
        <v>0</v>
      </c>
    </row>
    <row r="17253" spans="1:10" hidden="1" x14ac:dyDescent="0.25">
      <c r="F17253" s="249" t="s">
        <v>250</v>
      </c>
      <c r="G17253" s="252" t="s">
        <v>57</v>
      </c>
      <c r="J17253" s="599">
        <f t="shared" si="516"/>
        <v>0</v>
      </c>
    </row>
    <row r="17254" spans="1:10" hidden="1" x14ac:dyDescent="0.25">
      <c r="F17254" s="249" t="s">
        <v>251</v>
      </c>
      <c r="G17254" s="252" t="s">
        <v>252</v>
      </c>
      <c r="J17254" s="599">
        <f t="shared" si="516"/>
        <v>0</v>
      </c>
    </row>
    <row r="17255" spans="1:10" hidden="1" x14ac:dyDescent="0.25">
      <c r="F17255" s="249" t="s">
        <v>253</v>
      </c>
      <c r="G17255" s="252" t="s">
        <v>254</v>
      </c>
      <c r="J17255" s="599">
        <f t="shared" si="516"/>
        <v>0</v>
      </c>
    </row>
    <row r="17256" spans="1:10" ht="30" hidden="1" x14ac:dyDescent="0.25">
      <c r="F17256" s="249" t="s">
        <v>255</v>
      </c>
      <c r="G17256" s="252" t="s">
        <v>256</v>
      </c>
      <c r="J17256" s="599">
        <f t="shared" si="516"/>
        <v>0</v>
      </c>
    </row>
    <row r="17257" spans="1:10" hidden="1" x14ac:dyDescent="0.25">
      <c r="F17257" s="249" t="s">
        <v>257</v>
      </c>
      <c r="G17257" s="252" t="s">
        <v>258</v>
      </c>
      <c r="J17257" s="599">
        <f t="shared" si="516"/>
        <v>0</v>
      </c>
    </row>
    <row r="17258" spans="1:10" ht="30" hidden="1" x14ac:dyDescent="0.25">
      <c r="F17258" s="249" t="s">
        <v>259</v>
      </c>
      <c r="G17258" s="252" t="s">
        <v>260</v>
      </c>
      <c r="J17258" s="599">
        <f t="shared" si="516"/>
        <v>0</v>
      </c>
    </row>
    <row r="17259" spans="1:10" hidden="1" x14ac:dyDescent="0.25">
      <c r="F17259" s="249" t="s">
        <v>261</v>
      </c>
      <c r="G17259" s="252" t="s">
        <v>262</v>
      </c>
      <c r="J17259" s="599">
        <f t="shared" si="516"/>
        <v>0</v>
      </c>
    </row>
    <row r="17260" spans="1:10" ht="15.75" hidden="1" thickBot="1" x14ac:dyDescent="0.3">
      <c r="F17260" s="249" t="s">
        <v>263</v>
      </c>
      <c r="G17260" s="252" t="s">
        <v>264</v>
      </c>
      <c r="H17260" s="598"/>
      <c r="I17260" s="599"/>
      <c r="J17260" s="599">
        <f t="shared" si="516"/>
        <v>0</v>
      </c>
    </row>
    <row r="17261" spans="1:10" ht="15.75" hidden="1" thickBot="1" x14ac:dyDescent="0.3">
      <c r="G17261" s="229" t="s">
        <v>4499</v>
      </c>
      <c r="H17261" s="600">
        <f>SUM(H17245:H17260)</f>
        <v>0</v>
      </c>
      <c r="I17261" s="601">
        <f>SUM(I17246:I17260)</f>
        <v>0</v>
      </c>
      <c r="J17261" s="601">
        <f>SUM(J17245:J17260)</f>
        <v>0</v>
      </c>
    </row>
    <row r="17262" spans="1:10" hidden="1" x14ac:dyDescent="0.25"/>
    <row r="17263" spans="1:10" x14ac:dyDescent="0.25">
      <c r="A17263" s="216"/>
      <c r="B17263" s="216"/>
      <c r="C17263" s="220"/>
      <c r="D17263" s="216"/>
      <c r="E17263" s="216"/>
      <c r="F17263" s="216"/>
      <c r="G17263" s="535"/>
      <c r="H17263" s="592"/>
      <c r="I17263" s="593"/>
      <c r="J17263" s="593"/>
    </row>
    <row r="17264" spans="1:10" x14ac:dyDescent="0.25">
      <c r="E17264" s="506"/>
      <c r="F17264" s="514"/>
      <c r="G17264" s="250" t="s">
        <v>5197</v>
      </c>
      <c r="H17264" s="606"/>
      <c r="I17264" s="624"/>
      <c r="J17264" s="607"/>
    </row>
    <row r="17265" spans="5:10" x14ac:dyDescent="0.25">
      <c r="E17265" s="222"/>
      <c r="F17265" s="249" t="s">
        <v>234</v>
      </c>
      <c r="G17265" s="252" t="s">
        <v>235</v>
      </c>
      <c r="H17265" s="598">
        <f>SUM(H17103,H735,H361)</f>
        <v>576900000</v>
      </c>
      <c r="I17265" s="599"/>
      <c r="J17265" s="599">
        <f>SUM(H17265:I17265)</f>
        <v>576900000</v>
      </c>
    </row>
    <row r="17266" spans="5:10" hidden="1" x14ac:dyDescent="0.25">
      <c r="F17266" s="249" t="s">
        <v>236</v>
      </c>
      <c r="G17266" s="252" t="s">
        <v>237</v>
      </c>
      <c r="J17266" s="599">
        <f t="shared" ref="J17266:J17280" si="517">SUM(H17266:I17266)</f>
        <v>0</v>
      </c>
    </row>
    <row r="17267" spans="5:10" hidden="1" x14ac:dyDescent="0.25">
      <c r="F17267" s="249" t="s">
        <v>238</v>
      </c>
      <c r="G17267" s="252" t="s">
        <v>239</v>
      </c>
      <c r="J17267" s="599">
        <f t="shared" si="517"/>
        <v>0</v>
      </c>
    </row>
    <row r="17268" spans="5:10" x14ac:dyDescent="0.25">
      <c r="F17268" s="249" t="s">
        <v>240</v>
      </c>
      <c r="G17268" s="252" t="s">
        <v>241</v>
      </c>
      <c r="I17268" s="595">
        <f>SUM(I17090)</f>
        <v>6985884</v>
      </c>
      <c r="J17268" s="599">
        <f t="shared" si="517"/>
        <v>6985884</v>
      </c>
    </row>
    <row r="17269" spans="5:10" hidden="1" x14ac:dyDescent="0.25">
      <c r="F17269" s="249" t="s">
        <v>242</v>
      </c>
      <c r="G17269" s="252" t="s">
        <v>243</v>
      </c>
      <c r="J17269" s="599">
        <f t="shared" si="517"/>
        <v>0</v>
      </c>
    </row>
    <row r="17270" spans="5:10" hidden="1" x14ac:dyDescent="0.25">
      <c r="F17270" s="249" t="s">
        <v>244</v>
      </c>
      <c r="G17270" s="252" t="s">
        <v>245</v>
      </c>
      <c r="J17270" s="599">
        <f t="shared" si="517"/>
        <v>0</v>
      </c>
    </row>
    <row r="17271" spans="5:10" ht="15.75" thickBot="1" x14ac:dyDescent="0.3">
      <c r="F17271" s="249" t="s">
        <v>246</v>
      </c>
      <c r="G17271" s="252" t="s">
        <v>247</v>
      </c>
      <c r="I17271" s="595">
        <f>SUM(I17093)</f>
        <v>8859216</v>
      </c>
      <c r="J17271" s="599">
        <f t="shared" si="517"/>
        <v>8859216</v>
      </c>
    </row>
    <row r="17272" spans="5:10" hidden="1" x14ac:dyDescent="0.25">
      <c r="F17272" s="249" t="s">
        <v>248</v>
      </c>
      <c r="G17272" s="252" t="s">
        <v>249</v>
      </c>
      <c r="J17272" s="599">
        <f t="shared" si="517"/>
        <v>0</v>
      </c>
    </row>
    <row r="17273" spans="5:10" hidden="1" x14ac:dyDescent="0.25">
      <c r="F17273" s="249" t="s">
        <v>250</v>
      </c>
      <c r="G17273" s="252" t="s">
        <v>57</v>
      </c>
      <c r="J17273" s="599">
        <f t="shared" si="517"/>
        <v>0</v>
      </c>
    </row>
    <row r="17274" spans="5:10" hidden="1" x14ac:dyDescent="0.25">
      <c r="F17274" s="249" t="s">
        <v>251</v>
      </c>
      <c r="G17274" s="252" t="s">
        <v>252</v>
      </c>
      <c r="J17274" s="599">
        <f t="shared" si="517"/>
        <v>0</v>
      </c>
    </row>
    <row r="17275" spans="5:10" hidden="1" x14ac:dyDescent="0.25">
      <c r="F17275" s="249" t="s">
        <v>253</v>
      </c>
      <c r="G17275" s="252" t="s">
        <v>254</v>
      </c>
      <c r="J17275" s="599">
        <f t="shared" si="517"/>
        <v>0</v>
      </c>
    </row>
    <row r="17276" spans="5:10" ht="30" hidden="1" x14ac:dyDescent="0.25">
      <c r="F17276" s="249" t="s">
        <v>255</v>
      </c>
      <c r="G17276" s="252" t="s">
        <v>256</v>
      </c>
      <c r="J17276" s="599">
        <f t="shared" si="517"/>
        <v>0</v>
      </c>
    </row>
    <row r="17277" spans="5:10" hidden="1" x14ac:dyDescent="0.25">
      <c r="F17277" s="249" t="s">
        <v>257</v>
      </c>
      <c r="G17277" s="252" t="s">
        <v>258</v>
      </c>
      <c r="J17277" s="599">
        <f t="shared" si="517"/>
        <v>0</v>
      </c>
    </row>
    <row r="17278" spans="5:10" ht="30" hidden="1" x14ac:dyDescent="0.25">
      <c r="F17278" s="249" t="s">
        <v>259</v>
      </c>
      <c r="G17278" s="252" t="s">
        <v>260</v>
      </c>
      <c r="J17278" s="599">
        <f t="shared" si="517"/>
        <v>0</v>
      </c>
    </row>
    <row r="17279" spans="5:10" hidden="1" x14ac:dyDescent="0.25">
      <c r="F17279" s="249" t="s">
        <v>261</v>
      </c>
      <c r="G17279" s="252" t="s">
        <v>262</v>
      </c>
      <c r="J17279" s="599">
        <f t="shared" si="517"/>
        <v>0</v>
      </c>
    </row>
    <row r="17280" spans="5:10" ht="15.75" hidden="1" thickBot="1" x14ac:dyDescent="0.3">
      <c r="F17280" s="249" t="s">
        <v>263</v>
      </c>
      <c r="G17280" s="252" t="s">
        <v>264</v>
      </c>
      <c r="H17280" s="598"/>
      <c r="I17280" s="599"/>
      <c r="J17280" s="599">
        <f t="shared" si="517"/>
        <v>0</v>
      </c>
    </row>
    <row r="17281" spans="2:10" ht="15.75" thickBot="1" x14ac:dyDescent="0.3">
      <c r="G17281" s="229" t="s">
        <v>5198</v>
      </c>
      <c r="H17281" s="600">
        <f>SUM(H17265:H17280)</f>
        <v>576900000</v>
      </c>
      <c r="I17281" s="601">
        <f>SUM(I17266:I17280)</f>
        <v>15845100</v>
      </c>
      <c r="J17281" s="601">
        <f>SUM(J17265:J17280)</f>
        <v>592745100</v>
      </c>
    </row>
    <row r="17282" spans="2:10" x14ac:dyDescent="0.25">
      <c r="G17282" s="286"/>
      <c r="H17282" s="604"/>
      <c r="I17282" s="605"/>
      <c r="J17282" s="605"/>
    </row>
    <row r="17283" spans="2:10" x14ac:dyDescent="0.25">
      <c r="G17283" s="286"/>
      <c r="H17283" s="604"/>
      <c r="I17283" s="605"/>
      <c r="J17283" s="605"/>
    </row>
    <row r="17284" spans="2:10" x14ac:dyDescent="0.25">
      <c r="G17284" s="286"/>
      <c r="H17284" s="604"/>
      <c r="I17284" s="605"/>
      <c r="J17284" s="605"/>
    </row>
    <row r="17285" spans="2:10" ht="13.5" customHeight="1" x14ac:dyDescent="0.25">
      <c r="G17285" s="286"/>
      <c r="H17285" s="604"/>
      <c r="I17285" s="605"/>
      <c r="J17285" s="605"/>
    </row>
    <row r="17286" spans="2:10" x14ac:dyDescent="0.25">
      <c r="G17286" s="286"/>
      <c r="H17286" s="604"/>
      <c r="I17286" s="605"/>
      <c r="J17286" s="605"/>
    </row>
    <row r="17289" spans="2:10" ht="18.75" x14ac:dyDescent="0.25">
      <c r="E17289" s="943" t="s">
        <v>5464</v>
      </c>
      <c r="F17289" s="943"/>
      <c r="G17289" s="943"/>
      <c r="H17289" s="943"/>
      <c r="I17289" s="943"/>
    </row>
    <row r="17291" spans="2:10" ht="15.75" x14ac:dyDescent="0.25">
      <c r="B17291" s="880"/>
      <c r="C17291" s="881"/>
      <c r="D17291" s="880"/>
      <c r="E17291" s="880"/>
      <c r="F17291" s="880"/>
      <c r="G17291" s="938" t="s">
        <v>5387</v>
      </c>
      <c r="H17291" s="938"/>
      <c r="I17291" s="938"/>
      <c r="J17291" s="882"/>
    </row>
    <row r="17292" spans="2:10" ht="15.75" x14ac:dyDescent="0.25">
      <c r="B17292" s="880"/>
      <c r="C17292" s="881"/>
      <c r="D17292" s="880"/>
      <c r="E17292" s="880"/>
      <c r="F17292" s="880"/>
      <c r="G17292" s="879"/>
      <c r="H17292" s="883"/>
      <c r="I17292" s="882"/>
      <c r="J17292" s="882"/>
    </row>
    <row r="17293" spans="2:10" ht="31.5" customHeight="1" x14ac:dyDescent="0.25">
      <c r="B17293" s="938" t="s">
        <v>5380</v>
      </c>
      <c r="C17293" s="938"/>
      <c r="D17293" s="938"/>
      <c r="E17293" s="938"/>
      <c r="F17293" s="938"/>
      <c r="G17293" s="938"/>
      <c r="H17293" s="938"/>
      <c r="I17293" s="938"/>
      <c r="J17293" s="938"/>
    </row>
    <row r="17294" spans="2:10" ht="15.75" x14ac:dyDescent="0.25">
      <c r="B17294" s="880"/>
      <c r="C17294" s="881"/>
      <c r="D17294" s="880"/>
      <c r="E17294" s="880"/>
      <c r="F17294" s="880"/>
      <c r="G17294" s="879"/>
      <c r="H17294" s="883"/>
      <c r="I17294" s="882"/>
      <c r="J17294" s="882"/>
    </row>
    <row r="17295" spans="2:10" ht="15.75" hidden="1" x14ac:dyDescent="0.25">
      <c r="B17295" s="880"/>
      <c r="C17295" s="881"/>
      <c r="D17295" s="880"/>
      <c r="E17295" s="880"/>
      <c r="F17295" s="880"/>
      <c r="G17295" s="879"/>
      <c r="H17295" s="883"/>
      <c r="I17295" s="882"/>
      <c r="J17295" s="882"/>
    </row>
    <row r="17296" spans="2:10" ht="15.75" x14ac:dyDescent="0.25">
      <c r="B17296" s="880"/>
      <c r="C17296" s="881"/>
      <c r="D17296" s="880"/>
      <c r="E17296" s="880"/>
      <c r="F17296" s="880"/>
      <c r="G17296" s="938" t="s">
        <v>5388</v>
      </c>
      <c r="H17296" s="938"/>
      <c r="I17296" s="938"/>
      <c r="J17296" s="882"/>
    </row>
    <row r="17297" spans="2:10" ht="15.75" x14ac:dyDescent="0.25">
      <c r="B17297" s="880"/>
      <c r="C17297" s="881"/>
      <c r="D17297" s="880"/>
      <c r="E17297" s="880"/>
      <c r="F17297" s="880"/>
      <c r="G17297" s="879"/>
      <c r="H17297" s="883"/>
      <c r="I17297" s="882"/>
      <c r="J17297" s="882"/>
    </row>
    <row r="17298" spans="2:10" ht="45" customHeight="1" x14ac:dyDescent="0.25">
      <c r="B17298" s="938" t="s">
        <v>5381</v>
      </c>
      <c r="C17298" s="938"/>
      <c r="D17298" s="938"/>
      <c r="E17298" s="938"/>
      <c r="F17298" s="938"/>
      <c r="G17298" s="938"/>
      <c r="H17298" s="938"/>
      <c r="I17298" s="938"/>
      <c r="J17298" s="938"/>
    </row>
    <row r="17299" spans="2:10" ht="15.75" x14ac:dyDescent="0.25">
      <c r="B17299" s="880"/>
      <c r="C17299" s="881"/>
      <c r="D17299" s="880"/>
      <c r="E17299" s="880"/>
      <c r="F17299" s="880"/>
      <c r="G17299" s="879"/>
      <c r="H17299" s="883"/>
      <c r="I17299" s="882"/>
      <c r="J17299" s="882"/>
    </row>
    <row r="17300" spans="2:10" ht="15.75" x14ac:dyDescent="0.25">
      <c r="B17300" s="880"/>
      <c r="C17300" s="881"/>
      <c r="D17300" s="880"/>
      <c r="E17300" s="880"/>
      <c r="F17300" s="880"/>
      <c r="G17300" s="938" t="s">
        <v>5389</v>
      </c>
      <c r="H17300" s="938"/>
      <c r="I17300" s="938"/>
      <c r="J17300" s="882"/>
    </row>
    <row r="17301" spans="2:10" ht="15.75" x14ac:dyDescent="0.25">
      <c r="B17301" s="942"/>
      <c r="C17301" s="942"/>
      <c r="D17301" s="942"/>
      <c r="E17301" s="942"/>
      <c r="F17301" s="942"/>
      <c r="G17301" s="942"/>
      <c r="H17301" s="942"/>
      <c r="I17301" s="942"/>
      <c r="J17301" s="942"/>
    </row>
    <row r="17302" spans="2:10" ht="15.75" x14ac:dyDescent="0.25">
      <c r="B17302" s="938" t="s">
        <v>5382</v>
      </c>
      <c r="C17302" s="938"/>
      <c r="D17302" s="938"/>
      <c r="E17302" s="938"/>
      <c r="F17302" s="938"/>
      <c r="G17302" s="938"/>
      <c r="H17302" s="938"/>
      <c r="I17302" s="938"/>
      <c r="J17302" s="938"/>
    </row>
    <row r="17303" spans="2:10" ht="15.75" x14ac:dyDescent="0.25">
      <c r="B17303" s="880"/>
      <c r="C17303" s="881"/>
      <c r="D17303" s="880"/>
      <c r="E17303" s="880"/>
      <c r="F17303" s="880"/>
      <c r="G17303" s="879"/>
      <c r="H17303" s="883"/>
      <c r="I17303" s="882"/>
      <c r="J17303" s="882"/>
    </row>
    <row r="17304" spans="2:10" ht="15.75" x14ac:dyDescent="0.25">
      <c r="B17304" s="880"/>
      <c r="C17304" s="881"/>
      <c r="D17304" s="880"/>
      <c r="E17304" s="880"/>
      <c r="F17304" s="880"/>
      <c r="G17304" s="938" t="s">
        <v>5390</v>
      </c>
      <c r="H17304" s="938"/>
      <c r="I17304" s="938"/>
      <c r="J17304" s="882"/>
    </row>
    <row r="17305" spans="2:10" ht="46.5" customHeight="1" x14ac:dyDescent="0.25">
      <c r="B17305" s="938" t="s">
        <v>5383</v>
      </c>
      <c r="C17305" s="938"/>
      <c r="D17305" s="938"/>
      <c r="E17305" s="938"/>
      <c r="F17305" s="938"/>
      <c r="G17305" s="938"/>
      <c r="H17305" s="938"/>
      <c r="I17305" s="938"/>
      <c r="J17305" s="938"/>
    </row>
    <row r="17306" spans="2:10" ht="47.25" customHeight="1" x14ac:dyDescent="0.25">
      <c r="B17306" s="938" t="s">
        <v>5384</v>
      </c>
      <c r="C17306" s="938"/>
      <c r="D17306" s="938"/>
      <c r="E17306" s="938"/>
      <c r="F17306" s="938"/>
      <c r="G17306" s="938"/>
      <c r="H17306" s="938"/>
      <c r="I17306" s="938"/>
      <c r="J17306" s="938"/>
    </row>
    <row r="17307" spans="2:10" ht="30" customHeight="1" x14ac:dyDescent="0.25">
      <c r="B17307" s="938" t="s">
        <v>5385</v>
      </c>
      <c r="C17307" s="938"/>
      <c r="D17307" s="938"/>
      <c r="E17307" s="938"/>
      <c r="F17307" s="938"/>
      <c r="G17307" s="938"/>
      <c r="H17307" s="938"/>
      <c r="I17307" s="938"/>
      <c r="J17307" s="938"/>
    </row>
    <row r="17308" spans="2:10" ht="15.75" x14ac:dyDescent="0.25">
      <c r="B17308" s="880"/>
      <c r="C17308" s="881"/>
      <c r="D17308" s="880"/>
      <c r="E17308" s="880"/>
      <c r="F17308" s="880"/>
      <c r="G17308" s="879"/>
      <c r="H17308" s="883"/>
      <c r="I17308" s="882"/>
      <c r="J17308" s="882"/>
    </row>
    <row r="17309" spans="2:10" ht="15.75" x14ac:dyDescent="0.25">
      <c r="B17309" s="880"/>
      <c r="C17309" s="881"/>
      <c r="D17309" s="880"/>
      <c r="E17309" s="880"/>
      <c r="F17309" s="880"/>
      <c r="G17309" s="938" t="s">
        <v>5391</v>
      </c>
      <c r="H17309" s="938"/>
      <c r="I17309" s="938"/>
      <c r="J17309" s="882"/>
    </row>
    <row r="17310" spans="2:10" ht="62.25" customHeight="1" x14ac:dyDescent="0.25">
      <c r="B17310" s="938" t="s">
        <v>5386</v>
      </c>
      <c r="C17310" s="938"/>
      <c r="D17310" s="938"/>
      <c r="E17310" s="938"/>
      <c r="F17310" s="938"/>
      <c r="G17310" s="938"/>
      <c r="H17310" s="938"/>
      <c r="I17310" s="938"/>
      <c r="J17310" s="938"/>
    </row>
    <row r="17311" spans="2:10" ht="15.75" x14ac:dyDescent="0.25">
      <c r="B17311" s="880"/>
      <c r="C17311" s="881"/>
      <c r="D17311" s="880"/>
      <c r="E17311" s="880"/>
      <c r="F17311" s="880"/>
      <c r="G17311" s="879"/>
      <c r="H17311" s="883"/>
      <c r="I17311" s="882"/>
      <c r="J17311" s="882"/>
    </row>
    <row r="17312" spans="2:10" ht="15.75" x14ac:dyDescent="0.25">
      <c r="B17312" s="880"/>
      <c r="C17312" s="881"/>
      <c r="D17312" s="880"/>
      <c r="E17312" s="880"/>
      <c r="F17312" s="880"/>
      <c r="G17312" s="879"/>
      <c r="H17312" s="883"/>
      <c r="I17312" s="882"/>
      <c r="J17312" s="882"/>
    </row>
    <row r="17313" spans="2:10" ht="15.75" hidden="1" x14ac:dyDescent="0.25">
      <c r="B17313" s="880"/>
      <c r="C17313" s="881"/>
      <c r="D17313" s="880"/>
      <c r="E17313" s="880"/>
      <c r="F17313" s="880"/>
      <c r="G17313" s="879"/>
      <c r="H17313" s="883"/>
      <c r="I17313" s="882"/>
      <c r="J17313" s="882"/>
    </row>
    <row r="17314" spans="2:10" ht="15.75" x14ac:dyDescent="0.25">
      <c r="B17314" s="880"/>
      <c r="C17314" s="881"/>
      <c r="D17314" s="880"/>
      <c r="E17314" s="880"/>
      <c r="F17314" s="880"/>
      <c r="G17314" s="879"/>
      <c r="H17314" s="883"/>
      <c r="I17314" s="882"/>
      <c r="J17314" s="882"/>
    </row>
    <row r="17315" spans="2:10" ht="15.75" hidden="1" x14ac:dyDescent="0.25">
      <c r="B17315" s="880"/>
      <c r="C17315" s="881"/>
      <c r="D17315" s="880"/>
      <c r="E17315" s="880"/>
      <c r="F17315" s="880"/>
      <c r="G17315" s="879"/>
      <c r="H17315" s="883"/>
      <c r="I17315" s="882"/>
      <c r="J17315" s="882"/>
    </row>
    <row r="17316" spans="2:10" ht="15.75" x14ac:dyDescent="0.25">
      <c r="B17316" s="880"/>
      <c r="C17316" s="881"/>
      <c r="D17316" s="880"/>
      <c r="E17316" s="880"/>
      <c r="F17316" s="880"/>
      <c r="G17316" s="938" t="s">
        <v>5392</v>
      </c>
      <c r="H17316" s="938"/>
      <c r="I17316" s="938"/>
      <c r="J17316" s="882"/>
    </row>
    <row r="17317" spans="2:10" ht="15.75" x14ac:dyDescent="0.25">
      <c r="B17317" s="938" t="s">
        <v>5393</v>
      </c>
      <c r="C17317" s="938"/>
      <c r="D17317" s="938"/>
      <c r="E17317" s="938"/>
      <c r="F17317" s="938"/>
      <c r="G17317" s="938"/>
      <c r="H17317" s="938"/>
      <c r="I17317" s="938"/>
      <c r="J17317" s="938"/>
    </row>
    <row r="17318" spans="2:10" ht="31.5" customHeight="1" x14ac:dyDescent="0.25">
      <c r="B17318" s="938" t="s">
        <v>5394</v>
      </c>
      <c r="C17318" s="938"/>
      <c r="D17318" s="938"/>
      <c r="E17318" s="938"/>
      <c r="F17318" s="938"/>
      <c r="G17318" s="938"/>
      <c r="H17318" s="938"/>
      <c r="I17318" s="938"/>
      <c r="J17318" s="938"/>
    </row>
    <row r="17319" spans="2:10" ht="15.75" x14ac:dyDescent="0.25">
      <c r="B17319" s="880"/>
      <c r="C17319" s="881"/>
      <c r="D17319" s="880"/>
      <c r="E17319" s="880"/>
      <c r="F17319" s="880"/>
      <c r="G17319" s="879"/>
      <c r="H17319" s="883"/>
      <c r="I17319" s="882"/>
      <c r="J17319" s="882"/>
    </row>
    <row r="17320" spans="2:10" ht="15.75" x14ac:dyDescent="0.25">
      <c r="B17320" s="880"/>
      <c r="C17320" s="881"/>
      <c r="D17320" s="880"/>
      <c r="E17320" s="880"/>
      <c r="F17320" s="880"/>
      <c r="G17320" s="938" t="s">
        <v>5395</v>
      </c>
      <c r="H17320" s="938"/>
      <c r="I17320" s="938"/>
      <c r="J17320" s="882"/>
    </row>
    <row r="17321" spans="2:10" ht="28.5" customHeight="1" x14ac:dyDescent="0.25">
      <c r="B17321" s="938" t="s">
        <v>5396</v>
      </c>
      <c r="C17321" s="938"/>
      <c r="D17321" s="938"/>
      <c r="E17321" s="938"/>
      <c r="F17321" s="938"/>
      <c r="G17321" s="938"/>
      <c r="H17321" s="938"/>
      <c r="I17321" s="938"/>
      <c r="J17321" s="938"/>
    </row>
    <row r="17322" spans="2:10" ht="15.75" hidden="1" x14ac:dyDescent="0.25">
      <c r="B17322" s="880"/>
      <c r="C17322" s="881"/>
      <c r="D17322" s="880"/>
      <c r="E17322" s="880"/>
      <c r="F17322" s="880"/>
      <c r="G17322" s="879"/>
      <c r="H17322" s="883"/>
      <c r="I17322" s="882"/>
      <c r="J17322" s="882"/>
    </row>
    <row r="17323" spans="2:10" ht="36" customHeight="1" x14ac:dyDescent="0.25">
      <c r="B17323" s="938" t="s">
        <v>5397</v>
      </c>
      <c r="C17323" s="938"/>
      <c r="D17323" s="938"/>
      <c r="E17323" s="938"/>
      <c r="F17323" s="938"/>
      <c r="G17323" s="938"/>
      <c r="H17323" s="938"/>
      <c r="I17323" s="938"/>
      <c r="J17323" s="938"/>
    </row>
    <row r="17324" spans="2:10" ht="15.75" x14ac:dyDescent="0.25">
      <c r="B17324" s="880"/>
      <c r="C17324" s="881"/>
      <c r="D17324" s="880"/>
      <c r="E17324" s="880"/>
      <c r="F17324" s="880"/>
      <c r="G17324" s="879"/>
      <c r="H17324" s="883"/>
      <c r="I17324" s="882"/>
      <c r="J17324" s="882"/>
    </row>
    <row r="17325" spans="2:10" ht="15.75" x14ac:dyDescent="0.25">
      <c r="B17325" s="880"/>
      <c r="C17325" s="881"/>
      <c r="D17325" s="880"/>
      <c r="E17325" s="880"/>
      <c r="F17325" s="880"/>
      <c r="G17325" s="938" t="s">
        <v>5398</v>
      </c>
      <c r="H17325" s="938"/>
      <c r="I17325" s="938"/>
      <c r="J17325" s="882"/>
    </row>
    <row r="17326" spans="2:10" ht="33" customHeight="1" x14ac:dyDescent="0.25">
      <c r="B17326" s="938" t="s">
        <v>5399</v>
      </c>
      <c r="C17326" s="938"/>
      <c r="D17326" s="938"/>
      <c r="E17326" s="938"/>
      <c r="F17326" s="938"/>
      <c r="G17326" s="938"/>
      <c r="H17326" s="938"/>
      <c r="I17326" s="938"/>
      <c r="J17326" s="938"/>
    </row>
    <row r="17327" spans="2:10" ht="15.75" x14ac:dyDescent="0.25">
      <c r="B17327" s="880"/>
      <c r="C17327" s="881"/>
      <c r="D17327" s="880"/>
      <c r="E17327" s="880"/>
      <c r="F17327" s="880"/>
      <c r="G17327" s="879"/>
      <c r="H17327" s="883"/>
      <c r="I17327" s="882"/>
      <c r="J17327" s="882"/>
    </row>
    <row r="17328" spans="2:10" ht="15.75" x14ac:dyDescent="0.25">
      <c r="B17328" s="880"/>
      <c r="C17328" s="881"/>
      <c r="D17328" s="880"/>
      <c r="E17328" s="880"/>
      <c r="F17328" s="880"/>
      <c r="G17328" s="938" t="s">
        <v>5400</v>
      </c>
      <c r="H17328" s="938"/>
      <c r="I17328" s="938"/>
      <c r="J17328" s="882"/>
    </row>
    <row r="17329" spans="2:10" ht="30.75" customHeight="1" x14ac:dyDescent="0.25">
      <c r="B17329" s="938" t="s">
        <v>5401</v>
      </c>
      <c r="C17329" s="938"/>
      <c r="D17329" s="938"/>
      <c r="E17329" s="938"/>
      <c r="F17329" s="938"/>
      <c r="G17329" s="938"/>
      <c r="H17329" s="938"/>
      <c r="I17329" s="938"/>
      <c r="J17329" s="938"/>
    </row>
    <row r="17330" spans="2:10" ht="53.25" customHeight="1" x14ac:dyDescent="0.25">
      <c r="B17330" s="938" t="s">
        <v>5402</v>
      </c>
      <c r="C17330" s="938"/>
      <c r="D17330" s="938"/>
      <c r="E17330" s="938"/>
      <c r="F17330" s="938"/>
      <c r="G17330" s="938"/>
      <c r="H17330" s="938"/>
      <c r="I17330" s="938"/>
      <c r="J17330" s="938"/>
    </row>
    <row r="17331" spans="2:10" ht="34.5" customHeight="1" x14ac:dyDescent="0.25">
      <c r="B17331" s="938" t="s">
        <v>5403</v>
      </c>
      <c r="C17331" s="938"/>
      <c r="D17331" s="938"/>
      <c r="E17331" s="938"/>
      <c r="F17331" s="938"/>
      <c r="G17331" s="938"/>
      <c r="H17331" s="938"/>
      <c r="I17331" s="938"/>
      <c r="J17331" s="938"/>
    </row>
    <row r="17332" spans="2:10" ht="15.75" x14ac:dyDescent="0.25">
      <c r="B17332" s="880"/>
      <c r="C17332" s="881"/>
      <c r="D17332" s="880"/>
      <c r="E17332" s="880"/>
      <c r="F17332" s="880"/>
      <c r="G17332" s="879"/>
      <c r="H17332" s="883"/>
      <c r="I17332" s="882"/>
      <c r="J17332" s="882"/>
    </row>
    <row r="17333" spans="2:10" ht="15.75" x14ac:dyDescent="0.25">
      <c r="B17333" s="880"/>
      <c r="C17333" s="881"/>
      <c r="D17333" s="880"/>
      <c r="E17333" s="880"/>
      <c r="F17333" s="880"/>
      <c r="G17333" s="938" t="s">
        <v>5404</v>
      </c>
      <c r="H17333" s="938"/>
      <c r="I17333" s="938"/>
      <c r="J17333" s="882"/>
    </row>
    <row r="17334" spans="2:10" ht="15.75" x14ac:dyDescent="0.25">
      <c r="B17334" s="938" t="s">
        <v>5405</v>
      </c>
      <c r="C17334" s="938"/>
      <c r="D17334" s="938"/>
      <c r="E17334" s="938"/>
      <c r="F17334" s="938"/>
      <c r="G17334" s="938"/>
      <c r="H17334" s="938"/>
      <c r="I17334" s="938"/>
      <c r="J17334" s="938"/>
    </row>
    <row r="17335" spans="2:10" ht="18" customHeight="1" x14ac:dyDescent="0.25">
      <c r="B17335" s="941" t="s">
        <v>5406</v>
      </c>
      <c r="C17335" s="941"/>
      <c r="D17335" s="941"/>
      <c r="E17335" s="941"/>
      <c r="F17335" s="941"/>
      <c r="G17335" s="941"/>
      <c r="H17335" s="941"/>
      <c r="I17335" s="941"/>
      <c r="J17335" s="941"/>
    </row>
    <row r="17336" spans="2:10" ht="36.75" customHeight="1" x14ac:dyDescent="0.25">
      <c r="B17336" s="938" t="s">
        <v>5408</v>
      </c>
      <c r="C17336" s="938"/>
      <c r="D17336" s="938"/>
      <c r="E17336" s="938"/>
      <c r="F17336" s="938"/>
      <c r="G17336" s="938"/>
      <c r="H17336" s="938"/>
      <c r="I17336" s="938"/>
      <c r="J17336" s="938"/>
    </row>
    <row r="17337" spans="2:10" ht="51" customHeight="1" x14ac:dyDescent="0.25">
      <c r="B17337" s="938" t="s">
        <v>5407</v>
      </c>
      <c r="C17337" s="938"/>
      <c r="D17337" s="938"/>
      <c r="E17337" s="938"/>
      <c r="F17337" s="938"/>
      <c r="G17337" s="938"/>
      <c r="H17337" s="938"/>
      <c r="I17337" s="938"/>
      <c r="J17337" s="938"/>
    </row>
    <row r="17338" spans="2:10" ht="20.25" customHeight="1" x14ac:dyDescent="0.25">
      <c r="B17338" s="938" t="s">
        <v>5409</v>
      </c>
      <c r="C17338" s="938"/>
      <c r="D17338" s="938"/>
      <c r="E17338" s="938"/>
      <c r="F17338" s="938"/>
      <c r="G17338" s="938"/>
      <c r="H17338" s="938"/>
      <c r="I17338" s="938"/>
      <c r="J17338" s="938"/>
    </row>
    <row r="17339" spans="2:10" ht="15.75" x14ac:dyDescent="0.25">
      <c r="B17339" s="880"/>
      <c r="C17339" s="881"/>
      <c r="D17339" s="880"/>
      <c r="E17339" s="880"/>
      <c r="F17339" s="880"/>
      <c r="G17339" s="879"/>
      <c r="H17339" s="883"/>
      <c r="I17339" s="882"/>
      <c r="J17339" s="882"/>
    </row>
    <row r="17340" spans="2:10" ht="15.75" hidden="1" x14ac:dyDescent="0.25">
      <c r="B17340" s="880"/>
      <c r="C17340" s="881"/>
      <c r="D17340" s="880"/>
      <c r="E17340" s="880"/>
      <c r="F17340" s="880"/>
      <c r="G17340" s="879"/>
      <c r="H17340" s="883"/>
      <c r="I17340" s="882"/>
      <c r="J17340" s="882"/>
    </row>
    <row r="17341" spans="2:10" ht="15.75" hidden="1" x14ac:dyDescent="0.25">
      <c r="B17341" s="880"/>
      <c r="C17341" s="881"/>
      <c r="D17341" s="880"/>
      <c r="E17341" s="880"/>
      <c r="F17341" s="880"/>
      <c r="G17341" s="879"/>
      <c r="H17341" s="883"/>
      <c r="I17341" s="882"/>
      <c r="J17341" s="882"/>
    </row>
    <row r="17342" spans="2:10" ht="15.75" x14ac:dyDescent="0.25">
      <c r="B17342" s="880"/>
      <c r="C17342" s="881"/>
      <c r="D17342" s="880"/>
      <c r="E17342" s="880"/>
      <c r="F17342" s="880"/>
      <c r="G17342" s="879"/>
      <c r="H17342" s="883"/>
      <c r="I17342" s="882"/>
      <c r="J17342" s="882"/>
    </row>
    <row r="17343" spans="2:10" ht="15.75" x14ac:dyDescent="0.25">
      <c r="B17343" s="880"/>
      <c r="C17343" s="881"/>
      <c r="D17343" s="880"/>
      <c r="E17343" s="880"/>
      <c r="F17343" s="880"/>
      <c r="G17343" s="938" t="s">
        <v>5410</v>
      </c>
      <c r="H17343" s="938"/>
      <c r="I17343" s="938"/>
      <c r="J17343" s="882"/>
    </row>
    <row r="17344" spans="2:10" ht="46.5" customHeight="1" x14ac:dyDescent="0.25">
      <c r="B17344" s="938" t="s">
        <v>5411</v>
      </c>
      <c r="C17344" s="938"/>
      <c r="D17344" s="938"/>
      <c r="E17344" s="938"/>
      <c r="F17344" s="938"/>
      <c r="G17344" s="938"/>
      <c r="H17344" s="938"/>
      <c r="I17344" s="938"/>
      <c r="J17344" s="938"/>
    </row>
    <row r="17345" spans="2:10" ht="54" customHeight="1" x14ac:dyDescent="0.25">
      <c r="B17345" s="938" t="s">
        <v>5412</v>
      </c>
      <c r="C17345" s="938"/>
      <c r="D17345" s="938"/>
      <c r="E17345" s="938"/>
      <c r="F17345" s="938"/>
      <c r="G17345" s="938"/>
      <c r="H17345" s="938"/>
      <c r="I17345" s="938"/>
      <c r="J17345" s="938"/>
    </row>
    <row r="17346" spans="2:10" ht="21" customHeight="1" x14ac:dyDescent="0.25">
      <c r="B17346" s="938" t="s">
        <v>5413</v>
      </c>
      <c r="C17346" s="938"/>
      <c r="D17346" s="938"/>
      <c r="E17346" s="938"/>
      <c r="F17346" s="938"/>
      <c r="G17346" s="938"/>
      <c r="H17346" s="938"/>
      <c r="I17346" s="938"/>
      <c r="J17346" s="938"/>
    </row>
    <row r="17347" spans="2:10" ht="15.75" x14ac:dyDescent="0.25">
      <c r="B17347" s="880"/>
      <c r="C17347" s="881"/>
      <c r="D17347" s="880"/>
      <c r="E17347" s="880"/>
      <c r="F17347" s="880"/>
      <c r="G17347" s="879"/>
      <c r="H17347" s="883"/>
      <c r="I17347" s="882"/>
      <c r="J17347" s="882"/>
    </row>
    <row r="17348" spans="2:10" ht="15.75" x14ac:dyDescent="0.25">
      <c r="B17348" s="880"/>
      <c r="C17348" s="881"/>
      <c r="D17348" s="880"/>
      <c r="E17348" s="880"/>
      <c r="F17348" s="880"/>
      <c r="G17348" s="938" t="s">
        <v>5416</v>
      </c>
      <c r="H17348" s="938"/>
      <c r="I17348" s="938"/>
      <c r="J17348" s="882"/>
    </row>
    <row r="17349" spans="2:10" ht="15.75" x14ac:dyDescent="0.25">
      <c r="B17349" s="938" t="s">
        <v>5414</v>
      </c>
      <c r="C17349" s="938"/>
      <c r="D17349" s="938"/>
      <c r="E17349" s="938"/>
      <c r="F17349" s="938"/>
      <c r="G17349" s="938"/>
      <c r="H17349" s="938"/>
      <c r="I17349" s="938"/>
      <c r="J17349" s="938"/>
    </row>
    <row r="17350" spans="2:10" ht="15.75" x14ac:dyDescent="0.25">
      <c r="B17350" s="938" t="s">
        <v>5415</v>
      </c>
      <c r="C17350" s="938"/>
      <c r="D17350" s="938"/>
      <c r="E17350" s="938"/>
      <c r="F17350" s="938"/>
      <c r="G17350" s="938"/>
      <c r="H17350" s="938"/>
      <c r="I17350" s="938"/>
      <c r="J17350" s="938"/>
    </row>
    <row r="17351" spans="2:10" ht="15.75" x14ac:dyDescent="0.25">
      <c r="B17351" s="880"/>
      <c r="C17351" s="881"/>
      <c r="D17351" s="880"/>
      <c r="E17351" s="880"/>
      <c r="F17351" s="880"/>
      <c r="G17351" s="879"/>
      <c r="H17351" s="883"/>
      <c r="I17351" s="882"/>
      <c r="J17351" s="882"/>
    </row>
    <row r="17352" spans="2:10" ht="15.75" x14ac:dyDescent="0.25">
      <c r="B17352" s="880"/>
      <c r="C17352" s="881"/>
      <c r="D17352" s="880"/>
      <c r="E17352" s="880"/>
      <c r="F17352" s="880"/>
      <c r="G17352" s="938" t="s">
        <v>5417</v>
      </c>
      <c r="H17352" s="938"/>
      <c r="I17352" s="938"/>
      <c r="J17352" s="882"/>
    </row>
    <row r="17353" spans="2:10" ht="39" customHeight="1" x14ac:dyDescent="0.25">
      <c r="B17353" s="938" t="s">
        <v>5418</v>
      </c>
      <c r="C17353" s="938"/>
      <c r="D17353" s="938"/>
      <c r="E17353" s="938"/>
      <c r="F17353" s="938"/>
      <c r="G17353" s="938"/>
      <c r="H17353" s="938"/>
      <c r="I17353" s="938"/>
      <c r="J17353" s="938"/>
    </row>
    <row r="17354" spans="2:10" ht="30.75" customHeight="1" x14ac:dyDescent="0.25">
      <c r="B17354" s="938" t="s">
        <v>5419</v>
      </c>
      <c r="C17354" s="938"/>
      <c r="D17354" s="938"/>
      <c r="E17354" s="938"/>
      <c r="F17354" s="938"/>
      <c r="G17354" s="938"/>
      <c r="H17354" s="938"/>
      <c r="I17354" s="938"/>
      <c r="J17354" s="938"/>
    </row>
    <row r="17355" spans="2:10" ht="15.75" x14ac:dyDescent="0.25">
      <c r="B17355" s="880"/>
      <c r="C17355" s="881"/>
      <c r="D17355" s="880"/>
      <c r="E17355" s="880"/>
      <c r="F17355" s="880"/>
      <c r="G17355" s="879"/>
      <c r="H17355" s="883"/>
      <c r="I17355" s="882"/>
      <c r="J17355" s="882"/>
    </row>
    <row r="17356" spans="2:10" ht="15.75" x14ac:dyDescent="0.25">
      <c r="B17356" s="880"/>
      <c r="C17356" s="881"/>
      <c r="D17356" s="880"/>
      <c r="E17356" s="880"/>
      <c r="F17356" s="880"/>
      <c r="G17356" s="938" t="s">
        <v>5420</v>
      </c>
      <c r="H17356" s="938"/>
      <c r="I17356" s="938"/>
      <c r="J17356" s="882"/>
    </row>
    <row r="17357" spans="2:10" ht="15" customHeight="1" x14ac:dyDescent="0.25">
      <c r="B17357" s="939" t="s">
        <v>5421</v>
      </c>
      <c r="C17357" s="939"/>
      <c r="D17357" s="939"/>
      <c r="E17357" s="939"/>
      <c r="F17357" s="939"/>
      <c r="G17357" s="939"/>
      <c r="H17357" s="939"/>
      <c r="I17357" s="939"/>
      <c r="J17357" s="939"/>
    </row>
    <row r="17358" spans="2:10" x14ac:dyDescent="0.25">
      <c r="B17358" s="939"/>
      <c r="C17358" s="939"/>
      <c r="D17358" s="939"/>
      <c r="E17358" s="939"/>
      <c r="F17358" s="939"/>
      <c r="G17358" s="939"/>
      <c r="H17358" s="939"/>
      <c r="I17358" s="939"/>
      <c r="J17358" s="939"/>
    </row>
    <row r="17359" spans="2:10" x14ac:dyDescent="0.25">
      <c r="B17359" s="939"/>
      <c r="C17359" s="939"/>
      <c r="D17359" s="939"/>
      <c r="E17359" s="939"/>
      <c r="F17359" s="939"/>
      <c r="G17359" s="939"/>
      <c r="H17359" s="939"/>
      <c r="I17359" s="939"/>
      <c r="J17359" s="939"/>
    </row>
    <row r="17360" spans="2:10" x14ac:dyDescent="0.25">
      <c r="B17360" s="939" t="s">
        <v>5422</v>
      </c>
      <c r="C17360" s="939"/>
      <c r="D17360" s="939"/>
      <c r="E17360" s="939"/>
      <c r="F17360" s="939"/>
      <c r="G17360" s="939"/>
      <c r="H17360" s="939"/>
      <c r="I17360" s="939"/>
      <c r="J17360" s="939"/>
    </row>
    <row r="17361" spans="2:10" ht="13.5" customHeight="1" x14ac:dyDescent="0.25">
      <c r="B17361" s="939"/>
      <c r="C17361" s="939"/>
      <c r="D17361" s="939"/>
      <c r="E17361" s="939"/>
      <c r="F17361" s="939"/>
      <c r="G17361" s="939"/>
      <c r="H17361" s="939"/>
      <c r="I17361" s="939"/>
      <c r="J17361" s="939"/>
    </row>
    <row r="17362" spans="2:10" ht="15.75" x14ac:dyDescent="0.25">
      <c r="B17362" s="880"/>
      <c r="C17362" s="881"/>
      <c r="D17362" s="880"/>
      <c r="E17362" s="880"/>
      <c r="F17362" s="880"/>
      <c r="G17362" s="938" t="s">
        <v>5423</v>
      </c>
      <c r="H17362" s="938"/>
      <c r="I17362" s="938"/>
      <c r="J17362" s="882"/>
    </row>
    <row r="17363" spans="2:10" ht="15.75" x14ac:dyDescent="0.25">
      <c r="B17363" s="938" t="s">
        <v>5424</v>
      </c>
      <c r="C17363" s="938"/>
      <c r="D17363" s="938"/>
      <c r="E17363" s="938"/>
      <c r="F17363" s="938"/>
      <c r="G17363" s="938"/>
      <c r="H17363" s="938"/>
      <c r="I17363" s="938"/>
      <c r="J17363" s="938"/>
    </row>
    <row r="17364" spans="2:10" ht="15.75" x14ac:dyDescent="0.25">
      <c r="B17364" s="880"/>
      <c r="C17364" s="881"/>
      <c r="D17364" s="880"/>
      <c r="E17364" s="880"/>
      <c r="F17364" s="880"/>
      <c r="G17364" s="879"/>
      <c r="H17364" s="883"/>
      <c r="I17364" s="882"/>
      <c r="J17364" s="882"/>
    </row>
    <row r="17365" spans="2:10" ht="15.75" x14ac:dyDescent="0.25">
      <c r="B17365" s="880"/>
      <c r="C17365" s="881"/>
      <c r="D17365" s="880"/>
      <c r="E17365" s="880"/>
      <c r="F17365" s="880"/>
      <c r="G17365" s="884" t="s">
        <v>5425</v>
      </c>
      <c r="H17365" s="883"/>
      <c r="I17365" s="882"/>
      <c r="J17365" s="882"/>
    </row>
    <row r="17366" spans="2:10" ht="31.5" customHeight="1" x14ac:dyDescent="0.25">
      <c r="B17366" s="938" t="s">
        <v>5429</v>
      </c>
      <c r="C17366" s="938"/>
      <c r="D17366" s="938"/>
      <c r="E17366" s="938"/>
      <c r="F17366" s="938"/>
      <c r="G17366" s="938"/>
      <c r="H17366" s="938"/>
      <c r="I17366" s="938"/>
      <c r="J17366" s="938"/>
    </row>
    <row r="17367" spans="2:10" ht="31.5" customHeight="1" x14ac:dyDescent="0.25">
      <c r="B17367" s="890"/>
      <c r="C17367" s="890"/>
      <c r="D17367" s="890"/>
      <c r="E17367" s="890"/>
      <c r="F17367" s="890"/>
      <c r="G17367" s="890"/>
      <c r="H17367" s="890"/>
      <c r="I17367" s="890"/>
      <c r="J17367" s="890"/>
    </row>
    <row r="17368" spans="2:10" ht="22.5" customHeight="1" x14ac:dyDescent="0.25">
      <c r="B17368" s="880"/>
      <c r="C17368" s="881"/>
      <c r="D17368" s="880"/>
      <c r="E17368" s="880"/>
      <c r="F17368" s="880"/>
      <c r="G17368" s="879"/>
      <c r="H17368" s="883"/>
      <c r="I17368" s="882"/>
      <c r="J17368" s="882"/>
    </row>
    <row r="17369" spans="2:10" ht="15.75" x14ac:dyDescent="0.25">
      <c r="B17369" s="880"/>
      <c r="C17369" s="881"/>
      <c r="D17369" s="880"/>
      <c r="E17369" s="880"/>
      <c r="F17369" s="880"/>
      <c r="G17369" s="884" t="s">
        <v>5426</v>
      </c>
      <c r="H17369" s="883"/>
      <c r="I17369" s="882"/>
      <c r="J17369" s="882"/>
    </row>
    <row r="17370" spans="2:10" ht="31.5" customHeight="1" x14ac:dyDescent="0.25">
      <c r="B17370" s="938" t="s">
        <v>5428</v>
      </c>
      <c r="C17370" s="938"/>
      <c r="D17370" s="938"/>
      <c r="E17370" s="938"/>
      <c r="F17370" s="938"/>
      <c r="G17370" s="938"/>
      <c r="H17370" s="938"/>
      <c r="I17370" s="938"/>
      <c r="J17370" s="938"/>
    </row>
    <row r="17371" spans="2:10" ht="15.75" x14ac:dyDescent="0.25">
      <c r="B17371" s="880"/>
      <c r="C17371" s="881"/>
      <c r="D17371" s="880"/>
      <c r="E17371" s="880"/>
      <c r="F17371" s="880"/>
      <c r="G17371" s="879"/>
      <c r="H17371" s="883"/>
      <c r="I17371" s="882"/>
      <c r="J17371" s="882"/>
    </row>
    <row r="17372" spans="2:10" ht="15.75" x14ac:dyDescent="0.25">
      <c r="B17372" s="880"/>
      <c r="C17372" s="881"/>
      <c r="D17372" s="880"/>
      <c r="E17372" s="880"/>
      <c r="F17372" s="880"/>
      <c r="G17372" s="879"/>
      <c r="H17372" s="883"/>
      <c r="I17372" s="882"/>
      <c r="J17372" s="882"/>
    </row>
    <row r="17373" spans="2:10" ht="15.75" x14ac:dyDescent="0.25">
      <c r="B17373" s="880"/>
      <c r="C17373" s="881"/>
      <c r="D17373" s="880"/>
      <c r="E17373" s="880"/>
      <c r="F17373" s="880"/>
      <c r="G17373" s="884" t="s">
        <v>5427</v>
      </c>
      <c r="H17373" s="883"/>
      <c r="I17373" s="882"/>
      <c r="J17373" s="882"/>
    </row>
    <row r="17374" spans="2:10" ht="90" customHeight="1" x14ac:dyDescent="0.25">
      <c r="B17374" s="938" t="s">
        <v>5436</v>
      </c>
      <c r="C17374" s="938"/>
      <c r="D17374" s="938"/>
      <c r="E17374" s="938"/>
      <c r="F17374" s="938"/>
      <c r="G17374" s="938"/>
      <c r="H17374" s="938"/>
      <c r="I17374" s="938"/>
      <c r="J17374" s="938"/>
    </row>
    <row r="17375" spans="2:10" ht="32.25" customHeight="1" x14ac:dyDescent="0.25">
      <c r="B17375" s="938" t="s">
        <v>5435</v>
      </c>
      <c r="C17375" s="938"/>
      <c r="D17375" s="938"/>
      <c r="E17375" s="938"/>
      <c r="F17375" s="938"/>
      <c r="G17375" s="938"/>
      <c r="H17375" s="938"/>
      <c r="I17375" s="938"/>
      <c r="J17375" s="938"/>
    </row>
    <row r="17376" spans="2:10" ht="36" customHeight="1" x14ac:dyDescent="0.25">
      <c r="B17376" s="938" t="s">
        <v>5430</v>
      </c>
      <c r="C17376" s="938"/>
      <c r="D17376" s="938"/>
      <c r="E17376" s="938"/>
      <c r="F17376" s="938"/>
      <c r="G17376" s="938"/>
      <c r="H17376" s="938"/>
      <c r="I17376" s="938"/>
      <c r="J17376" s="938"/>
    </row>
    <row r="17377" spans="2:10" ht="15.75" x14ac:dyDescent="0.25">
      <c r="B17377" s="938" t="s">
        <v>5431</v>
      </c>
      <c r="C17377" s="938"/>
      <c r="D17377" s="938"/>
      <c r="E17377" s="938"/>
      <c r="F17377" s="938"/>
      <c r="G17377" s="938"/>
      <c r="H17377" s="938"/>
      <c r="I17377" s="938"/>
      <c r="J17377" s="938"/>
    </row>
    <row r="17378" spans="2:10" ht="53.25" customHeight="1" x14ac:dyDescent="0.25">
      <c r="B17378" s="938" t="s">
        <v>5434</v>
      </c>
      <c r="C17378" s="938"/>
      <c r="D17378" s="938"/>
      <c r="E17378" s="938"/>
      <c r="F17378" s="938"/>
      <c r="G17378" s="938"/>
      <c r="H17378" s="938"/>
      <c r="I17378" s="938"/>
      <c r="J17378" s="938"/>
    </row>
    <row r="17379" spans="2:10" ht="15.75" x14ac:dyDescent="0.25">
      <c r="B17379" s="938" t="s">
        <v>5432</v>
      </c>
      <c r="C17379" s="938"/>
      <c r="D17379" s="938"/>
      <c r="E17379" s="938"/>
      <c r="F17379" s="938"/>
      <c r="G17379" s="938"/>
      <c r="H17379" s="938"/>
      <c r="I17379" s="938"/>
      <c r="J17379" s="938"/>
    </row>
    <row r="17380" spans="2:10" ht="30.75" customHeight="1" x14ac:dyDescent="0.25">
      <c r="B17380" s="938" t="s">
        <v>5433</v>
      </c>
      <c r="C17380" s="938"/>
      <c r="D17380" s="938"/>
      <c r="E17380" s="938"/>
      <c r="F17380" s="938"/>
      <c r="G17380" s="938"/>
      <c r="H17380" s="938"/>
      <c r="I17380" s="938"/>
      <c r="J17380" s="938"/>
    </row>
    <row r="17381" spans="2:10" ht="39" customHeight="1" x14ac:dyDescent="0.25">
      <c r="B17381" s="938" t="s">
        <v>5437</v>
      </c>
      <c r="C17381" s="938"/>
      <c r="D17381" s="938"/>
      <c r="E17381" s="938"/>
      <c r="F17381" s="938"/>
      <c r="G17381" s="938"/>
      <c r="H17381" s="938"/>
      <c r="I17381" s="938"/>
      <c r="J17381" s="938"/>
    </row>
    <row r="17382" spans="2:10" ht="15.75" x14ac:dyDescent="0.25">
      <c r="B17382" s="880"/>
      <c r="C17382" s="881"/>
      <c r="D17382" s="880"/>
      <c r="E17382" s="880"/>
      <c r="F17382" s="880"/>
      <c r="G17382" s="879"/>
      <c r="H17382" s="883"/>
      <c r="I17382" s="882"/>
      <c r="J17382" s="882"/>
    </row>
    <row r="17383" spans="2:10" ht="15.75" x14ac:dyDescent="0.25">
      <c r="B17383" s="880"/>
      <c r="C17383" s="881"/>
      <c r="D17383" s="880"/>
      <c r="E17383" s="880"/>
      <c r="F17383" s="880"/>
      <c r="G17383" s="938" t="s">
        <v>5438</v>
      </c>
      <c r="H17383" s="938"/>
      <c r="I17383" s="938"/>
      <c r="J17383" s="882"/>
    </row>
    <row r="17384" spans="2:10" ht="15.75" x14ac:dyDescent="0.25">
      <c r="B17384" s="938" t="s">
        <v>5439</v>
      </c>
      <c r="C17384" s="938"/>
      <c r="D17384" s="938"/>
      <c r="E17384" s="938"/>
      <c r="F17384" s="938"/>
      <c r="G17384" s="938"/>
      <c r="H17384" s="938"/>
      <c r="I17384" s="938"/>
      <c r="J17384" s="938"/>
    </row>
    <row r="17385" spans="2:10" ht="31.5" customHeight="1" x14ac:dyDescent="0.25">
      <c r="B17385" s="938" t="s">
        <v>5440</v>
      </c>
      <c r="C17385" s="938"/>
      <c r="D17385" s="938"/>
      <c r="E17385" s="938"/>
      <c r="F17385" s="938"/>
      <c r="G17385" s="938"/>
      <c r="H17385" s="938"/>
      <c r="I17385" s="938"/>
      <c r="J17385" s="938"/>
    </row>
    <row r="17386" spans="2:10" ht="6" hidden="1" customHeight="1" x14ac:dyDescent="0.25">
      <c r="B17386" s="880"/>
      <c r="C17386" s="881"/>
      <c r="D17386" s="880"/>
      <c r="E17386" s="880"/>
      <c r="F17386" s="880"/>
      <c r="G17386" s="879"/>
      <c r="H17386" s="883"/>
      <c r="I17386" s="882"/>
      <c r="J17386" s="882"/>
    </row>
    <row r="17387" spans="2:10" ht="15.75" x14ac:dyDescent="0.25">
      <c r="B17387" s="880"/>
      <c r="C17387" s="881"/>
      <c r="D17387" s="880"/>
      <c r="E17387" s="880"/>
      <c r="F17387" s="880"/>
      <c r="G17387" s="938" t="s">
        <v>5441</v>
      </c>
      <c r="H17387" s="938"/>
      <c r="I17387" s="938"/>
      <c r="J17387" s="882"/>
    </row>
    <row r="17388" spans="2:10" x14ac:dyDescent="0.25">
      <c r="B17388" s="939" t="s">
        <v>5442</v>
      </c>
      <c r="C17388" s="939"/>
      <c r="D17388" s="939"/>
      <c r="E17388" s="939"/>
      <c r="F17388" s="939"/>
      <c r="G17388" s="939"/>
      <c r="H17388" s="939"/>
      <c r="I17388" s="939"/>
      <c r="J17388" s="939"/>
    </row>
    <row r="17389" spans="2:10" x14ac:dyDescent="0.25">
      <c r="B17389" s="939"/>
      <c r="C17389" s="939"/>
      <c r="D17389" s="939"/>
      <c r="E17389" s="939"/>
      <c r="F17389" s="939"/>
      <c r="G17389" s="939"/>
      <c r="H17389" s="939"/>
      <c r="I17389" s="939"/>
      <c r="J17389" s="939"/>
    </row>
    <row r="17390" spans="2:10" ht="0.75" customHeight="1" x14ac:dyDescent="0.25">
      <c r="B17390" s="939"/>
      <c r="C17390" s="939"/>
      <c r="D17390" s="939"/>
      <c r="E17390" s="939"/>
      <c r="F17390" s="939"/>
      <c r="G17390" s="939"/>
      <c r="H17390" s="939"/>
      <c r="I17390" s="939"/>
      <c r="J17390" s="939"/>
    </row>
    <row r="17391" spans="2:10" ht="14.25" customHeight="1" x14ac:dyDescent="0.25">
      <c r="B17391" s="891"/>
      <c r="C17391" s="891"/>
      <c r="D17391" s="891"/>
      <c r="E17391" s="891"/>
      <c r="F17391" s="891"/>
      <c r="G17391" s="891"/>
      <c r="H17391" s="891"/>
      <c r="I17391" s="891"/>
      <c r="J17391" s="891"/>
    </row>
    <row r="17392" spans="2:10" ht="15.75" x14ac:dyDescent="0.25">
      <c r="B17392" s="880"/>
      <c r="C17392" s="881"/>
      <c r="D17392" s="880"/>
      <c r="E17392" s="880"/>
      <c r="F17392" s="880"/>
      <c r="G17392" s="938" t="s">
        <v>5443</v>
      </c>
      <c r="H17392" s="938"/>
      <c r="I17392" s="938"/>
      <c r="J17392" s="882"/>
    </row>
    <row r="17393" spans="2:10" ht="15.75" x14ac:dyDescent="0.25">
      <c r="B17393" s="938" t="s">
        <v>5444</v>
      </c>
      <c r="C17393" s="938"/>
      <c r="D17393" s="938"/>
      <c r="E17393" s="938"/>
      <c r="F17393" s="938"/>
      <c r="G17393" s="938"/>
      <c r="H17393" s="938"/>
      <c r="I17393" s="938"/>
      <c r="J17393" s="938"/>
    </row>
    <row r="17394" spans="2:10" ht="4.5" customHeight="1" x14ac:dyDescent="0.25">
      <c r="B17394" s="880"/>
      <c r="C17394" s="881"/>
      <c r="D17394" s="880"/>
      <c r="E17394" s="880"/>
      <c r="F17394" s="880"/>
      <c r="G17394" s="879"/>
      <c r="H17394" s="883"/>
      <c r="I17394" s="882"/>
      <c r="J17394" s="882"/>
    </row>
    <row r="17395" spans="2:10" ht="15.75" x14ac:dyDescent="0.25">
      <c r="B17395" s="880"/>
      <c r="C17395" s="881"/>
      <c r="D17395" s="880"/>
      <c r="E17395" s="880"/>
      <c r="F17395" s="880"/>
      <c r="G17395" s="938" t="s">
        <v>5446</v>
      </c>
      <c r="H17395" s="938"/>
      <c r="I17395" s="938"/>
      <c r="J17395" s="882"/>
    </row>
    <row r="17396" spans="2:10" x14ac:dyDescent="0.25">
      <c r="B17396" s="939" t="s">
        <v>5445</v>
      </c>
      <c r="C17396" s="939"/>
      <c r="D17396" s="939"/>
      <c r="E17396" s="939"/>
      <c r="F17396" s="939"/>
      <c r="G17396" s="939"/>
      <c r="H17396" s="939"/>
      <c r="I17396" s="939"/>
      <c r="J17396" s="939"/>
    </row>
    <row r="17397" spans="2:10" x14ac:dyDescent="0.25">
      <c r="B17397" s="939"/>
      <c r="C17397" s="939"/>
      <c r="D17397" s="939"/>
      <c r="E17397" s="939"/>
      <c r="F17397" s="939"/>
      <c r="G17397" s="939"/>
      <c r="H17397" s="939"/>
      <c r="I17397" s="939"/>
      <c r="J17397" s="939"/>
    </row>
    <row r="17398" spans="2:10" ht="9.75" customHeight="1" x14ac:dyDescent="0.25">
      <c r="B17398" s="939"/>
      <c r="C17398" s="939"/>
      <c r="D17398" s="939"/>
      <c r="E17398" s="939"/>
      <c r="F17398" s="939"/>
      <c r="G17398" s="939"/>
      <c r="H17398" s="939"/>
      <c r="I17398" s="939"/>
      <c r="J17398" s="939"/>
    </row>
    <row r="17399" spans="2:10" ht="15.75" hidden="1" x14ac:dyDescent="0.25">
      <c r="B17399" s="885"/>
      <c r="C17399" s="886"/>
      <c r="D17399" s="885"/>
      <c r="E17399" s="885"/>
      <c r="F17399" s="885"/>
      <c r="G17399" s="887"/>
      <c r="H17399" s="888"/>
      <c r="I17399" s="889"/>
      <c r="J17399" s="889"/>
    </row>
    <row r="17400" spans="2:10" ht="15.75" x14ac:dyDescent="0.25">
      <c r="B17400" s="885"/>
      <c r="C17400" s="886"/>
      <c r="D17400" s="885"/>
      <c r="E17400" s="885"/>
      <c r="F17400" s="885"/>
      <c r="G17400" s="940" t="s">
        <v>5449</v>
      </c>
      <c r="H17400" s="940"/>
      <c r="I17400" s="940"/>
      <c r="J17400" s="889"/>
    </row>
    <row r="17401" spans="2:10" x14ac:dyDescent="0.25">
      <c r="B17401" s="939" t="s">
        <v>5447</v>
      </c>
      <c r="C17401" s="939"/>
      <c r="D17401" s="939"/>
      <c r="E17401" s="939"/>
      <c r="F17401" s="939"/>
      <c r="G17401" s="939"/>
      <c r="H17401" s="939"/>
      <c r="I17401" s="939"/>
      <c r="J17401" s="939"/>
    </row>
    <row r="17402" spans="2:10" x14ac:dyDescent="0.25">
      <c r="B17402" s="939"/>
      <c r="C17402" s="939"/>
      <c r="D17402" s="939"/>
      <c r="E17402" s="939"/>
      <c r="F17402" s="939"/>
      <c r="G17402" s="939"/>
      <c r="H17402" s="939"/>
      <c r="I17402" s="939"/>
      <c r="J17402" s="939"/>
    </row>
    <row r="17403" spans="2:10" ht="15.75" x14ac:dyDescent="0.25">
      <c r="B17403" s="939" t="s">
        <v>5448</v>
      </c>
      <c r="C17403" s="939"/>
      <c r="D17403" s="939"/>
      <c r="E17403" s="939"/>
      <c r="F17403" s="939"/>
      <c r="G17403" s="939"/>
      <c r="H17403" s="939"/>
      <c r="I17403" s="939"/>
      <c r="J17403" s="939"/>
    </row>
    <row r="17404" spans="2:10" ht="9" customHeight="1" x14ac:dyDescent="0.25">
      <c r="B17404" s="880"/>
      <c r="C17404" s="881"/>
      <c r="D17404" s="880"/>
      <c r="E17404" s="880"/>
      <c r="F17404" s="880"/>
      <c r="G17404" s="879"/>
      <c r="H17404" s="883"/>
      <c r="I17404" s="882"/>
      <c r="J17404" s="882"/>
    </row>
    <row r="17405" spans="2:10" ht="15.75" x14ac:dyDescent="0.25">
      <c r="B17405" s="880"/>
      <c r="C17405" s="881"/>
      <c r="D17405" s="880"/>
      <c r="E17405" s="880"/>
      <c r="F17405" s="880"/>
      <c r="G17405" s="938" t="s">
        <v>5452</v>
      </c>
      <c r="H17405" s="938"/>
      <c r="I17405" s="938"/>
      <c r="J17405" s="882"/>
    </row>
    <row r="17406" spans="2:10" x14ac:dyDescent="0.25">
      <c r="B17406" s="939" t="s">
        <v>5450</v>
      </c>
      <c r="C17406" s="939"/>
      <c r="D17406" s="939"/>
      <c r="E17406" s="939"/>
      <c r="F17406" s="939"/>
      <c r="G17406" s="939"/>
      <c r="H17406" s="939"/>
      <c r="I17406" s="939"/>
      <c r="J17406" s="939"/>
    </row>
    <row r="17407" spans="2:10" x14ac:dyDescent="0.25">
      <c r="B17407" s="939"/>
      <c r="C17407" s="939"/>
      <c r="D17407" s="939"/>
      <c r="E17407" s="939"/>
      <c r="F17407" s="939"/>
      <c r="G17407" s="939"/>
      <c r="H17407" s="939"/>
      <c r="I17407" s="939"/>
      <c r="J17407" s="939"/>
    </row>
    <row r="17408" spans="2:10" ht="15.75" x14ac:dyDescent="0.25">
      <c r="B17408" s="939" t="s">
        <v>5451</v>
      </c>
      <c r="C17408" s="939"/>
      <c r="D17408" s="939"/>
      <c r="E17408" s="939"/>
      <c r="F17408" s="939"/>
      <c r="G17408" s="939"/>
      <c r="H17408" s="939"/>
      <c r="I17408" s="939"/>
      <c r="J17408" s="939"/>
    </row>
    <row r="17409" spans="2:10" ht="5.25" customHeight="1" x14ac:dyDescent="0.25">
      <c r="B17409" s="885"/>
      <c r="C17409" s="886"/>
      <c r="D17409" s="885"/>
      <c r="E17409" s="885"/>
      <c r="F17409" s="885"/>
      <c r="G17409" s="887"/>
      <c r="H17409" s="888"/>
      <c r="I17409" s="889"/>
      <c r="J17409" s="889"/>
    </row>
    <row r="17410" spans="2:10" ht="15.75" x14ac:dyDescent="0.25">
      <c r="B17410" s="885"/>
      <c r="C17410" s="886"/>
      <c r="D17410" s="885"/>
      <c r="E17410" s="885"/>
      <c r="F17410" s="885"/>
      <c r="G17410" s="940" t="s">
        <v>5454</v>
      </c>
      <c r="H17410" s="940"/>
      <c r="I17410" s="940"/>
      <c r="J17410" s="889"/>
    </row>
    <row r="17411" spans="2:10" x14ac:dyDescent="0.25">
      <c r="B17411" s="939" t="s">
        <v>5453</v>
      </c>
      <c r="C17411" s="939"/>
      <c r="D17411" s="939"/>
      <c r="E17411" s="939"/>
      <c r="F17411" s="939"/>
      <c r="G17411" s="939"/>
      <c r="H17411" s="939"/>
      <c r="I17411" s="939"/>
      <c r="J17411" s="939"/>
    </row>
    <row r="17412" spans="2:10" x14ac:dyDescent="0.25">
      <c r="B17412" s="939"/>
      <c r="C17412" s="939"/>
      <c r="D17412" s="939"/>
      <c r="E17412" s="939"/>
      <c r="F17412" s="939"/>
      <c r="G17412" s="939"/>
      <c r="H17412" s="939"/>
      <c r="I17412" s="939"/>
      <c r="J17412" s="939"/>
    </row>
    <row r="17413" spans="2:10" x14ac:dyDescent="0.25">
      <c r="B17413" s="939"/>
      <c r="C17413" s="939"/>
      <c r="D17413" s="939"/>
      <c r="E17413" s="939"/>
      <c r="F17413" s="939"/>
      <c r="G17413" s="939"/>
      <c r="H17413" s="939"/>
      <c r="I17413" s="939"/>
      <c r="J17413" s="939"/>
    </row>
    <row r="17414" spans="2:10" ht="0.75" customHeight="1" x14ac:dyDescent="0.25">
      <c r="B17414" s="880"/>
      <c r="C17414" s="881"/>
      <c r="D17414" s="880"/>
      <c r="E17414" s="880"/>
      <c r="F17414" s="880"/>
      <c r="G17414" s="879"/>
      <c r="H17414" s="883"/>
      <c r="I17414" s="882"/>
      <c r="J17414" s="882"/>
    </row>
    <row r="17415" spans="2:10" ht="15.75" x14ac:dyDescent="0.25">
      <c r="B17415" s="880"/>
      <c r="C17415" s="881"/>
      <c r="D17415" s="880"/>
      <c r="E17415" s="880"/>
      <c r="F17415" s="880"/>
      <c r="G17415" s="938" t="s">
        <v>5456</v>
      </c>
      <c r="H17415" s="938"/>
      <c r="I17415" s="938"/>
      <c r="J17415" s="882"/>
    </row>
    <row r="17416" spans="2:10" ht="45" customHeight="1" x14ac:dyDescent="0.25">
      <c r="B17416" s="938" t="s">
        <v>5455</v>
      </c>
      <c r="C17416" s="938"/>
      <c r="D17416" s="938"/>
      <c r="E17416" s="938"/>
      <c r="F17416" s="938"/>
      <c r="G17416" s="938"/>
      <c r="H17416" s="938"/>
      <c r="I17416" s="938"/>
      <c r="J17416" s="938"/>
    </row>
    <row r="17417" spans="2:10" ht="9.75" customHeight="1" x14ac:dyDescent="0.25">
      <c r="B17417" s="880"/>
      <c r="C17417" s="881"/>
      <c r="D17417" s="880"/>
      <c r="E17417" s="880"/>
      <c r="F17417" s="880"/>
      <c r="G17417" s="879"/>
      <c r="H17417" s="883"/>
      <c r="I17417" s="882"/>
      <c r="J17417" s="882"/>
    </row>
    <row r="17418" spans="2:10" ht="15.75" x14ac:dyDescent="0.25">
      <c r="B17418" s="880"/>
      <c r="C17418" s="881"/>
      <c r="D17418" s="880"/>
      <c r="E17418" s="880"/>
      <c r="F17418" s="880"/>
      <c r="G17418" s="938" t="s">
        <v>5458</v>
      </c>
      <c r="H17418" s="938"/>
      <c r="I17418" s="938"/>
      <c r="J17418" s="882"/>
    </row>
    <row r="17419" spans="2:10" ht="15.75" x14ac:dyDescent="0.25">
      <c r="B17419" s="938" t="s">
        <v>5457</v>
      </c>
      <c r="C17419" s="938"/>
      <c r="D17419" s="938"/>
      <c r="E17419" s="938"/>
      <c r="F17419" s="938"/>
      <c r="G17419" s="938"/>
      <c r="H17419" s="938"/>
      <c r="I17419" s="938"/>
      <c r="J17419" s="938"/>
    </row>
    <row r="17420" spans="2:10" ht="7.5" customHeight="1" x14ac:dyDescent="0.25">
      <c r="B17420" s="880"/>
      <c r="C17420" s="881"/>
      <c r="D17420" s="880"/>
      <c r="E17420" s="880"/>
      <c r="F17420" s="880"/>
      <c r="G17420" s="879"/>
      <c r="H17420" s="883"/>
      <c r="I17420" s="882"/>
      <c r="J17420" s="882"/>
    </row>
    <row r="17421" spans="2:10" ht="15.75" x14ac:dyDescent="0.25">
      <c r="B17421" s="880"/>
      <c r="C17421" s="881"/>
      <c r="D17421" s="880"/>
      <c r="E17421" s="880"/>
      <c r="F17421" s="880"/>
      <c r="G17421" s="938" t="s">
        <v>5475</v>
      </c>
      <c r="H17421" s="938"/>
      <c r="I17421" s="938"/>
      <c r="J17421" s="882"/>
    </row>
    <row r="17422" spans="2:10" ht="15" customHeight="1" x14ac:dyDescent="0.25">
      <c r="B17422" s="939" t="s">
        <v>5459</v>
      </c>
      <c r="C17422" s="939"/>
      <c r="D17422" s="939"/>
      <c r="E17422" s="939"/>
      <c r="F17422" s="939"/>
      <c r="G17422" s="939"/>
      <c r="H17422" s="939"/>
      <c r="I17422" s="939"/>
      <c r="J17422" s="939"/>
    </row>
    <row r="17423" spans="2:10" ht="13.5" customHeight="1" x14ac:dyDescent="0.25">
      <c r="B17423" s="939"/>
      <c r="C17423" s="939"/>
      <c r="D17423" s="939"/>
      <c r="E17423" s="939"/>
      <c r="F17423" s="939"/>
      <c r="G17423" s="939"/>
      <c r="H17423" s="939"/>
      <c r="I17423" s="939"/>
      <c r="J17423" s="939"/>
    </row>
    <row r="17424" spans="2:10" ht="4.5" hidden="1" customHeight="1" x14ac:dyDescent="0.25">
      <c r="B17424" s="939"/>
      <c r="C17424" s="939"/>
      <c r="D17424" s="939"/>
      <c r="E17424" s="939"/>
      <c r="F17424" s="939"/>
      <c r="G17424" s="939"/>
      <c r="H17424" s="939"/>
      <c r="I17424" s="939"/>
      <c r="J17424" s="939"/>
    </row>
    <row r="17425" spans="2:9" ht="8.25" customHeight="1" x14ac:dyDescent="0.25"/>
    <row r="17427" spans="2:9" ht="18.75" x14ac:dyDescent="0.25">
      <c r="B17427" s="217"/>
      <c r="C17427" s="217"/>
      <c r="D17427" s="936" t="s">
        <v>5460</v>
      </c>
      <c r="E17427" s="936"/>
      <c r="F17427" s="936"/>
      <c r="G17427" s="936"/>
      <c r="H17427" s="936"/>
    </row>
    <row r="17429" spans="2:9" ht="15" customHeight="1" x14ac:dyDescent="0.25">
      <c r="B17429" s="937" t="s">
        <v>5485</v>
      </c>
      <c r="C17429" s="937"/>
      <c r="D17429" s="937"/>
      <c r="E17429" s="937"/>
      <c r="F17429" s="937"/>
      <c r="G17429" s="937"/>
    </row>
    <row r="17431" spans="2:9" x14ac:dyDescent="0.25">
      <c r="H17431" s="935" t="s">
        <v>5461</v>
      </c>
      <c r="I17431" s="935"/>
    </row>
    <row r="17432" spans="2:9" x14ac:dyDescent="0.25">
      <c r="H17432" s="935" t="s">
        <v>5462</v>
      </c>
      <c r="I17432" s="935"/>
    </row>
    <row r="17433" spans="2:9" x14ac:dyDescent="0.25">
      <c r="H17433" s="935" t="s">
        <v>5463</v>
      </c>
      <c r="I17433" s="935"/>
    </row>
  </sheetData>
  <sheetProtection password="C85D" sheet="1" objects="1" scenarios="1"/>
  <mergeCells count="91">
    <mergeCell ref="M5:V5"/>
    <mergeCell ref="M7:Y9"/>
    <mergeCell ref="M11:Y14"/>
    <mergeCell ref="E2:H2"/>
    <mergeCell ref="B3:J3"/>
    <mergeCell ref="G17291:I17291"/>
    <mergeCell ref="B17293:J17293"/>
    <mergeCell ref="G1:I1"/>
    <mergeCell ref="E17289:I17289"/>
    <mergeCell ref="G17296:I17296"/>
    <mergeCell ref="B17298:J17298"/>
    <mergeCell ref="G17300:I17300"/>
    <mergeCell ref="B17301:J17301"/>
    <mergeCell ref="B17302:J17302"/>
    <mergeCell ref="G17304:I17304"/>
    <mergeCell ref="G17316:I17316"/>
    <mergeCell ref="B17305:J17305"/>
    <mergeCell ref="B17306:J17306"/>
    <mergeCell ref="B17307:J17307"/>
    <mergeCell ref="B17310:J17310"/>
    <mergeCell ref="G17309:I17309"/>
    <mergeCell ref="B17317:J17317"/>
    <mergeCell ref="B17318:J17318"/>
    <mergeCell ref="G17320:I17320"/>
    <mergeCell ref="B17321:J17321"/>
    <mergeCell ref="B17323:J17323"/>
    <mergeCell ref="G17325:I17325"/>
    <mergeCell ref="B17326:J17326"/>
    <mergeCell ref="G17328:I17328"/>
    <mergeCell ref="B17329:J17329"/>
    <mergeCell ref="B17330:J17330"/>
    <mergeCell ref="B17331:J17331"/>
    <mergeCell ref="G17333:I17333"/>
    <mergeCell ref="B17334:J17334"/>
    <mergeCell ref="B17335:J17335"/>
    <mergeCell ref="B17337:J17337"/>
    <mergeCell ref="B17338:J17338"/>
    <mergeCell ref="B17336:J17336"/>
    <mergeCell ref="G17343:I17343"/>
    <mergeCell ref="B17344:J17344"/>
    <mergeCell ref="B17345:J17345"/>
    <mergeCell ref="B17353:J17353"/>
    <mergeCell ref="B17354:J17354"/>
    <mergeCell ref="G17356:I17356"/>
    <mergeCell ref="B17357:J17359"/>
    <mergeCell ref="B17346:J17346"/>
    <mergeCell ref="G17348:I17348"/>
    <mergeCell ref="B17349:J17349"/>
    <mergeCell ref="B17350:J17350"/>
    <mergeCell ref="G17352:I17352"/>
    <mergeCell ref="B17360:J17361"/>
    <mergeCell ref="G17362:I17362"/>
    <mergeCell ref="B17363:J17363"/>
    <mergeCell ref="B17366:J17366"/>
    <mergeCell ref="B17370:J17370"/>
    <mergeCell ref="B17374:J17374"/>
    <mergeCell ref="B17375:J17375"/>
    <mergeCell ref="B17376:J17376"/>
    <mergeCell ref="B17377:J17377"/>
    <mergeCell ref="B17378:J17378"/>
    <mergeCell ref="B17379:J17379"/>
    <mergeCell ref="B17380:J17380"/>
    <mergeCell ref="B17381:J17381"/>
    <mergeCell ref="G17383:I17383"/>
    <mergeCell ref="B17384:J17384"/>
    <mergeCell ref="B17393:J17393"/>
    <mergeCell ref="G17395:I17395"/>
    <mergeCell ref="B17396:J17398"/>
    <mergeCell ref="G17400:I17400"/>
    <mergeCell ref="B17385:J17385"/>
    <mergeCell ref="G17387:I17387"/>
    <mergeCell ref="B17388:J17390"/>
    <mergeCell ref="G17392:I17392"/>
    <mergeCell ref="B17408:J17408"/>
    <mergeCell ref="G17410:I17410"/>
    <mergeCell ref="B17411:J17413"/>
    <mergeCell ref="G17415:I17415"/>
    <mergeCell ref="B17401:J17402"/>
    <mergeCell ref="B17403:J17403"/>
    <mergeCell ref="G17405:I17405"/>
    <mergeCell ref="B17406:J17407"/>
    <mergeCell ref="B17416:J17416"/>
    <mergeCell ref="G17418:I17418"/>
    <mergeCell ref="B17419:J17419"/>
    <mergeCell ref="G17421:I17421"/>
    <mergeCell ref="B17422:J17424"/>
    <mergeCell ref="H17432:I17432"/>
    <mergeCell ref="H17433:I17433"/>
    <mergeCell ref="D17427:H17427"/>
    <mergeCell ref="B17429:G17429"/>
    <mergeCell ref="H17431:I17431"/>
  </mergeCells>
  <pageMargins left="0.19685039370078741" right="0" top="0.35433070866141736" bottom="0.35433070866141736" header="0.31496062992125984" footer="0.31496062992125984"/>
  <pageSetup orientation="landscape" r:id="rId1"/>
  <cellWatches>
    <cellWatch r="H17281"/>
  </cellWatches>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theme="0"/>
  </sheetPr>
  <dimension ref="A1:AD4732"/>
  <sheetViews>
    <sheetView topLeftCell="A30" workbookViewId="0">
      <selection activeCell="B31" sqref="B31"/>
    </sheetView>
  </sheetViews>
  <sheetFormatPr defaultRowHeight="15" x14ac:dyDescent="0.25"/>
  <cols>
    <col min="1" max="1" width="7.7109375" customWidth="1"/>
    <col min="2" max="2" width="65.140625" customWidth="1"/>
    <col min="8" max="8" width="54" customWidth="1"/>
    <col min="12" max="12" width="11" customWidth="1"/>
    <col min="13" max="13" width="84.42578125" customWidth="1"/>
    <col min="14" max="14" width="11.140625" customWidth="1"/>
    <col min="15" max="15" width="9.85546875" customWidth="1"/>
    <col min="16" max="16" width="44.28515625" customWidth="1"/>
    <col min="17" max="17" width="22.85546875" customWidth="1"/>
    <col min="18" max="18" width="20.85546875" customWidth="1"/>
    <col min="19" max="19" width="18.42578125" customWidth="1"/>
    <col min="20" max="20" width="17.7109375" customWidth="1"/>
    <col min="21" max="21" width="53.140625" customWidth="1"/>
  </cols>
  <sheetData>
    <row r="1" spans="1:18" ht="18.75" x14ac:dyDescent="0.3">
      <c r="A1" s="946" t="s">
        <v>93</v>
      </c>
      <c r="B1" s="946"/>
      <c r="G1" s="947" t="s">
        <v>233</v>
      </c>
      <c r="H1" s="947"/>
      <c r="L1" s="948" t="s">
        <v>266</v>
      </c>
      <c r="M1" s="948"/>
      <c r="N1" s="63"/>
      <c r="O1" s="63"/>
      <c r="P1" s="63" t="s">
        <v>3564</v>
      </c>
    </row>
    <row r="2" spans="1:18" x14ac:dyDescent="0.25">
      <c r="A2" s="54">
        <v>0</v>
      </c>
      <c r="B2" s="53" t="s">
        <v>94</v>
      </c>
      <c r="G2" s="556" t="s">
        <v>234</v>
      </c>
      <c r="H2" s="557" t="s">
        <v>235</v>
      </c>
      <c r="L2" s="64" t="s">
        <v>3563</v>
      </c>
      <c r="M2" s="64" t="s">
        <v>22</v>
      </c>
      <c r="P2" s="62" t="s">
        <v>3610</v>
      </c>
      <c r="Q2" s="62" t="s">
        <v>3611</v>
      </c>
      <c r="R2" s="62" t="s">
        <v>3612</v>
      </c>
    </row>
    <row r="3" spans="1:18" x14ac:dyDescent="0.25">
      <c r="A3" s="57">
        <v>10</v>
      </c>
      <c r="B3" s="56" t="s">
        <v>95</v>
      </c>
      <c r="G3" s="556" t="s">
        <v>236</v>
      </c>
      <c r="H3" s="557" t="s">
        <v>237</v>
      </c>
      <c r="L3" s="65">
        <v>0</v>
      </c>
      <c r="M3" t="s">
        <v>267</v>
      </c>
      <c r="O3" s="61"/>
      <c r="P3" s="67" t="s">
        <v>3674</v>
      </c>
      <c r="Q3" s="68" t="s">
        <v>3566</v>
      </c>
      <c r="R3" s="69" t="s">
        <v>3567</v>
      </c>
    </row>
    <row r="4" spans="1:18" x14ac:dyDescent="0.25">
      <c r="A4" s="57">
        <v>20</v>
      </c>
      <c r="B4" s="56" t="s">
        <v>96</v>
      </c>
      <c r="G4" s="556" t="s">
        <v>238</v>
      </c>
      <c r="H4" s="557" t="s">
        <v>239</v>
      </c>
      <c r="L4" s="65">
        <v>10000</v>
      </c>
      <c r="M4" t="s">
        <v>268</v>
      </c>
      <c r="O4" s="60"/>
      <c r="P4" s="67" t="s">
        <v>3675</v>
      </c>
      <c r="Q4" s="68" t="s">
        <v>3569</v>
      </c>
      <c r="R4" s="69" t="s">
        <v>3570</v>
      </c>
    </row>
    <row r="5" spans="1:18" x14ac:dyDescent="0.25">
      <c r="A5" s="57">
        <v>30</v>
      </c>
      <c r="B5" s="56" t="s">
        <v>97</v>
      </c>
      <c r="G5" s="556" t="s">
        <v>240</v>
      </c>
      <c r="H5" s="557" t="s">
        <v>241</v>
      </c>
      <c r="L5" s="65">
        <v>11000</v>
      </c>
      <c r="M5" t="s">
        <v>269</v>
      </c>
      <c r="P5" s="67" t="s">
        <v>3676</v>
      </c>
      <c r="Q5" s="68" t="s">
        <v>3572</v>
      </c>
      <c r="R5" s="69" t="s">
        <v>3573</v>
      </c>
    </row>
    <row r="6" spans="1:18" x14ac:dyDescent="0.25">
      <c r="A6" s="57">
        <v>40</v>
      </c>
      <c r="B6" s="56" t="s">
        <v>98</v>
      </c>
      <c r="G6" s="556" t="s">
        <v>242</v>
      </c>
      <c r="H6" s="557" t="s">
        <v>243</v>
      </c>
      <c r="L6" s="65">
        <v>11100</v>
      </c>
      <c r="M6" t="s">
        <v>270</v>
      </c>
      <c r="P6" s="67" t="s">
        <v>3677</v>
      </c>
      <c r="Q6" s="68" t="s">
        <v>3575</v>
      </c>
      <c r="R6" s="69" t="s">
        <v>3576</v>
      </c>
    </row>
    <row r="7" spans="1:18" x14ac:dyDescent="0.25">
      <c r="A7" s="57">
        <v>50</v>
      </c>
      <c r="B7" s="56" t="s">
        <v>99</v>
      </c>
      <c r="G7" s="556" t="s">
        <v>244</v>
      </c>
      <c r="H7" s="557" t="s">
        <v>245</v>
      </c>
      <c r="L7" s="65">
        <v>11110</v>
      </c>
      <c r="M7" t="s">
        <v>271</v>
      </c>
      <c r="P7" s="67" t="s">
        <v>3678</v>
      </c>
      <c r="Q7" s="68" t="s">
        <v>3578</v>
      </c>
      <c r="R7" s="69" t="s">
        <v>3579</v>
      </c>
    </row>
    <row r="8" spans="1:18" x14ac:dyDescent="0.25">
      <c r="A8" s="57">
        <v>60</v>
      </c>
      <c r="B8" s="56" t="s">
        <v>100</v>
      </c>
      <c r="G8" s="556" t="s">
        <v>246</v>
      </c>
      <c r="H8" s="557" t="s">
        <v>247</v>
      </c>
      <c r="L8" s="65">
        <v>11111</v>
      </c>
      <c r="M8" t="s">
        <v>272</v>
      </c>
      <c r="P8" s="67" t="s">
        <v>3679</v>
      </c>
      <c r="Q8" s="68" t="s">
        <v>3581</v>
      </c>
      <c r="R8" s="69" t="s">
        <v>3582</v>
      </c>
    </row>
    <row r="9" spans="1:18" x14ac:dyDescent="0.25">
      <c r="A9" s="57">
        <v>70</v>
      </c>
      <c r="B9" s="56" t="s">
        <v>101</v>
      </c>
      <c r="G9" s="556" t="s">
        <v>248</v>
      </c>
      <c r="H9" s="557" t="s">
        <v>249</v>
      </c>
      <c r="L9" s="65">
        <v>11112</v>
      </c>
      <c r="M9" t="s">
        <v>273</v>
      </c>
      <c r="P9" s="67" t="s">
        <v>3680</v>
      </c>
      <c r="Q9" s="68" t="s">
        <v>3584</v>
      </c>
      <c r="R9" s="69" t="s">
        <v>3585</v>
      </c>
    </row>
    <row r="10" spans="1:18" x14ac:dyDescent="0.25">
      <c r="A10" s="57">
        <v>80</v>
      </c>
      <c r="B10" s="56" t="s">
        <v>102</v>
      </c>
      <c r="G10" s="556" t="s">
        <v>250</v>
      </c>
      <c r="H10" s="557" t="s">
        <v>57</v>
      </c>
      <c r="L10" s="65">
        <v>11113</v>
      </c>
      <c r="M10" t="s">
        <v>274</v>
      </c>
      <c r="P10" s="67" t="s">
        <v>3681</v>
      </c>
      <c r="Q10" s="68" t="s">
        <v>3587</v>
      </c>
      <c r="R10" s="69" t="s">
        <v>3588</v>
      </c>
    </row>
    <row r="11" spans="1:18" x14ac:dyDescent="0.25">
      <c r="A11" s="57">
        <v>90</v>
      </c>
      <c r="B11" s="56" t="s">
        <v>103</v>
      </c>
      <c r="G11" s="556" t="s">
        <v>251</v>
      </c>
      <c r="H11" s="557" t="s">
        <v>252</v>
      </c>
      <c r="L11" s="65">
        <v>11115</v>
      </c>
      <c r="M11" t="s">
        <v>275</v>
      </c>
      <c r="P11" s="67" t="s">
        <v>3682</v>
      </c>
      <c r="Q11" s="68" t="s">
        <v>3590</v>
      </c>
      <c r="R11" s="69" t="s">
        <v>3591</v>
      </c>
    </row>
    <row r="12" spans="1:18" x14ac:dyDescent="0.25">
      <c r="A12" s="52">
        <v>100</v>
      </c>
      <c r="B12" s="53" t="s">
        <v>104</v>
      </c>
      <c r="G12" s="556" t="s">
        <v>253</v>
      </c>
      <c r="H12" s="557" t="s">
        <v>254</v>
      </c>
      <c r="L12" s="65">
        <v>11116</v>
      </c>
      <c r="M12" t="s">
        <v>276</v>
      </c>
      <c r="P12" s="67" t="s">
        <v>3683</v>
      </c>
      <c r="Q12" s="68" t="s">
        <v>3593</v>
      </c>
      <c r="R12" s="69" t="s">
        <v>3594</v>
      </c>
    </row>
    <row r="13" spans="1:18" x14ac:dyDescent="0.25">
      <c r="A13" s="55">
        <v>110</v>
      </c>
      <c r="B13" s="56" t="s">
        <v>105</v>
      </c>
      <c r="G13" s="556" t="s">
        <v>255</v>
      </c>
      <c r="H13" s="557" t="s">
        <v>256</v>
      </c>
      <c r="L13" s="65">
        <v>11117</v>
      </c>
      <c r="M13" t="s">
        <v>277</v>
      </c>
      <c r="P13" s="67" t="s">
        <v>3684</v>
      </c>
      <c r="Q13" s="68" t="s">
        <v>3596</v>
      </c>
      <c r="R13" s="69" t="s">
        <v>3597</v>
      </c>
    </row>
    <row r="14" spans="1:18" x14ac:dyDescent="0.25">
      <c r="A14" s="58">
        <v>111</v>
      </c>
      <c r="B14" s="59" t="s">
        <v>106</v>
      </c>
      <c r="G14" s="556" t="s">
        <v>257</v>
      </c>
      <c r="H14" s="557" t="s">
        <v>258</v>
      </c>
      <c r="L14" s="65">
        <v>11118</v>
      </c>
      <c r="M14" t="s">
        <v>278</v>
      </c>
      <c r="P14" s="67" t="s">
        <v>3685</v>
      </c>
      <c r="Q14" s="68" t="s">
        <v>3599</v>
      </c>
      <c r="R14" s="69" t="s">
        <v>3600</v>
      </c>
    </row>
    <row r="15" spans="1:18" x14ac:dyDescent="0.25">
      <c r="A15" s="58">
        <v>112</v>
      </c>
      <c r="B15" s="59" t="s">
        <v>107</v>
      </c>
      <c r="G15" s="556" t="s">
        <v>259</v>
      </c>
      <c r="H15" s="557" t="s">
        <v>260</v>
      </c>
      <c r="L15" s="65">
        <v>11119</v>
      </c>
      <c r="M15" t="s">
        <v>279</v>
      </c>
      <c r="P15" s="67" t="s">
        <v>3686</v>
      </c>
      <c r="Q15" s="68" t="s">
        <v>3602</v>
      </c>
      <c r="R15" s="69" t="s">
        <v>3603</v>
      </c>
    </row>
    <row r="16" spans="1:18" x14ac:dyDescent="0.25">
      <c r="A16" s="58">
        <v>113</v>
      </c>
      <c r="B16" s="59" t="s">
        <v>108</v>
      </c>
      <c r="G16" s="556" t="s">
        <v>261</v>
      </c>
      <c r="H16" s="557" t="s">
        <v>262</v>
      </c>
      <c r="L16" s="65">
        <v>11120</v>
      </c>
      <c r="M16" t="s">
        <v>280</v>
      </c>
      <c r="P16" s="67" t="s">
        <v>3687</v>
      </c>
      <c r="Q16" s="68" t="s">
        <v>3605</v>
      </c>
      <c r="R16" s="69" t="s">
        <v>3606</v>
      </c>
    </row>
    <row r="17" spans="1:30" x14ac:dyDescent="0.25">
      <c r="A17" s="55">
        <v>120</v>
      </c>
      <c r="B17" s="56" t="s">
        <v>109</v>
      </c>
      <c r="G17" s="556" t="s">
        <v>263</v>
      </c>
      <c r="H17" s="557" t="s">
        <v>264</v>
      </c>
      <c r="L17" s="65">
        <v>11121</v>
      </c>
      <c r="M17" t="s">
        <v>281</v>
      </c>
      <c r="P17" s="67" t="s">
        <v>3688</v>
      </c>
      <c r="Q17" s="68" t="s">
        <v>3608</v>
      </c>
      <c r="R17" s="69" t="s">
        <v>3609</v>
      </c>
    </row>
    <row r="18" spans="1:30" x14ac:dyDescent="0.25">
      <c r="A18" s="58">
        <v>121</v>
      </c>
      <c r="B18" s="59" t="s">
        <v>110</v>
      </c>
      <c r="L18" s="65">
        <v>11125</v>
      </c>
      <c r="M18" t="s">
        <v>282</v>
      </c>
    </row>
    <row r="19" spans="1:30" x14ac:dyDescent="0.25">
      <c r="A19" s="58">
        <v>122</v>
      </c>
      <c r="B19" s="59" t="s">
        <v>111</v>
      </c>
      <c r="L19" s="65">
        <v>11126</v>
      </c>
      <c r="M19" t="s">
        <v>283</v>
      </c>
    </row>
    <row r="20" spans="1:30" x14ac:dyDescent="0.25">
      <c r="A20" s="55">
        <v>130</v>
      </c>
      <c r="B20" s="56" t="s">
        <v>112</v>
      </c>
      <c r="L20" s="65">
        <v>11127</v>
      </c>
      <c r="M20" t="s">
        <v>284</v>
      </c>
    </row>
    <row r="21" spans="1:30" x14ac:dyDescent="0.25">
      <c r="A21" s="58">
        <v>131</v>
      </c>
      <c r="B21" s="59" t="s">
        <v>113</v>
      </c>
      <c r="L21" s="65">
        <v>11128</v>
      </c>
      <c r="M21" t="s">
        <v>285</v>
      </c>
    </row>
    <row r="22" spans="1:30" x14ac:dyDescent="0.25">
      <c r="A22" s="58">
        <v>132</v>
      </c>
      <c r="B22" s="59" t="s">
        <v>114</v>
      </c>
      <c r="L22" s="65">
        <v>11129</v>
      </c>
      <c r="M22" t="s">
        <v>286</v>
      </c>
    </row>
    <row r="23" spans="1:30" x14ac:dyDescent="0.25">
      <c r="A23" s="58">
        <v>133</v>
      </c>
      <c r="B23" s="59" t="s">
        <v>115</v>
      </c>
      <c r="L23" s="65">
        <v>11130</v>
      </c>
      <c r="M23" t="s">
        <v>287</v>
      </c>
      <c r="P23" s="70" t="s">
        <v>3565</v>
      </c>
      <c r="Q23" s="71" t="s">
        <v>3613</v>
      </c>
      <c r="R23" s="71" t="s">
        <v>3614</v>
      </c>
      <c r="S23" s="72"/>
      <c r="T23" s="72"/>
      <c r="U23" s="72"/>
      <c r="V23" s="72"/>
      <c r="W23" s="72"/>
      <c r="X23" s="72"/>
      <c r="Y23" s="72"/>
      <c r="Z23" s="72"/>
      <c r="AA23" s="72"/>
      <c r="AB23" s="72"/>
      <c r="AC23" s="72"/>
      <c r="AD23" s="72"/>
    </row>
    <row r="24" spans="1:30" x14ac:dyDescent="0.25">
      <c r="A24" s="55">
        <v>140</v>
      </c>
      <c r="B24" s="56" t="s">
        <v>116</v>
      </c>
      <c r="L24" s="65">
        <v>11131</v>
      </c>
      <c r="M24" t="s">
        <v>288</v>
      </c>
      <c r="P24" s="70" t="s">
        <v>3568</v>
      </c>
      <c r="Q24" s="71" t="s">
        <v>3615</v>
      </c>
      <c r="R24" s="71" t="s">
        <v>3616</v>
      </c>
      <c r="S24" s="71" t="s">
        <v>3617</v>
      </c>
      <c r="T24" s="71" t="s">
        <v>3618</v>
      </c>
      <c r="U24" s="71" t="s">
        <v>3619</v>
      </c>
      <c r="V24" s="71" t="s">
        <v>3620</v>
      </c>
      <c r="W24" s="71" t="s">
        <v>3621</v>
      </c>
      <c r="X24" s="71" t="s">
        <v>3622</v>
      </c>
      <c r="Y24" s="71" t="s">
        <v>3623</v>
      </c>
      <c r="Z24" s="71" t="s">
        <v>3624</v>
      </c>
      <c r="AA24" s="71" t="s">
        <v>3625</v>
      </c>
      <c r="AB24" s="71" t="s">
        <v>3626</v>
      </c>
      <c r="AC24" s="71" t="s">
        <v>3627</v>
      </c>
      <c r="AD24" s="71" t="s">
        <v>3628</v>
      </c>
    </row>
    <row r="25" spans="1:30" x14ac:dyDescent="0.25">
      <c r="A25" s="55">
        <v>150</v>
      </c>
      <c r="B25" s="56" t="s">
        <v>117</v>
      </c>
      <c r="L25" s="65">
        <v>11132</v>
      </c>
      <c r="M25" t="s">
        <v>289</v>
      </c>
      <c r="P25" s="70" t="s">
        <v>3571</v>
      </c>
      <c r="Q25" s="71" t="s">
        <v>3629</v>
      </c>
      <c r="R25" s="71" t="s">
        <v>3630</v>
      </c>
      <c r="S25" s="71" t="s">
        <v>3631</v>
      </c>
      <c r="T25" s="71" t="s">
        <v>3632</v>
      </c>
      <c r="U25" s="71" t="s">
        <v>3633</v>
      </c>
      <c r="V25" s="72"/>
      <c r="W25" s="72"/>
      <c r="X25" s="72"/>
      <c r="Y25" s="72"/>
      <c r="Z25" s="72"/>
      <c r="AA25" s="72"/>
      <c r="AB25" s="72"/>
      <c r="AC25" s="72"/>
      <c r="AD25" s="72"/>
    </row>
    <row r="26" spans="1:30" x14ac:dyDescent="0.25">
      <c r="A26" s="55">
        <v>160</v>
      </c>
      <c r="B26" s="56" t="s">
        <v>118</v>
      </c>
      <c r="L26" s="65">
        <v>11133</v>
      </c>
      <c r="M26" t="s">
        <v>290</v>
      </c>
      <c r="P26" s="70" t="s">
        <v>3574</v>
      </c>
      <c r="Q26" s="70" t="s">
        <v>3634</v>
      </c>
      <c r="R26" s="70" t="s">
        <v>3635</v>
      </c>
      <c r="S26" s="72"/>
      <c r="T26" s="72"/>
      <c r="U26" s="72"/>
      <c r="V26" s="72"/>
      <c r="W26" s="72"/>
      <c r="X26" s="72"/>
      <c r="Y26" s="72"/>
      <c r="Z26" s="72"/>
      <c r="AA26" s="72"/>
      <c r="AB26" s="72"/>
      <c r="AC26" s="72"/>
      <c r="AD26" s="72"/>
    </row>
    <row r="27" spans="1:30" x14ac:dyDescent="0.25">
      <c r="A27" s="55">
        <v>170</v>
      </c>
      <c r="B27" s="56" t="s">
        <v>119</v>
      </c>
      <c r="L27" s="65">
        <v>11134</v>
      </c>
      <c r="M27" t="s">
        <v>291</v>
      </c>
      <c r="P27" s="70" t="s">
        <v>3577</v>
      </c>
      <c r="Q27" s="71" t="s">
        <v>3636</v>
      </c>
      <c r="R27" s="71" t="s">
        <v>3637</v>
      </c>
      <c r="S27" s="72"/>
      <c r="T27" s="72"/>
      <c r="U27" s="72"/>
      <c r="V27" s="72"/>
      <c r="W27" s="72"/>
      <c r="X27" s="72"/>
      <c r="Y27" s="72"/>
      <c r="Z27" s="72"/>
      <c r="AA27" s="72"/>
      <c r="AB27" s="72"/>
      <c r="AC27" s="72"/>
      <c r="AD27" s="72"/>
    </row>
    <row r="28" spans="1:30" x14ac:dyDescent="0.25">
      <c r="A28" s="55">
        <v>180</v>
      </c>
      <c r="B28" s="56" t="s">
        <v>120</v>
      </c>
      <c r="L28" s="65">
        <v>11135</v>
      </c>
      <c r="M28" t="s">
        <v>292</v>
      </c>
      <c r="P28" s="70" t="s">
        <v>3580</v>
      </c>
      <c r="Q28" s="73" t="s">
        <v>3638</v>
      </c>
      <c r="R28" s="73" t="s">
        <v>3639</v>
      </c>
      <c r="S28" s="73" t="s">
        <v>3640</v>
      </c>
      <c r="T28" s="73" t="s">
        <v>3641</v>
      </c>
      <c r="U28" s="72"/>
      <c r="V28" s="72"/>
      <c r="W28" s="72"/>
      <c r="X28" s="72"/>
      <c r="Y28" s="72"/>
      <c r="Z28" s="72"/>
      <c r="AA28" s="72"/>
      <c r="AB28" s="72"/>
      <c r="AC28" s="72"/>
      <c r="AD28" s="72"/>
    </row>
    <row r="29" spans="1:30" x14ac:dyDescent="0.25">
      <c r="A29" s="52">
        <v>200</v>
      </c>
      <c r="B29" s="53" t="s">
        <v>121</v>
      </c>
      <c r="L29" s="65">
        <v>11136</v>
      </c>
      <c r="M29" t="s">
        <v>293</v>
      </c>
      <c r="P29" s="70" t="s">
        <v>3583</v>
      </c>
      <c r="Q29" s="73" t="s">
        <v>3642</v>
      </c>
      <c r="R29" s="73" t="s">
        <v>3643</v>
      </c>
      <c r="S29" s="72"/>
      <c r="T29" s="72"/>
      <c r="U29" s="72"/>
      <c r="V29" s="72"/>
      <c r="W29" s="72"/>
      <c r="X29" s="72"/>
      <c r="Y29" s="72"/>
      <c r="Z29" s="72"/>
      <c r="AA29" s="72"/>
      <c r="AB29" s="72"/>
      <c r="AC29" s="72"/>
      <c r="AD29" s="72"/>
    </row>
    <row r="30" spans="1:30" x14ac:dyDescent="0.25">
      <c r="A30" s="55">
        <v>210</v>
      </c>
      <c r="B30" s="56" t="s">
        <v>122</v>
      </c>
      <c r="L30" s="65">
        <v>11137</v>
      </c>
      <c r="M30" t="s">
        <v>294</v>
      </c>
      <c r="P30" s="70" t="s">
        <v>3586</v>
      </c>
      <c r="Q30" s="73" t="s">
        <v>3644</v>
      </c>
      <c r="R30" s="72"/>
      <c r="S30" s="72"/>
      <c r="T30" s="72"/>
      <c r="U30" s="72"/>
      <c r="V30" s="72"/>
      <c r="W30" s="72"/>
      <c r="X30" s="72"/>
      <c r="Y30" s="72"/>
      <c r="Z30" s="72"/>
      <c r="AA30" s="72"/>
      <c r="AB30" s="72"/>
      <c r="AC30" s="72"/>
      <c r="AD30" s="72"/>
    </row>
    <row r="31" spans="1:30" x14ac:dyDescent="0.25">
      <c r="A31" s="55">
        <v>220</v>
      </c>
      <c r="B31" s="56" t="s">
        <v>123</v>
      </c>
      <c r="L31" s="65">
        <v>11138</v>
      </c>
      <c r="M31" t="s">
        <v>295</v>
      </c>
      <c r="P31" s="70" t="s">
        <v>3589</v>
      </c>
      <c r="Q31" s="73" t="s">
        <v>3645</v>
      </c>
      <c r="R31" s="72"/>
      <c r="S31" s="72"/>
      <c r="T31" s="72"/>
      <c r="U31" s="72"/>
      <c r="V31" s="72"/>
      <c r="W31" s="72"/>
      <c r="X31" s="72"/>
      <c r="Y31" s="72"/>
      <c r="Z31" s="72"/>
      <c r="AA31" s="72"/>
      <c r="AB31" s="72"/>
      <c r="AC31" s="72"/>
      <c r="AD31" s="72"/>
    </row>
    <row r="32" spans="1:30" x14ac:dyDescent="0.25">
      <c r="A32" s="55">
        <v>230</v>
      </c>
      <c r="B32" s="56" t="s">
        <v>124</v>
      </c>
      <c r="L32" s="65">
        <v>11139</v>
      </c>
      <c r="M32" t="s">
        <v>296</v>
      </c>
      <c r="P32" s="70" t="s">
        <v>3592</v>
      </c>
      <c r="Q32" s="73" t="s">
        <v>3646</v>
      </c>
      <c r="R32" s="72"/>
      <c r="S32" s="72"/>
      <c r="T32" s="72"/>
      <c r="U32" s="72"/>
      <c r="V32" s="72"/>
      <c r="W32" s="72"/>
      <c r="X32" s="72"/>
      <c r="Y32" s="72"/>
      <c r="Z32" s="72"/>
      <c r="AA32" s="72"/>
      <c r="AB32" s="72"/>
      <c r="AC32" s="72"/>
      <c r="AD32" s="72"/>
    </row>
    <row r="33" spans="1:30" x14ac:dyDescent="0.25">
      <c r="A33" s="55">
        <v>240</v>
      </c>
      <c r="B33" s="56" t="s">
        <v>125</v>
      </c>
      <c r="L33" s="65">
        <v>11140</v>
      </c>
      <c r="M33" t="s">
        <v>297</v>
      </c>
      <c r="P33" s="70" t="s">
        <v>3595</v>
      </c>
      <c r="Q33" s="73" t="s">
        <v>3647</v>
      </c>
      <c r="R33" s="73" t="s">
        <v>3648</v>
      </c>
      <c r="S33" s="73" t="s">
        <v>3649</v>
      </c>
      <c r="T33" s="73" t="s">
        <v>3650</v>
      </c>
      <c r="U33" s="73" t="s">
        <v>3651</v>
      </c>
      <c r="V33" s="73" t="s">
        <v>3652</v>
      </c>
      <c r="W33" s="72"/>
      <c r="X33" s="72"/>
      <c r="Y33" s="72"/>
      <c r="Z33" s="72"/>
      <c r="AA33" s="72"/>
      <c r="AB33" s="72"/>
      <c r="AC33" s="72"/>
      <c r="AD33" s="72"/>
    </row>
    <row r="34" spans="1:30" x14ac:dyDescent="0.25">
      <c r="A34" s="55">
        <v>250</v>
      </c>
      <c r="B34" s="56" t="s">
        <v>126</v>
      </c>
      <c r="L34" s="65">
        <v>11141</v>
      </c>
      <c r="M34" t="s">
        <v>298</v>
      </c>
      <c r="P34" s="70" t="s">
        <v>3598</v>
      </c>
      <c r="Q34" s="73" t="s">
        <v>3653</v>
      </c>
      <c r="R34" s="72"/>
      <c r="S34" s="72"/>
      <c r="T34" s="72"/>
      <c r="U34" s="72"/>
      <c r="V34" s="72"/>
      <c r="W34" s="72"/>
      <c r="X34" s="72"/>
      <c r="Y34" s="72"/>
      <c r="Z34" s="72"/>
      <c r="AA34" s="72"/>
      <c r="AB34" s="72"/>
      <c r="AC34" s="72"/>
      <c r="AD34" s="72"/>
    </row>
    <row r="35" spans="1:30" x14ac:dyDescent="0.25">
      <c r="A35" s="52">
        <v>300</v>
      </c>
      <c r="B35" s="53" t="s">
        <v>127</v>
      </c>
      <c r="L35" s="65">
        <v>11142</v>
      </c>
      <c r="M35" t="s">
        <v>299</v>
      </c>
      <c r="P35" s="70" t="s">
        <v>3601</v>
      </c>
      <c r="Q35" s="71" t="s">
        <v>3654</v>
      </c>
      <c r="R35" s="71" t="s">
        <v>3655</v>
      </c>
      <c r="S35" s="72"/>
      <c r="T35" s="72"/>
      <c r="U35" s="72"/>
      <c r="V35" s="72"/>
      <c r="W35" s="72"/>
      <c r="X35" s="72"/>
      <c r="Y35" s="72"/>
      <c r="Z35" s="72"/>
      <c r="AA35" s="72"/>
      <c r="AB35" s="72"/>
      <c r="AC35" s="72"/>
      <c r="AD35" s="72"/>
    </row>
    <row r="36" spans="1:30" x14ac:dyDescent="0.25">
      <c r="A36" s="55">
        <v>310</v>
      </c>
      <c r="B36" s="56" t="s">
        <v>128</v>
      </c>
      <c r="L36" s="65">
        <v>11143</v>
      </c>
      <c r="M36" t="s">
        <v>300</v>
      </c>
      <c r="P36" s="70" t="s">
        <v>3604</v>
      </c>
      <c r="Q36" s="71" t="s">
        <v>3656</v>
      </c>
      <c r="R36" s="71" t="s">
        <v>3657</v>
      </c>
      <c r="S36" s="71" t="s">
        <v>3658</v>
      </c>
      <c r="T36" s="72"/>
      <c r="U36" s="72"/>
      <c r="V36" s="72"/>
      <c r="W36" s="72"/>
      <c r="X36" s="72"/>
      <c r="Y36" s="72"/>
      <c r="Z36" s="72"/>
      <c r="AA36" s="72"/>
      <c r="AB36" s="72"/>
      <c r="AC36" s="72"/>
      <c r="AD36" s="72"/>
    </row>
    <row r="37" spans="1:30" x14ac:dyDescent="0.25">
      <c r="A37" s="55">
        <v>320</v>
      </c>
      <c r="B37" s="56" t="s">
        <v>129</v>
      </c>
      <c r="L37" s="65">
        <v>11145</v>
      </c>
      <c r="M37" t="s">
        <v>301</v>
      </c>
      <c r="P37" s="70" t="s">
        <v>3607</v>
      </c>
      <c r="Q37" s="71" t="s">
        <v>3659</v>
      </c>
      <c r="R37" s="71" t="s">
        <v>3660</v>
      </c>
      <c r="S37" s="71" t="s">
        <v>3661</v>
      </c>
      <c r="T37" s="71" t="s">
        <v>3662</v>
      </c>
      <c r="U37" s="71" t="s">
        <v>3663</v>
      </c>
      <c r="V37" s="71" t="s">
        <v>3664</v>
      </c>
      <c r="W37" s="71" t="s">
        <v>3665</v>
      </c>
      <c r="X37" s="71" t="s">
        <v>3666</v>
      </c>
      <c r="Y37" s="71" t="s">
        <v>3667</v>
      </c>
      <c r="Z37" s="71" t="s">
        <v>3668</v>
      </c>
      <c r="AA37" s="72"/>
      <c r="AB37" s="72"/>
      <c r="AC37" s="72"/>
      <c r="AD37" s="72"/>
    </row>
    <row r="38" spans="1:30" x14ac:dyDescent="0.25">
      <c r="A38" s="55">
        <v>330</v>
      </c>
      <c r="B38" s="56" t="s">
        <v>130</v>
      </c>
      <c r="L38" s="65">
        <v>11146</v>
      </c>
      <c r="M38" t="s">
        <v>302</v>
      </c>
    </row>
    <row r="39" spans="1:30" x14ac:dyDescent="0.25">
      <c r="A39" s="55">
        <v>350</v>
      </c>
      <c r="B39" s="56" t="s">
        <v>131</v>
      </c>
      <c r="L39" s="65">
        <v>11147</v>
      </c>
      <c r="M39" t="s">
        <v>303</v>
      </c>
    </row>
    <row r="40" spans="1:30" x14ac:dyDescent="0.25">
      <c r="A40" s="55">
        <v>360</v>
      </c>
      <c r="B40" s="56" t="s">
        <v>132</v>
      </c>
      <c r="L40" s="65">
        <v>11148</v>
      </c>
      <c r="M40" t="s">
        <v>304</v>
      </c>
    </row>
    <row r="41" spans="1:30" x14ac:dyDescent="0.25">
      <c r="A41" s="52">
        <v>400</v>
      </c>
      <c r="B41" s="53" t="s">
        <v>133</v>
      </c>
      <c r="L41" s="65">
        <v>11149</v>
      </c>
      <c r="M41" t="s">
        <v>305</v>
      </c>
    </row>
    <row r="42" spans="1:30" x14ac:dyDescent="0.25">
      <c r="A42" s="55">
        <v>410</v>
      </c>
      <c r="B42" s="56" t="s">
        <v>134</v>
      </c>
      <c r="L42" s="65">
        <v>11150</v>
      </c>
      <c r="M42" t="s">
        <v>306</v>
      </c>
    </row>
    <row r="43" spans="1:30" x14ac:dyDescent="0.25">
      <c r="A43" s="58">
        <v>411</v>
      </c>
      <c r="B43" s="59" t="s">
        <v>135</v>
      </c>
      <c r="L43" s="65">
        <v>11151</v>
      </c>
      <c r="M43" t="s">
        <v>307</v>
      </c>
    </row>
    <row r="44" spans="1:30" x14ac:dyDescent="0.25">
      <c r="A44" s="58">
        <v>412</v>
      </c>
      <c r="B44" s="59" t="s">
        <v>136</v>
      </c>
      <c r="L44" s="65">
        <v>11152</v>
      </c>
      <c r="M44" t="s">
        <v>308</v>
      </c>
    </row>
    <row r="45" spans="1:30" x14ac:dyDescent="0.25">
      <c r="A45" s="55">
        <v>420</v>
      </c>
      <c r="B45" s="56" t="s">
        <v>137</v>
      </c>
      <c r="L45" s="65">
        <v>11153</v>
      </c>
      <c r="M45" t="s">
        <v>309</v>
      </c>
    </row>
    <row r="46" spans="1:30" x14ac:dyDescent="0.25">
      <c r="A46" s="58">
        <v>421</v>
      </c>
      <c r="B46" s="59" t="s">
        <v>138</v>
      </c>
      <c r="L46" s="65">
        <v>11154</v>
      </c>
      <c r="M46" t="s">
        <v>310</v>
      </c>
    </row>
    <row r="47" spans="1:30" x14ac:dyDescent="0.25">
      <c r="A47" s="58">
        <v>422</v>
      </c>
      <c r="B47" s="59" t="s">
        <v>139</v>
      </c>
      <c r="L47" s="65">
        <v>11155</v>
      </c>
      <c r="M47" t="s">
        <v>311</v>
      </c>
    </row>
    <row r="48" spans="1:30" x14ac:dyDescent="0.25">
      <c r="A48" s="58">
        <v>423</v>
      </c>
      <c r="B48" s="59" t="s">
        <v>140</v>
      </c>
      <c r="L48" s="65">
        <v>11156</v>
      </c>
      <c r="M48" t="s">
        <v>312</v>
      </c>
    </row>
    <row r="49" spans="1:13" x14ac:dyDescent="0.25">
      <c r="A49" s="55">
        <v>430</v>
      </c>
      <c r="B49" s="56" t="s">
        <v>141</v>
      </c>
      <c r="L49" s="65">
        <v>11157</v>
      </c>
      <c r="M49" t="s">
        <v>313</v>
      </c>
    </row>
    <row r="50" spans="1:13" x14ac:dyDescent="0.25">
      <c r="A50" s="58">
        <v>431</v>
      </c>
      <c r="B50" s="59" t="s">
        <v>142</v>
      </c>
      <c r="L50" s="65">
        <v>11158</v>
      </c>
      <c r="M50" t="s">
        <v>314</v>
      </c>
    </row>
    <row r="51" spans="1:13" x14ac:dyDescent="0.25">
      <c r="A51" s="58">
        <v>432</v>
      </c>
      <c r="B51" s="59" t="s">
        <v>143</v>
      </c>
      <c r="L51" s="65">
        <v>11159</v>
      </c>
      <c r="M51" t="s">
        <v>315</v>
      </c>
    </row>
    <row r="52" spans="1:13" x14ac:dyDescent="0.25">
      <c r="A52" s="58">
        <v>433</v>
      </c>
      <c r="B52" s="59" t="s">
        <v>144</v>
      </c>
      <c r="L52" s="65">
        <v>11190</v>
      </c>
      <c r="M52" t="s">
        <v>316</v>
      </c>
    </row>
    <row r="53" spans="1:13" x14ac:dyDescent="0.25">
      <c r="A53" s="58">
        <v>434</v>
      </c>
      <c r="B53" s="59" t="s">
        <v>145</v>
      </c>
      <c r="L53" s="65">
        <v>11191</v>
      </c>
      <c r="M53" t="s">
        <v>317</v>
      </c>
    </row>
    <row r="54" spans="1:13" x14ac:dyDescent="0.25">
      <c r="A54" s="58">
        <v>435</v>
      </c>
      <c r="B54" s="59" t="s">
        <v>146</v>
      </c>
      <c r="L54" s="65">
        <v>11192</v>
      </c>
      <c r="M54" t="s">
        <v>318</v>
      </c>
    </row>
    <row r="55" spans="1:13" x14ac:dyDescent="0.25">
      <c r="A55" s="58">
        <v>436</v>
      </c>
      <c r="B55" s="59" t="s">
        <v>147</v>
      </c>
      <c r="L55" s="65">
        <v>11193</v>
      </c>
      <c r="M55" t="s">
        <v>319</v>
      </c>
    </row>
    <row r="56" spans="1:13" x14ac:dyDescent="0.25">
      <c r="A56" s="55">
        <v>440</v>
      </c>
      <c r="B56" s="56" t="s">
        <v>148</v>
      </c>
      <c r="L56" s="65">
        <v>11194</v>
      </c>
      <c r="M56" t="s">
        <v>320</v>
      </c>
    </row>
    <row r="57" spans="1:13" x14ac:dyDescent="0.25">
      <c r="A57" s="58">
        <v>441</v>
      </c>
      <c r="B57" s="59" t="s">
        <v>149</v>
      </c>
      <c r="L57" s="65">
        <v>11195</v>
      </c>
      <c r="M57" t="s">
        <v>321</v>
      </c>
    </row>
    <row r="58" spans="1:13" x14ac:dyDescent="0.25">
      <c r="A58" s="58">
        <v>442</v>
      </c>
      <c r="B58" s="59" t="s">
        <v>150</v>
      </c>
      <c r="L58" s="65">
        <v>11196</v>
      </c>
      <c r="M58" t="s">
        <v>322</v>
      </c>
    </row>
    <row r="59" spans="1:13" x14ac:dyDescent="0.25">
      <c r="A59" s="58">
        <v>443</v>
      </c>
      <c r="B59" s="59" t="s">
        <v>151</v>
      </c>
      <c r="L59" s="65">
        <v>11197</v>
      </c>
      <c r="M59" t="s">
        <v>323</v>
      </c>
    </row>
    <row r="60" spans="1:13" x14ac:dyDescent="0.25">
      <c r="A60" s="55">
        <v>450</v>
      </c>
      <c r="B60" s="56" t="s">
        <v>152</v>
      </c>
      <c r="L60" s="65">
        <v>11198</v>
      </c>
      <c r="M60" t="s">
        <v>324</v>
      </c>
    </row>
    <row r="61" spans="1:13" x14ac:dyDescent="0.25">
      <c r="A61" s="58">
        <v>451</v>
      </c>
      <c r="B61" s="59" t="s">
        <v>153</v>
      </c>
      <c r="L61" s="65">
        <v>11199</v>
      </c>
      <c r="M61" t="s">
        <v>325</v>
      </c>
    </row>
    <row r="62" spans="1:13" x14ac:dyDescent="0.25">
      <c r="A62" s="58">
        <v>452</v>
      </c>
      <c r="B62" s="59" t="s">
        <v>154</v>
      </c>
      <c r="L62" s="65">
        <v>11200</v>
      </c>
      <c r="M62" t="s">
        <v>326</v>
      </c>
    </row>
    <row r="63" spans="1:13" x14ac:dyDescent="0.25">
      <c r="A63" s="58">
        <v>453</v>
      </c>
      <c r="B63" s="59" t="s">
        <v>155</v>
      </c>
      <c r="L63" s="65">
        <v>11210</v>
      </c>
      <c r="M63" t="s">
        <v>327</v>
      </c>
    </row>
    <row r="64" spans="1:13" x14ac:dyDescent="0.25">
      <c r="A64" s="58">
        <v>454</v>
      </c>
      <c r="B64" s="59" t="s">
        <v>156</v>
      </c>
      <c r="L64" s="65">
        <v>11211</v>
      </c>
      <c r="M64" t="s">
        <v>328</v>
      </c>
    </row>
    <row r="65" spans="1:13" x14ac:dyDescent="0.25">
      <c r="A65" s="58">
        <v>455</v>
      </c>
      <c r="B65" s="59" t="s">
        <v>157</v>
      </c>
      <c r="L65" s="65">
        <v>11212</v>
      </c>
      <c r="M65" t="s">
        <v>329</v>
      </c>
    </row>
    <row r="66" spans="1:13" x14ac:dyDescent="0.25">
      <c r="A66" s="55">
        <v>460</v>
      </c>
      <c r="B66" s="56" t="s">
        <v>158</v>
      </c>
      <c r="L66" s="65">
        <v>11213</v>
      </c>
      <c r="M66" t="s">
        <v>330</v>
      </c>
    </row>
    <row r="67" spans="1:13" x14ac:dyDescent="0.25">
      <c r="A67" s="55">
        <v>470</v>
      </c>
      <c r="B67" s="56" t="s">
        <v>159</v>
      </c>
      <c r="L67" s="65">
        <v>11215</v>
      </c>
      <c r="M67" t="s">
        <v>331</v>
      </c>
    </row>
    <row r="68" spans="1:13" x14ac:dyDescent="0.25">
      <c r="A68" s="58">
        <v>471</v>
      </c>
      <c r="B68" s="59" t="s">
        <v>160</v>
      </c>
      <c r="L68" s="65">
        <v>11216</v>
      </c>
      <c r="M68" t="s">
        <v>332</v>
      </c>
    </row>
    <row r="69" spans="1:13" x14ac:dyDescent="0.25">
      <c r="A69" s="58">
        <v>472</v>
      </c>
      <c r="B69" s="59" t="s">
        <v>161</v>
      </c>
      <c r="L69" s="65">
        <v>11217</v>
      </c>
      <c r="M69" t="s">
        <v>333</v>
      </c>
    </row>
    <row r="70" spans="1:13" x14ac:dyDescent="0.25">
      <c r="A70" s="58">
        <v>473</v>
      </c>
      <c r="B70" s="59" t="s">
        <v>162</v>
      </c>
      <c r="L70" s="65">
        <v>11218</v>
      </c>
      <c r="M70" t="s">
        <v>334</v>
      </c>
    </row>
    <row r="71" spans="1:13" x14ac:dyDescent="0.25">
      <c r="A71" s="58">
        <v>474</v>
      </c>
      <c r="B71" s="59" t="s">
        <v>163</v>
      </c>
      <c r="L71" s="65">
        <v>11219</v>
      </c>
      <c r="M71" t="s">
        <v>335</v>
      </c>
    </row>
    <row r="72" spans="1:13" x14ac:dyDescent="0.25">
      <c r="A72" s="55">
        <v>480</v>
      </c>
      <c r="B72" s="56" t="s">
        <v>164</v>
      </c>
      <c r="L72" s="65">
        <v>11220</v>
      </c>
      <c r="M72" t="s">
        <v>336</v>
      </c>
    </row>
    <row r="73" spans="1:13" x14ac:dyDescent="0.25">
      <c r="A73" s="58">
        <v>481</v>
      </c>
      <c r="B73" s="59" t="s">
        <v>165</v>
      </c>
      <c r="L73" s="65">
        <v>11221</v>
      </c>
      <c r="M73" t="s">
        <v>337</v>
      </c>
    </row>
    <row r="74" spans="1:13" x14ac:dyDescent="0.25">
      <c r="A74" s="58">
        <v>482</v>
      </c>
      <c r="B74" s="59" t="s">
        <v>166</v>
      </c>
      <c r="L74" s="65">
        <v>11222</v>
      </c>
      <c r="M74" t="s">
        <v>338</v>
      </c>
    </row>
    <row r="75" spans="1:13" x14ac:dyDescent="0.25">
      <c r="A75" s="58">
        <v>483</v>
      </c>
      <c r="B75" s="59" t="s">
        <v>167</v>
      </c>
      <c r="L75" s="65">
        <v>11223</v>
      </c>
      <c r="M75" t="s">
        <v>339</v>
      </c>
    </row>
    <row r="76" spans="1:13" x14ac:dyDescent="0.25">
      <c r="A76" s="58">
        <v>484</v>
      </c>
      <c r="B76" s="59" t="s">
        <v>168</v>
      </c>
      <c r="L76" s="65">
        <v>11224</v>
      </c>
      <c r="M76" t="s">
        <v>340</v>
      </c>
    </row>
    <row r="77" spans="1:13" x14ac:dyDescent="0.25">
      <c r="A77" s="58">
        <v>485</v>
      </c>
      <c r="B77" s="59" t="s">
        <v>169</v>
      </c>
      <c r="L77" s="65">
        <v>11225</v>
      </c>
      <c r="M77" t="s">
        <v>341</v>
      </c>
    </row>
    <row r="78" spans="1:13" x14ac:dyDescent="0.25">
      <c r="A78" s="58">
        <v>486</v>
      </c>
      <c r="B78" s="59" t="s">
        <v>170</v>
      </c>
      <c r="L78" s="65">
        <v>11226</v>
      </c>
      <c r="M78" t="s">
        <v>342</v>
      </c>
    </row>
    <row r="79" spans="1:13" x14ac:dyDescent="0.25">
      <c r="A79" s="58">
        <v>487</v>
      </c>
      <c r="B79" s="59" t="s">
        <v>171</v>
      </c>
      <c r="L79" s="65">
        <v>11227</v>
      </c>
      <c r="M79" t="s">
        <v>343</v>
      </c>
    </row>
    <row r="80" spans="1:13" x14ac:dyDescent="0.25">
      <c r="A80" s="55">
        <v>490</v>
      </c>
      <c r="B80" s="56" t="s">
        <v>172</v>
      </c>
      <c r="L80" s="65">
        <v>11228</v>
      </c>
      <c r="M80" t="s">
        <v>344</v>
      </c>
    </row>
    <row r="81" spans="1:13" x14ac:dyDescent="0.25">
      <c r="A81" s="52">
        <v>500</v>
      </c>
      <c r="B81" s="53" t="s">
        <v>173</v>
      </c>
      <c r="L81" s="65">
        <v>11229</v>
      </c>
      <c r="M81" t="s">
        <v>345</v>
      </c>
    </row>
    <row r="82" spans="1:13" x14ac:dyDescent="0.25">
      <c r="A82" s="55">
        <v>510</v>
      </c>
      <c r="B82" s="56" t="s">
        <v>174</v>
      </c>
      <c r="L82" s="65">
        <v>11230</v>
      </c>
      <c r="M82" t="s">
        <v>346</v>
      </c>
    </row>
    <row r="83" spans="1:13" x14ac:dyDescent="0.25">
      <c r="A83" s="55">
        <v>520</v>
      </c>
      <c r="B83" s="56" t="s">
        <v>175</v>
      </c>
      <c r="L83" s="65">
        <v>11231</v>
      </c>
      <c r="M83" t="s">
        <v>346</v>
      </c>
    </row>
    <row r="84" spans="1:13" x14ac:dyDescent="0.25">
      <c r="A84" s="55">
        <v>530</v>
      </c>
      <c r="B84" s="56" t="s">
        <v>176</v>
      </c>
      <c r="L84" s="65">
        <v>11236</v>
      </c>
      <c r="M84" t="s">
        <v>347</v>
      </c>
    </row>
    <row r="85" spans="1:13" x14ac:dyDescent="0.25">
      <c r="A85" s="55">
        <v>540</v>
      </c>
      <c r="B85" s="56" t="s">
        <v>177</v>
      </c>
      <c r="L85" s="65">
        <v>11237</v>
      </c>
      <c r="M85" t="s">
        <v>348</v>
      </c>
    </row>
    <row r="86" spans="1:13" x14ac:dyDescent="0.25">
      <c r="A86" s="55">
        <v>550</v>
      </c>
      <c r="B86" s="56" t="s">
        <v>178</v>
      </c>
      <c r="L86" s="65">
        <v>11238</v>
      </c>
      <c r="M86" t="s">
        <v>349</v>
      </c>
    </row>
    <row r="87" spans="1:13" x14ac:dyDescent="0.25">
      <c r="A87" s="55">
        <v>560</v>
      </c>
      <c r="B87" s="56" t="s">
        <v>179</v>
      </c>
      <c r="L87" s="65">
        <v>11239</v>
      </c>
      <c r="M87" t="s">
        <v>350</v>
      </c>
    </row>
    <row r="88" spans="1:13" x14ac:dyDescent="0.25">
      <c r="A88" s="52">
        <v>600</v>
      </c>
      <c r="B88" s="53" t="s">
        <v>180</v>
      </c>
      <c r="L88" s="65">
        <v>11240</v>
      </c>
      <c r="M88" t="s">
        <v>351</v>
      </c>
    </row>
    <row r="89" spans="1:13" x14ac:dyDescent="0.25">
      <c r="A89" s="55">
        <v>610</v>
      </c>
      <c r="B89" s="56" t="s">
        <v>181</v>
      </c>
      <c r="L89" s="65">
        <v>11241</v>
      </c>
      <c r="M89" t="s">
        <v>351</v>
      </c>
    </row>
    <row r="90" spans="1:13" x14ac:dyDescent="0.25">
      <c r="A90" s="55">
        <v>620</v>
      </c>
      <c r="B90" s="56" t="s">
        <v>182</v>
      </c>
      <c r="L90" s="65">
        <v>11246</v>
      </c>
      <c r="M90" t="s">
        <v>352</v>
      </c>
    </row>
    <row r="91" spans="1:13" x14ac:dyDescent="0.25">
      <c r="A91" s="55">
        <v>630</v>
      </c>
      <c r="B91" s="56" t="s">
        <v>183</v>
      </c>
      <c r="L91" s="65">
        <v>11247</v>
      </c>
      <c r="M91" t="s">
        <v>353</v>
      </c>
    </row>
    <row r="92" spans="1:13" x14ac:dyDescent="0.25">
      <c r="A92" s="55">
        <v>640</v>
      </c>
      <c r="B92" s="56" t="s">
        <v>184</v>
      </c>
      <c r="L92" s="65">
        <v>11248</v>
      </c>
      <c r="M92" t="s">
        <v>354</v>
      </c>
    </row>
    <row r="93" spans="1:13" x14ac:dyDescent="0.25">
      <c r="A93" s="55">
        <v>650</v>
      </c>
      <c r="B93" s="56" t="s">
        <v>185</v>
      </c>
      <c r="L93" s="65">
        <v>11249</v>
      </c>
      <c r="M93" t="s">
        <v>355</v>
      </c>
    </row>
    <row r="94" spans="1:13" x14ac:dyDescent="0.25">
      <c r="A94" s="55">
        <v>660</v>
      </c>
      <c r="B94" s="56" t="s">
        <v>186</v>
      </c>
      <c r="L94" s="65">
        <v>11250</v>
      </c>
      <c r="M94" t="s">
        <v>356</v>
      </c>
    </row>
    <row r="95" spans="1:13" x14ac:dyDescent="0.25">
      <c r="A95" s="52">
        <v>700</v>
      </c>
      <c r="B95" s="53" t="s">
        <v>187</v>
      </c>
      <c r="L95" s="65">
        <v>11251</v>
      </c>
      <c r="M95" t="s">
        <v>357</v>
      </c>
    </row>
    <row r="96" spans="1:13" x14ac:dyDescent="0.25">
      <c r="A96" s="55">
        <v>710</v>
      </c>
      <c r="B96" s="56" t="s">
        <v>188</v>
      </c>
      <c r="L96" s="65">
        <v>11252</v>
      </c>
      <c r="M96" t="s">
        <v>358</v>
      </c>
    </row>
    <row r="97" spans="1:13" x14ac:dyDescent="0.25">
      <c r="A97" s="58">
        <v>711</v>
      </c>
      <c r="B97" s="59" t="s">
        <v>189</v>
      </c>
      <c r="L97" s="65">
        <v>11253</v>
      </c>
      <c r="M97" t="s">
        <v>359</v>
      </c>
    </row>
    <row r="98" spans="1:13" x14ac:dyDescent="0.25">
      <c r="A98" s="58">
        <v>712</v>
      </c>
      <c r="B98" s="59" t="s">
        <v>190</v>
      </c>
      <c r="L98" s="65">
        <v>11255</v>
      </c>
      <c r="M98" t="s">
        <v>360</v>
      </c>
    </row>
    <row r="99" spans="1:13" x14ac:dyDescent="0.25">
      <c r="A99" s="58">
        <v>713</v>
      </c>
      <c r="B99" s="59" t="s">
        <v>191</v>
      </c>
      <c r="L99" s="65">
        <v>11256</v>
      </c>
      <c r="M99" t="s">
        <v>361</v>
      </c>
    </row>
    <row r="100" spans="1:13" x14ac:dyDescent="0.25">
      <c r="A100" s="55">
        <v>720</v>
      </c>
      <c r="B100" s="56" t="s">
        <v>192</v>
      </c>
      <c r="L100" s="65">
        <v>11257</v>
      </c>
      <c r="M100" t="s">
        <v>362</v>
      </c>
    </row>
    <row r="101" spans="1:13" x14ac:dyDescent="0.25">
      <c r="A101" s="58">
        <v>721</v>
      </c>
      <c r="B101" s="59" t="s">
        <v>193</v>
      </c>
      <c r="L101" s="65">
        <v>11258</v>
      </c>
      <c r="M101" t="s">
        <v>363</v>
      </c>
    </row>
    <row r="102" spans="1:13" x14ac:dyDescent="0.25">
      <c r="A102" s="58">
        <v>722</v>
      </c>
      <c r="B102" s="59" t="s">
        <v>194</v>
      </c>
      <c r="L102" s="65">
        <v>11259</v>
      </c>
      <c r="M102" t="s">
        <v>364</v>
      </c>
    </row>
    <row r="103" spans="1:13" x14ac:dyDescent="0.25">
      <c r="A103" s="58">
        <v>723</v>
      </c>
      <c r="B103" s="59" t="s">
        <v>195</v>
      </c>
      <c r="L103" s="65">
        <v>11260</v>
      </c>
      <c r="M103" t="s">
        <v>365</v>
      </c>
    </row>
    <row r="104" spans="1:13" x14ac:dyDescent="0.25">
      <c r="A104" s="58">
        <v>724</v>
      </c>
      <c r="B104" s="59" t="s">
        <v>196</v>
      </c>
      <c r="L104" s="65">
        <v>11261</v>
      </c>
      <c r="M104" t="s">
        <v>366</v>
      </c>
    </row>
    <row r="105" spans="1:13" x14ac:dyDescent="0.25">
      <c r="A105" s="55">
        <v>730</v>
      </c>
      <c r="B105" s="56" t="s">
        <v>197</v>
      </c>
      <c r="L105" s="65">
        <v>11262</v>
      </c>
      <c r="M105" t="s">
        <v>367</v>
      </c>
    </row>
    <row r="106" spans="1:13" x14ac:dyDescent="0.25">
      <c r="A106" s="58">
        <v>731</v>
      </c>
      <c r="B106" s="59" t="s">
        <v>198</v>
      </c>
      <c r="L106" s="65">
        <v>11263</v>
      </c>
      <c r="M106" t="s">
        <v>368</v>
      </c>
    </row>
    <row r="107" spans="1:13" x14ac:dyDescent="0.25">
      <c r="A107" s="58">
        <v>732</v>
      </c>
      <c r="B107" s="59" t="s">
        <v>199</v>
      </c>
      <c r="L107" s="65">
        <v>11264</v>
      </c>
      <c r="M107" t="s">
        <v>369</v>
      </c>
    </row>
    <row r="108" spans="1:13" x14ac:dyDescent="0.25">
      <c r="A108" s="58">
        <v>733</v>
      </c>
      <c r="B108" s="59" t="s">
        <v>200</v>
      </c>
      <c r="L108" s="65">
        <v>11266</v>
      </c>
      <c r="M108" t="s">
        <v>370</v>
      </c>
    </row>
    <row r="109" spans="1:13" x14ac:dyDescent="0.25">
      <c r="A109" s="58">
        <v>734</v>
      </c>
      <c r="B109" s="59" t="s">
        <v>201</v>
      </c>
      <c r="L109" s="65">
        <v>11267</v>
      </c>
      <c r="M109" t="s">
        <v>371</v>
      </c>
    </row>
    <row r="110" spans="1:13" x14ac:dyDescent="0.25">
      <c r="A110" s="55">
        <v>740</v>
      </c>
      <c r="B110" s="56" t="s">
        <v>202</v>
      </c>
      <c r="L110" s="65">
        <v>11268</v>
      </c>
      <c r="M110" t="s">
        <v>372</v>
      </c>
    </row>
    <row r="111" spans="1:13" x14ac:dyDescent="0.25">
      <c r="A111" s="55">
        <v>750</v>
      </c>
      <c r="B111" s="56" t="s">
        <v>203</v>
      </c>
      <c r="L111" s="65">
        <v>11269</v>
      </c>
      <c r="M111" t="s">
        <v>373</v>
      </c>
    </row>
    <row r="112" spans="1:13" x14ac:dyDescent="0.25">
      <c r="A112" s="55">
        <v>760</v>
      </c>
      <c r="B112" s="56" t="s">
        <v>204</v>
      </c>
      <c r="L112" s="65">
        <v>11270</v>
      </c>
      <c r="M112" t="s">
        <v>374</v>
      </c>
    </row>
    <row r="113" spans="1:13" x14ac:dyDescent="0.25">
      <c r="A113" s="52">
        <v>800</v>
      </c>
      <c r="B113" s="53" t="s">
        <v>205</v>
      </c>
      <c r="L113" s="65">
        <v>11271</v>
      </c>
      <c r="M113" t="s">
        <v>374</v>
      </c>
    </row>
    <row r="114" spans="1:13" x14ac:dyDescent="0.25">
      <c r="A114" s="55">
        <v>810</v>
      </c>
      <c r="B114" s="56" t="s">
        <v>206</v>
      </c>
      <c r="L114" s="65">
        <v>11276</v>
      </c>
      <c r="M114" t="s">
        <v>375</v>
      </c>
    </row>
    <row r="115" spans="1:13" x14ac:dyDescent="0.25">
      <c r="A115" s="55">
        <v>820</v>
      </c>
      <c r="B115" s="56" t="s">
        <v>207</v>
      </c>
      <c r="L115" s="65">
        <v>11277</v>
      </c>
      <c r="M115" t="s">
        <v>376</v>
      </c>
    </row>
    <row r="116" spans="1:13" x14ac:dyDescent="0.25">
      <c r="A116" s="55">
        <v>830</v>
      </c>
      <c r="B116" s="56" t="s">
        <v>208</v>
      </c>
      <c r="L116" s="65">
        <v>11278</v>
      </c>
      <c r="M116" t="s">
        <v>377</v>
      </c>
    </row>
    <row r="117" spans="1:13" x14ac:dyDescent="0.25">
      <c r="A117" s="55">
        <v>840</v>
      </c>
      <c r="B117" s="56" t="s">
        <v>209</v>
      </c>
      <c r="L117" s="65">
        <v>11279</v>
      </c>
      <c r="M117" t="s">
        <v>378</v>
      </c>
    </row>
    <row r="118" spans="1:13" x14ac:dyDescent="0.25">
      <c r="A118" s="55">
        <v>850</v>
      </c>
      <c r="B118" s="56" t="s">
        <v>210</v>
      </c>
      <c r="L118" s="65">
        <v>11280</v>
      </c>
      <c r="M118" t="s">
        <v>379</v>
      </c>
    </row>
    <row r="119" spans="1:13" x14ac:dyDescent="0.25">
      <c r="A119" s="55">
        <v>860</v>
      </c>
      <c r="B119" s="56" t="s">
        <v>211</v>
      </c>
      <c r="L119" s="65">
        <v>11281</v>
      </c>
      <c r="M119" t="s">
        <v>379</v>
      </c>
    </row>
    <row r="120" spans="1:13" x14ac:dyDescent="0.25">
      <c r="A120" s="52">
        <v>900</v>
      </c>
      <c r="B120" s="53" t="s">
        <v>212</v>
      </c>
      <c r="L120" s="65">
        <v>11286</v>
      </c>
      <c r="M120" t="s">
        <v>380</v>
      </c>
    </row>
    <row r="121" spans="1:13" x14ac:dyDescent="0.25">
      <c r="A121" s="55">
        <v>910</v>
      </c>
      <c r="B121" s="56" t="s">
        <v>213</v>
      </c>
      <c r="L121" s="65">
        <v>11287</v>
      </c>
      <c r="M121" t="s">
        <v>381</v>
      </c>
    </row>
    <row r="122" spans="1:13" x14ac:dyDescent="0.25">
      <c r="A122" s="58">
        <v>911</v>
      </c>
      <c r="B122" s="59" t="s">
        <v>214</v>
      </c>
      <c r="L122" s="65">
        <v>11288</v>
      </c>
      <c r="M122" t="s">
        <v>382</v>
      </c>
    </row>
    <row r="123" spans="1:13" x14ac:dyDescent="0.25">
      <c r="A123" s="58">
        <v>912</v>
      </c>
      <c r="B123" s="59" t="s">
        <v>215</v>
      </c>
      <c r="L123" s="65">
        <v>11289</v>
      </c>
      <c r="M123" t="s">
        <v>383</v>
      </c>
    </row>
    <row r="124" spans="1:13" x14ac:dyDescent="0.25">
      <c r="A124" s="58">
        <v>913</v>
      </c>
      <c r="B124" s="59" t="s">
        <v>216</v>
      </c>
      <c r="L124" s="65">
        <v>11290</v>
      </c>
      <c r="M124" t="s">
        <v>384</v>
      </c>
    </row>
    <row r="125" spans="1:13" x14ac:dyDescent="0.25">
      <c r="A125" s="58">
        <v>914</v>
      </c>
      <c r="B125" s="59" t="s">
        <v>217</v>
      </c>
      <c r="L125" s="65">
        <v>11291</v>
      </c>
      <c r="M125" t="s">
        <v>385</v>
      </c>
    </row>
    <row r="126" spans="1:13" x14ac:dyDescent="0.25">
      <c r="A126" s="58">
        <v>915</v>
      </c>
      <c r="B126" s="59" t="s">
        <v>218</v>
      </c>
      <c r="L126" s="65">
        <v>11292</v>
      </c>
      <c r="M126" t="s">
        <v>386</v>
      </c>
    </row>
    <row r="127" spans="1:13" x14ac:dyDescent="0.25">
      <c r="A127" s="58">
        <v>916</v>
      </c>
      <c r="B127" s="59" t="s">
        <v>219</v>
      </c>
      <c r="L127" s="65">
        <v>11293</v>
      </c>
      <c r="M127" t="s">
        <v>387</v>
      </c>
    </row>
    <row r="128" spans="1:13" x14ac:dyDescent="0.25">
      <c r="A128" s="55">
        <v>920</v>
      </c>
      <c r="B128" s="56" t="s">
        <v>220</v>
      </c>
      <c r="L128" s="65">
        <v>11294</v>
      </c>
      <c r="M128" t="s">
        <v>388</v>
      </c>
    </row>
    <row r="129" spans="1:13" x14ac:dyDescent="0.25">
      <c r="A129" s="58">
        <v>921</v>
      </c>
      <c r="B129" s="59" t="s">
        <v>221</v>
      </c>
      <c r="L129" s="65">
        <v>11296</v>
      </c>
      <c r="M129" t="s">
        <v>389</v>
      </c>
    </row>
    <row r="130" spans="1:13" x14ac:dyDescent="0.25">
      <c r="A130" s="58">
        <v>922</v>
      </c>
      <c r="B130" s="59" t="s">
        <v>222</v>
      </c>
      <c r="L130" s="65">
        <v>11297</v>
      </c>
      <c r="M130" t="s">
        <v>390</v>
      </c>
    </row>
    <row r="131" spans="1:13" x14ac:dyDescent="0.25">
      <c r="A131" s="58">
        <v>923</v>
      </c>
      <c r="B131" s="59" t="s">
        <v>223</v>
      </c>
      <c r="L131" s="65">
        <v>11298</v>
      </c>
      <c r="M131" t="s">
        <v>391</v>
      </c>
    </row>
    <row r="132" spans="1:13" x14ac:dyDescent="0.25">
      <c r="A132" s="55">
        <v>930</v>
      </c>
      <c r="B132" s="56" t="s">
        <v>224</v>
      </c>
      <c r="L132" s="65">
        <v>11299</v>
      </c>
      <c r="M132" t="s">
        <v>392</v>
      </c>
    </row>
    <row r="133" spans="1:13" x14ac:dyDescent="0.25">
      <c r="A133" s="58">
        <v>931</v>
      </c>
      <c r="B133" s="59" t="s">
        <v>224</v>
      </c>
      <c r="L133" s="65">
        <v>11300</v>
      </c>
      <c r="M133" t="s">
        <v>393</v>
      </c>
    </row>
    <row r="134" spans="1:13" x14ac:dyDescent="0.25">
      <c r="A134" s="58">
        <v>932</v>
      </c>
      <c r="B134" s="59" t="s">
        <v>225</v>
      </c>
      <c r="L134" s="65">
        <v>11310</v>
      </c>
      <c r="M134" t="s">
        <v>393</v>
      </c>
    </row>
    <row r="135" spans="1:13" x14ac:dyDescent="0.25">
      <c r="A135" s="55">
        <v>940</v>
      </c>
      <c r="B135" s="56" t="s">
        <v>226</v>
      </c>
      <c r="L135" s="65">
        <v>11311</v>
      </c>
      <c r="M135" t="s">
        <v>393</v>
      </c>
    </row>
    <row r="136" spans="1:13" x14ac:dyDescent="0.25">
      <c r="A136" s="58">
        <v>941</v>
      </c>
      <c r="B136" s="59" t="s">
        <v>227</v>
      </c>
      <c r="L136" s="65">
        <v>11316</v>
      </c>
      <c r="M136" t="s">
        <v>394</v>
      </c>
    </row>
    <row r="137" spans="1:13" x14ac:dyDescent="0.25">
      <c r="A137" s="58">
        <v>942</v>
      </c>
      <c r="B137" s="59" t="s">
        <v>228</v>
      </c>
      <c r="L137" s="65">
        <v>11317</v>
      </c>
      <c r="M137" t="s">
        <v>395</v>
      </c>
    </row>
    <row r="138" spans="1:13" x14ac:dyDescent="0.25">
      <c r="A138" s="55">
        <v>950</v>
      </c>
      <c r="B138" s="56" t="s">
        <v>229</v>
      </c>
      <c r="L138" s="65">
        <v>11318</v>
      </c>
      <c r="M138" t="s">
        <v>396</v>
      </c>
    </row>
    <row r="139" spans="1:13" x14ac:dyDescent="0.25">
      <c r="A139" s="55">
        <v>960</v>
      </c>
      <c r="B139" s="56" t="s">
        <v>230</v>
      </c>
      <c r="L139" s="65">
        <v>11319</v>
      </c>
      <c r="M139" t="s">
        <v>397</v>
      </c>
    </row>
    <row r="140" spans="1:13" x14ac:dyDescent="0.25">
      <c r="A140" s="55">
        <v>970</v>
      </c>
      <c r="B140" s="56" t="s">
        <v>231</v>
      </c>
      <c r="L140" s="65">
        <v>12000</v>
      </c>
      <c r="M140" t="s">
        <v>398</v>
      </c>
    </row>
    <row r="141" spans="1:13" x14ac:dyDescent="0.25">
      <c r="A141" s="55">
        <v>980</v>
      </c>
      <c r="B141" s="56" t="s">
        <v>232</v>
      </c>
      <c r="L141" s="65">
        <v>12100</v>
      </c>
      <c r="M141" t="s">
        <v>398</v>
      </c>
    </row>
    <row r="142" spans="1:13" x14ac:dyDescent="0.25">
      <c r="L142" s="65">
        <v>12110</v>
      </c>
      <c r="M142" t="s">
        <v>398</v>
      </c>
    </row>
    <row r="143" spans="1:13" x14ac:dyDescent="0.25">
      <c r="L143" s="65">
        <v>12111</v>
      </c>
      <c r="M143" t="s">
        <v>399</v>
      </c>
    </row>
    <row r="144" spans="1:13" x14ac:dyDescent="0.25">
      <c r="L144" s="65">
        <v>12112</v>
      </c>
      <c r="M144" t="s">
        <v>400</v>
      </c>
    </row>
    <row r="145" spans="12:13" x14ac:dyDescent="0.25">
      <c r="L145" s="65">
        <v>12117</v>
      </c>
      <c r="M145" t="s">
        <v>401</v>
      </c>
    </row>
    <row r="146" spans="12:13" x14ac:dyDescent="0.25">
      <c r="L146" s="65">
        <v>12118</v>
      </c>
      <c r="M146" t="s">
        <v>402</v>
      </c>
    </row>
    <row r="147" spans="12:13" x14ac:dyDescent="0.25">
      <c r="L147" s="65">
        <v>12119</v>
      </c>
      <c r="M147" t="s">
        <v>403</v>
      </c>
    </row>
    <row r="148" spans="12:13" x14ac:dyDescent="0.25">
      <c r="L148" s="65">
        <v>13000</v>
      </c>
      <c r="M148" t="s">
        <v>404</v>
      </c>
    </row>
    <row r="149" spans="12:13" x14ac:dyDescent="0.25">
      <c r="L149" s="65">
        <v>13100</v>
      </c>
      <c r="M149" t="s">
        <v>404</v>
      </c>
    </row>
    <row r="150" spans="12:13" x14ac:dyDescent="0.25">
      <c r="L150" s="65">
        <v>13110</v>
      </c>
      <c r="M150" t="s">
        <v>404</v>
      </c>
    </row>
    <row r="151" spans="12:13" x14ac:dyDescent="0.25">
      <c r="L151" s="65">
        <v>13111</v>
      </c>
      <c r="M151" t="s">
        <v>405</v>
      </c>
    </row>
    <row r="152" spans="12:13" x14ac:dyDescent="0.25">
      <c r="L152" s="65">
        <v>13112</v>
      </c>
      <c r="M152" t="s">
        <v>406</v>
      </c>
    </row>
    <row r="153" spans="12:13" x14ac:dyDescent="0.25">
      <c r="L153" s="65">
        <v>13113</v>
      </c>
      <c r="M153" t="s">
        <v>407</v>
      </c>
    </row>
    <row r="154" spans="12:13" x14ac:dyDescent="0.25">
      <c r="L154" s="65">
        <v>13114</v>
      </c>
      <c r="M154" t="s">
        <v>408</v>
      </c>
    </row>
    <row r="155" spans="12:13" x14ac:dyDescent="0.25">
      <c r="L155" s="65">
        <v>13115</v>
      </c>
      <c r="M155" t="s">
        <v>409</v>
      </c>
    </row>
    <row r="156" spans="12:13" x14ac:dyDescent="0.25">
      <c r="L156" s="65">
        <v>13117</v>
      </c>
      <c r="M156" t="s">
        <v>410</v>
      </c>
    </row>
    <row r="157" spans="12:13" x14ac:dyDescent="0.25">
      <c r="L157" s="65">
        <v>13118</v>
      </c>
      <c r="M157" t="s">
        <v>411</v>
      </c>
    </row>
    <row r="158" spans="12:13" x14ac:dyDescent="0.25">
      <c r="L158" s="65">
        <v>13119</v>
      </c>
      <c r="M158" t="s">
        <v>412</v>
      </c>
    </row>
    <row r="159" spans="12:13" x14ac:dyDescent="0.25">
      <c r="L159" s="65">
        <v>14000</v>
      </c>
      <c r="M159" t="s">
        <v>413</v>
      </c>
    </row>
    <row r="160" spans="12:13" x14ac:dyDescent="0.25">
      <c r="L160" s="65">
        <v>14100</v>
      </c>
      <c r="M160" t="s">
        <v>414</v>
      </c>
    </row>
    <row r="161" spans="12:13" x14ac:dyDescent="0.25">
      <c r="L161" s="65">
        <v>14110</v>
      </c>
      <c r="M161" t="s">
        <v>414</v>
      </c>
    </row>
    <row r="162" spans="12:13" x14ac:dyDescent="0.25">
      <c r="L162" s="65">
        <v>14111</v>
      </c>
      <c r="M162" t="s">
        <v>415</v>
      </c>
    </row>
    <row r="163" spans="12:13" x14ac:dyDescent="0.25">
      <c r="L163" s="65">
        <v>14112</v>
      </c>
      <c r="M163" t="s">
        <v>416</v>
      </c>
    </row>
    <row r="164" spans="12:13" x14ac:dyDescent="0.25">
      <c r="L164" s="65">
        <v>14113</v>
      </c>
      <c r="M164" t="s">
        <v>417</v>
      </c>
    </row>
    <row r="165" spans="12:13" x14ac:dyDescent="0.25">
      <c r="L165" s="65">
        <v>14114</v>
      </c>
      <c r="M165" t="s">
        <v>418</v>
      </c>
    </row>
    <row r="166" spans="12:13" x14ac:dyDescent="0.25">
      <c r="L166" s="65">
        <v>14115</v>
      </c>
      <c r="M166" t="s">
        <v>419</v>
      </c>
    </row>
    <row r="167" spans="12:13" x14ac:dyDescent="0.25">
      <c r="L167" s="65">
        <v>14117</v>
      </c>
      <c r="M167" t="s">
        <v>420</v>
      </c>
    </row>
    <row r="168" spans="12:13" x14ac:dyDescent="0.25">
      <c r="L168" s="65">
        <v>14118</v>
      </c>
      <c r="M168" t="s">
        <v>421</v>
      </c>
    </row>
    <row r="169" spans="12:13" x14ac:dyDescent="0.25">
      <c r="L169" s="65">
        <v>14119</v>
      </c>
      <c r="M169" t="s">
        <v>422</v>
      </c>
    </row>
    <row r="170" spans="12:13" x14ac:dyDescent="0.25">
      <c r="L170" s="65">
        <v>14200</v>
      </c>
      <c r="M170" t="s">
        <v>423</v>
      </c>
    </row>
    <row r="171" spans="12:13" x14ac:dyDescent="0.25">
      <c r="L171" s="65">
        <v>14210</v>
      </c>
      <c r="M171" t="s">
        <v>423</v>
      </c>
    </row>
    <row r="172" spans="12:13" x14ac:dyDescent="0.25">
      <c r="L172" s="65">
        <v>14211</v>
      </c>
      <c r="M172" t="s">
        <v>424</v>
      </c>
    </row>
    <row r="173" spans="12:13" x14ac:dyDescent="0.25">
      <c r="L173" s="65">
        <v>14212</v>
      </c>
      <c r="M173" t="s">
        <v>425</v>
      </c>
    </row>
    <row r="174" spans="12:13" x14ac:dyDescent="0.25">
      <c r="L174" s="65">
        <v>14213</v>
      </c>
      <c r="M174" t="s">
        <v>426</v>
      </c>
    </row>
    <row r="175" spans="12:13" x14ac:dyDescent="0.25">
      <c r="L175" s="65">
        <v>14217</v>
      </c>
      <c r="M175" t="s">
        <v>427</v>
      </c>
    </row>
    <row r="176" spans="12:13" x14ac:dyDescent="0.25">
      <c r="L176" s="65">
        <v>14218</v>
      </c>
      <c r="M176" t="s">
        <v>428</v>
      </c>
    </row>
    <row r="177" spans="12:13" x14ac:dyDescent="0.25">
      <c r="L177" s="65">
        <v>14219</v>
      </c>
      <c r="M177" t="s">
        <v>429</v>
      </c>
    </row>
    <row r="178" spans="12:13" x14ac:dyDescent="0.25">
      <c r="L178" s="65">
        <v>14300</v>
      </c>
      <c r="M178" t="s">
        <v>430</v>
      </c>
    </row>
    <row r="179" spans="12:13" x14ac:dyDescent="0.25">
      <c r="L179" s="65">
        <v>14310</v>
      </c>
      <c r="M179" t="s">
        <v>431</v>
      </c>
    </row>
    <row r="180" spans="12:13" x14ac:dyDescent="0.25">
      <c r="L180" s="65">
        <v>14311</v>
      </c>
      <c r="M180" t="s">
        <v>431</v>
      </c>
    </row>
    <row r="181" spans="12:13" x14ac:dyDescent="0.25">
      <c r="L181" s="65">
        <v>14317</v>
      </c>
      <c r="M181" t="s">
        <v>432</v>
      </c>
    </row>
    <row r="182" spans="12:13" x14ac:dyDescent="0.25">
      <c r="L182" s="65">
        <v>14318</v>
      </c>
      <c r="M182" t="s">
        <v>433</v>
      </c>
    </row>
    <row r="183" spans="12:13" x14ac:dyDescent="0.25">
      <c r="L183" s="65">
        <v>14319</v>
      </c>
      <c r="M183" t="s">
        <v>434</v>
      </c>
    </row>
    <row r="184" spans="12:13" x14ac:dyDescent="0.25">
      <c r="L184" s="65">
        <v>14320</v>
      </c>
      <c r="M184" t="s">
        <v>435</v>
      </c>
    </row>
    <row r="185" spans="12:13" x14ac:dyDescent="0.25">
      <c r="L185" s="65">
        <v>14321</v>
      </c>
      <c r="M185" t="s">
        <v>435</v>
      </c>
    </row>
    <row r="186" spans="12:13" x14ac:dyDescent="0.25">
      <c r="L186" s="65">
        <v>14327</v>
      </c>
      <c r="M186" t="s">
        <v>436</v>
      </c>
    </row>
    <row r="187" spans="12:13" x14ac:dyDescent="0.25">
      <c r="L187" s="65">
        <v>14328</v>
      </c>
      <c r="M187" t="s">
        <v>437</v>
      </c>
    </row>
    <row r="188" spans="12:13" x14ac:dyDescent="0.25">
      <c r="L188" s="65">
        <v>14329</v>
      </c>
      <c r="M188" t="s">
        <v>438</v>
      </c>
    </row>
    <row r="189" spans="12:13" x14ac:dyDescent="0.25">
      <c r="L189" s="65">
        <v>15000</v>
      </c>
      <c r="M189" t="s">
        <v>439</v>
      </c>
    </row>
    <row r="190" spans="12:13" x14ac:dyDescent="0.25">
      <c r="L190" s="65">
        <v>15100</v>
      </c>
      <c r="M190" t="s">
        <v>440</v>
      </c>
    </row>
    <row r="191" spans="12:13" x14ac:dyDescent="0.25">
      <c r="L191" s="65">
        <v>15110</v>
      </c>
      <c r="M191" t="s">
        <v>441</v>
      </c>
    </row>
    <row r="192" spans="12:13" x14ac:dyDescent="0.25">
      <c r="L192" s="65">
        <v>15111</v>
      </c>
      <c r="M192" t="s">
        <v>442</v>
      </c>
    </row>
    <row r="193" spans="12:13" x14ac:dyDescent="0.25">
      <c r="L193" s="65">
        <v>15112</v>
      </c>
      <c r="M193" t="s">
        <v>443</v>
      </c>
    </row>
    <row r="194" spans="12:13" x14ac:dyDescent="0.25">
      <c r="L194" s="65">
        <v>15113</v>
      </c>
      <c r="M194" t="s">
        <v>444</v>
      </c>
    </row>
    <row r="195" spans="12:13" x14ac:dyDescent="0.25">
      <c r="L195" s="65">
        <v>15114</v>
      </c>
      <c r="M195" t="s">
        <v>445</v>
      </c>
    </row>
    <row r="196" spans="12:13" x14ac:dyDescent="0.25">
      <c r="L196" s="65">
        <v>15115</v>
      </c>
      <c r="M196" t="s">
        <v>446</v>
      </c>
    </row>
    <row r="197" spans="12:13" x14ac:dyDescent="0.25">
      <c r="L197" s="65">
        <v>15120</v>
      </c>
      <c r="M197" t="s">
        <v>447</v>
      </c>
    </row>
    <row r="198" spans="12:13" x14ac:dyDescent="0.25">
      <c r="L198" s="65">
        <v>15121</v>
      </c>
      <c r="M198" t="s">
        <v>448</v>
      </c>
    </row>
    <row r="199" spans="12:13" x14ac:dyDescent="0.25">
      <c r="L199" s="65">
        <v>15122</v>
      </c>
      <c r="M199" t="s">
        <v>449</v>
      </c>
    </row>
    <row r="200" spans="12:13" x14ac:dyDescent="0.25">
      <c r="L200" s="65">
        <v>15123</v>
      </c>
      <c r="M200" t="s">
        <v>450</v>
      </c>
    </row>
    <row r="201" spans="12:13" x14ac:dyDescent="0.25">
      <c r="L201" s="65">
        <v>15124</v>
      </c>
      <c r="M201" t="s">
        <v>451</v>
      </c>
    </row>
    <row r="202" spans="12:13" x14ac:dyDescent="0.25">
      <c r="L202" s="65">
        <v>15125</v>
      </c>
      <c r="M202" t="s">
        <v>452</v>
      </c>
    </row>
    <row r="203" spans="12:13" x14ac:dyDescent="0.25">
      <c r="L203" s="65">
        <v>15126</v>
      </c>
      <c r="M203" t="s">
        <v>453</v>
      </c>
    </row>
    <row r="204" spans="12:13" x14ac:dyDescent="0.25">
      <c r="L204" s="65">
        <v>15127</v>
      </c>
      <c r="M204" t="s">
        <v>454</v>
      </c>
    </row>
    <row r="205" spans="12:13" x14ac:dyDescent="0.25">
      <c r="L205" s="65">
        <v>15128</v>
      </c>
      <c r="M205" t="s">
        <v>455</v>
      </c>
    </row>
    <row r="206" spans="12:13" x14ac:dyDescent="0.25">
      <c r="L206" s="65">
        <v>15129</v>
      </c>
      <c r="M206" t="s">
        <v>456</v>
      </c>
    </row>
    <row r="207" spans="12:13" x14ac:dyDescent="0.25">
      <c r="L207" s="65">
        <v>15130</v>
      </c>
      <c r="M207" t="s">
        <v>457</v>
      </c>
    </row>
    <row r="208" spans="12:13" x14ac:dyDescent="0.25">
      <c r="L208" s="65">
        <v>15131</v>
      </c>
      <c r="M208" t="s">
        <v>457</v>
      </c>
    </row>
    <row r="209" spans="12:13" x14ac:dyDescent="0.25">
      <c r="L209" s="65">
        <v>15140</v>
      </c>
      <c r="M209" t="s">
        <v>458</v>
      </c>
    </row>
    <row r="210" spans="12:13" x14ac:dyDescent="0.25">
      <c r="L210" s="65">
        <v>15141</v>
      </c>
      <c r="M210" t="s">
        <v>458</v>
      </c>
    </row>
    <row r="211" spans="12:13" x14ac:dyDescent="0.25">
      <c r="L211" s="65">
        <v>15150</v>
      </c>
      <c r="M211" t="s">
        <v>459</v>
      </c>
    </row>
    <row r="212" spans="12:13" x14ac:dyDescent="0.25">
      <c r="L212" s="65">
        <v>15151</v>
      </c>
      <c r="M212" t="s">
        <v>459</v>
      </c>
    </row>
    <row r="213" spans="12:13" x14ac:dyDescent="0.25">
      <c r="L213" s="65">
        <v>15160</v>
      </c>
      <c r="M213" t="s">
        <v>460</v>
      </c>
    </row>
    <row r="214" spans="12:13" x14ac:dyDescent="0.25">
      <c r="L214" s="65">
        <v>15161</v>
      </c>
      <c r="M214" t="s">
        <v>460</v>
      </c>
    </row>
    <row r="215" spans="12:13" x14ac:dyDescent="0.25">
      <c r="L215" s="65">
        <v>15170</v>
      </c>
      <c r="M215" t="s">
        <v>461</v>
      </c>
    </row>
    <row r="216" spans="12:13" x14ac:dyDescent="0.25">
      <c r="L216" s="65">
        <v>15171</v>
      </c>
      <c r="M216" t="s">
        <v>461</v>
      </c>
    </row>
    <row r="217" spans="12:13" x14ac:dyDescent="0.25">
      <c r="L217" s="65">
        <v>15180</v>
      </c>
      <c r="M217" t="s">
        <v>462</v>
      </c>
    </row>
    <row r="218" spans="12:13" x14ac:dyDescent="0.25">
      <c r="L218" s="65">
        <v>15181</v>
      </c>
      <c r="M218" t="s">
        <v>463</v>
      </c>
    </row>
    <row r="219" spans="12:13" x14ac:dyDescent="0.25">
      <c r="L219" s="65">
        <v>15182</v>
      </c>
      <c r="M219" t="s">
        <v>464</v>
      </c>
    </row>
    <row r="220" spans="12:13" x14ac:dyDescent="0.25">
      <c r="L220" s="65">
        <v>15200</v>
      </c>
      <c r="M220" t="s">
        <v>465</v>
      </c>
    </row>
    <row r="221" spans="12:13" x14ac:dyDescent="0.25">
      <c r="L221" s="65">
        <v>15210</v>
      </c>
      <c r="M221" t="s">
        <v>466</v>
      </c>
    </row>
    <row r="222" spans="12:13" x14ac:dyDescent="0.25">
      <c r="L222" s="65">
        <v>15211</v>
      </c>
      <c r="M222" t="s">
        <v>467</v>
      </c>
    </row>
    <row r="223" spans="12:13" x14ac:dyDescent="0.25">
      <c r="L223" s="65">
        <v>15212</v>
      </c>
      <c r="M223" t="s">
        <v>468</v>
      </c>
    </row>
    <row r="224" spans="12:13" x14ac:dyDescent="0.25">
      <c r="L224" s="65">
        <v>15213</v>
      </c>
      <c r="M224" t="s">
        <v>469</v>
      </c>
    </row>
    <row r="225" spans="12:13" x14ac:dyDescent="0.25">
      <c r="L225" s="65">
        <v>15214</v>
      </c>
      <c r="M225" t="s">
        <v>470</v>
      </c>
    </row>
    <row r="226" spans="12:13" x14ac:dyDescent="0.25">
      <c r="L226" s="65">
        <v>15215</v>
      </c>
      <c r="M226" t="s">
        <v>471</v>
      </c>
    </row>
    <row r="227" spans="12:13" x14ac:dyDescent="0.25">
      <c r="L227" s="65">
        <v>15220</v>
      </c>
      <c r="M227" t="s">
        <v>472</v>
      </c>
    </row>
    <row r="228" spans="12:13" x14ac:dyDescent="0.25">
      <c r="L228" s="65">
        <v>15221</v>
      </c>
      <c r="M228" t="s">
        <v>473</v>
      </c>
    </row>
    <row r="229" spans="12:13" x14ac:dyDescent="0.25">
      <c r="L229" s="65">
        <v>15222</v>
      </c>
      <c r="M229" t="s">
        <v>474</v>
      </c>
    </row>
    <row r="230" spans="12:13" x14ac:dyDescent="0.25">
      <c r="L230" s="65">
        <v>15223</v>
      </c>
      <c r="M230" t="s">
        <v>475</v>
      </c>
    </row>
    <row r="231" spans="12:13" x14ac:dyDescent="0.25">
      <c r="L231" s="65">
        <v>15224</v>
      </c>
      <c r="M231" t="s">
        <v>476</v>
      </c>
    </row>
    <row r="232" spans="12:13" x14ac:dyDescent="0.25">
      <c r="L232" s="65">
        <v>15225</v>
      </c>
      <c r="M232" t="s">
        <v>477</v>
      </c>
    </row>
    <row r="233" spans="12:13" x14ac:dyDescent="0.25">
      <c r="L233" s="65">
        <v>15226</v>
      </c>
      <c r="M233" t="s">
        <v>478</v>
      </c>
    </row>
    <row r="234" spans="12:13" x14ac:dyDescent="0.25">
      <c r="L234" s="65">
        <v>15227</v>
      </c>
      <c r="M234" t="s">
        <v>479</v>
      </c>
    </row>
    <row r="235" spans="12:13" x14ac:dyDescent="0.25">
      <c r="L235" s="65">
        <v>15228</v>
      </c>
      <c r="M235" t="s">
        <v>480</v>
      </c>
    </row>
    <row r="236" spans="12:13" x14ac:dyDescent="0.25">
      <c r="L236" s="65">
        <v>15229</v>
      </c>
      <c r="M236" t="s">
        <v>481</v>
      </c>
    </row>
    <row r="237" spans="12:13" x14ac:dyDescent="0.25">
      <c r="L237" s="65">
        <v>15230</v>
      </c>
      <c r="M237" t="s">
        <v>482</v>
      </c>
    </row>
    <row r="238" spans="12:13" x14ac:dyDescent="0.25">
      <c r="L238" s="65">
        <v>15231</v>
      </c>
      <c r="M238" t="s">
        <v>482</v>
      </c>
    </row>
    <row r="239" spans="12:13" x14ac:dyDescent="0.25">
      <c r="L239" s="65">
        <v>15240</v>
      </c>
      <c r="M239" t="s">
        <v>483</v>
      </c>
    </row>
    <row r="240" spans="12:13" x14ac:dyDescent="0.25">
      <c r="L240" s="65">
        <v>15241</v>
      </c>
      <c r="M240" t="s">
        <v>483</v>
      </c>
    </row>
    <row r="241" spans="12:13" x14ac:dyDescent="0.25">
      <c r="L241" s="65">
        <v>15250</v>
      </c>
      <c r="M241" t="s">
        <v>484</v>
      </c>
    </row>
    <row r="242" spans="12:13" x14ac:dyDescent="0.25">
      <c r="L242" s="65">
        <v>15251</v>
      </c>
      <c r="M242" t="s">
        <v>484</v>
      </c>
    </row>
    <row r="243" spans="12:13" x14ac:dyDescent="0.25">
      <c r="L243" s="65">
        <v>15260</v>
      </c>
      <c r="M243" t="s">
        <v>485</v>
      </c>
    </row>
    <row r="244" spans="12:13" x14ac:dyDescent="0.25">
      <c r="L244" s="65">
        <v>15261</v>
      </c>
      <c r="M244" t="s">
        <v>485</v>
      </c>
    </row>
    <row r="245" spans="12:13" x14ac:dyDescent="0.25">
      <c r="L245" s="65">
        <v>15270</v>
      </c>
      <c r="M245" t="s">
        <v>486</v>
      </c>
    </row>
    <row r="246" spans="12:13" x14ac:dyDescent="0.25">
      <c r="L246" s="65">
        <v>15271</v>
      </c>
      <c r="M246" t="s">
        <v>486</v>
      </c>
    </row>
    <row r="247" spans="12:13" x14ac:dyDescent="0.25">
      <c r="L247" s="65">
        <v>15280</v>
      </c>
      <c r="M247" t="s">
        <v>487</v>
      </c>
    </row>
    <row r="248" spans="12:13" x14ac:dyDescent="0.25">
      <c r="L248" s="65">
        <v>15281</v>
      </c>
      <c r="M248" t="s">
        <v>488</v>
      </c>
    </row>
    <row r="249" spans="12:13" x14ac:dyDescent="0.25">
      <c r="L249" s="65">
        <v>15282</v>
      </c>
      <c r="M249" t="s">
        <v>489</v>
      </c>
    </row>
    <row r="250" spans="12:13" x14ac:dyDescent="0.25">
      <c r="L250" s="65">
        <v>16000</v>
      </c>
      <c r="M250" t="s">
        <v>490</v>
      </c>
    </row>
    <row r="251" spans="12:13" x14ac:dyDescent="0.25">
      <c r="L251" s="65">
        <v>16100</v>
      </c>
      <c r="M251" t="s">
        <v>490</v>
      </c>
    </row>
    <row r="252" spans="12:13" x14ac:dyDescent="0.25">
      <c r="L252" s="65">
        <v>16110</v>
      </c>
      <c r="M252" t="s">
        <v>491</v>
      </c>
    </row>
    <row r="253" spans="12:13" x14ac:dyDescent="0.25">
      <c r="L253" s="65">
        <v>16111</v>
      </c>
      <c r="M253" t="s">
        <v>491</v>
      </c>
    </row>
    <row r="254" spans="12:13" x14ac:dyDescent="0.25">
      <c r="L254" s="65">
        <v>16117</v>
      </c>
      <c r="M254" t="s">
        <v>492</v>
      </c>
    </row>
    <row r="255" spans="12:13" x14ac:dyDescent="0.25">
      <c r="L255" s="65">
        <v>16118</v>
      </c>
      <c r="M255" t="s">
        <v>493</v>
      </c>
    </row>
    <row r="256" spans="12:13" x14ac:dyDescent="0.25">
      <c r="L256" s="65">
        <v>16119</v>
      </c>
      <c r="M256" t="s">
        <v>494</v>
      </c>
    </row>
    <row r="257" spans="12:13" x14ac:dyDescent="0.25">
      <c r="L257" s="65">
        <v>16120</v>
      </c>
      <c r="M257" t="s">
        <v>495</v>
      </c>
    </row>
    <row r="258" spans="12:13" x14ac:dyDescent="0.25">
      <c r="L258" s="65">
        <v>16121</v>
      </c>
      <c r="M258" t="s">
        <v>495</v>
      </c>
    </row>
    <row r="259" spans="12:13" x14ac:dyDescent="0.25">
      <c r="L259" s="65">
        <v>16127</v>
      </c>
      <c r="M259" t="s">
        <v>496</v>
      </c>
    </row>
    <row r="260" spans="12:13" x14ac:dyDescent="0.25">
      <c r="L260" s="65">
        <v>16128</v>
      </c>
      <c r="M260" t="s">
        <v>497</v>
      </c>
    </row>
    <row r="261" spans="12:13" x14ac:dyDescent="0.25">
      <c r="L261" s="65">
        <v>16129</v>
      </c>
      <c r="M261" t="s">
        <v>498</v>
      </c>
    </row>
    <row r="262" spans="12:13" x14ac:dyDescent="0.25">
      <c r="L262" s="65">
        <v>16130</v>
      </c>
      <c r="M262" t="s">
        <v>499</v>
      </c>
    </row>
    <row r="263" spans="12:13" x14ac:dyDescent="0.25">
      <c r="L263" s="65">
        <v>16131</v>
      </c>
      <c r="M263" t="s">
        <v>499</v>
      </c>
    </row>
    <row r="264" spans="12:13" x14ac:dyDescent="0.25">
      <c r="L264" s="65">
        <v>16137</v>
      </c>
      <c r="M264" t="s">
        <v>500</v>
      </c>
    </row>
    <row r="265" spans="12:13" x14ac:dyDescent="0.25">
      <c r="L265" s="65">
        <v>16138</v>
      </c>
      <c r="M265" t="s">
        <v>501</v>
      </c>
    </row>
    <row r="266" spans="12:13" x14ac:dyDescent="0.25">
      <c r="L266" s="65">
        <v>16139</v>
      </c>
      <c r="M266" t="s">
        <v>502</v>
      </c>
    </row>
    <row r="267" spans="12:13" x14ac:dyDescent="0.25">
      <c r="L267" s="65">
        <v>16140</v>
      </c>
      <c r="M267" t="s">
        <v>503</v>
      </c>
    </row>
    <row r="268" spans="12:13" x14ac:dyDescent="0.25">
      <c r="L268" s="65">
        <v>16141</v>
      </c>
      <c r="M268" t="s">
        <v>503</v>
      </c>
    </row>
    <row r="269" spans="12:13" x14ac:dyDescent="0.25">
      <c r="L269" s="65">
        <v>16147</v>
      </c>
      <c r="M269" t="s">
        <v>504</v>
      </c>
    </row>
    <row r="270" spans="12:13" x14ac:dyDescent="0.25">
      <c r="L270" s="65">
        <v>16148</v>
      </c>
      <c r="M270" t="s">
        <v>505</v>
      </c>
    </row>
    <row r="271" spans="12:13" x14ac:dyDescent="0.25">
      <c r="L271" s="65">
        <v>16149</v>
      </c>
      <c r="M271" t="s">
        <v>506</v>
      </c>
    </row>
    <row r="272" spans="12:13" x14ac:dyDescent="0.25">
      <c r="L272" s="65">
        <v>16150</v>
      </c>
      <c r="M272" t="s">
        <v>507</v>
      </c>
    </row>
    <row r="273" spans="12:13" x14ac:dyDescent="0.25">
      <c r="L273" s="65">
        <v>16151</v>
      </c>
      <c r="M273" t="s">
        <v>507</v>
      </c>
    </row>
    <row r="274" spans="12:13" x14ac:dyDescent="0.25">
      <c r="L274" s="65">
        <v>16157</v>
      </c>
      <c r="M274" t="s">
        <v>508</v>
      </c>
    </row>
    <row r="275" spans="12:13" x14ac:dyDescent="0.25">
      <c r="L275" s="65">
        <v>16158</v>
      </c>
      <c r="M275" t="s">
        <v>509</v>
      </c>
    </row>
    <row r="276" spans="12:13" x14ac:dyDescent="0.25">
      <c r="L276" s="65">
        <v>16159</v>
      </c>
      <c r="M276" t="s">
        <v>510</v>
      </c>
    </row>
    <row r="277" spans="12:13" x14ac:dyDescent="0.25">
      <c r="L277" s="65">
        <v>16160</v>
      </c>
      <c r="M277" t="s">
        <v>511</v>
      </c>
    </row>
    <row r="278" spans="12:13" x14ac:dyDescent="0.25">
      <c r="L278" s="65">
        <v>16161</v>
      </c>
      <c r="M278" t="s">
        <v>511</v>
      </c>
    </row>
    <row r="279" spans="12:13" x14ac:dyDescent="0.25">
      <c r="L279" s="65">
        <v>16167</v>
      </c>
      <c r="M279" t="s">
        <v>512</v>
      </c>
    </row>
    <row r="280" spans="12:13" x14ac:dyDescent="0.25">
      <c r="L280" s="65">
        <v>16168</v>
      </c>
      <c r="M280" t="s">
        <v>513</v>
      </c>
    </row>
    <row r="281" spans="12:13" x14ac:dyDescent="0.25">
      <c r="L281" s="65">
        <v>16169</v>
      </c>
      <c r="M281" t="s">
        <v>514</v>
      </c>
    </row>
    <row r="282" spans="12:13" x14ac:dyDescent="0.25">
      <c r="L282" s="65">
        <v>16170</v>
      </c>
      <c r="M282" t="s">
        <v>515</v>
      </c>
    </row>
    <row r="283" spans="12:13" x14ac:dyDescent="0.25">
      <c r="L283" s="65">
        <v>16171</v>
      </c>
      <c r="M283" t="s">
        <v>515</v>
      </c>
    </row>
    <row r="284" spans="12:13" x14ac:dyDescent="0.25">
      <c r="L284" s="65">
        <v>16177</v>
      </c>
      <c r="M284" t="s">
        <v>516</v>
      </c>
    </row>
    <row r="285" spans="12:13" x14ac:dyDescent="0.25">
      <c r="L285" s="65">
        <v>16178</v>
      </c>
      <c r="M285" t="s">
        <v>517</v>
      </c>
    </row>
    <row r="286" spans="12:13" x14ac:dyDescent="0.25">
      <c r="L286" s="65">
        <v>16179</v>
      </c>
      <c r="M286" t="s">
        <v>518</v>
      </c>
    </row>
    <row r="287" spans="12:13" x14ac:dyDescent="0.25">
      <c r="L287" s="65">
        <v>16180</v>
      </c>
      <c r="M287" t="s">
        <v>519</v>
      </c>
    </row>
    <row r="288" spans="12:13" x14ac:dyDescent="0.25">
      <c r="L288" s="65">
        <v>16181</v>
      </c>
      <c r="M288" t="s">
        <v>519</v>
      </c>
    </row>
    <row r="289" spans="12:13" x14ac:dyDescent="0.25">
      <c r="L289" s="65">
        <v>16190</v>
      </c>
      <c r="M289" t="s">
        <v>520</v>
      </c>
    </row>
    <row r="290" spans="12:13" x14ac:dyDescent="0.25">
      <c r="L290" s="65">
        <v>16191</v>
      </c>
      <c r="M290" t="s">
        <v>520</v>
      </c>
    </row>
    <row r="291" spans="12:13" x14ac:dyDescent="0.25">
      <c r="L291" s="65">
        <v>20000</v>
      </c>
      <c r="M291" t="s">
        <v>521</v>
      </c>
    </row>
    <row r="292" spans="12:13" x14ac:dyDescent="0.25">
      <c r="L292" s="65">
        <v>21000</v>
      </c>
      <c r="M292" t="s">
        <v>522</v>
      </c>
    </row>
    <row r="293" spans="12:13" x14ac:dyDescent="0.25">
      <c r="L293" s="65">
        <v>21100</v>
      </c>
      <c r="M293" t="s">
        <v>523</v>
      </c>
    </row>
    <row r="294" spans="12:13" x14ac:dyDescent="0.25">
      <c r="L294" s="65">
        <v>21110</v>
      </c>
      <c r="M294" t="s">
        <v>523</v>
      </c>
    </row>
    <row r="295" spans="12:13" x14ac:dyDescent="0.25">
      <c r="L295" s="65">
        <v>21111</v>
      </c>
      <c r="M295" t="s">
        <v>523</v>
      </c>
    </row>
    <row r="296" spans="12:13" x14ac:dyDescent="0.25">
      <c r="L296" s="65">
        <v>21117</v>
      </c>
      <c r="M296" t="s">
        <v>524</v>
      </c>
    </row>
    <row r="297" spans="12:13" x14ac:dyDescent="0.25">
      <c r="L297" s="65">
        <v>21118</v>
      </c>
      <c r="M297" t="s">
        <v>525</v>
      </c>
    </row>
    <row r="298" spans="12:13" x14ac:dyDescent="0.25">
      <c r="L298" s="65">
        <v>21119</v>
      </c>
      <c r="M298" t="s">
        <v>526</v>
      </c>
    </row>
    <row r="299" spans="12:13" x14ac:dyDescent="0.25">
      <c r="L299" s="65">
        <v>21200</v>
      </c>
      <c r="M299" t="s">
        <v>527</v>
      </c>
    </row>
    <row r="300" spans="12:13" x14ac:dyDescent="0.25">
      <c r="L300" s="65">
        <v>21210</v>
      </c>
      <c r="M300" t="s">
        <v>528</v>
      </c>
    </row>
    <row r="301" spans="12:13" x14ac:dyDescent="0.25">
      <c r="L301" s="65">
        <v>21211</v>
      </c>
      <c r="M301" t="s">
        <v>528</v>
      </c>
    </row>
    <row r="302" spans="12:13" x14ac:dyDescent="0.25">
      <c r="L302" s="65">
        <v>21220</v>
      </c>
      <c r="M302" t="s">
        <v>529</v>
      </c>
    </row>
    <row r="303" spans="12:13" x14ac:dyDescent="0.25">
      <c r="L303" s="65">
        <v>21221</v>
      </c>
      <c r="M303" t="s">
        <v>529</v>
      </c>
    </row>
    <row r="304" spans="12:13" x14ac:dyDescent="0.25">
      <c r="L304" s="65">
        <v>21230</v>
      </c>
      <c r="M304" t="s">
        <v>530</v>
      </c>
    </row>
    <row r="305" spans="12:13" x14ac:dyDescent="0.25">
      <c r="L305" s="65">
        <v>21231</v>
      </c>
      <c r="M305" t="s">
        <v>530</v>
      </c>
    </row>
    <row r="306" spans="12:13" x14ac:dyDescent="0.25">
      <c r="L306" s="65">
        <v>21300</v>
      </c>
      <c r="M306" t="s">
        <v>531</v>
      </c>
    </row>
    <row r="307" spans="12:13" x14ac:dyDescent="0.25">
      <c r="L307" s="65">
        <v>21310</v>
      </c>
      <c r="M307" t="s">
        <v>531</v>
      </c>
    </row>
    <row r="308" spans="12:13" x14ac:dyDescent="0.25">
      <c r="L308" s="65">
        <v>21311</v>
      </c>
      <c r="M308" t="s">
        <v>532</v>
      </c>
    </row>
    <row r="309" spans="12:13" x14ac:dyDescent="0.25">
      <c r="L309" s="65">
        <v>21312</v>
      </c>
      <c r="M309" t="s">
        <v>533</v>
      </c>
    </row>
    <row r="310" spans="12:13" x14ac:dyDescent="0.25">
      <c r="L310" s="65">
        <v>21313</v>
      </c>
      <c r="M310" t="s">
        <v>534</v>
      </c>
    </row>
    <row r="311" spans="12:13" x14ac:dyDescent="0.25">
      <c r="L311" s="65">
        <v>21314</v>
      </c>
      <c r="M311" t="s">
        <v>535</v>
      </c>
    </row>
    <row r="312" spans="12:13" x14ac:dyDescent="0.25">
      <c r="L312" s="65">
        <v>21319</v>
      </c>
      <c r="M312" t="s">
        <v>536</v>
      </c>
    </row>
    <row r="313" spans="12:13" x14ac:dyDescent="0.25">
      <c r="L313" s="65">
        <v>22000</v>
      </c>
      <c r="M313" t="s">
        <v>537</v>
      </c>
    </row>
    <row r="314" spans="12:13" x14ac:dyDescent="0.25">
      <c r="L314" s="65">
        <v>22100</v>
      </c>
      <c r="M314" t="s">
        <v>538</v>
      </c>
    </row>
    <row r="315" spans="12:13" x14ac:dyDescent="0.25">
      <c r="L315" s="65">
        <v>22110</v>
      </c>
      <c r="M315" t="s">
        <v>538</v>
      </c>
    </row>
    <row r="316" spans="12:13" x14ac:dyDescent="0.25">
      <c r="L316" s="65">
        <v>22111</v>
      </c>
      <c r="M316" t="s">
        <v>538</v>
      </c>
    </row>
    <row r="317" spans="12:13" x14ac:dyDescent="0.25">
      <c r="L317" s="65">
        <v>22120</v>
      </c>
      <c r="M317" t="s">
        <v>539</v>
      </c>
    </row>
    <row r="318" spans="12:13" x14ac:dyDescent="0.25">
      <c r="L318" s="65">
        <v>22121</v>
      </c>
      <c r="M318" t="s">
        <v>539</v>
      </c>
    </row>
    <row r="319" spans="12:13" x14ac:dyDescent="0.25">
      <c r="L319" s="65">
        <v>22129</v>
      </c>
      <c r="M319" t="s">
        <v>540</v>
      </c>
    </row>
    <row r="320" spans="12:13" x14ac:dyDescent="0.25">
      <c r="L320" s="65">
        <v>22200</v>
      </c>
      <c r="M320" t="s">
        <v>541</v>
      </c>
    </row>
    <row r="321" spans="12:13" x14ac:dyDescent="0.25">
      <c r="L321" s="65">
        <v>22210</v>
      </c>
      <c r="M321" t="s">
        <v>542</v>
      </c>
    </row>
    <row r="322" spans="12:13" x14ac:dyDescent="0.25">
      <c r="L322" s="65">
        <v>22211</v>
      </c>
      <c r="M322" t="s">
        <v>543</v>
      </c>
    </row>
    <row r="323" spans="12:13" x14ac:dyDescent="0.25">
      <c r="L323" s="65">
        <v>22220</v>
      </c>
      <c r="M323" t="s">
        <v>544</v>
      </c>
    </row>
    <row r="324" spans="12:13" x14ac:dyDescent="0.25">
      <c r="L324" s="65">
        <v>22221</v>
      </c>
      <c r="M324" t="s">
        <v>545</v>
      </c>
    </row>
    <row r="325" spans="12:13" x14ac:dyDescent="0.25">
      <c r="L325" s="65">
        <v>22222</v>
      </c>
      <c r="M325" t="s">
        <v>546</v>
      </c>
    </row>
    <row r="326" spans="12:13" x14ac:dyDescent="0.25">
      <c r="L326" s="65">
        <v>22230</v>
      </c>
      <c r="M326" t="s">
        <v>547</v>
      </c>
    </row>
    <row r="327" spans="12:13" x14ac:dyDescent="0.25">
      <c r="L327" s="65">
        <v>22231</v>
      </c>
      <c r="M327" t="s">
        <v>548</v>
      </c>
    </row>
    <row r="328" spans="12:13" x14ac:dyDescent="0.25">
      <c r="L328" s="65">
        <v>22232</v>
      </c>
      <c r="M328" t="s">
        <v>549</v>
      </c>
    </row>
    <row r="329" spans="12:13" x14ac:dyDescent="0.25">
      <c r="L329" s="65">
        <v>22233</v>
      </c>
      <c r="M329" t="s">
        <v>550</v>
      </c>
    </row>
    <row r="330" spans="12:13" x14ac:dyDescent="0.25">
      <c r="L330" s="65">
        <v>22234</v>
      </c>
      <c r="M330" t="s">
        <v>551</v>
      </c>
    </row>
    <row r="331" spans="12:13" x14ac:dyDescent="0.25">
      <c r="L331" s="65">
        <v>22235</v>
      </c>
      <c r="M331" t="s">
        <v>552</v>
      </c>
    </row>
    <row r="332" spans="12:13" x14ac:dyDescent="0.25">
      <c r="L332" s="65">
        <v>22236</v>
      </c>
      <c r="M332" t="s">
        <v>553</v>
      </c>
    </row>
    <row r="333" spans="12:13" x14ac:dyDescent="0.25">
      <c r="L333" s="65">
        <v>22237</v>
      </c>
      <c r="M333" t="s">
        <v>554</v>
      </c>
    </row>
    <row r="334" spans="12:13" x14ac:dyDescent="0.25">
      <c r="L334" s="65">
        <v>22238</v>
      </c>
      <c r="M334" t="s">
        <v>555</v>
      </c>
    </row>
    <row r="335" spans="12:13" x14ac:dyDescent="0.25">
      <c r="L335" s="65">
        <v>22239</v>
      </c>
      <c r="M335" t="s">
        <v>556</v>
      </c>
    </row>
    <row r="336" spans="12:13" x14ac:dyDescent="0.25">
      <c r="L336" s="65">
        <v>22290</v>
      </c>
      <c r="M336" t="s">
        <v>557</v>
      </c>
    </row>
    <row r="337" spans="12:13" x14ac:dyDescent="0.25">
      <c r="L337" s="65">
        <v>22291</v>
      </c>
      <c r="M337" t="s">
        <v>558</v>
      </c>
    </row>
    <row r="338" spans="12:13" x14ac:dyDescent="0.25">
      <c r="L338" s="65">
        <v>22292</v>
      </c>
      <c r="M338" t="s">
        <v>559</v>
      </c>
    </row>
    <row r="339" spans="12:13" x14ac:dyDescent="0.25">
      <c r="L339" s="65">
        <v>22293</v>
      </c>
      <c r="M339" t="s">
        <v>560</v>
      </c>
    </row>
    <row r="340" spans="12:13" x14ac:dyDescent="0.25">
      <c r="L340" s="66">
        <v>100000</v>
      </c>
      <c r="M340" t="s">
        <v>561</v>
      </c>
    </row>
    <row r="341" spans="12:13" x14ac:dyDescent="0.25">
      <c r="L341" s="65">
        <v>110000</v>
      </c>
      <c r="M341" t="s">
        <v>562</v>
      </c>
    </row>
    <row r="342" spans="12:13" x14ac:dyDescent="0.25">
      <c r="L342" s="65">
        <v>111000</v>
      </c>
      <c r="M342" t="s">
        <v>563</v>
      </c>
    </row>
    <row r="343" spans="12:13" x14ac:dyDescent="0.25">
      <c r="L343" s="65">
        <v>111100</v>
      </c>
      <c r="M343" t="s">
        <v>564</v>
      </c>
    </row>
    <row r="344" spans="12:13" x14ac:dyDescent="0.25">
      <c r="L344" s="65">
        <v>111110</v>
      </c>
      <c r="M344" t="s">
        <v>565</v>
      </c>
    </row>
    <row r="345" spans="12:13" x14ac:dyDescent="0.25">
      <c r="L345" s="65">
        <v>111111</v>
      </c>
      <c r="M345" t="s">
        <v>565</v>
      </c>
    </row>
    <row r="346" spans="12:13" x14ac:dyDescent="0.25">
      <c r="L346" s="65">
        <v>111190</v>
      </c>
      <c r="M346" t="s">
        <v>566</v>
      </c>
    </row>
    <row r="347" spans="12:13" x14ac:dyDescent="0.25">
      <c r="L347" s="65">
        <v>111191</v>
      </c>
      <c r="M347" t="s">
        <v>566</v>
      </c>
    </row>
    <row r="348" spans="12:13" x14ac:dyDescent="0.25">
      <c r="L348" s="65">
        <v>111200</v>
      </c>
      <c r="M348" t="s">
        <v>567</v>
      </c>
    </row>
    <row r="349" spans="12:13" x14ac:dyDescent="0.25">
      <c r="L349" s="65">
        <v>111210</v>
      </c>
      <c r="M349" t="s">
        <v>568</v>
      </c>
    </row>
    <row r="350" spans="12:13" x14ac:dyDescent="0.25">
      <c r="L350" s="65">
        <v>111211</v>
      </c>
      <c r="M350" t="s">
        <v>568</v>
      </c>
    </row>
    <row r="351" spans="12:13" x14ac:dyDescent="0.25">
      <c r="L351" s="65">
        <v>111220</v>
      </c>
      <c r="M351" t="s">
        <v>569</v>
      </c>
    </row>
    <row r="352" spans="12:13" x14ac:dyDescent="0.25">
      <c r="L352" s="65">
        <v>111221</v>
      </c>
      <c r="M352" t="s">
        <v>569</v>
      </c>
    </row>
    <row r="353" spans="12:13" x14ac:dyDescent="0.25">
      <c r="L353" s="65">
        <v>111230</v>
      </c>
      <c r="M353" t="s">
        <v>570</v>
      </c>
    </row>
    <row r="354" spans="12:13" x14ac:dyDescent="0.25">
      <c r="L354" s="65">
        <v>111231</v>
      </c>
      <c r="M354" t="s">
        <v>570</v>
      </c>
    </row>
    <row r="355" spans="12:13" x14ac:dyDescent="0.25">
      <c r="L355" s="65">
        <v>111240</v>
      </c>
      <c r="M355" t="s">
        <v>571</v>
      </c>
    </row>
    <row r="356" spans="12:13" x14ac:dyDescent="0.25">
      <c r="L356" s="65">
        <v>111241</v>
      </c>
      <c r="M356" t="s">
        <v>571</v>
      </c>
    </row>
    <row r="357" spans="12:13" x14ac:dyDescent="0.25">
      <c r="L357" s="65">
        <v>111250</v>
      </c>
      <c r="M357" t="s">
        <v>572</v>
      </c>
    </row>
    <row r="358" spans="12:13" x14ac:dyDescent="0.25">
      <c r="L358" s="65">
        <v>111251</v>
      </c>
      <c r="M358" t="s">
        <v>573</v>
      </c>
    </row>
    <row r="359" spans="12:13" x14ac:dyDescent="0.25">
      <c r="L359" s="65">
        <v>111252</v>
      </c>
      <c r="M359" t="s">
        <v>574</v>
      </c>
    </row>
    <row r="360" spans="12:13" x14ac:dyDescent="0.25">
      <c r="L360" s="65">
        <v>111255</v>
      </c>
      <c r="M360" t="s">
        <v>575</v>
      </c>
    </row>
    <row r="361" spans="12:13" x14ac:dyDescent="0.25">
      <c r="L361" s="65">
        <v>111290</v>
      </c>
      <c r="M361" t="s">
        <v>576</v>
      </c>
    </row>
    <row r="362" spans="12:13" x14ac:dyDescent="0.25">
      <c r="L362" s="65">
        <v>111291</v>
      </c>
      <c r="M362" t="s">
        <v>577</v>
      </c>
    </row>
    <row r="363" spans="12:13" x14ac:dyDescent="0.25">
      <c r="L363" s="65">
        <v>111292</v>
      </c>
      <c r="M363" t="s">
        <v>578</v>
      </c>
    </row>
    <row r="364" spans="12:13" x14ac:dyDescent="0.25">
      <c r="L364" s="65">
        <v>111293</v>
      </c>
      <c r="M364" t="s">
        <v>579</v>
      </c>
    </row>
    <row r="365" spans="12:13" x14ac:dyDescent="0.25">
      <c r="L365" s="65">
        <v>111294</v>
      </c>
      <c r="M365" t="s">
        <v>580</v>
      </c>
    </row>
    <row r="366" spans="12:13" x14ac:dyDescent="0.25">
      <c r="L366" s="65">
        <v>111295</v>
      </c>
      <c r="M366" t="s">
        <v>581</v>
      </c>
    </row>
    <row r="367" spans="12:13" x14ac:dyDescent="0.25">
      <c r="L367" s="65">
        <v>111300</v>
      </c>
      <c r="M367" t="s">
        <v>582</v>
      </c>
    </row>
    <row r="368" spans="12:13" x14ac:dyDescent="0.25">
      <c r="L368" s="65">
        <v>111310</v>
      </c>
      <c r="M368" t="s">
        <v>583</v>
      </c>
    </row>
    <row r="369" spans="12:13" x14ac:dyDescent="0.25">
      <c r="L369" s="65">
        <v>111311</v>
      </c>
      <c r="M369" t="s">
        <v>583</v>
      </c>
    </row>
    <row r="370" spans="12:13" x14ac:dyDescent="0.25">
      <c r="L370" s="65">
        <v>111380</v>
      </c>
      <c r="M370" t="s">
        <v>584</v>
      </c>
    </row>
    <row r="371" spans="12:13" x14ac:dyDescent="0.25">
      <c r="L371" s="65">
        <v>111381</v>
      </c>
      <c r="M371" t="s">
        <v>584</v>
      </c>
    </row>
    <row r="372" spans="12:13" x14ac:dyDescent="0.25">
      <c r="L372" s="65">
        <v>111390</v>
      </c>
      <c r="M372" t="s">
        <v>585</v>
      </c>
    </row>
    <row r="373" spans="12:13" x14ac:dyDescent="0.25">
      <c r="L373" s="65">
        <v>111391</v>
      </c>
      <c r="M373" t="s">
        <v>586</v>
      </c>
    </row>
    <row r="374" spans="12:13" x14ac:dyDescent="0.25">
      <c r="L374" s="65">
        <v>111398</v>
      </c>
      <c r="M374" t="s">
        <v>587</v>
      </c>
    </row>
    <row r="375" spans="12:13" x14ac:dyDescent="0.25">
      <c r="L375" s="65">
        <v>111400</v>
      </c>
      <c r="M375" t="s">
        <v>588</v>
      </c>
    </row>
    <row r="376" spans="12:13" x14ac:dyDescent="0.25">
      <c r="L376" s="65">
        <v>111410</v>
      </c>
      <c r="M376" t="s">
        <v>589</v>
      </c>
    </row>
    <row r="377" spans="12:13" x14ac:dyDescent="0.25">
      <c r="L377" s="65">
        <v>111411</v>
      </c>
      <c r="M377" t="s">
        <v>589</v>
      </c>
    </row>
    <row r="378" spans="12:13" x14ac:dyDescent="0.25">
      <c r="L378" s="65">
        <v>111490</v>
      </c>
      <c r="M378" t="s">
        <v>590</v>
      </c>
    </row>
    <row r="379" spans="12:13" x14ac:dyDescent="0.25">
      <c r="L379" s="65">
        <v>111491</v>
      </c>
      <c r="M379" t="s">
        <v>590</v>
      </c>
    </row>
    <row r="380" spans="12:13" x14ac:dyDescent="0.25">
      <c r="L380" s="65">
        <v>111500</v>
      </c>
      <c r="M380" t="s">
        <v>591</v>
      </c>
    </row>
    <row r="381" spans="12:13" x14ac:dyDescent="0.25">
      <c r="L381" s="65">
        <v>111510</v>
      </c>
      <c r="M381" t="s">
        <v>591</v>
      </c>
    </row>
    <row r="382" spans="12:13" x14ac:dyDescent="0.25">
      <c r="L382" s="65">
        <v>111511</v>
      </c>
      <c r="M382" t="s">
        <v>591</v>
      </c>
    </row>
    <row r="383" spans="12:13" x14ac:dyDescent="0.25">
      <c r="L383" s="65">
        <v>111590</v>
      </c>
      <c r="M383" t="s">
        <v>592</v>
      </c>
    </row>
    <row r="384" spans="12:13" x14ac:dyDescent="0.25">
      <c r="L384" s="65">
        <v>111591</v>
      </c>
      <c r="M384" t="s">
        <v>592</v>
      </c>
    </row>
    <row r="385" spans="12:13" x14ac:dyDescent="0.25">
      <c r="L385" s="65">
        <v>111600</v>
      </c>
      <c r="M385" t="s">
        <v>593</v>
      </c>
    </row>
    <row r="386" spans="12:13" x14ac:dyDescent="0.25">
      <c r="L386" s="65">
        <v>111610</v>
      </c>
      <c r="M386" t="s">
        <v>593</v>
      </c>
    </row>
    <row r="387" spans="12:13" x14ac:dyDescent="0.25">
      <c r="L387" s="65">
        <v>111611</v>
      </c>
      <c r="M387" t="s">
        <v>594</v>
      </c>
    </row>
    <row r="388" spans="12:13" x14ac:dyDescent="0.25">
      <c r="L388" s="65">
        <v>111612</v>
      </c>
      <c r="M388" t="s">
        <v>595</v>
      </c>
    </row>
    <row r="389" spans="12:13" x14ac:dyDescent="0.25">
      <c r="L389" s="65">
        <v>111613</v>
      </c>
      <c r="M389" t="s">
        <v>596</v>
      </c>
    </row>
    <row r="390" spans="12:13" x14ac:dyDescent="0.25">
      <c r="L390" s="65">
        <v>111690</v>
      </c>
      <c r="M390" t="s">
        <v>597</v>
      </c>
    </row>
    <row r="391" spans="12:13" x14ac:dyDescent="0.25">
      <c r="L391" s="65">
        <v>111691</v>
      </c>
      <c r="M391" t="s">
        <v>597</v>
      </c>
    </row>
    <row r="392" spans="12:13" x14ac:dyDescent="0.25">
      <c r="L392" s="65">
        <v>111700</v>
      </c>
      <c r="M392" t="s">
        <v>598</v>
      </c>
    </row>
    <row r="393" spans="12:13" x14ac:dyDescent="0.25">
      <c r="L393" s="65">
        <v>111710</v>
      </c>
      <c r="M393" t="s">
        <v>599</v>
      </c>
    </row>
    <row r="394" spans="12:13" x14ac:dyDescent="0.25">
      <c r="L394" s="65">
        <v>111711</v>
      </c>
      <c r="M394" t="s">
        <v>599</v>
      </c>
    </row>
    <row r="395" spans="12:13" x14ac:dyDescent="0.25">
      <c r="L395" s="65">
        <v>111712</v>
      </c>
      <c r="M395" t="s">
        <v>600</v>
      </c>
    </row>
    <row r="396" spans="12:13" x14ac:dyDescent="0.25">
      <c r="L396" s="65">
        <v>111790</v>
      </c>
      <c r="M396" t="s">
        <v>601</v>
      </c>
    </row>
    <row r="397" spans="12:13" x14ac:dyDescent="0.25">
      <c r="L397" s="65">
        <v>111791</v>
      </c>
      <c r="M397" t="s">
        <v>601</v>
      </c>
    </row>
    <row r="398" spans="12:13" x14ac:dyDescent="0.25">
      <c r="L398" s="65">
        <v>111800</v>
      </c>
      <c r="M398" t="s">
        <v>602</v>
      </c>
    </row>
    <row r="399" spans="12:13" x14ac:dyDescent="0.25">
      <c r="L399" s="65">
        <v>111810</v>
      </c>
      <c r="M399" t="s">
        <v>602</v>
      </c>
    </row>
    <row r="400" spans="12:13" x14ac:dyDescent="0.25">
      <c r="L400" s="65">
        <v>111811</v>
      </c>
      <c r="M400" t="s">
        <v>602</v>
      </c>
    </row>
    <row r="401" spans="12:13" x14ac:dyDescent="0.25">
      <c r="L401" s="65">
        <v>111890</v>
      </c>
      <c r="M401" t="s">
        <v>603</v>
      </c>
    </row>
    <row r="402" spans="12:13" x14ac:dyDescent="0.25">
      <c r="L402" s="65">
        <v>111891</v>
      </c>
      <c r="M402" t="s">
        <v>603</v>
      </c>
    </row>
    <row r="403" spans="12:13" x14ac:dyDescent="0.25">
      <c r="L403" s="65">
        <v>111900</v>
      </c>
      <c r="M403" t="s">
        <v>604</v>
      </c>
    </row>
    <row r="404" spans="12:13" x14ac:dyDescent="0.25">
      <c r="L404" s="65">
        <v>111910</v>
      </c>
      <c r="M404" t="s">
        <v>605</v>
      </c>
    </row>
    <row r="405" spans="12:13" x14ac:dyDescent="0.25">
      <c r="L405" s="65">
        <v>111911</v>
      </c>
      <c r="M405" t="s">
        <v>605</v>
      </c>
    </row>
    <row r="406" spans="12:13" x14ac:dyDescent="0.25">
      <c r="L406" s="65">
        <v>111920</v>
      </c>
      <c r="M406" t="s">
        <v>606</v>
      </c>
    </row>
    <row r="407" spans="12:13" x14ac:dyDescent="0.25">
      <c r="L407" s="65">
        <v>111921</v>
      </c>
      <c r="M407" t="s">
        <v>607</v>
      </c>
    </row>
    <row r="408" spans="12:13" x14ac:dyDescent="0.25">
      <c r="L408" s="65">
        <v>111922</v>
      </c>
      <c r="M408" t="s">
        <v>608</v>
      </c>
    </row>
    <row r="409" spans="12:13" x14ac:dyDescent="0.25">
      <c r="L409" s="65">
        <v>111930</v>
      </c>
      <c r="M409" t="s">
        <v>609</v>
      </c>
    </row>
    <row r="410" spans="12:13" x14ac:dyDescent="0.25">
      <c r="L410" s="65">
        <v>111931</v>
      </c>
      <c r="M410" t="s">
        <v>609</v>
      </c>
    </row>
    <row r="411" spans="12:13" x14ac:dyDescent="0.25">
      <c r="L411" s="65">
        <v>111940</v>
      </c>
      <c r="M411" t="s">
        <v>610</v>
      </c>
    </row>
    <row r="412" spans="12:13" x14ac:dyDescent="0.25">
      <c r="L412" s="65">
        <v>111941</v>
      </c>
      <c r="M412" t="s">
        <v>610</v>
      </c>
    </row>
    <row r="413" spans="12:13" x14ac:dyDescent="0.25">
      <c r="L413" s="65">
        <v>111990</v>
      </c>
      <c r="M413" t="s">
        <v>611</v>
      </c>
    </row>
    <row r="414" spans="12:13" x14ac:dyDescent="0.25">
      <c r="L414" s="65">
        <v>111991</v>
      </c>
      <c r="M414" t="s">
        <v>612</v>
      </c>
    </row>
    <row r="415" spans="12:13" x14ac:dyDescent="0.25">
      <c r="L415" s="65">
        <v>111992</v>
      </c>
      <c r="M415" t="s">
        <v>613</v>
      </c>
    </row>
    <row r="416" spans="12:13" x14ac:dyDescent="0.25">
      <c r="L416" s="65">
        <v>111993</v>
      </c>
      <c r="M416" t="s">
        <v>614</v>
      </c>
    </row>
    <row r="417" spans="12:13" x14ac:dyDescent="0.25">
      <c r="L417" s="65">
        <v>111994</v>
      </c>
      <c r="M417" t="s">
        <v>615</v>
      </c>
    </row>
    <row r="418" spans="12:13" x14ac:dyDescent="0.25">
      <c r="L418" s="65">
        <v>112000</v>
      </c>
      <c r="M418" t="s">
        <v>616</v>
      </c>
    </row>
    <row r="419" spans="12:13" x14ac:dyDescent="0.25">
      <c r="L419" s="65">
        <v>112100</v>
      </c>
      <c r="M419" t="s">
        <v>617</v>
      </c>
    </row>
    <row r="420" spans="12:13" x14ac:dyDescent="0.25">
      <c r="L420" s="65">
        <v>112110</v>
      </c>
      <c r="M420" t="s">
        <v>617</v>
      </c>
    </row>
    <row r="421" spans="12:13" x14ac:dyDescent="0.25">
      <c r="L421" s="65">
        <v>112111</v>
      </c>
      <c r="M421" t="s">
        <v>617</v>
      </c>
    </row>
    <row r="422" spans="12:13" x14ac:dyDescent="0.25">
      <c r="L422" s="65">
        <v>112190</v>
      </c>
      <c r="M422" t="s">
        <v>618</v>
      </c>
    </row>
    <row r="423" spans="12:13" x14ac:dyDescent="0.25">
      <c r="L423" s="65">
        <v>112191</v>
      </c>
      <c r="M423" t="s">
        <v>618</v>
      </c>
    </row>
    <row r="424" spans="12:13" x14ac:dyDescent="0.25">
      <c r="L424" s="65">
        <v>112200</v>
      </c>
      <c r="M424" t="s">
        <v>619</v>
      </c>
    </row>
    <row r="425" spans="12:13" x14ac:dyDescent="0.25">
      <c r="L425" s="65">
        <v>112210</v>
      </c>
      <c r="M425" t="s">
        <v>619</v>
      </c>
    </row>
    <row r="426" spans="12:13" x14ac:dyDescent="0.25">
      <c r="L426" s="65">
        <v>112211</v>
      </c>
      <c r="M426" t="s">
        <v>619</v>
      </c>
    </row>
    <row r="427" spans="12:13" x14ac:dyDescent="0.25">
      <c r="L427" s="65">
        <v>112290</v>
      </c>
      <c r="M427" t="s">
        <v>620</v>
      </c>
    </row>
    <row r="428" spans="12:13" x14ac:dyDescent="0.25">
      <c r="L428" s="65">
        <v>112291</v>
      </c>
      <c r="M428" t="s">
        <v>620</v>
      </c>
    </row>
    <row r="429" spans="12:13" x14ac:dyDescent="0.25">
      <c r="L429" s="65">
        <v>112300</v>
      </c>
      <c r="M429" t="s">
        <v>621</v>
      </c>
    </row>
    <row r="430" spans="12:13" x14ac:dyDescent="0.25">
      <c r="L430" s="65">
        <v>112310</v>
      </c>
      <c r="M430" t="s">
        <v>621</v>
      </c>
    </row>
    <row r="431" spans="12:13" x14ac:dyDescent="0.25">
      <c r="L431" s="65">
        <v>112311</v>
      </c>
      <c r="M431" t="s">
        <v>621</v>
      </c>
    </row>
    <row r="432" spans="12:13" x14ac:dyDescent="0.25">
      <c r="L432" s="65">
        <v>112390</v>
      </c>
      <c r="M432" t="s">
        <v>622</v>
      </c>
    </row>
    <row r="433" spans="12:13" x14ac:dyDescent="0.25">
      <c r="L433" s="65">
        <v>112391</v>
      </c>
      <c r="M433" t="s">
        <v>622</v>
      </c>
    </row>
    <row r="434" spans="12:13" x14ac:dyDescent="0.25">
      <c r="L434" s="65">
        <v>112400</v>
      </c>
      <c r="M434" t="s">
        <v>623</v>
      </c>
    </row>
    <row r="435" spans="12:13" x14ac:dyDescent="0.25">
      <c r="L435" s="65">
        <v>112410</v>
      </c>
      <c r="M435" t="s">
        <v>623</v>
      </c>
    </row>
    <row r="436" spans="12:13" x14ac:dyDescent="0.25">
      <c r="L436" s="65">
        <v>112411</v>
      </c>
      <c r="M436" t="s">
        <v>623</v>
      </c>
    </row>
    <row r="437" spans="12:13" x14ac:dyDescent="0.25">
      <c r="L437" s="65">
        <v>112490</v>
      </c>
      <c r="M437" t="s">
        <v>624</v>
      </c>
    </row>
    <row r="438" spans="12:13" x14ac:dyDescent="0.25">
      <c r="L438" s="65">
        <v>112491</v>
      </c>
      <c r="M438" t="s">
        <v>624</v>
      </c>
    </row>
    <row r="439" spans="12:13" x14ac:dyDescent="0.25">
      <c r="L439" s="65">
        <v>112500</v>
      </c>
      <c r="M439" t="s">
        <v>625</v>
      </c>
    </row>
    <row r="440" spans="12:13" x14ac:dyDescent="0.25">
      <c r="L440" s="65">
        <v>112510</v>
      </c>
      <c r="M440" t="s">
        <v>625</v>
      </c>
    </row>
    <row r="441" spans="12:13" x14ac:dyDescent="0.25">
      <c r="L441" s="65">
        <v>112511</v>
      </c>
      <c r="M441" t="s">
        <v>625</v>
      </c>
    </row>
    <row r="442" spans="12:13" x14ac:dyDescent="0.25">
      <c r="L442" s="65">
        <v>112590</v>
      </c>
      <c r="M442" t="s">
        <v>626</v>
      </c>
    </row>
    <row r="443" spans="12:13" x14ac:dyDescent="0.25">
      <c r="L443" s="65">
        <v>112591</v>
      </c>
      <c r="M443" t="s">
        <v>626</v>
      </c>
    </row>
    <row r="444" spans="12:13" x14ac:dyDescent="0.25">
      <c r="L444" s="65">
        <v>112600</v>
      </c>
      <c r="M444" t="s">
        <v>627</v>
      </c>
    </row>
    <row r="445" spans="12:13" x14ac:dyDescent="0.25">
      <c r="L445" s="65">
        <v>112610</v>
      </c>
      <c r="M445" t="s">
        <v>627</v>
      </c>
    </row>
    <row r="446" spans="12:13" x14ac:dyDescent="0.25">
      <c r="L446" s="65">
        <v>112611</v>
      </c>
      <c r="M446" t="s">
        <v>628</v>
      </c>
    </row>
    <row r="447" spans="12:13" x14ac:dyDescent="0.25">
      <c r="L447" s="65">
        <v>112612</v>
      </c>
      <c r="M447" t="s">
        <v>629</v>
      </c>
    </row>
    <row r="448" spans="12:13" x14ac:dyDescent="0.25">
      <c r="L448" s="65">
        <v>112690</v>
      </c>
      <c r="M448" t="s">
        <v>630</v>
      </c>
    </row>
    <row r="449" spans="12:13" x14ac:dyDescent="0.25">
      <c r="L449" s="65">
        <v>112691</v>
      </c>
      <c r="M449" t="s">
        <v>630</v>
      </c>
    </row>
    <row r="450" spans="12:13" x14ac:dyDescent="0.25">
      <c r="L450" s="65">
        <v>112700</v>
      </c>
      <c r="M450" t="s">
        <v>631</v>
      </c>
    </row>
    <row r="451" spans="12:13" x14ac:dyDescent="0.25">
      <c r="L451" s="65">
        <v>112710</v>
      </c>
      <c r="M451" t="s">
        <v>632</v>
      </c>
    </row>
    <row r="452" spans="12:13" x14ac:dyDescent="0.25">
      <c r="L452" s="65">
        <v>112711</v>
      </c>
      <c r="M452" t="s">
        <v>632</v>
      </c>
    </row>
    <row r="453" spans="12:13" x14ac:dyDescent="0.25">
      <c r="L453" s="65">
        <v>112720</v>
      </c>
      <c r="M453" t="s">
        <v>633</v>
      </c>
    </row>
    <row r="454" spans="12:13" x14ac:dyDescent="0.25">
      <c r="L454" s="65">
        <v>112721</v>
      </c>
      <c r="M454" t="s">
        <v>633</v>
      </c>
    </row>
    <row r="455" spans="12:13" x14ac:dyDescent="0.25">
      <c r="L455" s="65">
        <v>112790</v>
      </c>
      <c r="M455" t="s">
        <v>634</v>
      </c>
    </row>
    <row r="456" spans="12:13" x14ac:dyDescent="0.25">
      <c r="L456" s="65">
        <v>112791</v>
      </c>
      <c r="M456" t="s">
        <v>635</v>
      </c>
    </row>
    <row r="457" spans="12:13" x14ac:dyDescent="0.25">
      <c r="L457" s="65">
        <v>112792</v>
      </c>
      <c r="M457" t="s">
        <v>636</v>
      </c>
    </row>
    <row r="458" spans="12:13" x14ac:dyDescent="0.25">
      <c r="L458" s="65">
        <v>112800</v>
      </c>
      <c r="M458" t="s">
        <v>637</v>
      </c>
    </row>
    <row r="459" spans="12:13" x14ac:dyDescent="0.25">
      <c r="L459" s="65">
        <v>112810</v>
      </c>
      <c r="M459" t="s">
        <v>637</v>
      </c>
    </row>
    <row r="460" spans="12:13" x14ac:dyDescent="0.25">
      <c r="L460" s="65">
        <v>112811</v>
      </c>
      <c r="M460" t="s">
        <v>637</v>
      </c>
    </row>
    <row r="461" spans="12:13" x14ac:dyDescent="0.25">
      <c r="L461" s="65">
        <v>120000</v>
      </c>
      <c r="M461" t="s">
        <v>638</v>
      </c>
    </row>
    <row r="462" spans="12:13" x14ac:dyDescent="0.25">
      <c r="L462" s="65">
        <v>121000</v>
      </c>
      <c r="M462" t="s">
        <v>639</v>
      </c>
    </row>
    <row r="463" spans="12:13" x14ac:dyDescent="0.25">
      <c r="L463" s="65">
        <v>121100</v>
      </c>
      <c r="M463" t="s">
        <v>640</v>
      </c>
    </row>
    <row r="464" spans="12:13" x14ac:dyDescent="0.25">
      <c r="L464" s="65">
        <v>121110</v>
      </c>
      <c r="M464" t="s">
        <v>640</v>
      </c>
    </row>
    <row r="465" spans="12:13" x14ac:dyDescent="0.25">
      <c r="L465" s="65">
        <v>121111</v>
      </c>
      <c r="M465" t="s">
        <v>641</v>
      </c>
    </row>
    <row r="466" spans="12:13" x14ac:dyDescent="0.25">
      <c r="L466" s="65">
        <v>121112</v>
      </c>
      <c r="M466" t="s">
        <v>642</v>
      </c>
    </row>
    <row r="467" spans="12:13" x14ac:dyDescent="0.25">
      <c r="L467" s="65">
        <v>121113</v>
      </c>
      <c r="M467" t="s">
        <v>643</v>
      </c>
    </row>
    <row r="468" spans="12:13" x14ac:dyDescent="0.25">
      <c r="L468" s="65">
        <v>121200</v>
      </c>
      <c r="M468" t="s">
        <v>644</v>
      </c>
    </row>
    <row r="469" spans="12:13" x14ac:dyDescent="0.25">
      <c r="L469" s="65">
        <v>121210</v>
      </c>
      <c r="M469" t="s">
        <v>644</v>
      </c>
    </row>
    <row r="470" spans="12:13" x14ac:dyDescent="0.25">
      <c r="L470" s="65">
        <v>121211</v>
      </c>
      <c r="M470" t="s">
        <v>645</v>
      </c>
    </row>
    <row r="471" spans="12:13" x14ac:dyDescent="0.25">
      <c r="L471" s="65">
        <v>121212</v>
      </c>
      <c r="M471" t="s">
        <v>646</v>
      </c>
    </row>
    <row r="472" spans="12:13" x14ac:dyDescent="0.25">
      <c r="L472" s="65">
        <v>121213</v>
      </c>
      <c r="M472" t="s">
        <v>647</v>
      </c>
    </row>
    <row r="473" spans="12:13" x14ac:dyDescent="0.25">
      <c r="L473" s="65">
        <v>121214</v>
      </c>
      <c r="M473" t="s">
        <v>648</v>
      </c>
    </row>
    <row r="474" spans="12:13" x14ac:dyDescent="0.25">
      <c r="L474" s="65">
        <v>121215</v>
      </c>
      <c r="M474" t="s">
        <v>649</v>
      </c>
    </row>
    <row r="475" spans="12:13" x14ac:dyDescent="0.25">
      <c r="L475" s="65">
        <v>121216</v>
      </c>
      <c r="M475" t="s">
        <v>650</v>
      </c>
    </row>
    <row r="476" spans="12:13" x14ac:dyDescent="0.25">
      <c r="L476" s="65">
        <v>121217</v>
      </c>
      <c r="M476" t="s">
        <v>651</v>
      </c>
    </row>
    <row r="477" spans="12:13" x14ac:dyDescent="0.25">
      <c r="L477" s="65">
        <v>121218</v>
      </c>
      <c r="M477" t="s">
        <v>652</v>
      </c>
    </row>
    <row r="478" spans="12:13" x14ac:dyDescent="0.25">
      <c r="L478" s="65">
        <v>121219</v>
      </c>
      <c r="M478" t="s">
        <v>653</v>
      </c>
    </row>
    <row r="479" spans="12:13" x14ac:dyDescent="0.25">
      <c r="L479" s="65">
        <v>121300</v>
      </c>
      <c r="M479" t="s">
        <v>654</v>
      </c>
    </row>
    <row r="480" spans="12:13" x14ac:dyDescent="0.25">
      <c r="L480" s="65">
        <v>121310</v>
      </c>
      <c r="M480" t="s">
        <v>654</v>
      </c>
    </row>
    <row r="481" spans="12:13" x14ac:dyDescent="0.25">
      <c r="L481" s="65">
        <v>121311</v>
      </c>
      <c r="M481" t="s">
        <v>655</v>
      </c>
    </row>
    <row r="482" spans="12:13" x14ac:dyDescent="0.25">
      <c r="L482" s="65">
        <v>121312</v>
      </c>
      <c r="M482" t="s">
        <v>656</v>
      </c>
    </row>
    <row r="483" spans="12:13" x14ac:dyDescent="0.25">
      <c r="L483" s="65">
        <v>121313</v>
      </c>
      <c r="M483" t="s">
        <v>657</v>
      </c>
    </row>
    <row r="484" spans="12:13" x14ac:dyDescent="0.25">
      <c r="L484" s="65">
        <v>121314</v>
      </c>
      <c r="M484" t="s">
        <v>658</v>
      </c>
    </row>
    <row r="485" spans="12:13" x14ac:dyDescent="0.25">
      <c r="L485" s="65">
        <v>121315</v>
      </c>
      <c r="M485" t="s">
        <v>659</v>
      </c>
    </row>
    <row r="486" spans="12:13" x14ac:dyDescent="0.25">
      <c r="L486" s="65">
        <v>121319</v>
      </c>
      <c r="M486" t="s">
        <v>660</v>
      </c>
    </row>
    <row r="487" spans="12:13" x14ac:dyDescent="0.25">
      <c r="L487" s="65">
        <v>121400</v>
      </c>
      <c r="M487" t="s">
        <v>661</v>
      </c>
    </row>
    <row r="488" spans="12:13" x14ac:dyDescent="0.25">
      <c r="L488" s="65">
        <v>121410</v>
      </c>
      <c r="M488" t="s">
        <v>661</v>
      </c>
    </row>
    <row r="489" spans="12:13" x14ac:dyDescent="0.25">
      <c r="L489" s="65">
        <v>121411</v>
      </c>
      <c r="M489" t="s">
        <v>662</v>
      </c>
    </row>
    <row r="490" spans="12:13" x14ac:dyDescent="0.25">
      <c r="L490" s="65">
        <v>121412</v>
      </c>
      <c r="M490" t="s">
        <v>663</v>
      </c>
    </row>
    <row r="491" spans="12:13" x14ac:dyDescent="0.25">
      <c r="L491" s="65">
        <v>121413</v>
      </c>
      <c r="M491" t="s">
        <v>664</v>
      </c>
    </row>
    <row r="492" spans="12:13" x14ac:dyDescent="0.25">
      <c r="L492" s="65">
        <v>121414</v>
      </c>
      <c r="M492" t="s">
        <v>665</v>
      </c>
    </row>
    <row r="493" spans="12:13" x14ac:dyDescent="0.25">
      <c r="L493" s="65">
        <v>121418</v>
      </c>
      <c r="M493" t="s">
        <v>666</v>
      </c>
    </row>
    <row r="494" spans="12:13" x14ac:dyDescent="0.25">
      <c r="L494" s="65">
        <v>121419</v>
      </c>
      <c r="M494" t="s">
        <v>667</v>
      </c>
    </row>
    <row r="495" spans="12:13" x14ac:dyDescent="0.25">
      <c r="L495" s="65">
        <v>121500</v>
      </c>
      <c r="M495" t="s">
        <v>668</v>
      </c>
    </row>
    <row r="496" spans="12:13" x14ac:dyDescent="0.25">
      <c r="L496" s="65">
        <v>121510</v>
      </c>
      <c r="M496" t="s">
        <v>668</v>
      </c>
    </row>
    <row r="497" spans="12:13" x14ac:dyDescent="0.25">
      <c r="L497" s="65">
        <v>121511</v>
      </c>
      <c r="M497" t="s">
        <v>669</v>
      </c>
    </row>
    <row r="498" spans="12:13" x14ac:dyDescent="0.25">
      <c r="L498" s="65">
        <v>121512</v>
      </c>
      <c r="M498" t="s">
        <v>670</v>
      </c>
    </row>
    <row r="499" spans="12:13" x14ac:dyDescent="0.25">
      <c r="L499" s="65">
        <v>121513</v>
      </c>
      <c r="M499" t="s">
        <v>671</v>
      </c>
    </row>
    <row r="500" spans="12:13" x14ac:dyDescent="0.25">
      <c r="L500" s="65">
        <v>121518</v>
      </c>
      <c r="M500" t="s">
        <v>672</v>
      </c>
    </row>
    <row r="501" spans="12:13" x14ac:dyDescent="0.25">
      <c r="L501" s="65">
        <v>121600</v>
      </c>
      <c r="M501" t="s">
        <v>673</v>
      </c>
    </row>
    <row r="502" spans="12:13" x14ac:dyDescent="0.25">
      <c r="L502" s="65">
        <v>121610</v>
      </c>
      <c r="M502" t="s">
        <v>673</v>
      </c>
    </row>
    <row r="503" spans="12:13" x14ac:dyDescent="0.25">
      <c r="L503" s="65">
        <v>121611</v>
      </c>
      <c r="M503" t="s">
        <v>674</v>
      </c>
    </row>
    <row r="504" spans="12:13" x14ac:dyDescent="0.25">
      <c r="L504" s="65">
        <v>121612</v>
      </c>
      <c r="M504" t="s">
        <v>675</v>
      </c>
    </row>
    <row r="505" spans="12:13" x14ac:dyDescent="0.25">
      <c r="L505" s="65">
        <v>121618</v>
      </c>
      <c r="M505" t="s">
        <v>676</v>
      </c>
    </row>
    <row r="506" spans="12:13" x14ac:dyDescent="0.25">
      <c r="L506" s="65">
        <v>121619</v>
      </c>
      <c r="M506" t="s">
        <v>677</v>
      </c>
    </row>
    <row r="507" spans="12:13" x14ac:dyDescent="0.25">
      <c r="L507" s="65">
        <v>121700</v>
      </c>
      <c r="M507" t="s">
        <v>678</v>
      </c>
    </row>
    <row r="508" spans="12:13" x14ac:dyDescent="0.25">
      <c r="L508" s="65">
        <v>121710</v>
      </c>
      <c r="M508" t="s">
        <v>678</v>
      </c>
    </row>
    <row r="509" spans="12:13" x14ac:dyDescent="0.25">
      <c r="L509" s="65">
        <v>121711</v>
      </c>
      <c r="M509" t="s">
        <v>679</v>
      </c>
    </row>
    <row r="510" spans="12:13" x14ac:dyDescent="0.25">
      <c r="L510" s="65">
        <v>121712</v>
      </c>
      <c r="M510" t="s">
        <v>680</v>
      </c>
    </row>
    <row r="511" spans="12:13" x14ac:dyDescent="0.25">
      <c r="L511" s="65">
        <v>121713</v>
      </c>
      <c r="M511" t="s">
        <v>681</v>
      </c>
    </row>
    <row r="512" spans="12:13" x14ac:dyDescent="0.25">
      <c r="L512" s="65">
        <v>121714</v>
      </c>
      <c r="M512" t="s">
        <v>682</v>
      </c>
    </row>
    <row r="513" spans="12:13" x14ac:dyDescent="0.25">
      <c r="L513" s="65">
        <v>121715</v>
      </c>
      <c r="M513" t="s">
        <v>683</v>
      </c>
    </row>
    <row r="514" spans="12:13" x14ac:dyDescent="0.25">
      <c r="L514" s="65">
        <v>121716</v>
      </c>
      <c r="M514" t="s">
        <v>684</v>
      </c>
    </row>
    <row r="515" spans="12:13" x14ac:dyDescent="0.25">
      <c r="L515" s="65">
        <v>121717</v>
      </c>
      <c r="M515" t="s">
        <v>685</v>
      </c>
    </row>
    <row r="516" spans="12:13" x14ac:dyDescent="0.25">
      <c r="L516" s="65">
        <v>121718</v>
      </c>
      <c r="M516" t="s">
        <v>686</v>
      </c>
    </row>
    <row r="517" spans="12:13" x14ac:dyDescent="0.25">
      <c r="L517" s="65">
        <v>121719</v>
      </c>
      <c r="M517" t="s">
        <v>678</v>
      </c>
    </row>
    <row r="518" spans="12:13" x14ac:dyDescent="0.25">
      <c r="L518" s="65">
        <v>121800</v>
      </c>
      <c r="M518" t="s">
        <v>687</v>
      </c>
    </row>
    <row r="519" spans="12:13" x14ac:dyDescent="0.25">
      <c r="L519" s="65">
        <v>121810</v>
      </c>
      <c r="M519" t="s">
        <v>687</v>
      </c>
    </row>
    <row r="520" spans="12:13" x14ac:dyDescent="0.25">
      <c r="L520" s="65">
        <v>121811</v>
      </c>
      <c r="M520" t="s">
        <v>688</v>
      </c>
    </row>
    <row r="521" spans="12:13" x14ac:dyDescent="0.25">
      <c r="L521" s="65">
        <v>121812</v>
      </c>
      <c r="M521" t="s">
        <v>689</v>
      </c>
    </row>
    <row r="522" spans="12:13" x14ac:dyDescent="0.25">
      <c r="L522" s="65">
        <v>121900</v>
      </c>
      <c r="M522" t="s">
        <v>690</v>
      </c>
    </row>
    <row r="523" spans="12:13" x14ac:dyDescent="0.25">
      <c r="L523" s="65">
        <v>121910</v>
      </c>
      <c r="M523" t="s">
        <v>691</v>
      </c>
    </row>
    <row r="524" spans="12:13" x14ac:dyDescent="0.25">
      <c r="L524" s="65">
        <v>121911</v>
      </c>
      <c r="M524" t="s">
        <v>692</v>
      </c>
    </row>
    <row r="525" spans="12:13" x14ac:dyDescent="0.25">
      <c r="L525" s="65">
        <v>121912</v>
      </c>
      <c r="M525" t="s">
        <v>693</v>
      </c>
    </row>
    <row r="526" spans="12:13" x14ac:dyDescent="0.25">
      <c r="L526" s="65">
        <v>121913</v>
      </c>
      <c r="M526" t="s">
        <v>694</v>
      </c>
    </row>
    <row r="527" spans="12:13" x14ac:dyDescent="0.25">
      <c r="L527" s="65">
        <v>121914</v>
      </c>
      <c r="M527" t="s">
        <v>695</v>
      </c>
    </row>
    <row r="528" spans="12:13" x14ac:dyDescent="0.25">
      <c r="L528" s="65">
        <v>121915</v>
      </c>
      <c r="M528" t="s">
        <v>696</v>
      </c>
    </row>
    <row r="529" spans="12:13" x14ac:dyDescent="0.25">
      <c r="L529" s="65">
        <v>121916</v>
      </c>
      <c r="M529" t="s">
        <v>697</v>
      </c>
    </row>
    <row r="530" spans="12:13" x14ac:dyDescent="0.25">
      <c r="L530" s="65">
        <v>121917</v>
      </c>
      <c r="M530" t="s">
        <v>698</v>
      </c>
    </row>
    <row r="531" spans="12:13" x14ac:dyDescent="0.25">
      <c r="L531" s="65">
        <v>121920</v>
      </c>
      <c r="M531" t="s">
        <v>699</v>
      </c>
    </row>
    <row r="532" spans="12:13" x14ac:dyDescent="0.25">
      <c r="L532" s="65">
        <v>121921</v>
      </c>
      <c r="M532" t="s">
        <v>700</v>
      </c>
    </row>
    <row r="533" spans="12:13" x14ac:dyDescent="0.25">
      <c r="L533" s="65">
        <v>121922</v>
      </c>
      <c r="M533" t="s">
        <v>701</v>
      </c>
    </row>
    <row r="534" spans="12:13" x14ac:dyDescent="0.25">
      <c r="L534" s="65">
        <v>121990</v>
      </c>
      <c r="M534" t="s">
        <v>702</v>
      </c>
    </row>
    <row r="535" spans="12:13" x14ac:dyDescent="0.25">
      <c r="L535" s="65">
        <v>121991</v>
      </c>
      <c r="M535" t="s">
        <v>703</v>
      </c>
    </row>
    <row r="536" spans="12:13" x14ac:dyDescent="0.25">
      <c r="L536" s="65">
        <v>121992</v>
      </c>
      <c r="M536" t="s">
        <v>704</v>
      </c>
    </row>
    <row r="537" spans="12:13" x14ac:dyDescent="0.25">
      <c r="L537" s="65">
        <v>122000</v>
      </c>
      <c r="M537" t="s">
        <v>705</v>
      </c>
    </row>
    <row r="538" spans="12:13" x14ac:dyDescent="0.25">
      <c r="L538" s="65">
        <v>122100</v>
      </c>
      <c r="M538" t="s">
        <v>706</v>
      </c>
    </row>
    <row r="539" spans="12:13" x14ac:dyDescent="0.25">
      <c r="L539" s="65">
        <v>122110</v>
      </c>
      <c r="M539" t="s">
        <v>707</v>
      </c>
    </row>
    <row r="540" spans="12:13" x14ac:dyDescent="0.25">
      <c r="L540" s="65">
        <v>122111</v>
      </c>
      <c r="M540" t="s">
        <v>708</v>
      </c>
    </row>
    <row r="541" spans="12:13" x14ac:dyDescent="0.25">
      <c r="L541" s="65">
        <v>122112</v>
      </c>
      <c r="M541" t="s">
        <v>709</v>
      </c>
    </row>
    <row r="542" spans="12:13" x14ac:dyDescent="0.25">
      <c r="L542" s="65">
        <v>122113</v>
      </c>
      <c r="M542" t="s">
        <v>710</v>
      </c>
    </row>
    <row r="543" spans="12:13" x14ac:dyDescent="0.25">
      <c r="L543" s="65">
        <v>122119</v>
      </c>
      <c r="M543" t="s">
        <v>711</v>
      </c>
    </row>
    <row r="544" spans="12:13" x14ac:dyDescent="0.25">
      <c r="L544" s="65">
        <v>122120</v>
      </c>
      <c r="M544" t="s">
        <v>712</v>
      </c>
    </row>
    <row r="545" spans="12:13" x14ac:dyDescent="0.25">
      <c r="L545" s="65">
        <v>122121</v>
      </c>
      <c r="M545" t="s">
        <v>708</v>
      </c>
    </row>
    <row r="546" spans="12:13" x14ac:dyDescent="0.25">
      <c r="L546" s="65">
        <v>122122</v>
      </c>
      <c r="M546" t="s">
        <v>710</v>
      </c>
    </row>
    <row r="547" spans="12:13" x14ac:dyDescent="0.25">
      <c r="L547" s="65">
        <v>122129</v>
      </c>
      <c r="M547" t="s">
        <v>713</v>
      </c>
    </row>
    <row r="548" spans="12:13" x14ac:dyDescent="0.25">
      <c r="L548" s="65">
        <v>122130</v>
      </c>
      <c r="M548" t="s">
        <v>714</v>
      </c>
    </row>
    <row r="549" spans="12:13" x14ac:dyDescent="0.25">
      <c r="L549" s="65">
        <v>122131</v>
      </c>
      <c r="M549" t="s">
        <v>715</v>
      </c>
    </row>
    <row r="550" spans="12:13" x14ac:dyDescent="0.25">
      <c r="L550" s="65">
        <v>122132</v>
      </c>
      <c r="M550" t="s">
        <v>716</v>
      </c>
    </row>
    <row r="551" spans="12:13" x14ac:dyDescent="0.25">
      <c r="L551" s="65">
        <v>122133</v>
      </c>
      <c r="M551" t="s">
        <v>717</v>
      </c>
    </row>
    <row r="552" spans="12:13" x14ac:dyDescent="0.25">
      <c r="L552" s="65">
        <v>122139</v>
      </c>
      <c r="M552" t="s">
        <v>718</v>
      </c>
    </row>
    <row r="553" spans="12:13" x14ac:dyDescent="0.25">
      <c r="L553" s="65">
        <v>122140</v>
      </c>
      <c r="M553" t="s">
        <v>719</v>
      </c>
    </row>
    <row r="554" spans="12:13" x14ac:dyDescent="0.25">
      <c r="L554" s="65">
        <v>122141</v>
      </c>
      <c r="M554" t="s">
        <v>720</v>
      </c>
    </row>
    <row r="555" spans="12:13" x14ac:dyDescent="0.25">
      <c r="L555" s="65">
        <v>122142</v>
      </c>
      <c r="M555" t="s">
        <v>721</v>
      </c>
    </row>
    <row r="556" spans="12:13" x14ac:dyDescent="0.25">
      <c r="L556" s="65">
        <v>122143</v>
      </c>
      <c r="M556" t="s">
        <v>722</v>
      </c>
    </row>
    <row r="557" spans="12:13" x14ac:dyDescent="0.25">
      <c r="L557" s="65">
        <v>122144</v>
      </c>
      <c r="M557" t="s">
        <v>723</v>
      </c>
    </row>
    <row r="558" spans="12:13" x14ac:dyDescent="0.25">
      <c r="L558" s="65">
        <v>122145</v>
      </c>
      <c r="M558" t="s">
        <v>724</v>
      </c>
    </row>
    <row r="559" spans="12:13" x14ac:dyDescent="0.25">
      <c r="L559" s="65">
        <v>122146</v>
      </c>
      <c r="M559" t="s">
        <v>725</v>
      </c>
    </row>
    <row r="560" spans="12:13" x14ac:dyDescent="0.25">
      <c r="L560" s="65">
        <v>122147</v>
      </c>
      <c r="M560" t="s">
        <v>726</v>
      </c>
    </row>
    <row r="561" spans="12:13" x14ac:dyDescent="0.25">
      <c r="L561" s="65">
        <v>122148</v>
      </c>
      <c r="M561" t="s">
        <v>727</v>
      </c>
    </row>
    <row r="562" spans="12:13" x14ac:dyDescent="0.25">
      <c r="L562" s="65">
        <v>122149</v>
      </c>
      <c r="M562" t="s">
        <v>728</v>
      </c>
    </row>
    <row r="563" spans="12:13" x14ac:dyDescent="0.25">
      <c r="L563" s="65">
        <v>122150</v>
      </c>
      <c r="M563" t="s">
        <v>729</v>
      </c>
    </row>
    <row r="564" spans="12:13" x14ac:dyDescent="0.25">
      <c r="L564" s="65">
        <v>122151</v>
      </c>
      <c r="M564" t="s">
        <v>730</v>
      </c>
    </row>
    <row r="565" spans="12:13" x14ac:dyDescent="0.25">
      <c r="L565" s="65">
        <v>122152</v>
      </c>
      <c r="M565" t="s">
        <v>731</v>
      </c>
    </row>
    <row r="566" spans="12:13" x14ac:dyDescent="0.25">
      <c r="L566" s="65">
        <v>122153</v>
      </c>
      <c r="M566" t="s">
        <v>732</v>
      </c>
    </row>
    <row r="567" spans="12:13" x14ac:dyDescent="0.25">
      <c r="L567" s="65">
        <v>122154</v>
      </c>
      <c r="M567" t="s">
        <v>733</v>
      </c>
    </row>
    <row r="568" spans="12:13" x14ac:dyDescent="0.25">
      <c r="L568" s="65">
        <v>122155</v>
      </c>
      <c r="M568" t="s">
        <v>734</v>
      </c>
    </row>
    <row r="569" spans="12:13" x14ac:dyDescent="0.25">
      <c r="L569" s="65">
        <v>122156</v>
      </c>
      <c r="M569" t="s">
        <v>735</v>
      </c>
    </row>
    <row r="570" spans="12:13" x14ac:dyDescent="0.25">
      <c r="L570" s="65">
        <v>122157</v>
      </c>
      <c r="M570" t="s">
        <v>736</v>
      </c>
    </row>
    <row r="571" spans="12:13" x14ac:dyDescent="0.25">
      <c r="L571" s="65">
        <v>122159</v>
      </c>
      <c r="M571" t="s">
        <v>737</v>
      </c>
    </row>
    <row r="572" spans="12:13" x14ac:dyDescent="0.25">
      <c r="L572" s="65">
        <v>122160</v>
      </c>
      <c r="M572" t="s">
        <v>738</v>
      </c>
    </row>
    <row r="573" spans="12:13" x14ac:dyDescent="0.25">
      <c r="L573" s="65">
        <v>122161</v>
      </c>
      <c r="M573" t="s">
        <v>739</v>
      </c>
    </row>
    <row r="574" spans="12:13" x14ac:dyDescent="0.25">
      <c r="L574" s="65">
        <v>122162</v>
      </c>
      <c r="M574" t="s">
        <v>740</v>
      </c>
    </row>
    <row r="575" spans="12:13" x14ac:dyDescent="0.25">
      <c r="L575" s="65">
        <v>122163</v>
      </c>
      <c r="M575" t="s">
        <v>741</v>
      </c>
    </row>
    <row r="576" spans="12:13" x14ac:dyDescent="0.25">
      <c r="L576" s="65">
        <v>122164</v>
      </c>
      <c r="M576" t="s">
        <v>742</v>
      </c>
    </row>
    <row r="577" spans="12:13" x14ac:dyDescent="0.25">
      <c r="L577" s="65">
        <v>122165</v>
      </c>
      <c r="M577" t="s">
        <v>743</v>
      </c>
    </row>
    <row r="578" spans="12:13" x14ac:dyDescent="0.25">
      <c r="L578" s="65">
        <v>122169</v>
      </c>
      <c r="M578" t="s">
        <v>744</v>
      </c>
    </row>
    <row r="579" spans="12:13" x14ac:dyDescent="0.25">
      <c r="L579" s="65">
        <v>122190</v>
      </c>
      <c r="M579" t="s">
        <v>745</v>
      </c>
    </row>
    <row r="580" spans="12:13" x14ac:dyDescent="0.25">
      <c r="L580" s="65">
        <v>122191</v>
      </c>
      <c r="M580" t="s">
        <v>746</v>
      </c>
    </row>
    <row r="581" spans="12:13" x14ac:dyDescent="0.25">
      <c r="L581" s="65">
        <v>122192</v>
      </c>
      <c r="M581" t="s">
        <v>747</v>
      </c>
    </row>
    <row r="582" spans="12:13" x14ac:dyDescent="0.25">
      <c r="L582" s="65">
        <v>122193</v>
      </c>
      <c r="M582" t="s">
        <v>748</v>
      </c>
    </row>
    <row r="583" spans="12:13" x14ac:dyDescent="0.25">
      <c r="L583" s="65">
        <v>122194</v>
      </c>
      <c r="M583" t="s">
        <v>749</v>
      </c>
    </row>
    <row r="584" spans="12:13" x14ac:dyDescent="0.25">
      <c r="L584" s="65">
        <v>122195</v>
      </c>
      <c r="M584" t="s">
        <v>750</v>
      </c>
    </row>
    <row r="585" spans="12:13" x14ac:dyDescent="0.25">
      <c r="L585" s="65">
        <v>122196</v>
      </c>
      <c r="M585" t="s">
        <v>751</v>
      </c>
    </row>
    <row r="586" spans="12:13" x14ac:dyDescent="0.25">
      <c r="L586" s="65">
        <v>122197</v>
      </c>
      <c r="M586" t="s">
        <v>736</v>
      </c>
    </row>
    <row r="587" spans="12:13" x14ac:dyDescent="0.25">
      <c r="L587" s="65">
        <v>122198</v>
      </c>
      <c r="M587" t="s">
        <v>752</v>
      </c>
    </row>
    <row r="588" spans="12:13" x14ac:dyDescent="0.25">
      <c r="L588" s="65">
        <v>122199</v>
      </c>
      <c r="M588" t="s">
        <v>753</v>
      </c>
    </row>
    <row r="589" spans="12:13" x14ac:dyDescent="0.25">
      <c r="L589" s="65">
        <v>123000</v>
      </c>
      <c r="M589" t="s">
        <v>754</v>
      </c>
    </row>
    <row r="590" spans="12:13" x14ac:dyDescent="0.25">
      <c r="L590" s="65">
        <v>123100</v>
      </c>
      <c r="M590" t="s">
        <v>755</v>
      </c>
    </row>
    <row r="591" spans="12:13" x14ac:dyDescent="0.25">
      <c r="L591" s="65">
        <v>123110</v>
      </c>
      <c r="M591" t="s">
        <v>756</v>
      </c>
    </row>
    <row r="592" spans="12:13" x14ac:dyDescent="0.25">
      <c r="L592" s="65">
        <v>123111</v>
      </c>
      <c r="M592" t="s">
        <v>757</v>
      </c>
    </row>
    <row r="593" spans="12:13" x14ac:dyDescent="0.25">
      <c r="L593" s="65">
        <v>123112</v>
      </c>
      <c r="M593" t="s">
        <v>758</v>
      </c>
    </row>
    <row r="594" spans="12:13" x14ac:dyDescent="0.25">
      <c r="L594" s="65">
        <v>123113</v>
      </c>
      <c r="M594" t="s">
        <v>759</v>
      </c>
    </row>
    <row r="595" spans="12:13" x14ac:dyDescent="0.25">
      <c r="L595" s="65">
        <v>123119</v>
      </c>
      <c r="M595" t="s">
        <v>760</v>
      </c>
    </row>
    <row r="596" spans="12:13" x14ac:dyDescent="0.25">
      <c r="L596" s="65">
        <v>123120</v>
      </c>
      <c r="M596" t="s">
        <v>761</v>
      </c>
    </row>
    <row r="597" spans="12:13" x14ac:dyDescent="0.25">
      <c r="L597" s="65">
        <v>123121</v>
      </c>
      <c r="M597" t="s">
        <v>762</v>
      </c>
    </row>
    <row r="598" spans="12:13" x14ac:dyDescent="0.25">
      <c r="L598" s="65">
        <v>123122</v>
      </c>
      <c r="M598" t="s">
        <v>763</v>
      </c>
    </row>
    <row r="599" spans="12:13" x14ac:dyDescent="0.25">
      <c r="L599" s="65">
        <v>123129</v>
      </c>
      <c r="M599" t="s">
        <v>764</v>
      </c>
    </row>
    <row r="600" spans="12:13" x14ac:dyDescent="0.25">
      <c r="L600" s="65">
        <v>123130</v>
      </c>
      <c r="M600" t="s">
        <v>736</v>
      </c>
    </row>
    <row r="601" spans="12:13" x14ac:dyDescent="0.25">
      <c r="L601" s="65">
        <v>123131</v>
      </c>
      <c r="M601" t="s">
        <v>736</v>
      </c>
    </row>
    <row r="602" spans="12:13" x14ac:dyDescent="0.25">
      <c r="L602" s="65">
        <v>123190</v>
      </c>
      <c r="M602" t="s">
        <v>765</v>
      </c>
    </row>
    <row r="603" spans="12:13" x14ac:dyDescent="0.25">
      <c r="L603" s="65">
        <v>123191</v>
      </c>
      <c r="M603" t="s">
        <v>765</v>
      </c>
    </row>
    <row r="604" spans="12:13" x14ac:dyDescent="0.25">
      <c r="L604" s="65">
        <v>123200</v>
      </c>
      <c r="M604" t="s">
        <v>766</v>
      </c>
    </row>
    <row r="605" spans="12:13" x14ac:dyDescent="0.25">
      <c r="L605" s="65">
        <v>123210</v>
      </c>
      <c r="M605" t="s">
        <v>767</v>
      </c>
    </row>
    <row r="606" spans="12:13" x14ac:dyDescent="0.25">
      <c r="L606" s="65">
        <v>123211</v>
      </c>
      <c r="M606" t="s">
        <v>767</v>
      </c>
    </row>
    <row r="607" spans="12:13" x14ac:dyDescent="0.25">
      <c r="L607" s="65">
        <v>123220</v>
      </c>
      <c r="M607" t="s">
        <v>768</v>
      </c>
    </row>
    <row r="608" spans="12:13" x14ac:dyDescent="0.25">
      <c r="L608" s="65">
        <v>123221</v>
      </c>
      <c r="M608" t="s">
        <v>768</v>
      </c>
    </row>
    <row r="609" spans="12:13" x14ac:dyDescent="0.25">
      <c r="L609" s="65">
        <v>123230</v>
      </c>
      <c r="M609" t="s">
        <v>769</v>
      </c>
    </row>
    <row r="610" spans="12:13" x14ac:dyDescent="0.25">
      <c r="L610" s="65">
        <v>123231</v>
      </c>
      <c r="M610" t="s">
        <v>769</v>
      </c>
    </row>
    <row r="611" spans="12:13" x14ac:dyDescent="0.25">
      <c r="L611" s="65">
        <v>123240</v>
      </c>
      <c r="M611" t="s">
        <v>770</v>
      </c>
    </row>
    <row r="612" spans="12:13" x14ac:dyDescent="0.25">
      <c r="L612" s="65">
        <v>123241</v>
      </c>
      <c r="M612" t="s">
        <v>770</v>
      </c>
    </row>
    <row r="613" spans="12:13" x14ac:dyDescent="0.25">
      <c r="L613" s="65">
        <v>123250</v>
      </c>
      <c r="M613" t="s">
        <v>771</v>
      </c>
    </row>
    <row r="614" spans="12:13" x14ac:dyDescent="0.25">
      <c r="L614" s="65">
        <v>123251</v>
      </c>
      <c r="M614" t="s">
        <v>771</v>
      </c>
    </row>
    <row r="615" spans="12:13" x14ac:dyDescent="0.25">
      <c r="L615" s="65">
        <v>123260</v>
      </c>
      <c r="M615" t="s">
        <v>772</v>
      </c>
    </row>
    <row r="616" spans="12:13" x14ac:dyDescent="0.25">
      <c r="L616" s="65">
        <v>123261</v>
      </c>
      <c r="M616" t="s">
        <v>772</v>
      </c>
    </row>
    <row r="617" spans="12:13" x14ac:dyDescent="0.25">
      <c r="L617" s="65">
        <v>123290</v>
      </c>
      <c r="M617" t="s">
        <v>773</v>
      </c>
    </row>
    <row r="618" spans="12:13" x14ac:dyDescent="0.25">
      <c r="L618" s="65">
        <v>123291</v>
      </c>
      <c r="M618" t="s">
        <v>773</v>
      </c>
    </row>
    <row r="619" spans="12:13" x14ac:dyDescent="0.25">
      <c r="L619" s="65">
        <v>123300</v>
      </c>
      <c r="M619" t="s">
        <v>774</v>
      </c>
    </row>
    <row r="620" spans="12:13" x14ac:dyDescent="0.25">
      <c r="L620" s="65">
        <v>123310</v>
      </c>
      <c r="M620" t="s">
        <v>775</v>
      </c>
    </row>
    <row r="621" spans="12:13" x14ac:dyDescent="0.25">
      <c r="L621" s="65">
        <v>123311</v>
      </c>
      <c r="M621" t="s">
        <v>775</v>
      </c>
    </row>
    <row r="622" spans="12:13" x14ac:dyDescent="0.25">
      <c r="L622" s="65">
        <v>123320</v>
      </c>
      <c r="M622" t="s">
        <v>700</v>
      </c>
    </row>
    <row r="623" spans="12:13" x14ac:dyDescent="0.25">
      <c r="L623" s="65">
        <v>123321</v>
      </c>
      <c r="M623" t="s">
        <v>700</v>
      </c>
    </row>
    <row r="624" spans="12:13" x14ac:dyDescent="0.25">
      <c r="L624" s="65">
        <v>123330</v>
      </c>
      <c r="M624" t="s">
        <v>776</v>
      </c>
    </row>
    <row r="625" spans="12:13" x14ac:dyDescent="0.25">
      <c r="L625" s="65">
        <v>123331</v>
      </c>
      <c r="M625" t="s">
        <v>776</v>
      </c>
    </row>
    <row r="626" spans="12:13" x14ac:dyDescent="0.25">
      <c r="L626" s="65">
        <v>123340</v>
      </c>
      <c r="M626" t="s">
        <v>777</v>
      </c>
    </row>
    <row r="627" spans="12:13" x14ac:dyDescent="0.25">
      <c r="L627" s="65">
        <v>123341</v>
      </c>
      <c r="M627" t="s">
        <v>777</v>
      </c>
    </row>
    <row r="628" spans="12:13" x14ac:dyDescent="0.25">
      <c r="L628" s="65">
        <v>123350</v>
      </c>
      <c r="M628" t="s">
        <v>778</v>
      </c>
    </row>
    <row r="629" spans="12:13" x14ac:dyDescent="0.25">
      <c r="L629" s="65">
        <v>123351</v>
      </c>
      <c r="M629" t="s">
        <v>778</v>
      </c>
    </row>
    <row r="630" spans="12:13" x14ac:dyDescent="0.25">
      <c r="L630" s="65">
        <v>123360</v>
      </c>
      <c r="M630" t="s">
        <v>779</v>
      </c>
    </row>
    <row r="631" spans="12:13" x14ac:dyDescent="0.25">
      <c r="L631" s="65">
        <v>123361</v>
      </c>
      <c r="M631" t="s">
        <v>779</v>
      </c>
    </row>
    <row r="632" spans="12:13" x14ac:dyDescent="0.25">
      <c r="L632" s="65">
        <v>123370</v>
      </c>
      <c r="M632" t="s">
        <v>780</v>
      </c>
    </row>
    <row r="633" spans="12:13" x14ac:dyDescent="0.25">
      <c r="L633" s="65">
        <v>123371</v>
      </c>
      <c r="M633" t="s">
        <v>780</v>
      </c>
    </row>
    <row r="634" spans="12:13" x14ac:dyDescent="0.25">
      <c r="L634" s="65">
        <v>123380</v>
      </c>
      <c r="M634" t="s">
        <v>781</v>
      </c>
    </row>
    <row r="635" spans="12:13" x14ac:dyDescent="0.25">
      <c r="L635" s="65">
        <v>123381</v>
      </c>
      <c r="M635" t="s">
        <v>781</v>
      </c>
    </row>
    <row r="636" spans="12:13" x14ac:dyDescent="0.25">
      <c r="L636" s="65">
        <v>123390</v>
      </c>
      <c r="M636" t="s">
        <v>782</v>
      </c>
    </row>
    <row r="637" spans="12:13" x14ac:dyDescent="0.25">
      <c r="L637" s="65">
        <v>123391</v>
      </c>
      <c r="M637" t="s">
        <v>782</v>
      </c>
    </row>
    <row r="638" spans="12:13" x14ac:dyDescent="0.25">
      <c r="L638" s="65">
        <v>123900</v>
      </c>
      <c r="M638" t="s">
        <v>783</v>
      </c>
    </row>
    <row r="639" spans="12:13" x14ac:dyDescent="0.25">
      <c r="L639" s="65">
        <v>123910</v>
      </c>
      <c r="M639" t="s">
        <v>784</v>
      </c>
    </row>
    <row r="640" spans="12:13" x14ac:dyDescent="0.25">
      <c r="L640" s="65">
        <v>123911</v>
      </c>
      <c r="M640" t="s">
        <v>784</v>
      </c>
    </row>
    <row r="641" spans="12:13" x14ac:dyDescent="0.25">
      <c r="L641" s="65">
        <v>123920</v>
      </c>
      <c r="M641" t="s">
        <v>785</v>
      </c>
    </row>
    <row r="642" spans="12:13" x14ac:dyDescent="0.25">
      <c r="L642" s="65">
        <v>123921</v>
      </c>
      <c r="M642" t="s">
        <v>785</v>
      </c>
    </row>
    <row r="643" spans="12:13" x14ac:dyDescent="0.25">
      <c r="L643" s="65">
        <v>123930</v>
      </c>
      <c r="M643" t="s">
        <v>786</v>
      </c>
    </row>
    <row r="644" spans="12:13" x14ac:dyDescent="0.25">
      <c r="L644" s="65">
        <v>123931</v>
      </c>
      <c r="M644" t="s">
        <v>786</v>
      </c>
    </row>
    <row r="645" spans="12:13" x14ac:dyDescent="0.25">
      <c r="L645" s="65">
        <v>123940</v>
      </c>
      <c r="M645" t="s">
        <v>787</v>
      </c>
    </row>
    <row r="646" spans="12:13" x14ac:dyDescent="0.25">
      <c r="L646" s="65">
        <v>123941</v>
      </c>
      <c r="M646" t="s">
        <v>787</v>
      </c>
    </row>
    <row r="647" spans="12:13" x14ac:dyDescent="0.25">
      <c r="L647" s="65">
        <v>123950</v>
      </c>
      <c r="M647" t="s">
        <v>788</v>
      </c>
    </row>
    <row r="648" spans="12:13" x14ac:dyDescent="0.25">
      <c r="L648" s="65">
        <v>123951</v>
      </c>
      <c r="M648" t="s">
        <v>788</v>
      </c>
    </row>
    <row r="649" spans="12:13" x14ac:dyDescent="0.25">
      <c r="L649" s="65">
        <v>123960</v>
      </c>
      <c r="M649" t="s">
        <v>789</v>
      </c>
    </row>
    <row r="650" spans="12:13" x14ac:dyDescent="0.25">
      <c r="L650" s="65">
        <v>123961</v>
      </c>
      <c r="M650" t="s">
        <v>790</v>
      </c>
    </row>
    <row r="651" spans="12:13" x14ac:dyDescent="0.25">
      <c r="L651" s="65">
        <v>123962</v>
      </c>
      <c r="M651" t="s">
        <v>791</v>
      </c>
    </row>
    <row r="652" spans="12:13" x14ac:dyDescent="0.25">
      <c r="L652" s="65">
        <v>123963</v>
      </c>
      <c r="M652" t="s">
        <v>792</v>
      </c>
    </row>
    <row r="653" spans="12:13" x14ac:dyDescent="0.25">
      <c r="L653" s="65">
        <v>123964</v>
      </c>
      <c r="M653" t="s">
        <v>793</v>
      </c>
    </row>
    <row r="654" spans="12:13" x14ac:dyDescent="0.25">
      <c r="L654" s="65">
        <v>123965</v>
      </c>
      <c r="M654" t="s">
        <v>794</v>
      </c>
    </row>
    <row r="655" spans="12:13" x14ac:dyDescent="0.25">
      <c r="L655" s="65">
        <v>123966</v>
      </c>
      <c r="M655" t="s">
        <v>795</v>
      </c>
    </row>
    <row r="656" spans="12:13" x14ac:dyDescent="0.25">
      <c r="L656" s="65">
        <v>123967</v>
      </c>
      <c r="M656" t="s">
        <v>796</v>
      </c>
    </row>
    <row r="657" spans="12:13" x14ac:dyDescent="0.25">
      <c r="L657" s="65">
        <v>123968</v>
      </c>
      <c r="M657" t="s">
        <v>797</v>
      </c>
    </row>
    <row r="658" spans="12:13" x14ac:dyDescent="0.25">
      <c r="L658" s="65">
        <v>123969</v>
      </c>
      <c r="M658" t="s">
        <v>798</v>
      </c>
    </row>
    <row r="659" spans="12:13" x14ac:dyDescent="0.25">
      <c r="L659" s="65">
        <v>123990</v>
      </c>
      <c r="M659" t="s">
        <v>799</v>
      </c>
    </row>
    <row r="660" spans="12:13" x14ac:dyDescent="0.25">
      <c r="L660" s="65">
        <v>123991</v>
      </c>
      <c r="M660" t="s">
        <v>799</v>
      </c>
    </row>
    <row r="661" spans="12:13" x14ac:dyDescent="0.25">
      <c r="L661" s="65">
        <v>130000</v>
      </c>
      <c r="M661" t="s">
        <v>800</v>
      </c>
    </row>
    <row r="662" spans="12:13" x14ac:dyDescent="0.25">
      <c r="L662" s="65">
        <v>131000</v>
      </c>
      <c r="M662" t="s">
        <v>800</v>
      </c>
    </row>
    <row r="663" spans="12:13" x14ac:dyDescent="0.25">
      <c r="L663" s="65">
        <v>131100</v>
      </c>
      <c r="M663" t="s">
        <v>801</v>
      </c>
    </row>
    <row r="664" spans="12:13" x14ac:dyDescent="0.25">
      <c r="L664" s="65">
        <v>131110</v>
      </c>
      <c r="M664" t="s">
        <v>801</v>
      </c>
    </row>
    <row r="665" spans="12:13" x14ac:dyDescent="0.25">
      <c r="L665" s="65">
        <v>131111</v>
      </c>
      <c r="M665" t="s">
        <v>802</v>
      </c>
    </row>
    <row r="666" spans="12:13" x14ac:dyDescent="0.25">
      <c r="L666" s="65">
        <v>131112</v>
      </c>
      <c r="M666" t="s">
        <v>803</v>
      </c>
    </row>
    <row r="667" spans="12:13" x14ac:dyDescent="0.25">
      <c r="L667" s="65">
        <v>131113</v>
      </c>
      <c r="M667" t="s">
        <v>804</v>
      </c>
    </row>
    <row r="668" spans="12:13" x14ac:dyDescent="0.25">
      <c r="L668" s="65">
        <v>131114</v>
      </c>
      <c r="M668" t="s">
        <v>805</v>
      </c>
    </row>
    <row r="669" spans="12:13" x14ac:dyDescent="0.25">
      <c r="L669" s="65">
        <v>131119</v>
      </c>
      <c r="M669" t="s">
        <v>806</v>
      </c>
    </row>
    <row r="670" spans="12:13" x14ac:dyDescent="0.25">
      <c r="L670" s="65">
        <v>131200</v>
      </c>
      <c r="M670" t="s">
        <v>807</v>
      </c>
    </row>
    <row r="671" spans="12:13" x14ac:dyDescent="0.25">
      <c r="L671" s="65">
        <v>131210</v>
      </c>
      <c r="M671" t="s">
        <v>807</v>
      </c>
    </row>
    <row r="672" spans="12:13" x14ac:dyDescent="0.25">
      <c r="L672" s="65">
        <v>131211</v>
      </c>
      <c r="M672" t="s">
        <v>808</v>
      </c>
    </row>
    <row r="673" spans="12:13" x14ac:dyDescent="0.25">
      <c r="L673" s="65">
        <v>131212</v>
      </c>
      <c r="M673" t="s">
        <v>809</v>
      </c>
    </row>
    <row r="674" spans="12:13" x14ac:dyDescent="0.25">
      <c r="L674" s="65">
        <v>131300</v>
      </c>
      <c r="M674" t="s">
        <v>810</v>
      </c>
    </row>
    <row r="675" spans="12:13" x14ac:dyDescent="0.25">
      <c r="L675" s="65">
        <v>131310</v>
      </c>
      <c r="M675" t="s">
        <v>810</v>
      </c>
    </row>
    <row r="676" spans="12:13" x14ac:dyDescent="0.25">
      <c r="L676" s="65">
        <v>131311</v>
      </c>
      <c r="M676" t="s">
        <v>811</v>
      </c>
    </row>
    <row r="677" spans="12:13" x14ac:dyDescent="0.25">
      <c r="L677" s="65">
        <v>131312</v>
      </c>
      <c r="M677" t="s">
        <v>810</v>
      </c>
    </row>
    <row r="678" spans="12:13" x14ac:dyDescent="0.25">
      <c r="L678" s="65">
        <v>200000</v>
      </c>
      <c r="M678" t="s">
        <v>812</v>
      </c>
    </row>
    <row r="679" spans="12:13" x14ac:dyDescent="0.25">
      <c r="L679" s="66">
        <v>210000</v>
      </c>
      <c r="M679" s="62" t="s">
        <v>813</v>
      </c>
    </row>
    <row r="680" spans="12:13" x14ac:dyDescent="0.25">
      <c r="L680" s="65">
        <v>211000</v>
      </c>
      <c r="M680" t="s">
        <v>814</v>
      </c>
    </row>
    <row r="681" spans="12:13" x14ac:dyDescent="0.25">
      <c r="L681" s="65">
        <v>211100</v>
      </c>
      <c r="M681" t="s">
        <v>815</v>
      </c>
    </row>
    <row r="682" spans="12:13" x14ac:dyDescent="0.25">
      <c r="L682" s="65">
        <v>211110</v>
      </c>
      <c r="M682" t="s">
        <v>815</v>
      </c>
    </row>
    <row r="683" spans="12:13" x14ac:dyDescent="0.25">
      <c r="L683" s="65">
        <v>211111</v>
      </c>
      <c r="M683" t="s">
        <v>815</v>
      </c>
    </row>
    <row r="684" spans="12:13" x14ac:dyDescent="0.25">
      <c r="L684" s="65">
        <v>211200</v>
      </c>
      <c r="M684" t="s">
        <v>816</v>
      </c>
    </row>
    <row r="685" spans="12:13" x14ac:dyDescent="0.25">
      <c r="L685" s="65">
        <v>211210</v>
      </c>
      <c r="M685" t="s">
        <v>817</v>
      </c>
    </row>
    <row r="686" spans="12:13" x14ac:dyDescent="0.25">
      <c r="L686" s="65">
        <v>211211</v>
      </c>
      <c r="M686" t="s">
        <v>817</v>
      </c>
    </row>
    <row r="687" spans="12:13" x14ac:dyDescent="0.25">
      <c r="L687" s="65">
        <v>211220</v>
      </c>
      <c r="M687" t="s">
        <v>818</v>
      </c>
    </row>
    <row r="688" spans="12:13" x14ac:dyDescent="0.25">
      <c r="L688" s="65">
        <v>211221</v>
      </c>
      <c r="M688" t="s">
        <v>818</v>
      </c>
    </row>
    <row r="689" spans="12:13" x14ac:dyDescent="0.25">
      <c r="L689" s="65">
        <v>211230</v>
      </c>
      <c r="M689" t="s">
        <v>819</v>
      </c>
    </row>
    <row r="690" spans="12:13" x14ac:dyDescent="0.25">
      <c r="L690" s="65">
        <v>211231</v>
      </c>
      <c r="M690" t="s">
        <v>819</v>
      </c>
    </row>
    <row r="691" spans="12:13" x14ac:dyDescent="0.25">
      <c r="L691" s="65">
        <v>211240</v>
      </c>
      <c r="M691" t="s">
        <v>820</v>
      </c>
    </row>
    <row r="692" spans="12:13" x14ac:dyDescent="0.25">
      <c r="L692" s="65">
        <v>211241</v>
      </c>
      <c r="M692" t="s">
        <v>820</v>
      </c>
    </row>
    <row r="693" spans="12:13" x14ac:dyDescent="0.25">
      <c r="L693" s="65">
        <v>211250</v>
      </c>
      <c r="M693" t="s">
        <v>821</v>
      </c>
    </row>
    <row r="694" spans="12:13" x14ac:dyDescent="0.25">
      <c r="L694" s="65">
        <v>211251</v>
      </c>
      <c r="M694" t="s">
        <v>822</v>
      </c>
    </row>
    <row r="695" spans="12:13" x14ac:dyDescent="0.25">
      <c r="L695" s="65">
        <v>211252</v>
      </c>
      <c r="M695" t="s">
        <v>823</v>
      </c>
    </row>
    <row r="696" spans="12:13" x14ac:dyDescent="0.25">
      <c r="L696" s="65">
        <v>211255</v>
      </c>
      <c r="M696" t="s">
        <v>824</v>
      </c>
    </row>
    <row r="697" spans="12:13" x14ac:dyDescent="0.25">
      <c r="L697" s="65">
        <v>211300</v>
      </c>
      <c r="M697" t="s">
        <v>825</v>
      </c>
    </row>
    <row r="698" spans="12:13" x14ac:dyDescent="0.25">
      <c r="L698" s="65">
        <v>211310</v>
      </c>
      <c r="M698" t="s">
        <v>825</v>
      </c>
    </row>
    <row r="699" spans="12:13" x14ac:dyDescent="0.25">
      <c r="L699" s="65">
        <v>211311</v>
      </c>
      <c r="M699" t="s">
        <v>826</v>
      </c>
    </row>
    <row r="700" spans="12:13" x14ac:dyDescent="0.25">
      <c r="L700" s="65">
        <v>211390</v>
      </c>
      <c r="M700" t="s">
        <v>827</v>
      </c>
    </row>
    <row r="701" spans="12:13" x14ac:dyDescent="0.25">
      <c r="L701" s="65">
        <v>211391</v>
      </c>
      <c r="M701" t="s">
        <v>827</v>
      </c>
    </row>
    <row r="702" spans="12:13" x14ac:dyDescent="0.25">
      <c r="L702" s="65">
        <v>211400</v>
      </c>
      <c r="M702" t="s">
        <v>828</v>
      </c>
    </row>
    <row r="703" spans="12:13" x14ac:dyDescent="0.25">
      <c r="L703" s="65">
        <v>211410</v>
      </c>
      <c r="M703" t="s">
        <v>828</v>
      </c>
    </row>
    <row r="704" spans="12:13" x14ac:dyDescent="0.25">
      <c r="L704" s="65">
        <v>211411</v>
      </c>
      <c r="M704" t="s">
        <v>828</v>
      </c>
    </row>
    <row r="705" spans="12:13" x14ac:dyDescent="0.25">
      <c r="L705" s="65">
        <v>211500</v>
      </c>
      <c r="M705" t="s">
        <v>829</v>
      </c>
    </row>
    <row r="706" spans="12:13" x14ac:dyDescent="0.25">
      <c r="L706" s="65">
        <v>211510</v>
      </c>
      <c r="M706" t="s">
        <v>829</v>
      </c>
    </row>
    <row r="707" spans="12:13" x14ac:dyDescent="0.25">
      <c r="L707" s="65">
        <v>211511</v>
      </c>
      <c r="M707" t="s">
        <v>829</v>
      </c>
    </row>
    <row r="708" spans="12:13" x14ac:dyDescent="0.25">
      <c r="L708" s="65">
        <v>211600</v>
      </c>
      <c r="M708" t="s">
        <v>830</v>
      </c>
    </row>
    <row r="709" spans="12:13" x14ac:dyDescent="0.25">
      <c r="L709" s="65">
        <v>211610</v>
      </c>
      <c r="M709" t="s">
        <v>830</v>
      </c>
    </row>
    <row r="710" spans="12:13" x14ac:dyDescent="0.25">
      <c r="L710" s="65">
        <v>211611</v>
      </c>
      <c r="M710" t="s">
        <v>830</v>
      </c>
    </row>
    <row r="711" spans="12:13" x14ac:dyDescent="0.25">
      <c r="L711" s="65">
        <v>211700</v>
      </c>
      <c r="M711" t="s">
        <v>831</v>
      </c>
    </row>
    <row r="712" spans="12:13" x14ac:dyDescent="0.25">
      <c r="L712" s="65">
        <v>211710</v>
      </c>
      <c r="M712" t="s">
        <v>831</v>
      </c>
    </row>
    <row r="713" spans="12:13" x14ac:dyDescent="0.25">
      <c r="L713" s="65">
        <v>211711</v>
      </c>
      <c r="M713" t="s">
        <v>831</v>
      </c>
    </row>
    <row r="714" spans="12:13" x14ac:dyDescent="0.25">
      <c r="L714" s="65">
        <v>211800</v>
      </c>
      <c r="M714" t="s">
        <v>832</v>
      </c>
    </row>
    <row r="715" spans="12:13" x14ac:dyDescent="0.25">
      <c r="L715" s="65">
        <v>211810</v>
      </c>
      <c r="M715" t="s">
        <v>832</v>
      </c>
    </row>
    <row r="716" spans="12:13" x14ac:dyDescent="0.25">
      <c r="L716" s="65">
        <v>211811</v>
      </c>
      <c r="M716" t="s">
        <v>832</v>
      </c>
    </row>
    <row r="717" spans="12:13" x14ac:dyDescent="0.25">
      <c r="L717" s="65">
        <v>211900</v>
      </c>
      <c r="M717" t="s">
        <v>833</v>
      </c>
    </row>
    <row r="718" spans="12:13" x14ac:dyDescent="0.25">
      <c r="L718" s="65">
        <v>211910</v>
      </c>
      <c r="M718" t="s">
        <v>833</v>
      </c>
    </row>
    <row r="719" spans="12:13" x14ac:dyDescent="0.25">
      <c r="L719" s="65">
        <v>211911</v>
      </c>
      <c r="M719" t="s">
        <v>834</v>
      </c>
    </row>
    <row r="720" spans="12:13" x14ac:dyDescent="0.25">
      <c r="L720" s="65">
        <v>211912</v>
      </c>
      <c r="M720" t="s">
        <v>835</v>
      </c>
    </row>
    <row r="721" spans="12:13" x14ac:dyDescent="0.25">
      <c r="L721" s="65">
        <v>211913</v>
      </c>
      <c r="M721" t="s">
        <v>836</v>
      </c>
    </row>
    <row r="722" spans="12:13" x14ac:dyDescent="0.25">
      <c r="L722" s="65">
        <v>212000</v>
      </c>
      <c r="M722" t="s">
        <v>837</v>
      </c>
    </row>
    <row r="723" spans="12:13" x14ac:dyDescent="0.25">
      <c r="L723" s="65">
        <v>212100</v>
      </c>
      <c r="M723" t="s">
        <v>838</v>
      </c>
    </row>
    <row r="724" spans="12:13" x14ac:dyDescent="0.25">
      <c r="L724" s="65">
        <v>212110</v>
      </c>
      <c r="M724" t="s">
        <v>838</v>
      </c>
    </row>
    <row r="725" spans="12:13" x14ac:dyDescent="0.25">
      <c r="L725" s="65">
        <v>212111</v>
      </c>
      <c r="M725" t="s">
        <v>838</v>
      </c>
    </row>
    <row r="726" spans="12:13" x14ac:dyDescent="0.25">
      <c r="L726" s="65">
        <v>212200</v>
      </c>
      <c r="M726" t="s">
        <v>839</v>
      </c>
    </row>
    <row r="727" spans="12:13" x14ac:dyDescent="0.25">
      <c r="L727" s="65">
        <v>212210</v>
      </c>
      <c r="M727" t="s">
        <v>840</v>
      </c>
    </row>
    <row r="728" spans="12:13" x14ac:dyDescent="0.25">
      <c r="L728" s="65">
        <v>212211</v>
      </c>
      <c r="M728" t="s">
        <v>840</v>
      </c>
    </row>
    <row r="729" spans="12:13" x14ac:dyDescent="0.25">
      <c r="L729" s="65">
        <v>212220</v>
      </c>
      <c r="M729" t="s">
        <v>841</v>
      </c>
    </row>
    <row r="730" spans="12:13" x14ac:dyDescent="0.25">
      <c r="L730" s="65">
        <v>212221</v>
      </c>
      <c r="M730" t="s">
        <v>841</v>
      </c>
    </row>
    <row r="731" spans="12:13" x14ac:dyDescent="0.25">
      <c r="L731" s="65">
        <v>212290</v>
      </c>
      <c r="M731" t="s">
        <v>842</v>
      </c>
    </row>
    <row r="732" spans="12:13" x14ac:dyDescent="0.25">
      <c r="L732" s="65">
        <v>212291</v>
      </c>
      <c r="M732" t="s">
        <v>842</v>
      </c>
    </row>
    <row r="733" spans="12:13" x14ac:dyDescent="0.25">
      <c r="L733" s="65">
        <v>212300</v>
      </c>
      <c r="M733" t="s">
        <v>843</v>
      </c>
    </row>
    <row r="734" spans="12:13" x14ac:dyDescent="0.25">
      <c r="L734" s="65">
        <v>212310</v>
      </c>
      <c r="M734" t="s">
        <v>844</v>
      </c>
    </row>
    <row r="735" spans="12:13" x14ac:dyDescent="0.25">
      <c r="L735" s="65">
        <v>212311</v>
      </c>
      <c r="M735" t="s">
        <v>844</v>
      </c>
    </row>
    <row r="736" spans="12:13" x14ac:dyDescent="0.25">
      <c r="L736" s="65">
        <v>212320</v>
      </c>
      <c r="M736" t="s">
        <v>845</v>
      </c>
    </row>
    <row r="737" spans="12:13" x14ac:dyDescent="0.25">
      <c r="L737" s="65">
        <v>212321</v>
      </c>
      <c r="M737" t="s">
        <v>845</v>
      </c>
    </row>
    <row r="738" spans="12:13" x14ac:dyDescent="0.25">
      <c r="L738" s="65">
        <v>212330</v>
      </c>
      <c r="M738" t="s">
        <v>846</v>
      </c>
    </row>
    <row r="739" spans="12:13" x14ac:dyDescent="0.25">
      <c r="L739" s="65">
        <v>212331</v>
      </c>
      <c r="M739" t="s">
        <v>846</v>
      </c>
    </row>
    <row r="740" spans="12:13" x14ac:dyDescent="0.25">
      <c r="L740" s="65">
        <v>212340</v>
      </c>
      <c r="M740" t="s">
        <v>847</v>
      </c>
    </row>
    <row r="741" spans="12:13" x14ac:dyDescent="0.25">
      <c r="L741" s="65">
        <v>212341</v>
      </c>
      <c r="M741" t="s">
        <v>847</v>
      </c>
    </row>
    <row r="742" spans="12:13" x14ac:dyDescent="0.25">
      <c r="L742" s="65">
        <v>212350</v>
      </c>
      <c r="M742" t="s">
        <v>848</v>
      </c>
    </row>
    <row r="743" spans="12:13" x14ac:dyDescent="0.25">
      <c r="L743" s="65">
        <v>212351</v>
      </c>
      <c r="M743" t="s">
        <v>848</v>
      </c>
    </row>
    <row r="744" spans="12:13" x14ac:dyDescent="0.25">
      <c r="L744" s="65">
        <v>212390</v>
      </c>
      <c r="M744" t="s">
        <v>849</v>
      </c>
    </row>
    <row r="745" spans="12:13" x14ac:dyDescent="0.25">
      <c r="L745" s="65">
        <v>212391</v>
      </c>
      <c r="M745" t="s">
        <v>849</v>
      </c>
    </row>
    <row r="746" spans="12:13" x14ac:dyDescent="0.25">
      <c r="L746" s="65">
        <v>212400</v>
      </c>
      <c r="M746" t="s">
        <v>850</v>
      </c>
    </row>
    <row r="747" spans="12:13" x14ac:dyDescent="0.25">
      <c r="L747" s="65">
        <v>212410</v>
      </c>
      <c r="M747" t="s">
        <v>851</v>
      </c>
    </row>
    <row r="748" spans="12:13" x14ac:dyDescent="0.25">
      <c r="L748" s="65">
        <v>212411</v>
      </c>
      <c r="M748" t="s">
        <v>851</v>
      </c>
    </row>
    <row r="749" spans="12:13" x14ac:dyDescent="0.25">
      <c r="L749" s="65">
        <v>212490</v>
      </c>
      <c r="M749" t="s">
        <v>852</v>
      </c>
    </row>
    <row r="750" spans="12:13" x14ac:dyDescent="0.25">
      <c r="L750" s="65">
        <v>212491</v>
      </c>
      <c r="M750" t="s">
        <v>852</v>
      </c>
    </row>
    <row r="751" spans="12:13" x14ac:dyDescent="0.25">
      <c r="L751" s="65">
        <v>212500</v>
      </c>
      <c r="M751" t="s">
        <v>853</v>
      </c>
    </row>
    <row r="752" spans="12:13" x14ac:dyDescent="0.25">
      <c r="L752" s="65">
        <v>212510</v>
      </c>
      <c r="M752" t="s">
        <v>853</v>
      </c>
    </row>
    <row r="753" spans="12:13" x14ac:dyDescent="0.25">
      <c r="L753" s="65">
        <v>212511</v>
      </c>
      <c r="M753" t="s">
        <v>853</v>
      </c>
    </row>
    <row r="754" spans="12:13" x14ac:dyDescent="0.25">
      <c r="L754" s="65">
        <v>212600</v>
      </c>
      <c r="M754" t="s">
        <v>854</v>
      </c>
    </row>
    <row r="755" spans="12:13" x14ac:dyDescent="0.25">
      <c r="L755" s="65">
        <v>212610</v>
      </c>
      <c r="M755" t="s">
        <v>854</v>
      </c>
    </row>
    <row r="756" spans="12:13" x14ac:dyDescent="0.25">
      <c r="L756" s="65">
        <v>212611</v>
      </c>
      <c r="M756" t="s">
        <v>854</v>
      </c>
    </row>
    <row r="757" spans="12:13" x14ac:dyDescent="0.25">
      <c r="L757" s="65">
        <v>213000</v>
      </c>
      <c r="M757" t="s">
        <v>855</v>
      </c>
    </row>
    <row r="758" spans="12:13" x14ac:dyDescent="0.25">
      <c r="L758" s="65">
        <v>213100</v>
      </c>
      <c r="M758" t="s">
        <v>855</v>
      </c>
    </row>
    <row r="759" spans="12:13" x14ac:dyDescent="0.25">
      <c r="L759" s="65">
        <v>213110</v>
      </c>
      <c r="M759" t="s">
        <v>855</v>
      </c>
    </row>
    <row r="760" spans="12:13" x14ac:dyDescent="0.25">
      <c r="L760" s="65">
        <v>213111</v>
      </c>
      <c r="M760" t="s">
        <v>855</v>
      </c>
    </row>
    <row r="761" spans="12:13" x14ac:dyDescent="0.25">
      <c r="L761" s="65">
        <v>220000</v>
      </c>
      <c r="M761" t="s">
        <v>856</v>
      </c>
    </row>
    <row r="762" spans="12:13" x14ac:dyDescent="0.25">
      <c r="L762" s="65">
        <v>221000</v>
      </c>
      <c r="M762" t="s">
        <v>857</v>
      </c>
    </row>
    <row r="763" spans="12:13" x14ac:dyDescent="0.25">
      <c r="L763" s="65">
        <v>221100</v>
      </c>
      <c r="M763" t="s">
        <v>858</v>
      </c>
    </row>
    <row r="764" spans="12:13" x14ac:dyDescent="0.25">
      <c r="L764" s="65">
        <v>221110</v>
      </c>
      <c r="M764" t="s">
        <v>858</v>
      </c>
    </row>
    <row r="765" spans="12:13" x14ac:dyDescent="0.25">
      <c r="L765" s="65">
        <v>221111</v>
      </c>
      <c r="M765" t="s">
        <v>858</v>
      </c>
    </row>
    <row r="766" spans="12:13" x14ac:dyDescent="0.25">
      <c r="L766" s="65">
        <v>221200</v>
      </c>
      <c r="M766" t="s">
        <v>859</v>
      </c>
    </row>
    <row r="767" spans="12:13" x14ac:dyDescent="0.25">
      <c r="L767" s="65">
        <v>221210</v>
      </c>
      <c r="M767" t="s">
        <v>860</v>
      </c>
    </row>
    <row r="768" spans="12:13" x14ac:dyDescent="0.25">
      <c r="L768" s="65">
        <v>221211</v>
      </c>
      <c r="M768" t="s">
        <v>860</v>
      </c>
    </row>
    <row r="769" spans="12:13" x14ac:dyDescent="0.25">
      <c r="L769" s="65">
        <v>221220</v>
      </c>
      <c r="M769" t="s">
        <v>861</v>
      </c>
    </row>
    <row r="770" spans="12:13" x14ac:dyDescent="0.25">
      <c r="L770" s="65">
        <v>221221</v>
      </c>
      <c r="M770" t="s">
        <v>861</v>
      </c>
    </row>
    <row r="771" spans="12:13" x14ac:dyDescent="0.25">
      <c r="L771" s="65">
        <v>221230</v>
      </c>
      <c r="M771" t="s">
        <v>862</v>
      </c>
    </row>
    <row r="772" spans="12:13" x14ac:dyDescent="0.25">
      <c r="L772" s="65">
        <v>221231</v>
      </c>
      <c r="M772" t="s">
        <v>862</v>
      </c>
    </row>
    <row r="773" spans="12:13" x14ac:dyDescent="0.25">
      <c r="L773" s="65">
        <v>221240</v>
      </c>
      <c r="M773" t="s">
        <v>863</v>
      </c>
    </row>
    <row r="774" spans="12:13" x14ac:dyDescent="0.25">
      <c r="L774" s="65">
        <v>221241</v>
      </c>
      <c r="M774" t="s">
        <v>863</v>
      </c>
    </row>
    <row r="775" spans="12:13" x14ac:dyDescent="0.25">
      <c r="L775" s="65">
        <v>221250</v>
      </c>
      <c r="M775" t="s">
        <v>864</v>
      </c>
    </row>
    <row r="776" spans="12:13" x14ac:dyDescent="0.25">
      <c r="L776" s="65">
        <v>221251</v>
      </c>
      <c r="M776" t="s">
        <v>865</v>
      </c>
    </row>
    <row r="777" spans="12:13" x14ac:dyDescent="0.25">
      <c r="L777" s="65">
        <v>221252</v>
      </c>
      <c r="M777" t="s">
        <v>866</v>
      </c>
    </row>
    <row r="778" spans="12:13" x14ac:dyDescent="0.25">
      <c r="L778" s="65">
        <v>221255</v>
      </c>
      <c r="M778" t="s">
        <v>867</v>
      </c>
    </row>
    <row r="779" spans="12:13" x14ac:dyDescent="0.25">
      <c r="L779" s="65">
        <v>221300</v>
      </c>
      <c r="M779" t="s">
        <v>868</v>
      </c>
    </row>
    <row r="780" spans="12:13" x14ac:dyDescent="0.25">
      <c r="L780" s="65">
        <v>221310</v>
      </c>
      <c r="M780" t="s">
        <v>869</v>
      </c>
    </row>
    <row r="781" spans="12:13" x14ac:dyDescent="0.25">
      <c r="L781" s="65">
        <v>221311</v>
      </c>
      <c r="M781" t="s">
        <v>869</v>
      </c>
    </row>
    <row r="782" spans="12:13" x14ac:dyDescent="0.25">
      <c r="L782" s="65">
        <v>221390</v>
      </c>
      <c r="M782" t="s">
        <v>870</v>
      </c>
    </row>
    <row r="783" spans="12:13" x14ac:dyDescent="0.25">
      <c r="L783" s="65">
        <v>221391</v>
      </c>
      <c r="M783" t="s">
        <v>870</v>
      </c>
    </row>
    <row r="784" spans="12:13" x14ac:dyDescent="0.25">
      <c r="L784" s="65">
        <v>221400</v>
      </c>
      <c r="M784" t="s">
        <v>871</v>
      </c>
    </row>
    <row r="785" spans="12:13" x14ac:dyDescent="0.25">
      <c r="L785" s="65">
        <v>221410</v>
      </c>
      <c r="M785" t="s">
        <v>871</v>
      </c>
    </row>
    <row r="786" spans="12:13" x14ac:dyDescent="0.25">
      <c r="L786" s="65">
        <v>221411</v>
      </c>
      <c r="M786" t="s">
        <v>871</v>
      </c>
    </row>
    <row r="787" spans="12:13" x14ac:dyDescent="0.25">
      <c r="L787" s="65">
        <v>221500</v>
      </c>
      <c r="M787" t="s">
        <v>872</v>
      </c>
    </row>
    <row r="788" spans="12:13" x14ac:dyDescent="0.25">
      <c r="L788" s="65">
        <v>221510</v>
      </c>
      <c r="M788" t="s">
        <v>872</v>
      </c>
    </row>
    <row r="789" spans="12:13" x14ac:dyDescent="0.25">
      <c r="L789" s="65">
        <v>221511</v>
      </c>
      <c r="M789" t="s">
        <v>872</v>
      </c>
    </row>
    <row r="790" spans="12:13" x14ac:dyDescent="0.25">
      <c r="L790" s="65">
        <v>221600</v>
      </c>
      <c r="M790" t="s">
        <v>873</v>
      </c>
    </row>
    <row r="791" spans="12:13" x14ac:dyDescent="0.25">
      <c r="L791" s="65">
        <v>221610</v>
      </c>
      <c r="M791" t="s">
        <v>873</v>
      </c>
    </row>
    <row r="792" spans="12:13" x14ac:dyDescent="0.25">
      <c r="L792" s="65">
        <v>221611</v>
      </c>
      <c r="M792" t="s">
        <v>873</v>
      </c>
    </row>
    <row r="793" spans="12:13" x14ac:dyDescent="0.25">
      <c r="L793" s="65">
        <v>221700</v>
      </c>
      <c r="M793" t="s">
        <v>874</v>
      </c>
    </row>
    <row r="794" spans="12:13" x14ac:dyDescent="0.25">
      <c r="L794" s="65">
        <v>221710</v>
      </c>
      <c r="M794" t="s">
        <v>874</v>
      </c>
    </row>
    <row r="795" spans="12:13" x14ac:dyDescent="0.25">
      <c r="L795" s="65">
        <v>221711</v>
      </c>
      <c r="M795" t="s">
        <v>874</v>
      </c>
    </row>
    <row r="796" spans="12:13" x14ac:dyDescent="0.25">
      <c r="L796" s="65">
        <v>221800</v>
      </c>
      <c r="M796" t="s">
        <v>875</v>
      </c>
    </row>
    <row r="797" spans="12:13" x14ac:dyDescent="0.25">
      <c r="L797" s="65">
        <v>221810</v>
      </c>
      <c r="M797" t="s">
        <v>875</v>
      </c>
    </row>
    <row r="798" spans="12:13" x14ac:dyDescent="0.25">
      <c r="L798" s="65">
        <v>221811</v>
      </c>
      <c r="M798" t="s">
        <v>875</v>
      </c>
    </row>
    <row r="799" spans="12:13" x14ac:dyDescent="0.25">
      <c r="L799" s="65">
        <v>222000</v>
      </c>
      <c r="M799" t="s">
        <v>876</v>
      </c>
    </row>
    <row r="800" spans="12:13" x14ac:dyDescent="0.25">
      <c r="L800" s="65">
        <v>222100</v>
      </c>
      <c r="M800" t="s">
        <v>877</v>
      </c>
    </row>
    <row r="801" spans="12:13" x14ac:dyDescent="0.25">
      <c r="L801" s="65">
        <v>222110</v>
      </c>
      <c r="M801" t="s">
        <v>877</v>
      </c>
    </row>
    <row r="802" spans="12:13" x14ac:dyDescent="0.25">
      <c r="L802" s="65">
        <v>222111</v>
      </c>
      <c r="M802" t="s">
        <v>877</v>
      </c>
    </row>
    <row r="803" spans="12:13" x14ac:dyDescent="0.25">
      <c r="L803" s="65">
        <v>222200</v>
      </c>
      <c r="M803" t="s">
        <v>878</v>
      </c>
    </row>
    <row r="804" spans="12:13" x14ac:dyDescent="0.25">
      <c r="L804" s="65">
        <v>222210</v>
      </c>
      <c r="M804" t="s">
        <v>879</v>
      </c>
    </row>
    <row r="805" spans="12:13" x14ac:dyDescent="0.25">
      <c r="L805" s="65">
        <v>222211</v>
      </c>
      <c r="M805" t="s">
        <v>879</v>
      </c>
    </row>
    <row r="806" spans="12:13" x14ac:dyDescent="0.25">
      <c r="L806" s="65">
        <v>222220</v>
      </c>
      <c r="M806" t="s">
        <v>880</v>
      </c>
    </row>
    <row r="807" spans="12:13" x14ac:dyDescent="0.25">
      <c r="L807" s="65">
        <v>222221</v>
      </c>
      <c r="M807" t="s">
        <v>880</v>
      </c>
    </row>
    <row r="808" spans="12:13" x14ac:dyDescent="0.25">
      <c r="L808" s="65">
        <v>222290</v>
      </c>
      <c r="M808" t="s">
        <v>881</v>
      </c>
    </row>
    <row r="809" spans="12:13" x14ac:dyDescent="0.25">
      <c r="L809" s="65">
        <v>222291</v>
      </c>
      <c r="M809" t="s">
        <v>881</v>
      </c>
    </row>
    <row r="810" spans="12:13" x14ac:dyDescent="0.25">
      <c r="L810" s="65">
        <v>222300</v>
      </c>
      <c r="M810" t="s">
        <v>882</v>
      </c>
    </row>
    <row r="811" spans="12:13" x14ac:dyDescent="0.25">
      <c r="L811" s="65">
        <v>222310</v>
      </c>
      <c r="M811" t="s">
        <v>883</v>
      </c>
    </row>
    <row r="812" spans="12:13" x14ac:dyDescent="0.25">
      <c r="L812" s="65">
        <v>222311</v>
      </c>
      <c r="M812" t="s">
        <v>883</v>
      </c>
    </row>
    <row r="813" spans="12:13" x14ac:dyDescent="0.25">
      <c r="L813" s="65">
        <v>222320</v>
      </c>
      <c r="M813" t="s">
        <v>884</v>
      </c>
    </row>
    <row r="814" spans="12:13" x14ac:dyDescent="0.25">
      <c r="L814" s="65">
        <v>222321</v>
      </c>
      <c r="M814" t="s">
        <v>884</v>
      </c>
    </row>
    <row r="815" spans="12:13" x14ac:dyDescent="0.25">
      <c r="L815" s="65">
        <v>222330</v>
      </c>
      <c r="M815" t="s">
        <v>885</v>
      </c>
    </row>
    <row r="816" spans="12:13" x14ac:dyDescent="0.25">
      <c r="L816" s="65">
        <v>222331</v>
      </c>
      <c r="M816" t="s">
        <v>885</v>
      </c>
    </row>
    <row r="817" spans="12:13" x14ac:dyDescent="0.25">
      <c r="L817" s="65">
        <v>222340</v>
      </c>
      <c r="M817" t="s">
        <v>886</v>
      </c>
    </row>
    <row r="818" spans="12:13" x14ac:dyDescent="0.25">
      <c r="L818" s="65">
        <v>222341</v>
      </c>
      <c r="M818" t="s">
        <v>886</v>
      </c>
    </row>
    <row r="819" spans="12:13" x14ac:dyDescent="0.25">
      <c r="L819" s="65">
        <v>222350</v>
      </c>
      <c r="M819" t="s">
        <v>887</v>
      </c>
    </row>
    <row r="820" spans="12:13" x14ac:dyDescent="0.25">
      <c r="L820" s="65">
        <v>222351</v>
      </c>
      <c r="M820" t="s">
        <v>887</v>
      </c>
    </row>
    <row r="821" spans="12:13" x14ac:dyDescent="0.25">
      <c r="L821" s="65">
        <v>222390</v>
      </c>
      <c r="M821" t="s">
        <v>888</v>
      </c>
    </row>
    <row r="822" spans="12:13" x14ac:dyDescent="0.25">
      <c r="L822" s="65">
        <v>222391</v>
      </c>
      <c r="M822" t="s">
        <v>888</v>
      </c>
    </row>
    <row r="823" spans="12:13" x14ac:dyDescent="0.25">
      <c r="L823" s="65">
        <v>222400</v>
      </c>
      <c r="M823" t="s">
        <v>889</v>
      </c>
    </row>
    <row r="824" spans="12:13" x14ac:dyDescent="0.25">
      <c r="L824" s="65">
        <v>222410</v>
      </c>
      <c r="M824" t="s">
        <v>890</v>
      </c>
    </row>
    <row r="825" spans="12:13" x14ac:dyDescent="0.25">
      <c r="L825" s="65">
        <v>222411</v>
      </c>
      <c r="M825" t="s">
        <v>890</v>
      </c>
    </row>
    <row r="826" spans="12:13" x14ac:dyDescent="0.25">
      <c r="L826" s="65">
        <v>222490</v>
      </c>
      <c r="M826" t="s">
        <v>891</v>
      </c>
    </row>
    <row r="827" spans="12:13" x14ac:dyDescent="0.25">
      <c r="L827" s="65">
        <v>222491</v>
      </c>
      <c r="M827" t="s">
        <v>891</v>
      </c>
    </row>
    <row r="828" spans="12:13" x14ac:dyDescent="0.25">
      <c r="L828" s="65">
        <v>222500</v>
      </c>
      <c r="M828" t="s">
        <v>892</v>
      </c>
    </row>
    <row r="829" spans="12:13" x14ac:dyDescent="0.25">
      <c r="L829" s="65">
        <v>222510</v>
      </c>
      <c r="M829" t="s">
        <v>892</v>
      </c>
    </row>
    <row r="830" spans="12:13" x14ac:dyDescent="0.25">
      <c r="L830" s="65">
        <v>222511</v>
      </c>
      <c r="M830" t="s">
        <v>892</v>
      </c>
    </row>
    <row r="831" spans="12:13" x14ac:dyDescent="0.25">
      <c r="L831" s="65">
        <v>222600</v>
      </c>
      <c r="M831" t="s">
        <v>893</v>
      </c>
    </row>
    <row r="832" spans="12:13" x14ac:dyDescent="0.25">
      <c r="L832" s="65">
        <v>222610</v>
      </c>
      <c r="M832" t="s">
        <v>893</v>
      </c>
    </row>
    <row r="833" spans="12:13" x14ac:dyDescent="0.25">
      <c r="L833" s="65">
        <v>222611</v>
      </c>
      <c r="M833" t="s">
        <v>893</v>
      </c>
    </row>
    <row r="834" spans="12:13" x14ac:dyDescent="0.25">
      <c r="L834" s="65">
        <v>223000</v>
      </c>
      <c r="M834" t="s">
        <v>894</v>
      </c>
    </row>
    <row r="835" spans="12:13" x14ac:dyDescent="0.25">
      <c r="L835" s="65">
        <v>223100</v>
      </c>
      <c r="M835" t="s">
        <v>894</v>
      </c>
    </row>
    <row r="836" spans="12:13" x14ac:dyDescent="0.25">
      <c r="L836" s="65">
        <v>223110</v>
      </c>
      <c r="M836" t="s">
        <v>894</v>
      </c>
    </row>
    <row r="837" spans="12:13" x14ac:dyDescent="0.25">
      <c r="L837" s="65">
        <v>223111</v>
      </c>
      <c r="M837" t="s">
        <v>894</v>
      </c>
    </row>
    <row r="838" spans="12:13" x14ac:dyDescent="0.25">
      <c r="L838" s="65">
        <v>230000</v>
      </c>
      <c r="M838" t="s">
        <v>895</v>
      </c>
    </row>
    <row r="839" spans="12:13" x14ac:dyDescent="0.25">
      <c r="L839" s="65">
        <v>231000</v>
      </c>
      <c r="M839" t="s">
        <v>896</v>
      </c>
    </row>
    <row r="840" spans="12:13" x14ac:dyDescent="0.25">
      <c r="L840" s="65">
        <v>231100</v>
      </c>
      <c r="M840" t="s">
        <v>897</v>
      </c>
    </row>
    <row r="841" spans="12:13" x14ac:dyDescent="0.25">
      <c r="L841" s="65">
        <v>231110</v>
      </c>
      <c r="M841" t="s">
        <v>897</v>
      </c>
    </row>
    <row r="842" spans="12:13" x14ac:dyDescent="0.25">
      <c r="L842" s="65">
        <v>231111</v>
      </c>
      <c r="M842" t="s">
        <v>897</v>
      </c>
    </row>
    <row r="843" spans="12:13" x14ac:dyDescent="0.25">
      <c r="L843" s="65">
        <v>231200</v>
      </c>
      <c r="M843" t="s">
        <v>898</v>
      </c>
    </row>
    <row r="844" spans="12:13" x14ac:dyDescent="0.25">
      <c r="L844" s="65">
        <v>231210</v>
      </c>
      <c r="M844" t="s">
        <v>898</v>
      </c>
    </row>
    <row r="845" spans="12:13" x14ac:dyDescent="0.25">
      <c r="L845" s="65">
        <v>231211</v>
      </c>
      <c r="M845" t="s">
        <v>898</v>
      </c>
    </row>
    <row r="846" spans="12:13" x14ac:dyDescent="0.25">
      <c r="L846" s="65">
        <v>231300</v>
      </c>
      <c r="M846" t="s">
        <v>899</v>
      </c>
    </row>
    <row r="847" spans="12:13" x14ac:dyDescent="0.25">
      <c r="L847" s="65">
        <v>231310</v>
      </c>
      <c r="M847" t="s">
        <v>899</v>
      </c>
    </row>
    <row r="848" spans="12:13" x14ac:dyDescent="0.25">
      <c r="L848" s="65">
        <v>231311</v>
      </c>
      <c r="M848" t="s">
        <v>899</v>
      </c>
    </row>
    <row r="849" spans="12:13" x14ac:dyDescent="0.25">
      <c r="L849" s="65">
        <v>231400</v>
      </c>
      <c r="M849" t="s">
        <v>900</v>
      </c>
    </row>
    <row r="850" spans="12:13" x14ac:dyDescent="0.25">
      <c r="L850" s="65">
        <v>231410</v>
      </c>
      <c r="M850" t="s">
        <v>900</v>
      </c>
    </row>
    <row r="851" spans="12:13" x14ac:dyDescent="0.25">
      <c r="L851" s="65">
        <v>231411</v>
      </c>
      <c r="M851" t="s">
        <v>900</v>
      </c>
    </row>
    <row r="852" spans="12:13" x14ac:dyDescent="0.25">
      <c r="L852" s="65">
        <v>231500</v>
      </c>
      <c r="M852" t="s">
        <v>901</v>
      </c>
    </row>
    <row r="853" spans="12:13" x14ac:dyDescent="0.25">
      <c r="L853" s="65">
        <v>231510</v>
      </c>
      <c r="M853" t="s">
        <v>901</v>
      </c>
    </row>
    <row r="854" spans="12:13" x14ac:dyDescent="0.25">
      <c r="L854" s="65">
        <v>231511</v>
      </c>
      <c r="M854" t="s">
        <v>901</v>
      </c>
    </row>
    <row r="855" spans="12:13" x14ac:dyDescent="0.25">
      <c r="L855" s="65">
        <v>232000</v>
      </c>
      <c r="M855" t="s">
        <v>902</v>
      </c>
    </row>
    <row r="856" spans="12:13" x14ac:dyDescent="0.25">
      <c r="L856" s="65">
        <v>232100</v>
      </c>
      <c r="M856" t="s">
        <v>903</v>
      </c>
    </row>
    <row r="857" spans="12:13" x14ac:dyDescent="0.25">
      <c r="L857" s="65">
        <v>232110</v>
      </c>
      <c r="M857" t="s">
        <v>903</v>
      </c>
    </row>
    <row r="858" spans="12:13" x14ac:dyDescent="0.25">
      <c r="L858" s="65">
        <v>232111</v>
      </c>
      <c r="M858" t="s">
        <v>903</v>
      </c>
    </row>
    <row r="859" spans="12:13" x14ac:dyDescent="0.25">
      <c r="L859" s="65">
        <v>232200</v>
      </c>
      <c r="M859" t="s">
        <v>904</v>
      </c>
    </row>
    <row r="860" spans="12:13" x14ac:dyDescent="0.25">
      <c r="L860" s="65">
        <v>232210</v>
      </c>
      <c r="M860" t="s">
        <v>904</v>
      </c>
    </row>
    <row r="861" spans="12:13" x14ac:dyDescent="0.25">
      <c r="L861" s="65">
        <v>232211</v>
      </c>
      <c r="M861" t="s">
        <v>904</v>
      </c>
    </row>
    <row r="862" spans="12:13" x14ac:dyDescent="0.25">
      <c r="L862" s="65">
        <v>232300</v>
      </c>
      <c r="M862" t="s">
        <v>905</v>
      </c>
    </row>
    <row r="863" spans="12:13" x14ac:dyDescent="0.25">
      <c r="L863" s="65">
        <v>232310</v>
      </c>
      <c r="M863" t="s">
        <v>905</v>
      </c>
    </row>
    <row r="864" spans="12:13" x14ac:dyDescent="0.25">
      <c r="L864" s="65">
        <v>232311</v>
      </c>
      <c r="M864" t="s">
        <v>905</v>
      </c>
    </row>
    <row r="865" spans="12:13" x14ac:dyDescent="0.25">
      <c r="L865" s="65">
        <v>232400</v>
      </c>
      <c r="M865" t="s">
        <v>906</v>
      </c>
    </row>
    <row r="866" spans="12:13" x14ac:dyDescent="0.25">
      <c r="L866" s="65">
        <v>232410</v>
      </c>
      <c r="M866" t="s">
        <v>906</v>
      </c>
    </row>
    <row r="867" spans="12:13" x14ac:dyDescent="0.25">
      <c r="L867" s="65">
        <v>232411</v>
      </c>
      <c r="M867" t="s">
        <v>906</v>
      </c>
    </row>
    <row r="868" spans="12:13" x14ac:dyDescent="0.25">
      <c r="L868" s="65">
        <v>232500</v>
      </c>
      <c r="M868" t="s">
        <v>907</v>
      </c>
    </row>
    <row r="869" spans="12:13" x14ac:dyDescent="0.25">
      <c r="L869" s="65">
        <v>232510</v>
      </c>
      <c r="M869" t="s">
        <v>907</v>
      </c>
    </row>
    <row r="870" spans="12:13" x14ac:dyDescent="0.25">
      <c r="L870" s="65">
        <v>232511</v>
      </c>
      <c r="M870" t="s">
        <v>907</v>
      </c>
    </row>
    <row r="871" spans="12:13" x14ac:dyDescent="0.25">
      <c r="L871" s="65">
        <v>233000</v>
      </c>
      <c r="M871" t="s">
        <v>908</v>
      </c>
    </row>
    <row r="872" spans="12:13" x14ac:dyDescent="0.25">
      <c r="L872" s="65">
        <v>233100</v>
      </c>
      <c r="M872" t="s">
        <v>909</v>
      </c>
    </row>
    <row r="873" spans="12:13" x14ac:dyDescent="0.25">
      <c r="L873" s="65">
        <v>233110</v>
      </c>
      <c r="M873" t="s">
        <v>909</v>
      </c>
    </row>
    <row r="874" spans="12:13" x14ac:dyDescent="0.25">
      <c r="L874" s="65">
        <v>233111</v>
      </c>
      <c r="M874" t="s">
        <v>909</v>
      </c>
    </row>
    <row r="875" spans="12:13" x14ac:dyDescent="0.25">
      <c r="L875" s="65">
        <v>233200</v>
      </c>
      <c r="M875" t="s">
        <v>910</v>
      </c>
    </row>
    <row r="876" spans="12:13" x14ac:dyDescent="0.25">
      <c r="L876" s="65">
        <v>233210</v>
      </c>
      <c r="M876" t="s">
        <v>910</v>
      </c>
    </row>
    <row r="877" spans="12:13" x14ac:dyDescent="0.25">
      <c r="L877" s="65">
        <v>233211</v>
      </c>
      <c r="M877" t="s">
        <v>910</v>
      </c>
    </row>
    <row r="878" spans="12:13" x14ac:dyDescent="0.25">
      <c r="L878" s="65">
        <v>233300</v>
      </c>
      <c r="M878" t="s">
        <v>911</v>
      </c>
    </row>
    <row r="879" spans="12:13" x14ac:dyDescent="0.25">
      <c r="L879" s="65">
        <v>233310</v>
      </c>
      <c r="M879" t="s">
        <v>911</v>
      </c>
    </row>
    <row r="880" spans="12:13" x14ac:dyDescent="0.25">
      <c r="L880" s="65">
        <v>233311</v>
      </c>
      <c r="M880" t="s">
        <v>911</v>
      </c>
    </row>
    <row r="881" spans="12:13" x14ac:dyDescent="0.25">
      <c r="L881" s="65">
        <v>233400</v>
      </c>
      <c r="M881" t="s">
        <v>912</v>
      </c>
    </row>
    <row r="882" spans="12:13" x14ac:dyDescent="0.25">
      <c r="L882" s="65">
        <v>233410</v>
      </c>
      <c r="M882" t="s">
        <v>912</v>
      </c>
    </row>
    <row r="883" spans="12:13" x14ac:dyDescent="0.25">
      <c r="L883" s="65">
        <v>233411</v>
      </c>
      <c r="M883" t="s">
        <v>912</v>
      </c>
    </row>
    <row r="884" spans="12:13" x14ac:dyDescent="0.25">
      <c r="L884" s="65">
        <v>233500</v>
      </c>
      <c r="M884" t="s">
        <v>913</v>
      </c>
    </row>
    <row r="885" spans="12:13" x14ac:dyDescent="0.25">
      <c r="L885" s="65">
        <v>233510</v>
      </c>
      <c r="M885" t="s">
        <v>913</v>
      </c>
    </row>
    <row r="886" spans="12:13" x14ac:dyDescent="0.25">
      <c r="L886" s="65">
        <v>233511</v>
      </c>
      <c r="M886" t="s">
        <v>913</v>
      </c>
    </row>
    <row r="887" spans="12:13" x14ac:dyDescent="0.25">
      <c r="L887" s="65">
        <v>234000</v>
      </c>
      <c r="M887" t="s">
        <v>914</v>
      </c>
    </row>
    <row r="888" spans="12:13" x14ac:dyDescent="0.25">
      <c r="L888" s="65">
        <v>234100</v>
      </c>
      <c r="M888" t="s">
        <v>915</v>
      </c>
    </row>
    <row r="889" spans="12:13" x14ac:dyDescent="0.25">
      <c r="L889" s="65">
        <v>234110</v>
      </c>
      <c r="M889" t="s">
        <v>915</v>
      </c>
    </row>
    <row r="890" spans="12:13" x14ac:dyDescent="0.25">
      <c r="L890" s="65">
        <v>234111</v>
      </c>
      <c r="M890" t="s">
        <v>915</v>
      </c>
    </row>
    <row r="891" spans="12:13" x14ac:dyDescent="0.25">
      <c r="L891" s="65">
        <v>234200</v>
      </c>
      <c r="M891" t="s">
        <v>916</v>
      </c>
    </row>
    <row r="892" spans="12:13" x14ac:dyDescent="0.25">
      <c r="L892" s="65">
        <v>234210</v>
      </c>
      <c r="M892" t="s">
        <v>916</v>
      </c>
    </row>
    <row r="893" spans="12:13" x14ac:dyDescent="0.25">
      <c r="L893" s="65">
        <v>234211</v>
      </c>
      <c r="M893" t="s">
        <v>916</v>
      </c>
    </row>
    <row r="894" spans="12:13" x14ac:dyDescent="0.25">
      <c r="L894" s="65">
        <v>234300</v>
      </c>
      <c r="M894" t="s">
        <v>917</v>
      </c>
    </row>
    <row r="895" spans="12:13" x14ac:dyDescent="0.25">
      <c r="L895" s="65">
        <v>234310</v>
      </c>
      <c r="M895" t="s">
        <v>917</v>
      </c>
    </row>
    <row r="896" spans="12:13" x14ac:dyDescent="0.25">
      <c r="L896" s="65">
        <v>234311</v>
      </c>
      <c r="M896" t="s">
        <v>917</v>
      </c>
    </row>
    <row r="897" spans="12:13" x14ac:dyDescent="0.25">
      <c r="L897" s="65">
        <v>235000</v>
      </c>
      <c r="M897" t="s">
        <v>918</v>
      </c>
    </row>
    <row r="898" spans="12:13" x14ac:dyDescent="0.25">
      <c r="L898" s="65">
        <v>235100</v>
      </c>
      <c r="M898" t="s">
        <v>919</v>
      </c>
    </row>
    <row r="899" spans="12:13" x14ac:dyDescent="0.25">
      <c r="L899" s="65">
        <v>235110</v>
      </c>
      <c r="M899" t="s">
        <v>919</v>
      </c>
    </row>
    <row r="900" spans="12:13" x14ac:dyDescent="0.25">
      <c r="L900" s="65">
        <v>235111</v>
      </c>
      <c r="M900" t="s">
        <v>919</v>
      </c>
    </row>
    <row r="901" spans="12:13" x14ac:dyDescent="0.25">
      <c r="L901" s="65">
        <v>235200</v>
      </c>
      <c r="M901" t="s">
        <v>920</v>
      </c>
    </row>
    <row r="902" spans="12:13" x14ac:dyDescent="0.25">
      <c r="L902" s="65">
        <v>235210</v>
      </c>
      <c r="M902" t="s">
        <v>920</v>
      </c>
    </row>
    <row r="903" spans="12:13" x14ac:dyDescent="0.25">
      <c r="L903" s="65">
        <v>235211</v>
      </c>
      <c r="M903" t="s">
        <v>920</v>
      </c>
    </row>
    <row r="904" spans="12:13" x14ac:dyDescent="0.25">
      <c r="L904" s="65">
        <v>235300</v>
      </c>
      <c r="M904" t="s">
        <v>921</v>
      </c>
    </row>
    <row r="905" spans="12:13" x14ac:dyDescent="0.25">
      <c r="L905" s="65">
        <v>235310</v>
      </c>
      <c r="M905" t="s">
        <v>921</v>
      </c>
    </row>
    <row r="906" spans="12:13" x14ac:dyDescent="0.25">
      <c r="L906" s="65">
        <v>235311</v>
      </c>
      <c r="M906" t="s">
        <v>921</v>
      </c>
    </row>
    <row r="907" spans="12:13" x14ac:dyDescent="0.25">
      <c r="L907" s="65">
        <v>235400</v>
      </c>
      <c r="M907" t="s">
        <v>922</v>
      </c>
    </row>
    <row r="908" spans="12:13" x14ac:dyDescent="0.25">
      <c r="L908" s="65">
        <v>235410</v>
      </c>
      <c r="M908" t="s">
        <v>922</v>
      </c>
    </row>
    <row r="909" spans="12:13" x14ac:dyDescent="0.25">
      <c r="L909" s="65">
        <v>235411</v>
      </c>
      <c r="M909" t="s">
        <v>922</v>
      </c>
    </row>
    <row r="910" spans="12:13" x14ac:dyDescent="0.25">
      <c r="L910" s="65">
        <v>235500</v>
      </c>
      <c r="M910" t="s">
        <v>923</v>
      </c>
    </row>
    <row r="911" spans="12:13" x14ac:dyDescent="0.25">
      <c r="L911" s="65">
        <v>235510</v>
      </c>
      <c r="M911" t="s">
        <v>923</v>
      </c>
    </row>
    <row r="912" spans="12:13" x14ac:dyDescent="0.25">
      <c r="L912" s="65">
        <v>235511</v>
      </c>
      <c r="M912" t="s">
        <v>923</v>
      </c>
    </row>
    <row r="913" spans="12:13" x14ac:dyDescent="0.25">
      <c r="L913" s="65">
        <v>236000</v>
      </c>
      <c r="M913" t="s">
        <v>924</v>
      </c>
    </row>
    <row r="914" spans="12:13" x14ac:dyDescent="0.25">
      <c r="L914" s="65">
        <v>236100</v>
      </c>
      <c r="M914" t="s">
        <v>925</v>
      </c>
    </row>
    <row r="915" spans="12:13" x14ac:dyDescent="0.25">
      <c r="L915" s="65">
        <v>236110</v>
      </c>
      <c r="M915" t="s">
        <v>925</v>
      </c>
    </row>
    <row r="916" spans="12:13" x14ac:dyDescent="0.25">
      <c r="L916" s="65">
        <v>236111</v>
      </c>
      <c r="M916" t="s">
        <v>925</v>
      </c>
    </row>
    <row r="917" spans="12:13" x14ac:dyDescent="0.25">
      <c r="L917" s="65">
        <v>236120</v>
      </c>
      <c r="M917" t="s">
        <v>926</v>
      </c>
    </row>
    <row r="918" spans="12:13" x14ac:dyDescent="0.25">
      <c r="L918" s="65">
        <v>236121</v>
      </c>
      <c r="M918" t="s">
        <v>927</v>
      </c>
    </row>
    <row r="919" spans="12:13" x14ac:dyDescent="0.25">
      <c r="L919" s="65">
        <v>236122</v>
      </c>
      <c r="M919" t="s">
        <v>928</v>
      </c>
    </row>
    <row r="920" spans="12:13" x14ac:dyDescent="0.25">
      <c r="L920" s="65">
        <v>236123</v>
      </c>
      <c r="M920" t="s">
        <v>929</v>
      </c>
    </row>
    <row r="921" spans="12:13" x14ac:dyDescent="0.25">
      <c r="L921" s="65">
        <v>236200</v>
      </c>
      <c r="M921" t="s">
        <v>930</v>
      </c>
    </row>
    <row r="922" spans="12:13" x14ac:dyDescent="0.25">
      <c r="L922" s="65">
        <v>236210</v>
      </c>
      <c r="M922" t="s">
        <v>930</v>
      </c>
    </row>
    <row r="923" spans="12:13" x14ac:dyDescent="0.25">
      <c r="L923" s="65">
        <v>236211</v>
      </c>
      <c r="M923" t="s">
        <v>930</v>
      </c>
    </row>
    <row r="924" spans="12:13" x14ac:dyDescent="0.25">
      <c r="L924" s="65">
        <v>236300</v>
      </c>
      <c r="M924" t="s">
        <v>931</v>
      </c>
    </row>
    <row r="925" spans="12:13" x14ac:dyDescent="0.25">
      <c r="L925" s="65">
        <v>236310</v>
      </c>
      <c r="M925" t="s">
        <v>931</v>
      </c>
    </row>
    <row r="926" spans="12:13" x14ac:dyDescent="0.25">
      <c r="L926" s="65">
        <v>236311</v>
      </c>
      <c r="M926" t="s">
        <v>931</v>
      </c>
    </row>
    <row r="927" spans="12:13" x14ac:dyDescent="0.25">
      <c r="L927" s="65">
        <v>236400</v>
      </c>
      <c r="M927" t="s">
        <v>932</v>
      </c>
    </row>
    <row r="928" spans="12:13" x14ac:dyDescent="0.25">
      <c r="L928" s="65">
        <v>236410</v>
      </c>
      <c r="M928" t="s">
        <v>932</v>
      </c>
    </row>
    <row r="929" spans="12:13" x14ac:dyDescent="0.25">
      <c r="L929" s="65">
        <v>236411</v>
      </c>
      <c r="M929" t="s">
        <v>932</v>
      </c>
    </row>
    <row r="930" spans="12:13" x14ac:dyDescent="0.25">
      <c r="L930" s="65">
        <v>236500</v>
      </c>
      <c r="M930" t="s">
        <v>933</v>
      </c>
    </row>
    <row r="931" spans="12:13" x14ac:dyDescent="0.25">
      <c r="L931" s="65">
        <v>236510</v>
      </c>
      <c r="M931" t="s">
        <v>933</v>
      </c>
    </row>
    <row r="932" spans="12:13" x14ac:dyDescent="0.25">
      <c r="L932" s="65">
        <v>236511</v>
      </c>
      <c r="M932" t="s">
        <v>933</v>
      </c>
    </row>
    <row r="933" spans="12:13" x14ac:dyDescent="0.25">
      <c r="L933" s="65">
        <v>237000</v>
      </c>
      <c r="M933" t="s">
        <v>934</v>
      </c>
    </row>
    <row r="934" spans="12:13" x14ac:dyDescent="0.25">
      <c r="L934" s="65">
        <v>237100</v>
      </c>
      <c r="M934" t="s">
        <v>935</v>
      </c>
    </row>
    <row r="935" spans="12:13" x14ac:dyDescent="0.25">
      <c r="L935" s="65">
        <v>237110</v>
      </c>
      <c r="M935" t="s">
        <v>935</v>
      </c>
    </row>
    <row r="936" spans="12:13" x14ac:dyDescent="0.25">
      <c r="L936" s="65">
        <v>237111</v>
      </c>
      <c r="M936" t="s">
        <v>936</v>
      </c>
    </row>
    <row r="937" spans="12:13" x14ac:dyDescent="0.25">
      <c r="L937" s="65">
        <v>237112</v>
      </c>
      <c r="M937" t="s">
        <v>937</v>
      </c>
    </row>
    <row r="938" spans="12:13" x14ac:dyDescent="0.25">
      <c r="L938" s="65">
        <v>237200</v>
      </c>
      <c r="M938" t="s">
        <v>938</v>
      </c>
    </row>
    <row r="939" spans="12:13" x14ac:dyDescent="0.25">
      <c r="L939" s="65">
        <v>237210</v>
      </c>
      <c r="M939" t="s">
        <v>938</v>
      </c>
    </row>
    <row r="940" spans="12:13" x14ac:dyDescent="0.25">
      <c r="L940" s="65">
        <v>237211</v>
      </c>
      <c r="M940" t="s">
        <v>938</v>
      </c>
    </row>
    <row r="941" spans="12:13" x14ac:dyDescent="0.25">
      <c r="L941" s="65">
        <v>237300</v>
      </c>
      <c r="M941" t="s">
        <v>939</v>
      </c>
    </row>
    <row r="942" spans="12:13" x14ac:dyDescent="0.25">
      <c r="L942" s="65">
        <v>237310</v>
      </c>
      <c r="M942" t="s">
        <v>939</v>
      </c>
    </row>
    <row r="943" spans="12:13" x14ac:dyDescent="0.25">
      <c r="L943" s="65">
        <v>237311</v>
      </c>
      <c r="M943" t="s">
        <v>939</v>
      </c>
    </row>
    <row r="944" spans="12:13" x14ac:dyDescent="0.25">
      <c r="L944" s="65">
        <v>237400</v>
      </c>
      <c r="M944" t="s">
        <v>940</v>
      </c>
    </row>
    <row r="945" spans="12:13" x14ac:dyDescent="0.25">
      <c r="L945" s="65">
        <v>237410</v>
      </c>
      <c r="M945" t="s">
        <v>940</v>
      </c>
    </row>
    <row r="946" spans="12:13" x14ac:dyDescent="0.25">
      <c r="L946" s="65">
        <v>237411</v>
      </c>
      <c r="M946" t="s">
        <v>940</v>
      </c>
    </row>
    <row r="947" spans="12:13" x14ac:dyDescent="0.25">
      <c r="L947" s="65">
        <v>237500</v>
      </c>
      <c r="M947" t="s">
        <v>941</v>
      </c>
    </row>
    <row r="948" spans="12:13" x14ac:dyDescent="0.25">
      <c r="L948" s="65">
        <v>237510</v>
      </c>
      <c r="M948" t="s">
        <v>941</v>
      </c>
    </row>
    <row r="949" spans="12:13" x14ac:dyDescent="0.25">
      <c r="L949" s="65">
        <v>237511</v>
      </c>
      <c r="M949" t="s">
        <v>941</v>
      </c>
    </row>
    <row r="950" spans="12:13" x14ac:dyDescent="0.25">
      <c r="L950" s="65">
        <v>237600</v>
      </c>
      <c r="M950" t="s">
        <v>942</v>
      </c>
    </row>
    <row r="951" spans="12:13" x14ac:dyDescent="0.25">
      <c r="L951" s="65">
        <v>237610</v>
      </c>
      <c r="M951" t="s">
        <v>942</v>
      </c>
    </row>
    <row r="952" spans="12:13" x14ac:dyDescent="0.25">
      <c r="L952" s="65">
        <v>237611</v>
      </c>
      <c r="M952" t="s">
        <v>942</v>
      </c>
    </row>
    <row r="953" spans="12:13" x14ac:dyDescent="0.25">
      <c r="L953" s="65">
        <v>237700</v>
      </c>
      <c r="M953" t="s">
        <v>943</v>
      </c>
    </row>
    <row r="954" spans="12:13" x14ac:dyDescent="0.25">
      <c r="L954" s="65">
        <v>237710</v>
      </c>
      <c r="M954" t="s">
        <v>943</v>
      </c>
    </row>
    <row r="955" spans="12:13" x14ac:dyDescent="0.25">
      <c r="L955" s="65">
        <v>237711</v>
      </c>
      <c r="M955" t="s">
        <v>943</v>
      </c>
    </row>
    <row r="956" spans="12:13" x14ac:dyDescent="0.25">
      <c r="L956" s="65">
        <v>238000</v>
      </c>
      <c r="M956" t="s">
        <v>944</v>
      </c>
    </row>
    <row r="957" spans="12:13" x14ac:dyDescent="0.25">
      <c r="L957" s="65">
        <v>238100</v>
      </c>
      <c r="M957" t="s">
        <v>945</v>
      </c>
    </row>
    <row r="958" spans="12:13" x14ac:dyDescent="0.25">
      <c r="L958" s="65">
        <v>238110</v>
      </c>
      <c r="M958" t="s">
        <v>945</v>
      </c>
    </row>
    <row r="959" spans="12:13" x14ac:dyDescent="0.25">
      <c r="L959" s="65">
        <v>238111</v>
      </c>
      <c r="M959" t="s">
        <v>945</v>
      </c>
    </row>
    <row r="960" spans="12:13" x14ac:dyDescent="0.25">
      <c r="L960" s="65">
        <v>238200</v>
      </c>
      <c r="M960" t="s">
        <v>946</v>
      </c>
    </row>
    <row r="961" spans="12:13" x14ac:dyDescent="0.25">
      <c r="L961" s="65">
        <v>238210</v>
      </c>
      <c r="M961" t="s">
        <v>946</v>
      </c>
    </row>
    <row r="962" spans="12:13" x14ac:dyDescent="0.25">
      <c r="L962" s="65">
        <v>238211</v>
      </c>
      <c r="M962" t="s">
        <v>946</v>
      </c>
    </row>
    <row r="963" spans="12:13" x14ac:dyDescent="0.25">
      <c r="L963" s="65">
        <v>238300</v>
      </c>
      <c r="M963" t="s">
        <v>947</v>
      </c>
    </row>
    <row r="964" spans="12:13" x14ac:dyDescent="0.25">
      <c r="L964" s="65">
        <v>238310</v>
      </c>
      <c r="M964" t="s">
        <v>947</v>
      </c>
    </row>
    <row r="965" spans="12:13" x14ac:dyDescent="0.25">
      <c r="L965" s="65">
        <v>238311</v>
      </c>
      <c r="M965" t="s">
        <v>947</v>
      </c>
    </row>
    <row r="966" spans="12:13" x14ac:dyDescent="0.25">
      <c r="L966" s="65">
        <v>238400</v>
      </c>
      <c r="M966" t="s">
        <v>948</v>
      </c>
    </row>
    <row r="967" spans="12:13" x14ac:dyDescent="0.25">
      <c r="L967" s="65">
        <v>238410</v>
      </c>
      <c r="M967" t="s">
        <v>948</v>
      </c>
    </row>
    <row r="968" spans="12:13" x14ac:dyDescent="0.25">
      <c r="L968" s="65">
        <v>238411</v>
      </c>
      <c r="M968" t="s">
        <v>948</v>
      </c>
    </row>
    <row r="969" spans="12:13" x14ac:dyDescent="0.25">
      <c r="L969" s="65">
        <v>238500</v>
      </c>
      <c r="M969" t="s">
        <v>949</v>
      </c>
    </row>
    <row r="970" spans="12:13" x14ac:dyDescent="0.25">
      <c r="L970" s="65">
        <v>238510</v>
      </c>
      <c r="M970" t="s">
        <v>949</v>
      </c>
    </row>
    <row r="971" spans="12:13" x14ac:dyDescent="0.25">
      <c r="L971" s="65">
        <v>238511</v>
      </c>
      <c r="M971" t="s">
        <v>949</v>
      </c>
    </row>
    <row r="972" spans="12:13" x14ac:dyDescent="0.25">
      <c r="L972" s="65">
        <v>239000</v>
      </c>
      <c r="M972" t="s">
        <v>950</v>
      </c>
    </row>
    <row r="973" spans="12:13" x14ac:dyDescent="0.25">
      <c r="L973" s="65">
        <v>239100</v>
      </c>
      <c r="M973" t="s">
        <v>951</v>
      </c>
    </row>
    <row r="974" spans="12:13" x14ac:dyDescent="0.25">
      <c r="L974" s="65">
        <v>239110</v>
      </c>
      <c r="M974" t="s">
        <v>951</v>
      </c>
    </row>
    <row r="975" spans="12:13" x14ac:dyDescent="0.25">
      <c r="L975" s="65">
        <v>239111</v>
      </c>
      <c r="M975" t="s">
        <v>951</v>
      </c>
    </row>
    <row r="976" spans="12:13" x14ac:dyDescent="0.25">
      <c r="L976" s="65">
        <v>239200</v>
      </c>
      <c r="M976" t="s">
        <v>952</v>
      </c>
    </row>
    <row r="977" spans="12:13" x14ac:dyDescent="0.25">
      <c r="L977" s="65">
        <v>239210</v>
      </c>
      <c r="M977" t="s">
        <v>952</v>
      </c>
    </row>
    <row r="978" spans="12:13" x14ac:dyDescent="0.25">
      <c r="L978" s="65">
        <v>239211</v>
      </c>
      <c r="M978" t="s">
        <v>952</v>
      </c>
    </row>
    <row r="979" spans="12:13" x14ac:dyDescent="0.25">
      <c r="L979" s="65">
        <v>239300</v>
      </c>
      <c r="M979" t="s">
        <v>953</v>
      </c>
    </row>
    <row r="980" spans="12:13" x14ac:dyDescent="0.25">
      <c r="L980" s="65">
        <v>239310</v>
      </c>
      <c r="M980" t="s">
        <v>953</v>
      </c>
    </row>
    <row r="981" spans="12:13" x14ac:dyDescent="0.25">
      <c r="L981" s="65">
        <v>239311</v>
      </c>
      <c r="M981" t="s">
        <v>953</v>
      </c>
    </row>
    <row r="982" spans="12:13" x14ac:dyDescent="0.25">
      <c r="L982" s="65">
        <v>239400</v>
      </c>
      <c r="M982" t="s">
        <v>954</v>
      </c>
    </row>
    <row r="983" spans="12:13" x14ac:dyDescent="0.25">
      <c r="L983" s="65">
        <v>239410</v>
      </c>
      <c r="M983" t="s">
        <v>954</v>
      </c>
    </row>
    <row r="984" spans="12:13" x14ac:dyDescent="0.25">
      <c r="L984" s="65">
        <v>239411</v>
      </c>
      <c r="M984" t="s">
        <v>954</v>
      </c>
    </row>
    <row r="985" spans="12:13" x14ac:dyDescent="0.25">
      <c r="L985" s="65">
        <v>239500</v>
      </c>
      <c r="M985" t="s">
        <v>955</v>
      </c>
    </row>
    <row r="986" spans="12:13" x14ac:dyDescent="0.25">
      <c r="L986" s="65">
        <v>239510</v>
      </c>
      <c r="M986" t="s">
        <v>955</v>
      </c>
    </row>
    <row r="987" spans="12:13" x14ac:dyDescent="0.25">
      <c r="L987" s="65">
        <v>239511</v>
      </c>
      <c r="M987" t="s">
        <v>955</v>
      </c>
    </row>
    <row r="988" spans="12:13" x14ac:dyDescent="0.25">
      <c r="L988" s="65">
        <v>240000</v>
      </c>
      <c r="M988" t="s">
        <v>956</v>
      </c>
    </row>
    <row r="989" spans="12:13" x14ac:dyDescent="0.25">
      <c r="L989" s="65">
        <v>241000</v>
      </c>
      <c r="M989" t="s">
        <v>957</v>
      </c>
    </row>
    <row r="990" spans="12:13" x14ac:dyDescent="0.25">
      <c r="L990" s="65">
        <v>241100</v>
      </c>
      <c r="M990" t="s">
        <v>958</v>
      </c>
    </row>
    <row r="991" spans="12:13" x14ac:dyDescent="0.25">
      <c r="L991" s="65">
        <v>241110</v>
      </c>
      <c r="M991" t="s">
        <v>959</v>
      </c>
    </row>
    <row r="992" spans="12:13" x14ac:dyDescent="0.25">
      <c r="L992" s="65">
        <v>241111</v>
      </c>
      <c r="M992" t="s">
        <v>960</v>
      </c>
    </row>
    <row r="993" spans="12:13" x14ac:dyDescent="0.25">
      <c r="L993" s="65">
        <v>241112</v>
      </c>
      <c r="M993" t="s">
        <v>961</v>
      </c>
    </row>
    <row r="994" spans="12:13" x14ac:dyDescent="0.25">
      <c r="L994" s="65">
        <v>241120</v>
      </c>
      <c r="M994" t="s">
        <v>962</v>
      </c>
    </row>
    <row r="995" spans="12:13" x14ac:dyDescent="0.25">
      <c r="L995" s="65">
        <v>241121</v>
      </c>
      <c r="M995" t="s">
        <v>963</v>
      </c>
    </row>
    <row r="996" spans="12:13" x14ac:dyDescent="0.25">
      <c r="L996" s="65">
        <v>241122</v>
      </c>
      <c r="M996" t="s">
        <v>964</v>
      </c>
    </row>
    <row r="997" spans="12:13" x14ac:dyDescent="0.25">
      <c r="L997" s="65">
        <v>241123</v>
      </c>
      <c r="M997" t="s">
        <v>965</v>
      </c>
    </row>
    <row r="998" spans="12:13" x14ac:dyDescent="0.25">
      <c r="L998" s="65">
        <v>241124</v>
      </c>
      <c r="M998" t="s">
        <v>966</v>
      </c>
    </row>
    <row r="999" spans="12:13" x14ac:dyDescent="0.25">
      <c r="L999" s="65">
        <v>241125</v>
      </c>
      <c r="M999" t="s">
        <v>967</v>
      </c>
    </row>
    <row r="1000" spans="12:13" x14ac:dyDescent="0.25">
      <c r="L1000" s="65">
        <v>241130</v>
      </c>
      <c r="M1000" t="s">
        <v>968</v>
      </c>
    </row>
    <row r="1001" spans="12:13" x14ac:dyDescent="0.25">
      <c r="L1001" s="65">
        <v>241131</v>
      </c>
      <c r="M1001" t="s">
        <v>969</v>
      </c>
    </row>
    <row r="1002" spans="12:13" x14ac:dyDescent="0.25">
      <c r="L1002" s="65">
        <v>241132</v>
      </c>
      <c r="M1002" t="s">
        <v>970</v>
      </c>
    </row>
    <row r="1003" spans="12:13" x14ac:dyDescent="0.25">
      <c r="L1003" s="65">
        <v>241140</v>
      </c>
      <c r="M1003" t="s">
        <v>971</v>
      </c>
    </row>
    <row r="1004" spans="12:13" x14ac:dyDescent="0.25">
      <c r="L1004" s="65">
        <v>241141</v>
      </c>
      <c r="M1004" t="s">
        <v>971</v>
      </c>
    </row>
    <row r="1005" spans="12:13" x14ac:dyDescent="0.25">
      <c r="L1005" s="65">
        <v>241150</v>
      </c>
      <c r="M1005" t="s">
        <v>972</v>
      </c>
    </row>
    <row r="1006" spans="12:13" x14ac:dyDescent="0.25">
      <c r="L1006" s="65">
        <v>241151</v>
      </c>
      <c r="M1006" t="s">
        <v>972</v>
      </c>
    </row>
    <row r="1007" spans="12:13" x14ac:dyDescent="0.25">
      <c r="L1007" s="65">
        <v>241160</v>
      </c>
      <c r="M1007" t="s">
        <v>973</v>
      </c>
    </row>
    <row r="1008" spans="12:13" x14ac:dyDescent="0.25">
      <c r="L1008" s="65">
        <v>241161</v>
      </c>
      <c r="M1008" t="s">
        <v>973</v>
      </c>
    </row>
    <row r="1009" spans="12:13" x14ac:dyDescent="0.25">
      <c r="L1009" s="65">
        <v>241170</v>
      </c>
      <c r="M1009" t="s">
        <v>974</v>
      </c>
    </row>
    <row r="1010" spans="12:13" x14ac:dyDescent="0.25">
      <c r="L1010" s="65">
        <v>241171</v>
      </c>
      <c r="M1010" t="s">
        <v>974</v>
      </c>
    </row>
    <row r="1011" spans="12:13" x14ac:dyDescent="0.25">
      <c r="L1011" s="65">
        <v>241180</v>
      </c>
      <c r="M1011" t="s">
        <v>975</v>
      </c>
    </row>
    <row r="1012" spans="12:13" x14ac:dyDescent="0.25">
      <c r="L1012" s="65">
        <v>241181</v>
      </c>
      <c r="M1012" t="s">
        <v>975</v>
      </c>
    </row>
    <row r="1013" spans="12:13" x14ac:dyDescent="0.25">
      <c r="L1013" s="65">
        <v>241200</v>
      </c>
      <c r="M1013" t="s">
        <v>976</v>
      </c>
    </row>
    <row r="1014" spans="12:13" x14ac:dyDescent="0.25">
      <c r="L1014" s="65">
        <v>241210</v>
      </c>
      <c r="M1014" t="s">
        <v>977</v>
      </c>
    </row>
    <row r="1015" spans="12:13" x14ac:dyDescent="0.25">
      <c r="L1015" s="65">
        <v>241211</v>
      </c>
      <c r="M1015" t="s">
        <v>978</v>
      </c>
    </row>
    <row r="1016" spans="12:13" x14ac:dyDescent="0.25">
      <c r="L1016" s="65">
        <v>241212</v>
      </c>
      <c r="M1016" t="s">
        <v>979</v>
      </c>
    </row>
    <row r="1017" spans="12:13" x14ac:dyDescent="0.25">
      <c r="L1017" s="65">
        <v>241220</v>
      </c>
      <c r="M1017" t="s">
        <v>980</v>
      </c>
    </row>
    <row r="1018" spans="12:13" x14ac:dyDescent="0.25">
      <c r="L1018" s="65">
        <v>241221</v>
      </c>
      <c r="M1018" t="s">
        <v>981</v>
      </c>
    </row>
    <row r="1019" spans="12:13" x14ac:dyDescent="0.25">
      <c r="L1019" s="65">
        <v>241222</v>
      </c>
      <c r="M1019" t="s">
        <v>982</v>
      </c>
    </row>
    <row r="1020" spans="12:13" x14ac:dyDescent="0.25">
      <c r="L1020" s="65">
        <v>241229</v>
      </c>
      <c r="M1020" t="s">
        <v>983</v>
      </c>
    </row>
    <row r="1021" spans="12:13" x14ac:dyDescent="0.25">
      <c r="L1021" s="65">
        <v>241230</v>
      </c>
      <c r="M1021" t="s">
        <v>984</v>
      </c>
    </row>
    <row r="1022" spans="12:13" x14ac:dyDescent="0.25">
      <c r="L1022" s="65">
        <v>241231</v>
      </c>
      <c r="M1022" t="s">
        <v>985</v>
      </c>
    </row>
    <row r="1023" spans="12:13" x14ac:dyDescent="0.25">
      <c r="L1023" s="65">
        <v>241232</v>
      </c>
      <c r="M1023" t="s">
        <v>986</v>
      </c>
    </row>
    <row r="1024" spans="12:13" x14ac:dyDescent="0.25">
      <c r="L1024" s="65">
        <v>241233</v>
      </c>
      <c r="M1024" t="s">
        <v>987</v>
      </c>
    </row>
    <row r="1025" spans="12:13" x14ac:dyDescent="0.25">
      <c r="L1025" s="65">
        <v>241234</v>
      </c>
      <c r="M1025" t="s">
        <v>988</v>
      </c>
    </row>
    <row r="1026" spans="12:13" x14ac:dyDescent="0.25">
      <c r="L1026" s="65">
        <v>241235</v>
      </c>
      <c r="M1026" t="s">
        <v>989</v>
      </c>
    </row>
    <row r="1027" spans="12:13" x14ac:dyDescent="0.25">
      <c r="L1027" s="65">
        <v>241239</v>
      </c>
      <c r="M1027" t="s">
        <v>990</v>
      </c>
    </row>
    <row r="1028" spans="12:13" x14ac:dyDescent="0.25">
      <c r="L1028" s="65">
        <v>241240</v>
      </c>
      <c r="M1028" t="s">
        <v>991</v>
      </c>
    </row>
    <row r="1029" spans="12:13" x14ac:dyDescent="0.25">
      <c r="L1029" s="65">
        <v>241241</v>
      </c>
      <c r="M1029" t="s">
        <v>992</v>
      </c>
    </row>
    <row r="1030" spans="12:13" x14ac:dyDescent="0.25">
      <c r="L1030" s="65">
        <v>241249</v>
      </c>
      <c r="M1030" t="s">
        <v>993</v>
      </c>
    </row>
    <row r="1031" spans="12:13" x14ac:dyDescent="0.25">
      <c r="L1031" s="65">
        <v>241250</v>
      </c>
      <c r="M1031" t="s">
        <v>994</v>
      </c>
    </row>
    <row r="1032" spans="12:13" x14ac:dyDescent="0.25">
      <c r="L1032" s="65">
        <v>241251</v>
      </c>
      <c r="M1032" t="s">
        <v>994</v>
      </c>
    </row>
    <row r="1033" spans="12:13" x14ac:dyDescent="0.25">
      <c r="L1033" s="65">
        <v>241260</v>
      </c>
      <c r="M1033" t="s">
        <v>995</v>
      </c>
    </row>
    <row r="1034" spans="12:13" x14ac:dyDescent="0.25">
      <c r="L1034" s="65">
        <v>241261</v>
      </c>
      <c r="M1034" t="s">
        <v>995</v>
      </c>
    </row>
    <row r="1035" spans="12:13" x14ac:dyDescent="0.25">
      <c r="L1035" s="65">
        <v>241300</v>
      </c>
      <c r="M1035" t="s">
        <v>996</v>
      </c>
    </row>
    <row r="1036" spans="12:13" x14ac:dyDescent="0.25">
      <c r="L1036" s="65">
        <v>241310</v>
      </c>
      <c r="M1036" t="s">
        <v>996</v>
      </c>
    </row>
    <row r="1037" spans="12:13" x14ac:dyDescent="0.25">
      <c r="L1037" s="65">
        <v>241311</v>
      </c>
      <c r="M1037" t="s">
        <v>996</v>
      </c>
    </row>
    <row r="1038" spans="12:13" x14ac:dyDescent="0.25">
      <c r="L1038" s="65">
        <v>241400</v>
      </c>
      <c r="M1038" t="s">
        <v>997</v>
      </c>
    </row>
    <row r="1039" spans="12:13" x14ac:dyDescent="0.25">
      <c r="L1039" s="65">
        <v>241410</v>
      </c>
      <c r="M1039" t="s">
        <v>997</v>
      </c>
    </row>
    <row r="1040" spans="12:13" x14ac:dyDescent="0.25">
      <c r="L1040" s="65">
        <v>241411</v>
      </c>
      <c r="M1040" t="s">
        <v>998</v>
      </c>
    </row>
    <row r="1041" spans="12:13" x14ac:dyDescent="0.25">
      <c r="L1041" s="65">
        <v>241412</v>
      </c>
      <c r="M1041" t="s">
        <v>999</v>
      </c>
    </row>
    <row r="1042" spans="12:13" x14ac:dyDescent="0.25">
      <c r="L1042" s="65">
        <v>241413</v>
      </c>
      <c r="M1042" t="s">
        <v>1000</v>
      </c>
    </row>
    <row r="1043" spans="12:13" x14ac:dyDescent="0.25">
      <c r="L1043" s="65">
        <v>242000</v>
      </c>
      <c r="M1043" t="s">
        <v>1001</v>
      </c>
    </row>
    <row r="1044" spans="12:13" x14ac:dyDescent="0.25">
      <c r="L1044" s="65">
        <v>242100</v>
      </c>
      <c r="M1044" t="s">
        <v>1002</v>
      </c>
    </row>
    <row r="1045" spans="12:13" x14ac:dyDescent="0.25">
      <c r="L1045" s="65">
        <v>242110</v>
      </c>
      <c r="M1045" t="s">
        <v>1003</v>
      </c>
    </row>
    <row r="1046" spans="12:13" x14ac:dyDescent="0.25">
      <c r="L1046" s="65">
        <v>242111</v>
      </c>
      <c r="M1046" t="s">
        <v>1004</v>
      </c>
    </row>
    <row r="1047" spans="12:13" x14ac:dyDescent="0.25">
      <c r="L1047" s="65">
        <v>242112</v>
      </c>
      <c r="M1047" t="s">
        <v>1005</v>
      </c>
    </row>
    <row r="1048" spans="12:13" x14ac:dyDescent="0.25">
      <c r="L1048" s="65">
        <v>242113</v>
      </c>
      <c r="M1048" t="s">
        <v>1006</v>
      </c>
    </row>
    <row r="1049" spans="12:13" x14ac:dyDescent="0.25">
      <c r="L1049" s="65">
        <v>242114</v>
      </c>
      <c r="M1049" t="s">
        <v>1007</v>
      </c>
    </row>
    <row r="1050" spans="12:13" x14ac:dyDescent="0.25">
      <c r="L1050" s="65">
        <v>242119</v>
      </c>
      <c r="M1050" t="s">
        <v>1008</v>
      </c>
    </row>
    <row r="1051" spans="12:13" x14ac:dyDescent="0.25">
      <c r="L1051" s="65">
        <v>242120</v>
      </c>
      <c r="M1051" t="s">
        <v>1009</v>
      </c>
    </row>
    <row r="1052" spans="12:13" x14ac:dyDescent="0.25">
      <c r="L1052" s="65">
        <v>242121</v>
      </c>
      <c r="M1052" t="s">
        <v>1010</v>
      </c>
    </row>
    <row r="1053" spans="12:13" x14ac:dyDescent="0.25">
      <c r="L1053" s="65">
        <v>242122</v>
      </c>
      <c r="M1053" t="s">
        <v>1011</v>
      </c>
    </row>
    <row r="1054" spans="12:13" x14ac:dyDescent="0.25">
      <c r="L1054" s="65">
        <v>242123</v>
      </c>
      <c r="M1054" t="s">
        <v>1012</v>
      </c>
    </row>
    <row r="1055" spans="12:13" x14ac:dyDescent="0.25">
      <c r="L1055" s="65">
        <v>242124</v>
      </c>
      <c r="M1055" t="s">
        <v>1013</v>
      </c>
    </row>
    <row r="1056" spans="12:13" x14ac:dyDescent="0.25">
      <c r="L1056" s="65">
        <v>242129</v>
      </c>
      <c r="M1056" t="s">
        <v>1014</v>
      </c>
    </row>
    <row r="1057" spans="12:13" x14ac:dyDescent="0.25">
      <c r="L1057" s="65">
        <v>242200</v>
      </c>
      <c r="M1057" t="s">
        <v>1015</v>
      </c>
    </row>
    <row r="1058" spans="12:13" x14ac:dyDescent="0.25">
      <c r="L1058" s="65">
        <v>242210</v>
      </c>
      <c r="M1058" t="s">
        <v>1016</v>
      </c>
    </row>
    <row r="1059" spans="12:13" x14ac:dyDescent="0.25">
      <c r="L1059" s="65">
        <v>242211</v>
      </c>
      <c r="M1059" t="s">
        <v>1017</v>
      </c>
    </row>
    <row r="1060" spans="12:13" x14ac:dyDescent="0.25">
      <c r="L1060" s="65">
        <v>242219</v>
      </c>
      <c r="M1060" t="s">
        <v>1018</v>
      </c>
    </row>
    <row r="1061" spans="12:13" x14ac:dyDescent="0.25">
      <c r="L1061" s="65">
        <v>242220</v>
      </c>
      <c r="M1061" t="s">
        <v>1019</v>
      </c>
    </row>
    <row r="1062" spans="12:13" x14ac:dyDescent="0.25">
      <c r="L1062" s="65">
        <v>242221</v>
      </c>
      <c r="M1062" t="s">
        <v>1020</v>
      </c>
    </row>
    <row r="1063" spans="12:13" x14ac:dyDescent="0.25">
      <c r="L1063" s="65">
        <v>242229</v>
      </c>
      <c r="M1063" t="s">
        <v>1021</v>
      </c>
    </row>
    <row r="1064" spans="12:13" x14ac:dyDescent="0.25">
      <c r="L1064" s="65">
        <v>242300</v>
      </c>
      <c r="M1064" t="s">
        <v>1022</v>
      </c>
    </row>
    <row r="1065" spans="12:13" x14ac:dyDescent="0.25">
      <c r="L1065" s="65">
        <v>242310</v>
      </c>
      <c r="M1065" t="s">
        <v>1023</v>
      </c>
    </row>
    <row r="1066" spans="12:13" x14ac:dyDescent="0.25">
      <c r="L1066" s="65">
        <v>242311</v>
      </c>
      <c r="M1066" t="s">
        <v>1024</v>
      </c>
    </row>
    <row r="1067" spans="12:13" x14ac:dyDescent="0.25">
      <c r="L1067" s="65">
        <v>242319</v>
      </c>
      <c r="M1067" t="s">
        <v>1025</v>
      </c>
    </row>
    <row r="1068" spans="12:13" x14ac:dyDescent="0.25">
      <c r="L1068" s="65">
        <v>242320</v>
      </c>
      <c r="M1068" t="s">
        <v>1026</v>
      </c>
    </row>
    <row r="1069" spans="12:13" x14ac:dyDescent="0.25">
      <c r="L1069" s="65">
        <v>242321</v>
      </c>
      <c r="M1069" t="s">
        <v>1027</v>
      </c>
    </row>
    <row r="1070" spans="12:13" x14ac:dyDescent="0.25">
      <c r="L1070" s="65">
        <v>242329</v>
      </c>
      <c r="M1070" t="s">
        <v>1028</v>
      </c>
    </row>
    <row r="1071" spans="12:13" x14ac:dyDescent="0.25">
      <c r="L1071" s="65">
        <v>242400</v>
      </c>
      <c r="M1071" t="s">
        <v>1029</v>
      </c>
    </row>
    <row r="1072" spans="12:13" x14ac:dyDescent="0.25">
      <c r="L1072" s="65">
        <v>242410</v>
      </c>
      <c r="M1072" t="s">
        <v>1030</v>
      </c>
    </row>
    <row r="1073" spans="12:13" x14ac:dyDescent="0.25">
      <c r="L1073" s="65">
        <v>242411</v>
      </c>
      <c r="M1073" t="s">
        <v>1030</v>
      </c>
    </row>
    <row r="1074" spans="12:13" x14ac:dyDescent="0.25">
      <c r="L1074" s="65">
        <v>242420</v>
      </c>
      <c r="M1074" t="s">
        <v>1031</v>
      </c>
    </row>
    <row r="1075" spans="12:13" x14ac:dyDescent="0.25">
      <c r="L1075" s="65">
        <v>242421</v>
      </c>
      <c r="M1075" t="s">
        <v>1031</v>
      </c>
    </row>
    <row r="1076" spans="12:13" x14ac:dyDescent="0.25">
      <c r="L1076" s="65">
        <v>243000</v>
      </c>
      <c r="M1076" t="s">
        <v>1032</v>
      </c>
    </row>
    <row r="1077" spans="12:13" x14ac:dyDescent="0.25">
      <c r="L1077" s="65">
        <v>243100</v>
      </c>
      <c r="M1077" t="s">
        <v>1033</v>
      </c>
    </row>
    <row r="1078" spans="12:13" x14ac:dyDescent="0.25">
      <c r="L1078" s="65">
        <v>243110</v>
      </c>
      <c r="M1078" t="s">
        <v>1034</v>
      </c>
    </row>
    <row r="1079" spans="12:13" x14ac:dyDescent="0.25">
      <c r="L1079" s="65">
        <v>243111</v>
      </c>
      <c r="M1079" t="s">
        <v>1034</v>
      </c>
    </row>
    <row r="1080" spans="12:13" x14ac:dyDescent="0.25">
      <c r="L1080" s="65">
        <v>243120</v>
      </c>
      <c r="M1080" t="s">
        <v>1035</v>
      </c>
    </row>
    <row r="1081" spans="12:13" x14ac:dyDescent="0.25">
      <c r="L1081" s="65">
        <v>243121</v>
      </c>
      <c r="M1081" t="s">
        <v>1035</v>
      </c>
    </row>
    <row r="1082" spans="12:13" x14ac:dyDescent="0.25">
      <c r="L1082" s="65">
        <v>243200</v>
      </c>
      <c r="M1082" t="s">
        <v>1036</v>
      </c>
    </row>
    <row r="1083" spans="12:13" x14ac:dyDescent="0.25">
      <c r="L1083" s="65">
        <v>243210</v>
      </c>
      <c r="M1083" t="s">
        <v>1037</v>
      </c>
    </row>
    <row r="1084" spans="12:13" x14ac:dyDescent="0.25">
      <c r="L1084" s="65">
        <v>243211</v>
      </c>
      <c r="M1084" t="s">
        <v>1038</v>
      </c>
    </row>
    <row r="1085" spans="12:13" x14ac:dyDescent="0.25">
      <c r="L1085" s="65">
        <v>243212</v>
      </c>
      <c r="M1085" t="s">
        <v>1039</v>
      </c>
    </row>
    <row r="1086" spans="12:13" x14ac:dyDescent="0.25">
      <c r="L1086" s="65">
        <v>243219</v>
      </c>
      <c r="M1086" t="s">
        <v>1040</v>
      </c>
    </row>
    <row r="1087" spans="12:13" x14ac:dyDescent="0.25">
      <c r="L1087" s="65">
        <v>243220</v>
      </c>
      <c r="M1087" t="s">
        <v>1041</v>
      </c>
    </row>
    <row r="1088" spans="12:13" x14ac:dyDescent="0.25">
      <c r="L1088" s="65">
        <v>243221</v>
      </c>
      <c r="M1088" t="s">
        <v>1042</v>
      </c>
    </row>
    <row r="1089" spans="12:13" x14ac:dyDescent="0.25">
      <c r="L1089" s="65">
        <v>243222</v>
      </c>
      <c r="M1089" t="s">
        <v>1043</v>
      </c>
    </row>
    <row r="1090" spans="12:13" x14ac:dyDescent="0.25">
      <c r="L1090" s="65">
        <v>243229</v>
      </c>
      <c r="M1090" t="s">
        <v>1044</v>
      </c>
    </row>
    <row r="1091" spans="12:13" x14ac:dyDescent="0.25">
      <c r="L1091" s="65">
        <v>243300</v>
      </c>
      <c r="M1091" t="s">
        <v>1045</v>
      </c>
    </row>
    <row r="1092" spans="12:13" x14ac:dyDescent="0.25">
      <c r="L1092" s="65">
        <v>243310</v>
      </c>
      <c r="M1092" t="s">
        <v>1046</v>
      </c>
    </row>
    <row r="1093" spans="12:13" x14ac:dyDescent="0.25">
      <c r="L1093" s="65">
        <v>243311</v>
      </c>
      <c r="M1093" t="s">
        <v>1047</v>
      </c>
    </row>
    <row r="1094" spans="12:13" x14ac:dyDescent="0.25">
      <c r="L1094" s="65">
        <v>243312</v>
      </c>
      <c r="M1094" t="s">
        <v>1048</v>
      </c>
    </row>
    <row r="1095" spans="12:13" x14ac:dyDescent="0.25">
      <c r="L1095" s="65">
        <v>243313</v>
      </c>
      <c r="M1095" t="s">
        <v>1049</v>
      </c>
    </row>
    <row r="1096" spans="12:13" x14ac:dyDescent="0.25">
      <c r="L1096" s="65">
        <v>243314</v>
      </c>
      <c r="M1096" t="s">
        <v>1050</v>
      </c>
    </row>
    <row r="1097" spans="12:13" x14ac:dyDescent="0.25">
      <c r="L1097" s="65">
        <v>243320</v>
      </c>
      <c r="M1097" t="s">
        <v>1051</v>
      </c>
    </row>
    <row r="1098" spans="12:13" x14ac:dyDescent="0.25">
      <c r="L1098" s="65">
        <v>243321</v>
      </c>
      <c r="M1098" t="s">
        <v>1052</v>
      </c>
    </row>
    <row r="1099" spans="12:13" x14ac:dyDescent="0.25">
      <c r="L1099" s="65">
        <v>243322</v>
      </c>
      <c r="M1099" t="s">
        <v>1053</v>
      </c>
    </row>
    <row r="1100" spans="12:13" x14ac:dyDescent="0.25">
      <c r="L1100" s="65">
        <v>243323</v>
      </c>
      <c r="M1100" t="s">
        <v>1054</v>
      </c>
    </row>
    <row r="1101" spans="12:13" x14ac:dyDescent="0.25">
      <c r="L1101" s="65">
        <v>243324</v>
      </c>
      <c r="M1101" t="s">
        <v>1055</v>
      </c>
    </row>
    <row r="1102" spans="12:13" x14ac:dyDescent="0.25">
      <c r="L1102" s="65">
        <v>243400</v>
      </c>
      <c r="M1102" t="s">
        <v>1056</v>
      </c>
    </row>
    <row r="1103" spans="12:13" x14ac:dyDescent="0.25">
      <c r="L1103" s="65">
        <v>243410</v>
      </c>
      <c r="M1103" t="s">
        <v>1057</v>
      </c>
    </row>
    <row r="1104" spans="12:13" x14ac:dyDescent="0.25">
      <c r="L1104" s="65">
        <v>243411</v>
      </c>
      <c r="M1104" t="s">
        <v>1058</v>
      </c>
    </row>
    <row r="1105" spans="12:13" x14ac:dyDescent="0.25">
      <c r="L1105" s="65">
        <v>243412</v>
      </c>
      <c r="M1105" t="s">
        <v>1059</v>
      </c>
    </row>
    <row r="1106" spans="12:13" x14ac:dyDescent="0.25">
      <c r="L1106" s="65">
        <v>243413</v>
      </c>
      <c r="M1106" t="s">
        <v>1060</v>
      </c>
    </row>
    <row r="1107" spans="12:13" x14ac:dyDescent="0.25">
      <c r="L1107" s="65">
        <v>243414</v>
      </c>
      <c r="M1107" t="s">
        <v>1061</v>
      </c>
    </row>
    <row r="1108" spans="12:13" x14ac:dyDescent="0.25">
      <c r="L1108" s="65">
        <v>243415</v>
      </c>
      <c r="M1108" t="s">
        <v>1062</v>
      </c>
    </row>
    <row r="1109" spans="12:13" x14ac:dyDescent="0.25">
      <c r="L1109" s="65">
        <v>243420</v>
      </c>
      <c r="M1109" t="s">
        <v>1063</v>
      </c>
    </row>
    <row r="1110" spans="12:13" x14ac:dyDescent="0.25">
      <c r="L1110" s="65">
        <v>243421</v>
      </c>
      <c r="M1110" t="s">
        <v>1064</v>
      </c>
    </row>
    <row r="1111" spans="12:13" x14ac:dyDescent="0.25">
      <c r="L1111" s="65">
        <v>243422</v>
      </c>
      <c r="M1111" t="s">
        <v>1065</v>
      </c>
    </row>
    <row r="1112" spans="12:13" x14ac:dyDescent="0.25">
      <c r="L1112" s="65">
        <v>243425</v>
      </c>
      <c r="M1112" t="s">
        <v>1066</v>
      </c>
    </row>
    <row r="1113" spans="12:13" x14ac:dyDescent="0.25">
      <c r="L1113" s="65">
        <v>244000</v>
      </c>
      <c r="M1113" t="s">
        <v>1067</v>
      </c>
    </row>
    <row r="1114" spans="12:13" x14ac:dyDescent="0.25">
      <c r="L1114" s="65">
        <v>244100</v>
      </c>
      <c r="M1114" t="s">
        <v>1068</v>
      </c>
    </row>
    <row r="1115" spans="12:13" x14ac:dyDescent="0.25">
      <c r="L1115" s="65">
        <v>244110</v>
      </c>
      <c r="M1115" t="s">
        <v>1069</v>
      </c>
    </row>
    <row r="1116" spans="12:13" x14ac:dyDescent="0.25">
      <c r="L1116" s="65">
        <v>244111</v>
      </c>
      <c r="M1116" t="s">
        <v>1070</v>
      </c>
    </row>
    <row r="1117" spans="12:13" x14ac:dyDescent="0.25">
      <c r="L1117" s="65">
        <v>244112</v>
      </c>
      <c r="M1117" t="s">
        <v>1071</v>
      </c>
    </row>
    <row r="1118" spans="12:13" x14ac:dyDescent="0.25">
      <c r="L1118" s="65">
        <v>244113</v>
      </c>
      <c r="M1118" t="s">
        <v>1072</v>
      </c>
    </row>
    <row r="1119" spans="12:13" x14ac:dyDescent="0.25">
      <c r="L1119" s="65">
        <v>244114</v>
      </c>
      <c r="M1119" t="s">
        <v>1073</v>
      </c>
    </row>
    <row r="1120" spans="12:13" x14ac:dyDescent="0.25">
      <c r="L1120" s="65">
        <v>244119</v>
      </c>
      <c r="M1120" t="s">
        <v>1074</v>
      </c>
    </row>
    <row r="1121" spans="12:13" x14ac:dyDescent="0.25">
      <c r="L1121" s="65">
        <v>244120</v>
      </c>
      <c r="M1121" t="s">
        <v>1075</v>
      </c>
    </row>
    <row r="1122" spans="12:13" x14ac:dyDescent="0.25">
      <c r="L1122" s="65">
        <v>244121</v>
      </c>
      <c r="M1122" t="s">
        <v>1076</v>
      </c>
    </row>
    <row r="1123" spans="12:13" x14ac:dyDescent="0.25">
      <c r="L1123" s="65">
        <v>244122</v>
      </c>
      <c r="M1123" t="s">
        <v>1077</v>
      </c>
    </row>
    <row r="1124" spans="12:13" x14ac:dyDescent="0.25">
      <c r="L1124" s="65">
        <v>244123</v>
      </c>
      <c r="M1124" t="s">
        <v>1078</v>
      </c>
    </row>
    <row r="1125" spans="12:13" x14ac:dyDescent="0.25">
      <c r="L1125" s="65">
        <v>244124</v>
      </c>
      <c r="M1125" t="s">
        <v>1079</v>
      </c>
    </row>
    <row r="1126" spans="12:13" x14ac:dyDescent="0.25">
      <c r="L1126" s="65">
        <v>244125</v>
      </c>
      <c r="M1126" t="s">
        <v>1080</v>
      </c>
    </row>
    <row r="1127" spans="12:13" x14ac:dyDescent="0.25">
      <c r="L1127" s="65">
        <v>244126</v>
      </c>
      <c r="M1127" t="s">
        <v>1081</v>
      </c>
    </row>
    <row r="1128" spans="12:13" x14ac:dyDescent="0.25">
      <c r="L1128" s="65">
        <v>244129</v>
      </c>
      <c r="M1128" t="s">
        <v>1082</v>
      </c>
    </row>
    <row r="1129" spans="12:13" x14ac:dyDescent="0.25">
      <c r="L1129" s="65">
        <v>244190</v>
      </c>
      <c r="M1129" t="s">
        <v>1083</v>
      </c>
    </row>
    <row r="1130" spans="12:13" x14ac:dyDescent="0.25">
      <c r="L1130" s="65">
        <v>244191</v>
      </c>
      <c r="M1130" t="s">
        <v>1084</v>
      </c>
    </row>
    <row r="1131" spans="12:13" x14ac:dyDescent="0.25">
      <c r="L1131" s="65">
        <v>244192</v>
      </c>
      <c r="M1131" t="s">
        <v>1085</v>
      </c>
    </row>
    <row r="1132" spans="12:13" x14ac:dyDescent="0.25">
      <c r="L1132" s="65">
        <v>244193</v>
      </c>
      <c r="M1132" t="s">
        <v>1086</v>
      </c>
    </row>
    <row r="1133" spans="12:13" x14ac:dyDescent="0.25">
      <c r="L1133" s="65">
        <v>244194</v>
      </c>
      <c r="M1133" t="s">
        <v>1087</v>
      </c>
    </row>
    <row r="1134" spans="12:13" x14ac:dyDescent="0.25">
      <c r="L1134" s="65">
        <v>244195</v>
      </c>
      <c r="M1134" t="s">
        <v>1088</v>
      </c>
    </row>
    <row r="1135" spans="12:13" x14ac:dyDescent="0.25">
      <c r="L1135" s="65">
        <v>244200</v>
      </c>
      <c r="M1135" t="s">
        <v>1089</v>
      </c>
    </row>
    <row r="1136" spans="12:13" x14ac:dyDescent="0.25">
      <c r="L1136" s="65">
        <v>244210</v>
      </c>
      <c r="M1136" t="s">
        <v>1090</v>
      </c>
    </row>
    <row r="1137" spans="12:13" x14ac:dyDescent="0.25">
      <c r="L1137" s="65">
        <v>244211</v>
      </c>
      <c r="M1137" t="s">
        <v>1091</v>
      </c>
    </row>
    <row r="1138" spans="12:13" x14ac:dyDescent="0.25">
      <c r="L1138" s="65">
        <v>244212</v>
      </c>
      <c r="M1138" t="s">
        <v>1092</v>
      </c>
    </row>
    <row r="1139" spans="12:13" x14ac:dyDescent="0.25">
      <c r="L1139" s="65">
        <v>244213</v>
      </c>
      <c r="M1139" t="s">
        <v>1093</v>
      </c>
    </row>
    <row r="1140" spans="12:13" x14ac:dyDescent="0.25">
      <c r="L1140" s="65">
        <v>244220</v>
      </c>
      <c r="M1140" t="s">
        <v>1094</v>
      </c>
    </row>
    <row r="1141" spans="12:13" x14ac:dyDescent="0.25">
      <c r="L1141" s="65">
        <v>244221</v>
      </c>
      <c r="M1141" t="s">
        <v>1094</v>
      </c>
    </row>
    <row r="1142" spans="12:13" x14ac:dyDescent="0.25">
      <c r="L1142" s="65">
        <v>244230</v>
      </c>
      <c r="M1142" t="s">
        <v>1095</v>
      </c>
    </row>
    <row r="1143" spans="12:13" x14ac:dyDescent="0.25">
      <c r="L1143" s="65">
        <v>244231</v>
      </c>
      <c r="M1143" t="s">
        <v>1095</v>
      </c>
    </row>
    <row r="1144" spans="12:13" x14ac:dyDescent="0.25">
      <c r="L1144" s="65">
        <v>244240</v>
      </c>
      <c r="M1144" t="s">
        <v>1096</v>
      </c>
    </row>
    <row r="1145" spans="12:13" x14ac:dyDescent="0.25">
      <c r="L1145" s="65">
        <v>244241</v>
      </c>
      <c r="M1145" t="s">
        <v>1096</v>
      </c>
    </row>
    <row r="1146" spans="12:13" x14ac:dyDescent="0.25">
      <c r="L1146" s="65">
        <v>244250</v>
      </c>
      <c r="M1146" t="s">
        <v>1097</v>
      </c>
    </row>
    <row r="1147" spans="12:13" x14ac:dyDescent="0.25">
      <c r="L1147" s="65">
        <v>244251</v>
      </c>
      <c r="M1147" t="s">
        <v>1098</v>
      </c>
    </row>
    <row r="1148" spans="12:13" x14ac:dyDescent="0.25">
      <c r="L1148" s="65">
        <v>244252</v>
      </c>
      <c r="M1148" t="s">
        <v>1099</v>
      </c>
    </row>
    <row r="1149" spans="12:13" x14ac:dyDescent="0.25">
      <c r="L1149" s="65">
        <v>244260</v>
      </c>
      <c r="M1149" t="s">
        <v>1100</v>
      </c>
    </row>
    <row r="1150" spans="12:13" x14ac:dyDescent="0.25">
      <c r="L1150" s="65">
        <v>244261</v>
      </c>
      <c r="M1150" t="s">
        <v>1100</v>
      </c>
    </row>
    <row r="1151" spans="12:13" x14ac:dyDescent="0.25">
      <c r="L1151" s="65">
        <v>244270</v>
      </c>
      <c r="M1151" t="s">
        <v>1101</v>
      </c>
    </row>
    <row r="1152" spans="12:13" x14ac:dyDescent="0.25">
      <c r="L1152" s="65">
        <v>244271</v>
      </c>
      <c r="M1152" t="s">
        <v>1102</v>
      </c>
    </row>
    <row r="1153" spans="12:13" x14ac:dyDescent="0.25">
      <c r="L1153" s="65">
        <v>244272</v>
      </c>
      <c r="M1153" t="s">
        <v>1103</v>
      </c>
    </row>
    <row r="1154" spans="12:13" x14ac:dyDescent="0.25">
      <c r="L1154" s="65">
        <v>244273</v>
      </c>
      <c r="M1154" t="s">
        <v>1104</v>
      </c>
    </row>
    <row r="1155" spans="12:13" x14ac:dyDescent="0.25">
      <c r="L1155" s="65">
        <v>244274</v>
      </c>
      <c r="M1155" t="s">
        <v>1105</v>
      </c>
    </row>
    <row r="1156" spans="12:13" x14ac:dyDescent="0.25">
      <c r="L1156" s="65">
        <v>244280</v>
      </c>
      <c r="M1156" t="s">
        <v>1106</v>
      </c>
    </row>
    <row r="1157" spans="12:13" x14ac:dyDescent="0.25">
      <c r="L1157" s="65">
        <v>244281</v>
      </c>
      <c r="M1157" t="s">
        <v>1106</v>
      </c>
    </row>
    <row r="1158" spans="12:13" x14ac:dyDescent="0.25">
      <c r="L1158" s="65">
        <v>244290</v>
      </c>
      <c r="M1158" t="s">
        <v>1107</v>
      </c>
    </row>
    <row r="1159" spans="12:13" x14ac:dyDescent="0.25">
      <c r="L1159" s="65">
        <v>244291</v>
      </c>
      <c r="M1159" t="s">
        <v>1108</v>
      </c>
    </row>
    <row r="1160" spans="12:13" x14ac:dyDescent="0.25">
      <c r="L1160" s="65">
        <v>244292</v>
      </c>
      <c r="M1160" t="s">
        <v>1109</v>
      </c>
    </row>
    <row r="1161" spans="12:13" x14ac:dyDescent="0.25">
      <c r="L1161" s="65">
        <v>244293</v>
      </c>
      <c r="M1161" t="s">
        <v>1110</v>
      </c>
    </row>
    <row r="1162" spans="12:13" x14ac:dyDescent="0.25">
      <c r="L1162" s="65">
        <v>245000</v>
      </c>
      <c r="M1162" t="s">
        <v>1111</v>
      </c>
    </row>
    <row r="1163" spans="12:13" x14ac:dyDescent="0.25">
      <c r="L1163" s="65">
        <v>245100</v>
      </c>
      <c r="M1163" t="s">
        <v>1112</v>
      </c>
    </row>
    <row r="1164" spans="12:13" x14ac:dyDescent="0.25">
      <c r="L1164" s="65">
        <v>245110</v>
      </c>
      <c r="M1164" t="s">
        <v>1113</v>
      </c>
    </row>
    <row r="1165" spans="12:13" x14ac:dyDescent="0.25">
      <c r="L1165" s="65">
        <v>245111</v>
      </c>
      <c r="M1165" t="s">
        <v>1113</v>
      </c>
    </row>
    <row r="1166" spans="12:13" x14ac:dyDescent="0.25">
      <c r="L1166" s="65">
        <v>245112</v>
      </c>
      <c r="M1166" t="s">
        <v>1114</v>
      </c>
    </row>
    <row r="1167" spans="12:13" x14ac:dyDescent="0.25">
      <c r="L1167" s="65">
        <v>245113</v>
      </c>
      <c r="M1167" t="s">
        <v>1115</v>
      </c>
    </row>
    <row r="1168" spans="12:13" x14ac:dyDescent="0.25">
      <c r="L1168" s="65">
        <v>245190</v>
      </c>
      <c r="M1168" t="s">
        <v>1116</v>
      </c>
    </row>
    <row r="1169" spans="12:13" x14ac:dyDescent="0.25">
      <c r="L1169" s="65">
        <v>245191</v>
      </c>
      <c r="M1169" t="s">
        <v>1117</v>
      </c>
    </row>
    <row r="1170" spans="12:13" x14ac:dyDescent="0.25">
      <c r="L1170" s="65">
        <v>245192</v>
      </c>
      <c r="M1170" t="s">
        <v>1118</v>
      </c>
    </row>
    <row r="1171" spans="12:13" x14ac:dyDescent="0.25">
      <c r="L1171" s="65">
        <v>245193</v>
      </c>
      <c r="M1171" t="s">
        <v>1119</v>
      </c>
    </row>
    <row r="1172" spans="12:13" x14ac:dyDescent="0.25">
      <c r="L1172" s="65">
        <v>245194</v>
      </c>
      <c r="M1172" t="s">
        <v>1120</v>
      </c>
    </row>
    <row r="1173" spans="12:13" x14ac:dyDescent="0.25">
      <c r="L1173" s="65">
        <v>245195</v>
      </c>
      <c r="M1173" t="s">
        <v>1121</v>
      </c>
    </row>
    <row r="1174" spans="12:13" x14ac:dyDescent="0.25">
      <c r="L1174" s="65">
        <v>245196</v>
      </c>
      <c r="M1174" t="s">
        <v>1122</v>
      </c>
    </row>
    <row r="1175" spans="12:13" x14ac:dyDescent="0.25">
      <c r="L1175" s="65">
        <v>245199</v>
      </c>
      <c r="M1175" t="s">
        <v>1116</v>
      </c>
    </row>
    <row r="1176" spans="12:13" x14ac:dyDescent="0.25">
      <c r="L1176" s="65">
        <v>245200</v>
      </c>
      <c r="M1176" t="s">
        <v>1123</v>
      </c>
    </row>
    <row r="1177" spans="12:13" x14ac:dyDescent="0.25">
      <c r="L1177" s="65">
        <v>245210</v>
      </c>
      <c r="M1177" t="s">
        <v>1124</v>
      </c>
    </row>
    <row r="1178" spans="12:13" x14ac:dyDescent="0.25">
      <c r="L1178" s="65">
        <v>245211</v>
      </c>
      <c r="M1178" t="s">
        <v>1125</v>
      </c>
    </row>
    <row r="1179" spans="12:13" x14ac:dyDescent="0.25">
      <c r="L1179" s="65">
        <v>245212</v>
      </c>
      <c r="M1179" t="s">
        <v>1126</v>
      </c>
    </row>
    <row r="1180" spans="12:13" x14ac:dyDescent="0.25">
      <c r="L1180" s="65">
        <v>245213</v>
      </c>
      <c r="M1180" t="s">
        <v>1127</v>
      </c>
    </row>
    <row r="1181" spans="12:13" x14ac:dyDescent="0.25">
      <c r="L1181" s="65">
        <v>245214</v>
      </c>
      <c r="M1181" t="s">
        <v>1128</v>
      </c>
    </row>
    <row r="1182" spans="12:13" x14ac:dyDescent="0.25">
      <c r="L1182" s="65">
        <v>245219</v>
      </c>
      <c r="M1182" t="s">
        <v>1129</v>
      </c>
    </row>
    <row r="1183" spans="12:13" x14ac:dyDescent="0.25">
      <c r="L1183" s="65">
        <v>245220</v>
      </c>
      <c r="M1183" t="s">
        <v>1130</v>
      </c>
    </row>
    <row r="1184" spans="12:13" x14ac:dyDescent="0.25">
      <c r="L1184" s="65">
        <v>245221</v>
      </c>
      <c r="M1184" t="s">
        <v>1131</v>
      </c>
    </row>
    <row r="1185" spans="12:13" x14ac:dyDescent="0.25">
      <c r="L1185" s="65">
        <v>245222</v>
      </c>
      <c r="M1185" t="s">
        <v>1132</v>
      </c>
    </row>
    <row r="1186" spans="12:13" x14ac:dyDescent="0.25">
      <c r="L1186" s="65">
        <v>245223</v>
      </c>
      <c r="M1186" t="s">
        <v>1133</v>
      </c>
    </row>
    <row r="1187" spans="12:13" x14ac:dyDescent="0.25">
      <c r="L1187" s="65">
        <v>245224</v>
      </c>
      <c r="M1187" t="s">
        <v>1134</v>
      </c>
    </row>
    <row r="1188" spans="12:13" x14ac:dyDescent="0.25">
      <c r="L1188" s="65">
        <v>245225</v>
      </c>
      <c r="M1188" t="s">
        <v>1135</v>
      </c>
    </row>
    <row r="1189" spans="12:13" x14ac:dyDescent="0.25">
      <c r="L1189" s="65">
        <v>245230</v>
      </c>
      <c r="M1189" t="s">
        <v>1136</v>
      </c>
    </row>
    <row r="1190" spans="12:13" x14ac:dyDescent="0.25">
      <c r="L1190" s="65">
        <v>245231</v>
      </c>
      <c r="M1190" t="s">
        <v>1137</v>
      </c>
    </row>
    <row r="1191" spans="12:13" x14ac:dyDescent="0.25">
      <c r="L1191" s="65">
        <v>245232</v>
      </c>
      <c r="M1191" t="s">
        <v>1138</v>
      </c>
    </row>
    <row r="1192" spans="12:13" x14ac:dyDescent="0.25">
      <c r="L1192" s="65">
        <v>245233</v>
      </c>
      <c r="M1192" t="s">
        <v>1139</v>
      </c>
    </row>
    <row r="1193" spans="12:13" x14ac:dyDescent="0.25">
      <c r="L1193" s="65">
        <v>245234</v>
      </c>
      <c r="M1193" t="s">
        <v>1140</v>
      </c>
    </row>
    <row r="1194" spans="12:13" x14ac:dyDescent="0.25">
      <c r="L1194" s="65">
        <v>245240</v>
      </c>
      <c r="M1194" t="s">
        <v>1141</v>
      </c>
    </row>
    <row r="1195" spans="12:13" x14ac:dyDescent="0.25">
      <c r="L1195" s="65">
        <v>245241</v>
      </c>
      <c r="M1195" t="s">
        <v>1142</v>
      </c>
    </row>
    <row r="1196" spans="12:13" x14ac:dyDescent="0.25">
      <c r="L1196" s="65">
        <v>245242</v>
      </c>
      <c r="M1196" t="s">
        <v>1143</v>
      </c>
    </row>
    <row r="1197" spans="12:13" x14ac:dyDescent="0.25">
      <c r="L1197" s="65">
        <v>245243</v>
      </c>
      <c r="M1197" t="s">
        <v>1144</v>
      </c>
    </row>
    <row r="1198" spans="12:13" x14ac:dyDescent="0.25">
      <c r="L1198" s="65">
        <v>245244</v>
      </c>
      <c r="M1198" t="s">
        <v>1145</v>
      </c>
    </row>
    <row r="1199" spans="12:13" x14ac:dyDescent="0.25">
      <c r="L1199" s="65">
        <v>245245</v>
      </c>
      <c r="M1199" t="s">
        <v>1146</v>
      </c>
    </row>
    <row r="1200" spans="12:13" x14ac:dyDescent="0.25">
      <c r="L1200" s="65">
        <v>245246</v>
      </c>
      <c r="M1200" t="s">
        <v>1147</v>
      </c>
    </row>
    <row r="1201" spans="12:13" x14ac:dyDescent="0.25">
      <c r="L1201" s="65">
        <v>245247</v>
      </c>
      <c r="M1201" t="s">
        <v>1148</v>
      </c>
    </row>
    <row r="1202" spans="12:13" x14ac:dyDescent="0.25">
      <c r="L1202" s="65">
        <v>245248</v>
      </c>
      <c r="M1202" t="s">
        <v>1149</v>
      </c>
    </row>
    <row r="1203" spans="12:13" x14ac:dyDescent="0.25">
      <c r="L1203" s="65">
        <v>245249</v>
      </c>
      <c r="M1203" t="s">
        <v>1150</v>
      </c>
    </row>
    <row r="1204" spans="12:13" x14ac:dyDescent="0.25">
      <c r="L1204" s="65">
        <v>245300</v>
      </c>
      <c r="M1204" t="s">
        <v>1151</v>
      </c>
    </row>
    <row r="1205" spans="12:13" x14ac:dyDescent="0.25">
      <c r="L1205" s="65">
        <v>245310</v>
      </c>
      <c r="M1205" t="s">
        <v>1151</v>
      </c>
    </row>
    <row r="1206" spans="12:13" x14ac:dyDescent="0.25">
      <c r="L1206" s="65">
        <v>245311</v>
      </c>
      <c r="M1206" t="s">
        <v>1151</v>
      </c>
    </row>
    <row r="1207" spans="12:13" x14ac:dyDescent="0.25">
      <c r="L1207" s="65">
        <v>245400</v>
      </c>
      <c r="M1207" t="s">
        <v>1152</v>
      </c>
    </row>
    <row r="1208" spans="12:13" x14ac:dyDescent="0.25">
      <c r="L1208" s="65">
        <v>245410</v>
      </c>
      <c r="M1208" t="s">
        <v>1152</v>
      </c>
    </row>
    <row r="1209" spans="12:13" x14ac:dyDescent="0.25">
      <c r="L1209" s="65">
        <v>245411</v>
      </c>
      <c r="M1209" t="s">
        <v>1152</v>
      </c>
    </row>
    <row r="1210" spans="12:13" x14ac:dyDescent="0.25">
      <c r="L1210" s="65">
        <v>245420</v>
      </c>
      <c r="M1210" t="s">
        <v>1153</v>
      </c>
    </row>
    <row r="1211" spans="12:13" x14ac:dyDescent="0.25">
      <c r="L1211" s="65">
        <v>245421</v>
      </c>
      <c r="M1211" t="s">
        <v>1153</v>
      </c>
    </row>
    <row r="1212" spans="12:13" x14ac:dyDescent="0.25">
      <c r="L1212" s="65">
        <v>245500</v>
      </c>
      <c r="M1212" t="s">
        <v>1154</v>
      </c>
    </row>
    <row r="1213" spans="12:13" x14ac:dyDescent="0.25">
      <c r="L1213" s="65">
        <v>245510</v>
      </c>
      <c r="M1213" t="s">
        <v>1154</v>
      </c>
    </row>
    <row r="1214" spans="12:13" x14ac:dyDescent="0.25">
      <c r="L1214" s="65">
        <v>245511</v>
      </c>
      <c r="M1214" t="s">
        <v>1154</v>
      </c>
    </row>
    <row r="1215" spans="12:13" x14ac:dyDescent="0.25">
      <c r="L1215" s="65">
        <v>250000</v>
      </c>
      <c r="M1215" t="s">
        <v>1155</v>
      </c>
    </row>
    <row r="1216" spans="12:13" x14ac:dyDescent="0.25">
      <c r="L1216" s="65">
        <v>251000</v>
      </c>
      <c r="M1216" t="s">
        <v>1156</v>
      </c>
    </row>
    <row r="1217" spans="12:13" x14ac:dyDescent="0.25">
      <c r="L1217" s="65">
        <v>251100</v>
      </c>
      <c r="M1217" t="s">
        <v>1157</v>
      </c>
    </row>
    <row r="1218" spans="12:13" x14ac:dyDescent="0.25">
      <c r="L1218" s="65">
        <v>251110</v>
      </c>
      <c r="M1218" t="s">
        <v>1157</v>
      </c>
    </row>
    <row r="1219" spans="12:13" x14ac:dyDescent="0.25">
      <c r="L1219" s="65">
        <v>251111</v>
      </c>
      <c r="M1219" t="s">
        <v>1157</v>
      </c>
    </row>
    <row r="1220" spans="12:13" x14ac:dyDescent="0.25">
      <c r="L1220" s="65">
        <v>251200</v>
      </c>
      <c r="M1220" t="s">
        <v>1158</v>
      </c>
    </row>
    <row r="1221" spans="12:13" x14ac:dyDescent="0.25">
      <c r="L1221" s="65">
        <v>251210</v>
      </c>
      <c r="M1221" t="s">
        <v>1158</v>
      </c>
    </row>
    <row r="1222" spans="12:13" x14ac:dyDescent="0.25">
      <c r="L1222" s="65">
        <v>251211</v>
      </c>
      <c r="M1222" t="s">
        <v>1158</v>
      </c>
    </row>
    <row r="1223" spans="12:13" x14ac:dyDescent="0.25">
      <c r="L1223" s="65">
        <v>251212</v>
      </c>
      <c r="M1223" t="s">
        <v>1159</v>
      </c>
    </row>
    <row r="1224" spans="12:13" x14ac:dyDescent="0.25">
      <c r="L1224" s="65">
        <v>251219</v>
      </c>
      <c r="M1224" t="s">
        <v>1160</v>
      </c>
    </row>
    <row r="1225" spans="12:13" x14ac:dyDescent="0.25">
      <c r="L1225" s="65">
        <v>251300</v>
      </c>
      <c r="M1225" t="s">
        <v>1161</v>
      </c>
    </row>
    <row r="1226" spans="12:13" x14ac:dyDescent="0.25">
      <c r="L1226" s="65">
        <v>251310</v>
      </c>
      <c r="M1226" t="s">
        <v>1161</v>
      </c>
    </row>
    <row r="1227" spans="12:13" x14ac:dyDescent="0.25">
      <c r="L1227" s="65">
        <v>251311</v>
      </c>
      <c r="M1227" t="s">
        <v>1161</v>
      </c>
    </row>
    <row r="1228" spans="12:13" x14ac:dyDescent="0.25">
      <c r="L1228" s="65">
        <v>252000</v>
      </c>
      <c r="M1228" t="s">
        <v>1162</v>
      </c>
    </row>
    <row r="1229" spans="12:13" x14ac:dyDescent="0.25">
      <c r="L1229" s="65">
        <v>252100</v>
      </c>
      <c r="M1229" t="s">
        <v>1163</v>
      </c>
    </row>
    <row r="1230" spans="12:13" x14ac:dyDescent="0.25">
      <c r="L1230" s="65">
        <v>252110</v>
      </c>
      <c r="M1230" t="s">
        <v>1163</v>
      </c>
    </row>
    <row r="1231" spans="12:13" x14ac:dyDescent="0.25">
      <c r="L1231" s="65">
        <v>252111</v>
      </c>
      <c r="M1231" t="s">
        <v>1163</v>
      </c>
    </row>
    <row r="1232" spans="12:13" x14ac:dyDescent="0.25">
      <c r="L1232" s="65">
        <v>252200</v>
      </c>
      <c r="M1232" t="s">
        <v>1164</v>
      </c>
    </row>
    <row r="1233" spans="12:13" x14ac:dyDescent="0.25">
      <c r="L1233" s="65">
        <v>252210</v>
      </c>
      <c r="M1233" t="s">
        <v>1164</v>
      </c>
    </row>
    <row r="1234" spans="12:13" x14ac:dyDescent="0.25">
      <c r="L1234" s="65">
        <v>252211</v>
      </c>
      <c r="M1234" t="s">
        <v>1164</v>
      </c>
    </row>
    <row r="1235" spans="12:13" x14ac:dyDescent="0.25">
      <c r="L1235" s="65">
        <v>253000</v>
      </c>
      <c r="M1235" t="s">
        <v>1165</v>
      </c>
    </row>
    <row r="1236" spans="12:13" x14ac:dyDescent="0.25">
      <c r="L1236" s="65">
        <v>253100</v>
      </c>
      <c r="M1236" t="s">
        <v>1165</v>
      </c>
    </row>
    <row r="1237" spans="12:13" x14ac:dyDescent="0.25">
      <c r="L1237" s="65">
        <v>253110</v>
      </c>
      <c r="M1237" t="s">
        <v>1165</v>
      </c>
    </row>
    <row r="1238" spans="12:13" x14ac:dyDescent="0.25">
      <c r="L1238" s="65">
        <v>253111</v>
      </c>
      <c r="M1238" t="s">
        <v>1166</v>
      </c>
    </row>
    <row r="1239" spans="12:13" x14ac:dyDescent="0.25">
      <c r="L1239" s="65">
        <v>253112</v>
      </c>
      <c r="M1239" t="s">
        <v>1167</v>
      </c>
    </row>
    <row r="1240" spans="12:13" x14ac:dyDescent="0.25">
      <c r="L1240" s="65">
        <v>254000</v>
      </c>
      <c r="M1240" t="s">
        <v>1168</v>
      </c>
    </row>
    <row r="1241" spans="12:13" x14ac:dyDescent="0.25">
      <c r="L1241" s="65">
        <v>254100</v>
      </c>
      <c r="M1241" t="s">
        <v>1169</v>
      </c>
    </row>
    <row r="1242" spans="12:13" x14ac:dyDescent="0.25">
      <c r="L1242" s="65">
        <v>254110</v>
      </c>
      <c r="M1242" t="s">
        <v>1169</v>
      </c>
    </row>
    <row r="1243" spans="12:13" x14ac:dyDescent="0.25">
      <c r="L1243" s="65">
        <v>254111</v>
      </c>
      <c r="M1243" t="s">
        <v>1170</v>
      </c>
    </row>
    <row r="1244" spans="12:13" x14ac:dyDescent="0.25">
      <c r="L1244" s="65">
        <v>254112</v>
      </c>
      <c r="M1244" t="s">
        <v>1171</v>
      </c>
    </row>
    <row r="1245" spans="12:13" x14ac:dyDescent="0.25">
      <c r="L1245" s="65">
        <v>254113</v>
      </c>
      <c r="M1245" t="s">
        <v>1172</v>
      </c>
    </row>
    <row r="1246" spans="12:13" x14ac:dyDescent="0.25">
      <c r="L1246" s="65">
        <v>254114</v>
      </c>
      <c r="M1246" t="s">
        <v>1173</v>
      </c>
    </row>
    <row r="1247" spans="12:13" x14ac:dyDescent="0.25">
      <c r="L1247" s="65">
        <v>254200</v>
      </c>
      <c r="M1247" t="s">
        <v>1174</v>
      </c>
    </row>
    <row r="1248" spans="12:13" x14ac:dyDescent="0.25">
      <c r="L1248" s="65">
        <v>254210</v>
      </c>
      <c r="M1248" t="s">
        <v>1174</v>
      </c>
    </row>
    <row r="1249" spans="12:13" x14ac:dyDescent="0.25">
      <c r="L1249" s="65">
        <v>254211</v>
      </c>
      <c r="M1249" t="s">
        <v>1174</v>
      </c>
    </row>
    <row r="1250" spans="12:13" x14ac:dyDescent="0.25">
      <c r="L1250" s="65">
        <v>254900</v>
      </c>
      <c r="M1250" t="s">
        <v>1175</v>
      </c>
    </row>
    <row r="1251" spans="12:13" x14ac:dyDescent="0.25">
      <c r="L1251" s="65">
        <v>254910</v>
      </c>
      <c r="M1251" t="s">
        <v>1176</v>
      </c>
    </row>
    <row r="1252" spans="12:13" x14ac:dyDescent="0.25">
      <c r="L1252" s="65">
        <v>254911</v>
      </c>
      <c r="M1252" t="s">
        <v>1177</v>
      </c>
    </row>
    <row r="1253" spans="12:13" x14ac:dyDescent="0.25">
      <c r="L1253" s="65">
        <v>254912</v>
      </c>
      <c r="M1253" t="s">
        <v>1178</v>
      </c>
    </row>
    <row r="1254" spans="12:13" x14ac:dyDescent="0.25">
      <c r="L1254" s="65">
        <v>254913</v>
      </c>
      <c r="M1254" t="s">
        <v>1179</v>
      </c>
    </row>
    <row r="1255" spans="12:13" x14ac:dyDescent="0.25">
      <c r="L1255" s="65">
        <v>254920</v>
      </c>
      <c r="M1255" t="s">
        <v>1180</v>
      </c>
    </row>
    <row r="1256" spans="12:13" x14ac:dyDescent="0.25">
      <c r="L1256" s="65">
        <v>254921</v>
      </c>
      <c r="M1256" t="s">
        <v>1181</v>
      </c>
    </row>
    <row r="1257" spans="12:13" x14ac:dyDescent="0.25">
      <c r="L1257" s="65">
        <v>254922</v>
      </c>
      <c r="M1257" t="s">
        <v>1182</v>
      </c>
    </row>
    <row r="1258" spans="12:13" x14ac:dyDescent="0.25">
      <c r="L1258" s="65">
        <v>254930</v>
      </c>
      <c r="M1258" t="s">
        <v>1183</v>
      </c>
    </row>
    <row r="1259" spans="12:13" x14ac:dyDescent="0.25">
      <c r="L1259" s="65">
        <v>254931</v>
      </c>
      <c r="M1259" t="s">
        <v>1183</v>
      </c>
    </row>
    <row r="1260" spans="12:13" x14ac:dyDescent="0.25">
      <c r="L1260" s="65">
        <v>254932</v>
      </c>
      <c r="M1260" t="s">
        <v>1184</v>
      </c>
    </row>
    <row r="1261" spans="12:13" x14ac:dyDescent="0.25">
      <c r="L1261" s="65">
        <v>290000</v>
      </c>
      <c r="M1261" t="s">
        <v>1185</v>
      </c>
    </row>
    <row r="1262" spans="12:13" x14ac:dyDescent="0.25">
      <c r="L1262" s="65">
        <v>291000</v>
      </c>
      <c r="M1262" t="s">
        <v>1185</v>
      </c>
    </row>
    <row r="1263" spans="12:13" x14ac:dyDescent="0.25">
      <c r="L1263" s="65">
        <v>291100</v>
      </c>
      <c r="M1263" t="s">
        <v>1186</v>
      </c>
    </row>
    <row r="1264" spans="12:13" x14ac:dyDescent="0.25">
      <c r="L1264" s="65">
        <v>291110</v>
      </c>
      <c r="M1264" t="s">
        <v>1187</v>
      </c>
    </row>
    <row r="1265" spans="12:13" x14ac:dyDescent="0.25">
      <c r="L1265" s="65">
        <v>291111</v>
      </c>
      <c r="M1265" t="s">
        <v>1187</v>
      </c>
    </row>
    <row r="1266" spans="12:13" x14ac:dyDescent="0.25">
      <c r="L1266" s="65">
        <v>291190</v>
      </c>
      <c r="M1266" t="s">
        <v>1188</v>
      </c>
    </row>
    <row r="1267" spans="12:13" x14ac:dyDescent="0.25">
      <c r="L1267" s="65">
        <v>291191</v>
      </c>
      <c r="M1267" t="s">
        <v>1188</v>
      </c>
    </row>
    <row r="1268" spans="12:13" x14ac:dyDescent="0.25">
      <c r="L1268" s="65">
        <v>291200</v>
      </c>
      <c r="M1268" t="s">
        <v>1189</v>
      </c>
    </row>
    <row r="1269" spans="12:13" x14ac:dyDescent="0.25">
      <c r="L1269" s="65">
        <v>291210</v>
      </c>
      <c r="M1269" t="s">
        <v>1190</v>
      </c>
    </row>
    <row r="1270" spans="12:13" x14ac:dyDescent="0.25">
      <c r="L1270" s="65">
        <v>291211</v>
      </c>
      <c r="M1270" t="s">
        <v>1191</v>
      </c>
    </row>
    <row r="1271" spans="12:13" x14ac:dyDescent="0.25">
      <c r="L1271" s="65">
        <v>291212</v>
      </c>
      <c r="M1271" t="s">
        <v>1192</v>
      </c>
    </row>
    <row r="1272" spans="12:13" x14ac:dyDescent="0.25">
      <c r="L1272" s="65">
        <v>291213</v>
      </c>
      <c r="M1272" t="s">
        <v>1193</v>
      </c>
    </row>
    <row r="1273" spans="12:13" x14ac:dyDescent="0.25">
      <c r="L1273" s="65">
        <v>291220</v>
      </c>
      <c r="M1273" t="s">
        <v>1194</v>
      </c>
    </row>
    <row r="1274" spans="12:13" x14ac:dyDescent="0.25">
      <c r="L1274" s="65">
        <v>291221</v>
      </c>
      <c r="M1274" t="s">
        <v>1194</v>
      </c>
    </row>
    <row r="1275" spans="12:13" x14ac:dyDescent="0.25">
      <c r="L1275" s="65">
        <v>291300</v>
      </c>
      <c r="M1275" t="s">
        <v>1195</v>
      </c>
    </row>
    <row r="1276" spans="12:13" x14ac:dyDescent="0.25">
      <c r="L1276" s="65">
        <v>291310</v>
      </c>
      <c r="M1276" t="s">
        <v>1195</v>
      </c>
    </row>
    <row r="1277" spans="12:13" x14ac:dyDescent="0.25">
      <c r="L1277" s="65">
        <v>291311</v>
      </c>
      <c r="M1277" t="s">
        <v>1196</v>
      </c>
    </row>
    <row r="1278" spans="12:13" x14ac:dyDescent="0.25">
      <c r="L1278" s="65">
        <v>291312</v>
      </c>
      <c r="M1278" t="s">
        <v>1197</v>
      </c>
    </row>
    <row r="1279" spans="12:13" x14ac:dyDescent="0.25">
      <c r="L1279" s="65">
        <v>291900</v>
      </c>
      <c r="M1279" t="s">
        <v>1198</v>
      </c>
    </row>
    <row r="1280" spans="12:13" x14ac:dyDescent="0.25">
      <c r="L1280" s="65">
        <v>291910</v>
      </c>
      <c r="M1280" t="s">
        <v>1198</v>
      </c>
    </row>
    <row r="1281" spans="12:13" x14ac:dyDescent="0.25">
      <c r="L1281" s="65">
        <v>291911</v>
      </c>
      <c r="M1281" t="s">
        <v>1199</v>
      </c>
    </row>
    <row r="1282" spans="12:13" x14ac:dyDescent="0.25">
      <c r="L1282" s="65">
        <v>291919</v>
      </c>
      <c r="M1282" t="s">
        <v>1198</v>
      </c>
    </row>
    <row r="1283" spans="12:13" x14ac:dyDescent="0.25">
      <c r="L1283" s="65">
        <v>300000</v>
      </c>
      <c r="M1283" t="s">
        <v>1200</v>
      </c>
    </row>
    <row r="1284" spans="12:13" x14ac:dyDescent="0.25">
      <c r="L1284" s="65">
        <v>310000</v>
      </c>
      <c r="M1284" t="s">
        <v>1201</v>
      </c>
    </row>
    <row r="1285" spans="12:13" x14ac:dyDescent="0.25">
      <c r="L1285" s="65">
        <v>311000</v>
      </c>
      <c r="M1285" t="s">
        <v>1201</v>
      </c>
    </row>
    <row r="1286" spans="12:13" x14ac:dyDescent="0.25">
      <c r="L1286" s="65">
        <v>311100</v>
      </c>
      <c r="M1286" t="s">
        <v>268</v>
      </c>
    </row>
    <row r="1287" spans="12:13" x14ac:dyDescent="0.25">
      <c r="L1287" s="66">
        <v>311110</v>
      </c>
      <c r="M1287" t="s">
        <v>1202</v>
      </c>
    </row>
    <row r="1288" spans="12:13" x14ac:dyDescent="0.25">
      <c r="L1288" s="65">
        <v>311111</v>
      </c>
      <c r="M1288" t="s">
        <v>270</v>
      </c>
    </row>
    <row r="1289" spans="12:13" x14ac:dyDescent="0.25">
      <c r="L1289" s="65">
        <v>311112</v>
      </c>
      <c r="M1289" t="s">
        <v>326</v>
      </c>
    </row>
    <row r="1290" spans="12:13" x14ac:dyDescent="0.25">
      <c r="L1290" s="65">
        <v>311113</v>
      </c>
      <c r="M1290" t="s">
        <v>393</v>
      </c>
    </row>
    <row r="1291" spans="12:13" x14ac:dyDescent="0.25">
      <c r="L1291" s="65">
        <v>311120</v>
      </c>
      <c r="M1291" t="s">
        <v>398</v>
      </c>
    </row>
    <row r="1292" spans="12:13" x14ac:dyDescent="0.25">
      <c r="L1292" s="65">
        <v>311121</v>
      </c>
      <c r="M1292" t="s">
        <v>398</v>
      </c>
    </row>
    <row r="1293" spans="12:13" x14ac:dyDescent="0.25">
      <c r="L1293" s="65">
        <v>311130</v>
      </c>
      <c r="M1293" t="s">
        <v>404</v>
      </c>
    </row>
    <row r="1294" spans="12:13" x14ac:dyDescent="0.25">
      <c r="L1294" s="65">
        <v>311131</v>
      </c>
      <c r="M1294" t="s">
        <v>404</v>
      </c>
    </row>
    <row r="1295" spans="12:13" x14ac:dyDescent="0.25">
      <c r="L1295" s="65">
        <v>311140</v>
      </c>
      <c r="M1295" t="s">
        <v>1203</v>
      </c>
    </row>
    <row r="1296" spans="12:13" x14ac:dyDescent="0.25">
      <c r="L1296" s="65">
        <v>311141</v>
      </c>
      <c r="M1296" t="s">
        <v>1203</v>
      </c>
    </row>
    <row r="1297" spans="12:13" x14ac:dyDescent="0.25">
      <c r="L1297" s="65">
        <v>311150</v>
      </c>
      <c r="M1297" t="s">
        <v>440</v>
      </c>
    </row>
    <row r="1298" spans="12:13" x14ac:dyDescent="0.25">
      <c r="L1298" s="65">
        <v>311151</v>
      </c>
      <c r="M1298" t="s">
        <v>440</v>
      </c>
    </row>
    <row r="1299" spans="12:13" x14ac:dyDescent="0.25">
      <c r="L1299" s="65">
        <v>311160</v>
      </c>
      <c r="M1299" t="s">
        <v>490</v>
      </c>
    </row>
    <row r="1300" spans="12:13" x14ac:dyDescent="0.25">
      <c r="L1300" s="65">
        <v>311161</v>
      </c>
      <c r="M1300" t="s">
        <v>490</v>
      </c>
    </row>
    <row r="1301" spans="12:13" x14ac:dyDescent="0.25">
      <c r="L1301" s="65">
        <v>311200</v>
      </c>
      <c r="M1301" t="s">
        <v>521</v>
      </c>
    </row>
    <row r="1302" spans="12:13" x14ac:dyDescent="0.25">
      <c r="L1302" s="65">
        <v>311210</v>
      </c>
      <c r="M1302" t="s">
        <v>1204</v>
      </c>
    </row>
    <row r="1303" spans="12:13" x14ac:dyDescent="0.25">
      <c r="L1303" s="65">
        <v>311211</v>
      </c>
      <c r="M1303" t="s">
        <v>1204</v>
      </c>
    </row>
    <row r="1304" spans="12:13" x14ac:dyDescent="0.25">
      <c r="L1304" s="65">
        <v>311220</v>
      </c>
      <c r="M1304" t="s">
        <v>1205</v>
      </c>
    </row>
    <row r="1305" spans="12:13" x14ac:dyDescent="0.25">
      <c r="L1305" s="65">
        <v>311221</v>
      </c>
      <c r="M1305" t="s">
        <v>1205</v>
      </c>
    </row>
    <row r="1306" spans="12:13" x14ac:dyDescent="0.25">
      <c r="L1306" s="65">
        <v>311230</v>
      </c>
      <c r="M1306" t="s">
        <v>1206</v>
      </c>
    </row>
    <row r="1307" spans="12:13" x14ac:dyDescent="0.25">
      <c r="L1307" s="65">
        <v>311231</v>
      </c>
      <c r="M1307" t="s">
        <v>1206</v>
      </c>
    </row>
    <row r="1308" spans="12:13" x14ac:dyDescent="0.25">
      <c r="L1308" s="65">
        <v>311240</v>
      </c>
      <c r="M1308" t="s">
        <v>1207</v>
      </c>
    </row>
    <row r="1309" spans="12:13" x14ac:dyDescent="0.25">
      <c r="L1309" s="65">
        <v>311241</v>
      </c>
      <c r="M1309" t="s">
        <v>1207</v>
      </c>
    </row>
    <row r="1310" spans="12:13" x14ac:dyDescent="0.25">
      <c r="L1310" s="65">
        <v>311250</v>
      </c>
      <c r="M1310" t="s">
        <v>1208</v>
      </c>
    </row>
    <row r="1311" spans="12:13" x14ac:dyDescent="0.25">
      <c r="L1311" s="65">
        <v>311251</v>
      </c>
      <c r="M1311" t="s">
        <v>1208</v>
      </c>
    </row>
    <row r="1312" spans="12:13" x14ac:dyDescent="0.25">
      <c r="L1312" s="65">
        <v>311260</v>
      </c>
      <c r="M1312" t="s">
        <v>541</v>
      </c>
    </row>
    <row r="1313" spans="12:13" x14ac:dyDescent="0.25">
      <c r="L1313" s="65">
        <v>311261</v>
      </c>
      <c r="M1313" t="s">
        <v>541</v>
      </c>
    </row>
    <row r="1314" spans="12:13" x14ac:dyDescent="0.25">
      <c r="L1314" s="65">
        <v>311270</v>
      </c>
      <c r="M1314" t="s">
        <v>538</v>
      </c>
    </row>
    <row r="1315" spans="12:13" x14ac:dyDescent="0.25">
      <c r="L1315" s="65">
        <v>311271</v>
      </c>
      <c r="M1315" t="s">
        <v>538</v>
      </c>
    </row>
    <row r="1316" spans="12:13" x14ac:dyDescent="0.25">
      <c r="L1316" s="65">
        <v>311300</v>
      </c>
      <c r="M1316" t="s">
        <v>1209</v>
      </c>
    </row>
    <row r="1317" spans="12:13" x14ac:dyDescent="0.25">
      <c r="L1317" s="65">
        <v>311310</v>
      </c>
      <c r="M1317" t="s">
        <v>1209</v>
      </c>
    </row>
    <row r="1318" spans="12:13" x14ac:dyDescent="0.25">
      <c r="L1318" s="65">
        <v>311311</v>
      </c>
      <c r="M1318" t="s">
        <v>1209</v>
      </c>
    </row>
    <row r="1319" spans="12:13" x14ac:dyDescent="0.25">
      <c r="L1319" s="65">
        <v>311400</v>
      </c>
      <c r="M1319" t="s">
        <v>561</v>
      </c>
    </row>
    <row r="1320" spans="12:13" x14ac:dyDescent="0.25">
      <c r="L1320" s="65">
        <v>311410</v>
      </c>
      <c r="M1320" t="s">
        <v>561</v>
      </c>
    </row>
    <row r="1321" spans="12:13" x14ac:dyDescent="0.25">
      <c r="L1321" s="65">
        <v>311411</v>
      </c>
      <c r="M1321" t="s">
        <v>563</v>
      </c>
    </row>
    <row r="1322" spans="12:13" x14ac:dyDescent="0.25">
      <c r="L1322" s="65">
        <v>311412</v>
      </c>
      <c r="M1322" t="s">
        <v>1210</v>
      </c>
    </row>
    <row r="1323" spans="12:13" x14ac:dyDescent="0.25">
      <c r="L1323" s="65">
        <v>311419</v>
      </c>
      <c r="M1323" t="s">
        <v>1211</v>
      </c>
    </row>
    <row r="1324" spans="12:13" x14ac:dyDescent="0.25">
      <c r="L1324" s="65">
        <v>311500</v>
      </c>
      <c r="M1324" t="s">
        <v>1212</v>
      </c>
    </row>
    <row r="1325" spans="12:13" x14ac:dyDescent="0.25">
      <c r="L1325" s="65">
        <v>311510</v>
      </c>
      <c r="M1325" t="s">
        <v>1212</v>
      </c>
    </row>
    <row r="1326" spans="12:13" x14ac:dyDescent="0.25">
      <c r="L1326" s="65">
        <v>311511</v>
      </c>
      <c r="M1326" t="s">
        <v>1213</v>
      </c>
    </row>
    <row r="1327" spans="12:13" x14ac:dyDescent="0.25">
      <c r="L1327" s="65">
        <v>311512</v>
      </c>
      <c r="M1327" t="s">
        <v>1214</v>
      </c>
    </row>
    <row r="1328" spans="12:13" x14ac:dyDescent="0.25">
      <c r="L1328" s="65">
        <v>311513</v>
      </c>
      <c r="M1328" t="s">
        <v>1215</v>
      </c>
    </row>
    <row r="1329" spans="12:13" x14ac:dyDescent="0.25">
      <c r="L1329" s="65">
        <v>311519</v>
      </c>
      <c r="M1329" t="s">
        <v>1216</v>
      </c>
    </row>
    <row r="1330" spans="12:13" x14ac:dyDescent="0.25">
      <c r="L1330" s="65">
        <v>311600</v>
      </c>
      <c r="M1330" t="s">
        <v>1217</v>
      </c>
    </row>
    <row r="1331" spans="12:13" x14ac:dyDescent="0.25">
      <c r="L1331" s="65">
        <v>311610</v>
      </c>
      <c r="M1331" t="s">
        <v>1218</v>
      </c>
    </row>
    <row r="1332" spans="12:13" x14ac:dyDescent="0.25">
      <c r="L1332" s="65">
        <v>311611</v>
      </c>
      <c r="M1332" t="s">
        <v>1219</v>
      </c>
    </row>
    <row r="1333" spans="12:13" x14ac:dyDescent="0.25">
      <c r="L1333" s="65">
        <v>311612</v>
      </c>
      <c r="M1333" t="s">
        <v>1220</v>
      </c>
    </row>
    <row r="1334" spans="12:13" x14ac:dyDescent="0.25">
      <c r="L1334" s="65">
        <v>311700</v>
      </c>
      <c r="M1334" t="s">
        <v>1221</v>
      </c>
    </row>
    <row r="1335" spans="12:13" x14ac:dyDescent="0.25">
      <c r="L1335" s="65">
        <v>311710</v>
      </c>
      <c r="M1335" t="s">
        <v>1221</v>
      </c>
    </row>
    <row r="1336" spans="12:13" x14ac:dyDescent="0.25">
      <c r="L1336" s="65">
        <v>311711</v>
      </c>
      <c r="M1336" t="s">
        <v>1222</v>
      </c>
    </row>
    <row r="1337" spans="12:13" x14ac:dyDescent="0.25">
      <c r="L1337" s="65">
        <v>311712</v>
      </c>
      <c r="M1337" t="s">
        <v>1223</v>
      </c>
    </row>
    <row r="1338" spans="12:13" x14ac:dyDescent="0.25">
      <c r="L1338" s="65">
        <v>311713</v>
      </c>
      <c r="M1338" t="s">
        <v>1224</v>
      </c>
    </row>
    <row r="1339" spans="12:13" x14ac:dyDescent="0.25">
      <c r="L1339" s="65">
        <v>311900</v>
      </c>
      <c r="M1339" t="s">
        <v>1225</v>
      </c>
    </row>
    <row r="1340" spans="12:13" x14ac:dyDescent="0.25">
      <c r="L1340" s="65">
        <v>311910</v>
      </c>
      <c r="M1340" t="s">
        <v>1225</v>
      </c>
    </row>
    <row r="1341" spans="12:13" x14ac:dyDescent="0.25">
      <c r="L1341" s="65">
        <v>311911</v>
      </c>
      <c r="M1341" t="s">
        <v>1225</v>
      </c>
    </row>
    <row r="1342" spans="12:13" x14ac:dyDescent="0.25">
      <c r="L1342" s="65">
        <v>320000</v>
      </c>
      <c r="M1342" t="s">
        <v>1226</v>
      </c>
    </row>
    <row r="1343" spans="12:13" x14ac:dyDescent="0.25">
      <c r="L1343" s="65">
        <v>321000</v>
      </c>
      <c r="M1343" t="s">
        <v>1226</v>
      </c>
    </row>
    <row r="1344" spans="12:13" x14ac:dyDescent="0.25">
      <c r="L1344" s="65">
        <v>321100</v>
      </c>
      <c r="M1344" t="s">
        <v>1226</v>
      </c>
    </row>
    <row r="1345" spans="12:13" x14ac:dyDescent="0.25">
      <c r="L1345" s="65">
        <v>321110</v>
      </c>
      <c r="M1345" t="s">
        <v>1227</v>
      </c>
    </row>
    <row r="1346" spans="12:13" x14ac:dyDescent="0.25">
      <c r="L1346" s="65">
        <v>321111</v>
      </c>
      <c r="M1346" t="s">
        <v>1227</v>
      </c>
    </row>
    <row r="1347" spans="12:13" x14ac:dyDescent="0.25">
      <c r="L1347" s="65">
        <v>321120</v>
      </c>
      <c r="M1347" t="s">
        <v>1228</v>
      </c>
    </row>
    <row r="1348" spans="12:13" x14ac:dyDescent="0.25">
      <c r="L1348" s="65">
        <v>321121</v>
      </c>
      <c r="M1348" t="s">
        <v>1229</v>
      </c>
    </row>
    <row r="1349" spans="12:13" x14ac:dyDescent="0.25">
      <c r="L1349" s="65">
        <v>321122</v>
      </c>
      <c r="M1349" t="s">
        <v>1230</v>
      </c>
    </row>
    <row r="1350" spans="12:13" x14ac:dyDescent="0.25">
      <c r="L1350" s="65">
        <v>321200</v>
      </c>
      <c r="M1350" t="s">
        <v>1231</v>
      </c>
    </row>
    <row r="1351" spans="12:13" x14ac:dyDescent="0.25">
      <c r="L1351" s="65">
        <v>321210</v>
      </c>
      <c r="M1351" t="s">
        <v>1231</v>
      </c>
    </row>
    <row r="1352" spans="12:13" x14ac:dyDescent="0.25">
      <c r="L1352" s="65">
        <v>321211</v>
      </c>
      <c r="M1352" t="s">
        <v>1231</v>
      </c>
    </row>
    <row r="1353" spans="12:13" x14ac:dyDescent="0.25">
      <c r="L1353" s="65">
        <v>321300</v>
      </c>
      <c r="M1353" t="s">
        <v>1232</v>
      </c>
    </row>
    <row r="1354" spans="12:13" x14ac:dyDescent="0.25">
      <c r="L1354" s="65">
        <v>321310</v>
      </c>
      <c r="M1354" t="s">
        <v>1232</v>
      </c>
    </row>
    <row r="1355" spans="12:13" x14ac:dyDescent="0.25">
      <c r="L1355" s="65">
        <v>321311</v>
      </c>
      <c r="M1355" t="s">
        <v>1233</v>
      </c>
    </row>
    <row r="1356" spans="12:13" x14ac:dyDescent="0.25">
      <c r="L1356" s="65">
        <v>321312</v>
      </c>
      <c r="M1356" t="s">
        <v>1234</v>
      </c>
    </row>
    <row r="1357" spans="12:13" x14ac:dyDescent="0.25">
      <c r="L1357" s="65">
        <v>330000</v>
      </c>
      <c r="M1357" t="s">
        <v>1235</v>
      </c>
    </row>
    <row r="1358" spans="12:13" x14ac:dyDescent="0.25">
      <c r="L1358" s="65">
        <v>331000</v>
      </c>
      <c r="M1358" t="s">
        <v>1235</v>
      </c>
    </row>
    <row r="1359" spans="12:13" x14ac:dyDescent="0.25">
      <c r="L1359" s="65">
        <v>331100</v>
      </c>
      <c r="M1359" t="s">
        <v>1235</v>
      </c>
    </row>
    <row r="1360" spans="12:13" x14ac:dyDescent="0.25">
      <c r="L1360" s="65">
        <v>331110</v>
      </c>
      <c r="M1360" t="s">
        <v>277</v>
      </c>
    </row>
    <row r="1361" spans="12:13" x14ac:dyDescent="0.25">
      <c r="L1361" s="65">
        <v>331111</v>
      </c>
      <c r="M1361" t="s">
        <v>277</v>
      </c>
    </row>
    <row r="1362" spans="12:13" x14ac:dyDescent="0.25">
      <c r="L1362" s="65">
        <v>331120</v>
      </c>
      <c r="M1362" t="s">
        <v>1236</v>
      </c>
    </row>
    <row r="1363" spans="12:13" x14ac:dyDescent="0.25">
      <c r="L1363" s="65">
        <v>331121</v>
      </c>
      <c r="M1363" t="s">
        <v>1236</v>
      </c>
    </row>
    <row r="1364" spans="12:13" x14ac:dyDescent="0.25">
      <c r="L1364" s="65">
        <v>331130</v>
      </c>
      <c r="M1364" t="s">
        <v>1237</v>
      </c>
    </row>
    <row r="1365" spans="12:13" x14ac:dyDescent="0.25">
      <c r="L1365" s="65">
        <v>331131</v>
      </c>
      <c r="M1365" t="s">
        <v>1237</v>
      </c>
    </row>
    <row r="1366" spans="12:13" x14ac:dyDescent="0.25">
      <c r="L1366" s="65">
        <v>331140</v>
      </c>
      <c r="M1366" t="s">
        <v>1238</v>
      </c>
    </row>
    <row r="1367" spans="12:13" x14ac:dyDescent="0.25">
      <c r="L1367" s="65">
        <v>331141</v>
      </c>
      <c r="M1367" t="s">
        <v>1238</v>
      </c>
    </row>
    <row r="1368" spans="12:13" x14ac:dyDescent="0.25">
      <c r="L1368" s="65">
        <v>331150</v>
      </c>
      <c r="M1368" t="s">
        <v>410</v>
      </c>
    </row>
    <row r="1369" spans="12:13" x14ac:dyDescent="0.25">
      <c r="L1369" s="65">
        <v>331151</v>
      </c>
      <c r="M1369" t="s">
        <v>410</v>
      </c>
    </row>
    <row r="1370" spans="12:13" x14ac:dyDescent="0.25">
      <c r="L1370" s="65">
        <v>331160</v>
      </c>
      <c r="M1370" t="s">
        <v>1239</v>
      </c>
    </row>
    <row r="1371" spans="12:13" x14ac:dyDescent="0.25">
      <c r="L1371" s="65">
        <v>331161</v>
      </c>
      <c r="M1371" t="s">
        <v>1240</v>
      </c>
    </row>
    <row r="1372" spans="12:13" x14ac:dyDescent="0.25">
      <c r="L1372" s="65">
        <v>331170</v>
      </c>
      <c r="M1372" t="s">
        <v>1241</v>
      </c>
    </row>
    <row r="1373" spans="12:13" x14ac:dyDescent="0.25">
      <c r="L1373" s="65">
        <v>331171</v>
      </c>
      <c r="M1373" t="s">
        <v>1241</v>
      </c>
    </row>
    <row r="1374" spans="12:13" x14ac:dyDescent="0.25">
      <c r="L1374" s="65">
        <v>331180</v>
      </c>
      <c r="M1374" t="s">
        <v>1242</v>
      </c>
    </row>
    <row r="1375" spans="12:13" x14ac:dyDescent="0.25">
      <c r="L1375" s="65">
        <v>331181</v>
      </c>
      <c r="M1375" t="s">
        <v>1242</v>
      </c>
    </row>
    <row r="1376" spans="12:13" x14ac:dyDescent="0.25">
      <c r="L1376" s="65">
        <v>340000</v>
      </c>
      <c r="M1376" t="s">
        <v>1243</v>
      </c>
    </row>
    <row r="1377" spans="12:13" x14ac:dyDescent="0.25">
      <c r="L1377" s="65">
        <v>341000</v>
      </c>
      <c r="M1377" t="s">
        <v>1243</v>
      </c>
    </row>
    <row r="1378" spans="12:13" x14ac:dyDescent="0.25">
      <c r="L1378" s="65">
        <v>341100</v>
      </c>
      <c r="M1378" t="s">
        <v>1243</v>
      </c>
    </row>
    <row r="1379" spans="12:13" x14ac:dyDescent="0.25">
      <c r="L1379" s="65">
        <v>341110</v>
      </c>
      <c r="M1379" t="s">
        <v>278</v>
      </c>
    </row>
    <row r="1380" spans="12:13" x14ac:dyDescent="0.25">
      <c r="L1380" s="65">
        <v>341111</v>
      </c>
      <c r="M1380" t="s">
        <v>278</v>
      </c>
    </row>
    <row r="1381" spans="12:13" x14ac:dyDescent="0.25">
      <c r="L1381" s="65">
        <v>341120</v>
      </c>
      <c r="M1381" t="s">
        <v>1244</v>
      </c>
    </row>
    <row r="1382" spans="12:13" x14ac:dyDescent="0.25">
      <c r="L1382" s="65">
        <v>341121</v>
      </c>
      <c r="M1382" t="s">
        <v>1244</v>
      </c>
    </row>
    <row r="1383" spans="12:13" x14ac:dyDescent="0.25">
      <c r="L1383" s="65">
        <v>341130</v>
      </c>
      <c r="M1383" t="s">
        <v>1245</v>
      </c>
    </row>
    <row r="1384" spans="12:13" x14ac:dyDescent="0.25">
      <c r="L1384" s="65">
        <v>341131</v>
      </c>
      <c r="M1384" t="s">
        <v>1245</v>
      </c>
    </row>
    <row r="1385" spans="12:13" x14ac:dyDescent="0.25">
      <c r="L1385" s="65">
        <v>341140</v>
      </c>
      <c r="M1385" t="s">
        <v>402</v>
      </c>
    </row>
    <row r="1386" spans="12:13" x14ac:dyDescent="0.25">
      <c r="L1386" s="65">
        <v>341141</v>
      </c>
      <c r="M1386" t="s">
        <v>402</v>
      </c>
    </row>
    <row r="1387" spans="12:13" x14ac:dyDescent="0.25">
      <c r="L1387" s="65">
        <v>341150</v>
      </c>
      <c r="M1387" t="s">
        <v>411</v>
      </c>
    </row>
    <row r="1388" spans="12:13" x14ac:dyDescent="0.25">
      <c r="L1388" s="65">
        <v>341151</v>
      </c>
      <c r="M1388" t="s">
        <v>411</v>
      </c>
    </row>
    <row r="1389" spans="12:13" x14ac:dyDescent="0.25">
      <c r="L1389" s="65">
        <v>341160</v>
      </c>
      <c r="M1389" t="s">
        <v>1246</v>
      </c>
    </row>
    <row r="1390" spans="12:13" x14ac:dyDescent="0.25">
      <c r="L1390" s="65">
        <v>341161</v>
      </c>
      <c r="M1390" t="s">
        <v>1246</v>
      </c>
    </row>
    <row r="1391" spans="12:13" x14ac:dyDescent="0.25">
      <c r="L1391" s="65">
        <v>341170</v>
      </c>
      <c r="M1391" t="s">
        <v>509</v>
      </c>
    </row>
    <row r="1392" spans="12:13" x14ac:dyDescent="0.25">
      <c r="L1392" s="65">
        <v>341171</v>
      </c>
      <c r="M1392" t="s">
        <v>509</v>
      </c>
    </row>
    <row r="1393" spans="12:13" x14ac:dyDescent="0.25">
      <c r="L1393" s="65">
        <v>341180</v>
      </c>
      <c r="M1393" t="s">
        <v>1247</v>
      </c>
    </row>
    <row r="1394" spans="12:13" x14ac:dyDescent="0.25">
      <c r="L1394" s="65">
        <v>341181</v>
      </c>
      <c r="M1394" t="s">
        <v>1247</v>
      </c>
    </row>
    <row r="1395" spans="12:13" x14ac:dyDescent="0.25">
      <c r="L1395" s="65">
        <v>350000</v>
      </c>
      <c r="M1395" t="s">
        <v>1248</v>
      </c>
    </row>
    <row r="1396" spans="12:13" x14ac:dyDescent="0.25">
      <c r="L1396" s="65">
        <v>351000</v>
      </c>
      <c r="M1396" t="s">
        <v>1249</v>
      </c>
    </row>
    <row r="1397" spans="12:13" x14ac:dyDescent="0.25">
      <c r="L1397" s="65">
        <v>351100</v>
      </c>
      <c r="M1397" t="s">
        <v>1249</v>
      </c>
    </row>
    <row r="1398" spans="12:13" x14ac:dyDescent="0.25">
      <c r="L1398" s="65">
        <v>351110</v>
      </c>
      <c r="M1398" t="s">
        <v>1250</v>
      </c>
    </row>
    <row r="1399" spans="12:13" x14ac:dyDescent="0.25">
      <c r="L1399" s="65">
        <v>351111</v>
      </c>
      <c r="M1399" t="s">
        <v>1250</v>
      </c>
    </row>
    <row r="1400" spans="12:13" x14ac:dyDescent="0.25">
      <c r="L1400" s="65">
        <v>351120</v>
      </c>
      <c r="M1400" t="s">
        <v>1251</v>
      </c>
    </row>
    <row r="1401" spans="12:13" x14ac:dyDescent="0.25">
      <c r="L1401" s="65">
        <v>351121</v>
      </c>
      <c r="M1401" t="s">
        <v>1252</v>
      </c>
    </row>
    <row r="1402" spans="12:13" x14ac:dyDescent="0.25">
      <c r="L1402" s="65">
        <v>351122</v>
      </c>
      <c r="M1402" t="s">
        <v>1253</v>
      </c>
    </row>
    <row r="1403" spans="12:13" x14ac:dyDescent="0.25">
      <c r="L1403" s="65">
        <v>351123</v>
      </c>
      <c r="M1403" t="s">
        <v>1254</v>
      </c>
    </row>
    <row r="1404" spans="12:13" x14ac:dyDescent="0.25">
      <c r="L1404" s="65">
        <v>351130</v>
      </c>
      <c r="M1404" t="s">
        <v>1255</v>
      </c>
    </row>
    <row r="1405" spans="12:13" x14ac:dyDescent="0.25">
      <c r="L1405" s="65">
        <v>351131</v>
      </c>
      <c r="M1405" t="s">
        <v>1255</v>
      </c>
    </row>
    <row r="1406" spans="12:13" x14ac:dyDescent="0.25">
      <c r="L1406" s="65">
        <v>351140</v>
      </c>
      <c r="M1406" t="s">
        <v>1256</v>
      </c>
    </row>
    <row r="1407" spans="12:13" x14ac:dyDescent="0.25">
      <c r="L1407" s="65">
        <v>351141</v>
      </c>
      <c r="M1407" t="s">
        <v>1256</v>
      </c>
    </row>
    <row r="1408" spans="12:13" x14ac:dyDescent="0.25">
      <c r="L1408" s="65">
        <v>351150</v>
      </c>
      <c r="M1408" t="s">
        <v>1257</v>
      </c>
    </row>
    <row r="1409" spans="12:13" x14ac:dyDescent="0.25">
      <c r="L1409" s="65">
        <v>351151</v>
      </c>
      <c r="M1409" t="s">
        <v>1257</v>
      </c>
    </row>
    <row r="1410" spans="12:13" x14ac:dyDescent="0.25">
      <c r="L1410" s="65">
        <v>352000</v>
      </c>
      <c r="M1410" t="s">
        <v>1258</v>
      </c>
    </row>
    <row r="1411" spans="12:13" x14ac:dyDescent="0.25">
      <c r="L1411" s="65">
        <v>352100</v>
      </c>
      <c r="M1411" t="s">
        <v>1258</v>
      </c>
    </row>
    <row r="1412" spans="12:13" x14ac:dyDescent="0.25">
      <c r="L1412" s="65">
        <v>352110</v>
      </c>
      <c r="M1412" t="s">
        <v>1259</v>
      </c>
    </row>
    <row r="1413" spans="12:13" x14ac:dyDescent="0.25">
      <c r="L1413" s="65">
        <v>352111</v>
      </c>
      <c r="M1413" t="s">
        <v>1259</v>
      </c>
    </row>
    <row r="1414" spans="12:13" x14ac:dyDescent="0.25">
      <c r="L1414" s="65">
        <v>352120</v>
      </c>
      <c r="M1414" t="s">
        <v>1260</v>
      </c>
    </row>
    <row r="1415" spans="12:13" x14ac:dyDescent="0.25">
      <c r="L1415" s="65">
        <v>352121</v>
      </c>
      <c r="M1415" t="s">
        <v>1261</v>
      </c>
    </row>
    <row r="1416" spans="12:13" x14ac:dyDescent="0.25">
      <c r="L1416" s="65">
        <v>352122</v>
      </c>
      <c r="M1416" t="s">
        <v>1262</v>
      </c>
    </row>
    <row r="1417" spans="12:13" x14ac:dyDescent="0.25">
      <c r="L1417" s="65">
        <v>352123</v>
      </c>
      <c r="M1417" t="s">
        <v>1263</v>
      </c>
    </row>
    <row r="1418" spans="12:13" x14ac:dyDescent="0.25">
      <c r="L1418" s="65">
        <v>352130</v>
      </c>
      <c r="M1418" t="s">
        <v>1264</v>
      </c>
    </row>
    <row r="1419" spans="12:13" x14ac:dyDescent="0.25">
      <c r="L1419" s="65">
        <v>352131</v>
      </c>
      <c r="M1419" t="s">
        <v>1264</v>
      </c>
    </row>
    <row r="1420" spans="12:13" x14ac:dyDescent="0.25">
      <c r="L1420" s="65">
        <v>352140</v>
      </c>
      <c r="M1420" t="s">
        <v>1265</v>
      </c>
    </row>
    <row r="1421" spans="12:13" x14ac:dyDescent="0.25">
      <c r="L1421" s="65">
        <v>352141</v>
      </c>
      <c r="M1421" t="s">
        <v>1265</v>
      </c>
    </row>
    <row r="1422" spans="12:13" x14ac:dyDescent="0.25">
      <c r="L1422" s="65">
        <v>352150</v>
      </c>
      <c r="M1422" t="s">
        <v>1266</v>
      </c>
    </row>
    <row r="1423" spans="12:13" x14ac:dyDescent="0.25">
      <c r="L1423" s="65">
        <v>352151</v>
      </c>
      <c r="M1423" t="s">
        <v>1266</v>
      </c>
    </row>
    <row r="1424" spans="12:13" x14ac:dyDescent="0.25">
      <c r="L1424" s="65">
        <v>400000</v>
      </c>
      <c r="M1424" t="s">
        <v>1267</v>
      </c>
    </row>
    <row r="1425" spans="12:13" x14ac:dyDescent="0.25">
      <c r="L1425" s="65">
        <v>410000</v>
      </c>
      <c r="M1425" t="s">
        <v>1268</v>
      </c>
    </row>
    <row r="1426" spans="12:13" x14ac:dyDescent="0.25">
      <c r="L1426" s="65">
        <v>411000</v>
      </c>
      <c r="M1426" t="s">
        <v>1269</v>
      </c>
    </row>
    <row r="1427" spans="12:13" x14ac:dyDescent="0.25">
      <c r="L1427" s="65">
        <v>411100</v>
      </c>
      <c r="M1427" t="s">
        <v>1270</v>
      </c>
    </row>
    <row r="1428" spans="12:13" x14ac:dyDescent="0.25">
      <c r="L1428" s="65">
        <v>411110</v>
      </c>
      <c r="M1428" t="s">
        <v>1270</v>
      </c>
    </row>
    <row r="1429" spans="12:13" x14ac:dyDescent="0.25">
      <c r="L1429" s="65">
        <v>411111</v>
      </c>
      <c r="M1429" t="s">
        <v>1271</v>
      </c>
    </row>
    <row r="1430" spans="12:13" x14ac:dyDescent="0.25">
      <c r="L1430" s="65">
        <v>411112</v>
      </c>
      <c r="M1430" t="s">
        <v>1272</v>
      </c>
    </row>
    <row r="1431" spans="12:13" x14ac:dyDescent="0.25">
      <c r="L1431" s="65">
        <v>411113</v>
      </c>
      <c r="M1431" t="s">
        <v>1273</v>
      </c>
    </row>
    <row r="1432" spans="12:13" x14ac:dyDescent="0.25">
      <c r="L1432" s="65">
        <v>411114</v>
      </c>
      <c r="M1432" t="s">
        <v>1274</v>
      </c>
    </row>
    <row r="1433" spans="12:13" x14ac:dyDescent="0.25">
      <c r="L1433" s="65">
        <v>411115</v>
      </c>
      <c r="M1433" t="s">
        <v>1275</v>
      </c>
    </row>
    <row r="1434" spans="12:13" x14ac:dyDescent="0.25">
      <c r="L1434" s="65">
        <v>411116</v>
      </c>
      <c r="M1434" t="s">
        <v>1276</v>
      </c>
    </row>
    <row r="1435" spans="12:13" x14ac:dyDescent="0.25">
      <c r="L1435" s="65">
        <v>411117</v>
      </c>
      <c r="M1435" t="s">
        <v>1277</v>
      </c>
    </row>
    <row r="1436" spans="12:13" x14ac:dyDescent="0.25">
      <c r="L1436" s="65">
        <v>411118</v>
      </c>
      <c r="M1436" t="s">
        <v>1278</v>
      </c>
    </row>
    <row r="1437" spans="12:13" x14ac:dyDescent="0.25">
      <c r="L1437" s="66">
        <v>411119</v>
      </c>
      <c r="M1437" t="s">
        <v>1279</v>
      </c>
    </row>
    <row r="1438" spans="12:13" x14ac:dyDescent="0.25">
      <c r="L1438" s="65">
        <v>411120</v>
      </c>
      <c r="M1438" t="s">
        <v>1280</v>
      </c>
    </row>
    <row r="1439" spans="12:13" x14ac:dyDescent="0.25">
      <c r="L1439" s="65">
        <v>411121</v>
      </c>
      <c r="M1439" t="s">
        <v>1281</v>
      </c>
    </row>
    <row r="1440" spans="12:13" x14ac:dyDescent="0.25">
      <c r="L1440" s="65">
        <v>411122</v>
      </c>
      <c r="M1440" t="s">
        <v>1282</v>
      </c>
    </row>
    <row r="1441" spans="12:13" x14ac:dyDescent="0.25">
      <c r="L1441" s="65">
        <v>411130</v>
      </c>
      <c r="M1441" t="s">
        <v>1283</v>
      </c>
    </row>
    <row r="1442" spans="12:13" x14ac:dyDescent="0.25">
      <c r="L1442" s="65">
        <v>411131</v>
      </c>
      <c r="M1442" t="s">
        <v>1283</v>
      </c>
    </row>
    <row r="1443" spans="12:13" x14ac:dyDescent="0.25">
      <c r="L1443" s="65">
        <v>411140</v>
      </c>
      <c r="M1443" t="s">
        <v>1284</v>
      </c>
    </row>
    <row r="1444" spans="12:13" x14ac:dyDescent="0.25">
      <c r="L1444" s="65">
        <v>411141</v>
      </c>
      <c r="M1444" t="s">
        <v>1284</v>
      </c>
    </row>
    <row r="1445" spans="12:13" x14ac:dyDescent="0.25">
      <c r="L1445" s="65">
        <v>411150</v>
      </c>
      <c r="M1445" t="s">
        <v>1285</v>
      </c>
    </row>
    <row r="1446" spans="12:13" x14ac:dyDescent="0.25">
      <c r="L1446" s="65">
        <v>411151</v>
      </c>
      <c r="M1446" t="s">
        <v>1286</v>
      </c>
    </row>
    <row r="1447" spans="12:13" x14ac:dyDescent="0.25">
      <c r="L1447" s="65">
        <v>411159</v>
      </c>
      <c r="M1447" t="s">
        <v>1287</v>
      </c>
    </row>
    <row r="1448" spans="12:13" x14ac:dyDescent="0.25">
      <c r="L1448" s="65">
        <v>411190</v>
      </c>
      <c r="M1448" t="s">
        <v>1288</v>
      </c>
    </row>
    <row r="1449" spans="12:13" x14ac:dyDescent="0.25">
      <c r="L1449" s="65">
        <v>411191</v>
      </c>
      <c r="M1449" t="s">
        <v>1288</v>
      </c>
    </row>
    <row r="1450" spans="12:13" x14ac:dyDescent="0.25">
      <c r="L1450" s="65">
        <v>412000</v>
      </c>
      <c r="M1450" t="s">
        <v>1289</v>
      </c>
    </row>
    <row r="1451" spans="12:13" x14ac:dyDescent="0.25">
      <c r="L1451" s="65">
        <v>412100</v>
      </c>
      <c r="M1451" t="s">
        <v>1290</v>
      </c>
    </row>
    <row r="1452" spans="12:13" x14ac:dyDescent="0.25">
      <c r="L1452" s="65">
        <v>412110</v>
      </c>
      <c r="M1452" t="s">
        <v>1290</v>
      </c>
    </row>
    <row r="1453" spans="12:13" x14ac:dyDescent="0.25">
      <c r="L1453" s="65">
        <v>412111</v>
      </c>
      <c r="M1453" t="s">
        <v>1290</v>
      </c>
    </row>
    <row r="1454" spans="12:13" x14ac:dyDescent="0.25">
      <c r="L1454" s="65">
        <v>412112</v>
      </c>
      <c r="M1454" t="s">
        <v>1291</v>
      </c>
    </row>
    <row r="1455" spans="12:13" x14ac:dyDescent="0.25">
      <c r="L1455" s="65">
        <v>412113</v>
      </c>
      <c r="M1455" t="s">
        <v>1292</v>
      </c>
    </row>
    <row r="1456" spans="12:13" x14ac:dyDescent="0.25">
      <c r="L1456" s="65">
        <v>412200</v>
      </c>
      <c r="M1456" t="s">
        <v>1293</v>
      </c>
    </row>
    <row r="1457" spans="12:13" x14ac:dyDescent="0.25">
      <c r="L1457" s="65">
        <v>412210</v>
      </c>
      <c r="M1457" t="s">
        <v>1293</v>
      </c>
    </row>
    <row r="1458" spans="12:13" x14ac:dyDescent="0.25">
      <c r="L1458" s="65">
        <v>412211</v>
      </c>
      <c r="M1458" t="s">
        <v>1293</v>
      </c>
    </row>
    <row r="1459" spans="12:13" x14ac:dyDescent="0.25">
      <c r="L1459" s="65">
        <v>412221</v>
      </c>
      <c r="M1459" t="s">
        <v>1294</v>
      </c>
    </row>
    <row r="1460" spans="12:13" x14ac:dyDescent="0.25">
      <c r="L1460" s="65">
        <v>412300</v>
      </c>
      <c r="M1460" t="s">
        <v>1295</v>
      </c>
    </row>
    <row r="1461" spans="12:13" x14ac:dyDescent="0.25">
      <c r="L1461" s="65">
        <v>412310</v>
      </c>
      <c r="M1461" t="s">
        <v>1295</v>
      </c>
    </row>
    <row r="1462" spans="12:13" x14ac:dyDescent="0.25">
      <c r="L1462" s="65">
        <v>412311</v>
      </c>
      <c r="M1462" t="s">
        <v>1295</v>
      </c>
    </row>
    <row r="1463" spans="12:13" x14ac:dyDescent="0.25">
      <c r="L1463" s="65">
        <v>413000</v>
      </c>
      <c r="M1463" t="s">
        <v>1296</v>
      </c>
    </row>
    <row r="1464" spans="12:13" x14ac:dyDescent="0.25">
      <c r="L1464" s="65">
        <v>413100</v>
      </c>
      <c r="M1464" t="s">
        <v>1296</v>
      </c>
    </row>
    <row r="1465" spans="12:13" x14ac:dyDescent="0.25">
      <c r="L1465" s="65">
        <v>413110</v>
      </c>
      <c r="M1465" t="s">
        <v>1296</v>
      </c>
    </row>
    <row r="1466" spans="12:13" x14ac:dyDescent="0.25">
      <c r="L1466" s="65">
        <v>413111</v>
      </c>
      <c r="M1466" t="s">
        <v>1297</v>
      </c>
    </row>
    <row r="1467" spans="12:13" x14ac:dyDescent="0.25">
      <c r="L1467" s="65">
        <v>413112</v>
      </c>
      <c r="M1467" t="s">
        <v>1298</v>
      </c>
    </row>
    <row r="1468" spans="12:13" x14ac:dyDescent="0.25">
      <c r="L1468" s="65">
        <v>413119</v>
      </c>
      <c r="M1468" t="s">
        <v>1299</v>
      </c>
    </row>
    <row r="1469" spans="12:13" x14ac:dyDescent="0.25">
      <c r="L1469" s="65">
        <v>413120</v>
      </c>
      <c r="M1469" t="s">
        <v>1300</v>
      </c>
    </row>
    <row r="1470" spans="12:13" x14ac:dyDescent="0.25">
      <c r="L1470" s="65">
        <v>413121</v>
      </c>
      <c r="M1470" t="s">
        <v>1300</v>
      </c>
    </row>
    <row r="1471" spans="12:13" x14ac:dyDescent="0.25">
      <c r="L1471" s="65">
        <v>413130</v>
      </c>
      <c r="M1471" t="s">
        <v>1301</v>
      </c>
    </row>
    <row r="1472" spans="12:13" x14ac:dyDescent="0.25">
      <c r="L1472" s="65">
        <v>413131</v>
      </c>
      <c r="M1472" t="s">
        <v>1302</v>
      </c>
    </row>
    <row r="1473" spans="12:13" x14ac:dyDescent="0.25">
      <c r="L1473" s="65">
        <v>413139</v>
      </c>
      <c r="M1473" t="s">
        <v>1303</v>
      </c>
    </row>
    <row r="1474" spans="12:13" x14ac:dyDescent="0.25">
      <c r="L1474" s="65">
        <v>413140</v>
      </c>
      <c r="M1474" t="s">
        <v>1304</v>
      </c>
    </row>
    <row r="1475" spans="12:13" x14ac:dyDescent="0.25">
      <c r="L1475" s="65">
        <v>413141</v>
      </c>
      <c r="M1475" t="s">
        <v>1305</v>
      </c>
    </row>
    <row r="1476" spans="12:13" x14ac:dyDescent="0.25">
      <c r="L1476" s="65">
        <v>413142</v>
      </c>
      <c r="M1476" t="s">
        <v>1306</v>
      </c>
    </row>
    <row r="1477" spans="12:13" x14ac:dyDescent="0.25">
      <c r="L1477" s="65">
        <v>413150</v>
      </c>
      <c r="M1477" t="s">
        <v>1307</v>
      </c>
    </row>
    <row r="1478" spans="12:13" x14ac:dyDescent="0.25">
      <c r="L1478" s="65">
        <v>413151</v>
      </c>
      <c r="M1478" t="s">
        <v>1307</v>
      </c>
    </row>
    <row r="1479" spans="12:13" x14ac:dyDescent="0.25">
      <c r="L1479" s="65">
        <v>413160</v>
      </c>
      <c r="M1479" t="s">
        <v>1308</v>
      </c>
    </row>
    <row r="1480" spans="12:13" x14ac:dyDescent="0.25">
      <c r="L1480" s="65">
        <v>413161</v>
      </c>
      <c r="M1480" t="s">
        <v>1308</v>
      </c>
    </row>
    <row r="1481" spans="12:13" x14ac:dyDescent="0.25">
      <c r="L1481" s="65">
        <v>413170</v>
      </c>
      <c r="M1481" t="s">
        <v>1309</v>
      </c>
    </row>
    <row r="1482" spans="12:13" x14ac:dyDescent="0.25">
      <c r="L1482" s="65">
        <v>413171</v>
      </c>
      <c r="M1482" t="s">
        <v>1309</v>
      </c>
    </row>
    <row r="1483" spans="12:13" x14ac:dyDescent="0.25">
      <c r="L1483" s="65">
        <v>413180</v>
      </c>
      <c r="M1483" t="s">
        <v>1310</v>
      </c>
    </row>
    <row r="1484" spans="12:13" x14ac:dyDescent="0.25">
      <c r="L1484" s="65">
        <v>413181</v>
      </c>
      <c r="M1484" t="s">
        <v>1310</v>
      </c>
    </row>
    <row r="1485" spans="12:13" x14ac:dyDescent="0.25">
      <c r="L1485" s="65">
        <v>414000</v>
      </c>
      <c r="M1485" t="s">
        <v>1311</v>
      </c>
    </row>
    <row r="1486" spans="12:13" x14ac:dyDescent="0.25">
      <c r="L1486" s="65">
        <v>414100</v>
      </c>
      <c r="M1486" t="s">
        <v>1312</v>
      </c>
    </row>
    <row r="1487" spans="12:13" x14ac:dyDescent="0.25">
      <c r="L1487" s="65">
        <v>414110</v>
      </c>
      <c r="M1487" t="s">
        <v>1313</v>
      </c>
    </row>
    <row r="1488" spans="12:13" x14ac:dyDescent="0.25">
      <c r="L1488" s="65">
        <v>414111</v>
      </c>
      <c r="M1488" t="s">
        <v>1313</v>
      </c>
    </row>
    <row r="1489" spans="12:13" x14ac:dyDescent="0.25">
      <c r="L1489" s="65">
        <v>414120</v>
      </c>
      <c r="M1489" t="s">
        <v>1314</v>
      </c>
    </row>
    <row r="1490" spans="12:13" x14ac:dyDescent="0.25">
      <c r="L1490" s="65">
        <v>414121</v>
      </c>
      <c r="M1490" t="s">
        <v>1314</v>
      </c>
    </row>
    <row r="1491" spans="12:13" x14ac:dyDescent="0.25">
      <c r="L1491" s="65">
        <v>414130</v>
      </c>
      <c r="M1491" t="s">
        <v>1315</v>
      </c>
    </row>
    <row r="1492" spans="12:13" x14ac:dyDescent="0.25">
      <c r="L1492" s="65">
        <v>414131</v>
      </c>
      <c r="M1492" t="s">
        <v>1315</v>
      </c>
    </row>
    <row r="1493" spans="12:13" x14ac:dyDescent="0.25">
      <c r="L1493" s="65">
        <v>414200</v>
      </c>
      <c r="M1493" t="s">
        <v>1316</v>
      </c>
    </row>
    <row r="1494" spans="12:13" x14ac:dyDescent="0.25">
      <c r="L1494" s="65">
        <v>414210</v>
      </c>
      <c r="M1494" t="s">
        <v>1316</v>
      </c>
    </row>
    <row r="1495" spans="12:13" x14ac:dyDescent="0.25">
      <c r="L1495" s="65">
        <v>414211</v>
      </c>
      <c r="M1495" t="s">
        <v>1316</v>
      </c>
    </row>
    <row r="1496" spans="12:13" x14ac:dyDescent="0.25">
      <c r="L1496" s="65">
        <v>414300</v>
      </c>
      <c r="M1496" t="s">
        <v>1317</v>
      </c>
    </row>
    <row r="1497" spans="12:13" x14ac:dyDescent="0.25">
      <c r="L1497" s="65">
        <v>414310</v>
      </c>
      <c r="M1497" t="s">
        <v>1317</v>
      </c>
    </row>
    <row r="1498" spans="12:13" x14ac:dyDescent="0.25">
      <c r="L1498" s="65">
        <v>414311</v>
      </c>
      <c r="M1498" t="s">
        <v>1318</v>
      </c>
    </row>
    <row r="1499" spans="12:13" x14ac:dyDescent="0.25">
      <c r="L1499" s="65">
        <v>414312</v>
      </c>
      <c r="M1499" t="s">
        <v>1319</v>
      </c>
    </row>
    <row r="1500" spans="12:13" x14ac:dyDescent="0.25">
      <c r="L1500" s="65">
        <v>414314</v>
      </c>
      <c r="M1500" t="s">
        <v>1320</v>
      </c>
    </row>
    <row r="1501" spans="12:13" x14ac:dyDescent="0.25">
      <c r="L1501" s="65">
        <v>414400</v>
      </c>
      <c r="M1501" t="s">
        <v>1321</v>
      </c>
    </row>
    <row r="1502" spans="12:13" x14ac:dyDescent="0.25">
      <c r="L1502" s="65">
        <v>414410</v>
      </c>
      <c r="M1502" t="s">
        <v>1321</v>
      </c>
    </row>
    <row r="1503" spans="12:13" x14ac:dyDescent="0.25">
      <c r="L1503" s="65">
        <v>414411</v>
      </c>
      <c r="M1503" t="s">
        <v>1322</v>
      </c>
    </row>
    <row r="1504" spans="12:13" x14ac:dyDescent="0.25">
      <c r="L1504" s="65">
        <v>414412</v>
      </c>
      <c r="M1504" t="s">
        <v>1323</v>
      </c>
    </row>
    <row r="1505" spans="12:13" x14ac:dyDescent="0.25">
      <c r="L1505" s="65">
        <v>414419</v>
      </c>
      <c r="M1505" t="s">
        <v>1324</v>
      </c>
    </row>
    <row r="1506" spans="12:13" x14ac:dyDescent="0.25">
      <c r="L1506" s="65">
        <v>415000</v>
      </c>
      <c r="M1506" t="s">
        <v>1325</v>
      </c>
    </row>
    <row r="1507" spans="12:13" x14ac:dyDescent="0.25">
      <c r="L1507" s="65">
        <v>415100</v>
      </c>
      <c r="M1507" t="s">
        <v>1325</v>
      </c>
    </row>
    <row r="1508" spans="12:13" x14ac:dyDescent="0.25">
      <c r="L1508" s="65">
        <v>415110</v>
      </c>
      <c r="M1508" t="s">
        <v>1325</v>
      </c>
    </row>
    <row r="1509" spans="12:13" x14ac:dyDescent="0.25">
      <c r="L1509" s="65">
        <v>415111</v>
      </c>
      <c r="M1509" t="s">
        <v>1326</v>
      </c>
    </row>
    <row r="1510" spans="12:13" x14ac:dyDescent="0.25">
      <c r="L1510" s="65">
        <v>415112</v>
      </c>
      <c r="M1510" t="s">
        <v>1327</v>
      </c>
    </row>
    <row r="1511" spans="12:13" x14ac:dyDescent="0.25">
      <c r="L1511" s="65">
        <v>415113</v>
      </c>
      <c r="M1511" t="s">
        <v>1328</v>
      </c>
    </row>
    <row r="1512" spans="12:13" x14ac:dyDescent="0.25">
      <c r="L1512" s="65">
        <v>415114</v>
      </c>
      <c r="M1512" t="s">
        <v>1329</v>
      </c>
    </row>
    <row r="1513" spans="12:13" x14ac:dyDescent="0.25">
      <c r="L1513" s="65">
        <v>415119</v>
      </c>
      <c r="M1513" t="s">
        <v>1330</v>
      </c>
    </row>
    <row r="1514" spans="12:13" x14ac:dyDescent="0.25">
      <c r="L1514" s="65">
        <v>416000</v>
      </c>
      <c r="M1514" t="s">
        <v>1331</v>
      </c>
    </row>
    <row r="1515" spans="12:13" x14ac:dyDescent="0.25">
      <c r="L1515" s="65">
        <v>416100</v>
      </c>
      <c r="M1515" t="s">
        <v>1331</v>
      </c>
    </row>
    <row r="1516" spans="12:13" x14ac:dyDescent="0.25">
      <c r="L1516" s="65">
        <v>416110</v>
      </c>
      <c r="M1516" t="s">
        <v>1332</v>
      </c>
    </row>
    <row r="1517" spans="12:13" x14ac:dyDescent="0.25">
      <c r="L1517" s="65">
        <v>416111</v>
      </c>
      <c r="M1517" t="s">
        <v>1333</v>
      </c>
    </row>
    <row r="1518" spans="12:13" x14ac:dyDescent="0.25">
      <c r="L1518" s="65">
        <v>416112</v>
      </c>
      <c r="M1518" t="s">
        <v>1334</v>
      </c>
    </row>
    <row r="1519" spans="12:13" x14ac:dyDescent="0.25">
      <c r="L1519" s="65">
        <v>416119</v>
      </c>
      <c r="M1519" t="s">
        <v>1335</v>
      </c>
    </row>
    <row r="1520" spans="12:13" x14ac:dyDescent="0.25">
      <c r="L1520" s="65">
        <v>416120</v>
      </c>
      <c r="M1520" t="s">
        <v>1336</v>
      </c>
    </row>
    <row r="1521" spans="12:13" x14ac:dyDescent="0.25">
      <c r="L1521" s="65">
        <v>416121</v>
      </c>
      <c r="M1521" t="s">
        <v>1337</v>
      </c>
    </row>
    <row r="1522" spans="12:13" x14ac:dyDescent="0.25">
      <c r="L1522" s="65">
        <v>416130</v>
      </c>
      <c r="M1522" t="s">
        <v>1338</v>
      </c>
    </row>
    <row r="1523" spans="12:13" x14ac:dyDescent="0.25">
      <c r="L1523" s="65">
        <v>416131</v>
      </c>
      <c r="M1523" t="s">
        <v>1339</v>
      </c>
    </row>
    <row r="1524" spans="12:13" x14ac:dyDescent="0.25">
      <c r="L1524" s="65">
        <v>416132</v>
      </c>
      <c r="M1524" t="s">
        <v>1340</v>
      </c>
    </row>
    <row r="1525" spans="12:13" x14ac:dyDescent="0.25">
      <c r="L1525" s="65">
        <v>417000</v>
      </c>
      <c r="M1525" t="s">
        <v>1341</v>
      </c>
    </row>
    <row r="1526" spans="12:13" x14ac:dyDescent="0.25">
      <c r="L1526" s="65">
        <v>417100</v>
      </c>
      <c r="M1526" t="s">
        <v>1341</v>
      </c>
    </row>
    <row r="1527" spans="12:13" x14ac:dyDescent="0.25">
      <c r="L1527" s="65">
        <v>417110</v>
      </c>
      <c r="M1527" t="s">
        <v>1341</v>
      </c>
    </row>
    <row r="1528" spans="12:13" x14ac:dyDescent="0.25">
      <c r="L1528" s="65">
        <v>417111</v>
      </c>
      <c r="M1528" t="s">
        <v>1341</v>
      </c>
    </row>
    <row r="1529" spans="12:13" x14ac:dyDescent="0.25">
      <c r="L1529" s="65">
        <v>418000</v>
      </c>
      <c r="M1529" t="s">
        <v>1342</v>
      </c>
    </row>
    <row r="1530" spans="12:13" x14ac:dyDescent="0.25">
      <c r="L1530" s="65">
        <v>418100</v>
      </c>
      <c r="M1530" t="s">
        <v>1342</v>
      </c>
    </row>
    <row r="1531" spans="12:13" x14ac:dyDescent="0.25">
      <c r="L1531" s="65">
        <v>418110</v>
      </c>
      <c r="M1531" t="s">
        <v>1342</v>
      </c>
    </row>
    <row r="1532" spans="12:13" x14ac:dyDescent="0.25">
      <c r="L1532" s="65">
        <v>418111</v>
      </c>
      <c r="M1532" t="s">
        <v>1342</v>
      </c>
    </row>
    <row r="1533" spans="12:13" x14ac:dyDescent="0.25">
      <c r="L1533" s="65">
        <v>420000</v>
      </c>
      <c r="M1533" t="s">
        <v>1343</v>
      </c>
    </row>
    <row r="1534" spans="12:13" x14ac:dyDescent="0.25">
      <c r="L1534" s="65">
        <v>421000</v>
      </c>
      <c r="M1534" t="s">
        <v>1344</v>
      </c>
    </row>
    <row r="1535" spans="12:13" x14ac:dyDescent="0.25">
      <c r="L1535" s="65">
        <v>421100</v>
      </c>
      <c r="M1535" t="s">
        <v>1345</v>
      </c>
    </row>
    <row r="1536" spans="12:13" x14ac:dyDescent="0.25">
      <c r="L1536" s="65">
        <v>421110</v>
      </c>
      <c r="M1536" t="s">
        <v>1346</v>
      </c>
    </row>
    <row r="1537" spans="12:13" x14ac:dyDescent="0.25">
      <c r="L1537" s="65">
        <v>421111</v>
      </c>
      <c r="M1537" t="s">
        <v>1346</v>
      </c>
    </row>
    <row r="1538" spans="12:13" x14ac:dyDescent="0.25">
      <c r="L1538" s="65">
        <v>421120</v>
      </c>
      <c r="M1538" t="s">
        <v>1347</v>
      </c>
    </row>
    <row r="1539" spans="12:13" x14ac:dyDescent="0.25">
      <c r="L1539" s="65">
        <v>421121</v>
      </c>
      <c r="M1539" t="s">
        <v>1347</v>
      </c>
    </row>
    <row r="1540" spans="12:13" x14ac:dyDescent="0.25">
      <c r="L1540" s="65">
        <v>421200</v>
      </c>
      <c r="M1540" t="s">
        <v>1348</v>
      </c>
    </row>
    <row r="1541" spans="12:13" x14ac:dyDescent="0.25">
      <c r="L1541" s="65">
        <v>421210</v>
      </c>
      <c r="M1541" t="s">
        <v>1349</v>
      </c>
    </row>
    <row r="1542" spans="12:13" x14ac:dyDescent="0.25">
      <c r="L1542" s="65">
        <v>421211</v>
      </c>
      <c r="M1542" t="s">
        <v>1349</v>
      </c>
    </row>
    <row r="1543" spans="12:13" x14ac:dyDescent="0.25">
      <c r="L1543" s="65">
        <v>421220</v>
      </c>
      <c r="M1543" t="s">
        <v>1350</v>
      </c>
    </row>
    <row r="1544" spans="12:13" x14ac:dyDescent="0.25">
      <c r="L1544" s="65">
        <v>421221</v>
      </c>
      <c r="M1544" t="s">
        <v>1351</v>
      </c>
    </row>
    <row r="1545" spans="12:13" x14ac:dyDescent="0.25">
      <c r="L1545" s="65">
        <v>421222</v>
      </c>
      <c r="M1545" t="s">
        <v>1352</v>
      </c>
    </row>
    <row r="1546" spans="12:13" x14ac:dyDescent="0.25">
      <c r="L1546" s="65">
        <v>421223</v>
      </c>
      <c r="M1546" t="s">
        <v>1353</v>
      </c>
    </row>
    <row r="1547" spans="12:13" x14ac:dyDescent="0.25">
      <c r="L1547" s="65">
        <v>421224</v>
      </c>
      <c r="M1547" t="s">
        <v>1354</v>
      </c>
    </row>
    <row r="1548" spans="12:13" x14ac:dyDescent="0.25">
      <c r="L1548" s="65">
        <v>421225</v>
      </c>
      <c r="M1548" t="s">
        <v>1355</v>
      </c>
    </row>
    <row r="1549" spans="12:13" x14ac:dyDescent="0.25">
      <c r="L1549" s="65">
        <v>421300</v>
      </c>
      <c r="M1549" t="s">
        <v>1356</v>
      </c>
    </row>
    <row r="1550" spans="12:13" x14ac:dyDescent="0.25">
      <c r="L1550" s="65">
        <v>421310</v>
      </c>
      <c r="M1550" t="s">
        <v>1357</v>
      </c>
    </row>
    <row r="1551" spans="12:13" x14ac:dyDescent="0.25">
      <c r="L1551" s="65">
        <v>421311</v>
      </c>
      <c r="M1551" t="s">
        <v>1357</v>
      </c>
    </row>
    <row r="1552" spans="12:13" x14ac:dyDescent="0.25">
      <c r="L1552" s="65">
        <v>421320</v>
      </c>
      <c r="M1552" t="s">
        <v>1358</v>
      </c>
    </row>
    <row r="1553" spans="12:13" x14ac:dyDescent="0.25">
      <c r="L1553" s="65">
        <v>421321</v>
      </c>
      <c r="M1553" t="s">
        <v>1359</v>
      </c>
    </row>
    <row r="1554" spans="12:13" x14ac:dyDescent="0.25">
      <c r="L1554" s="65">
        <v>421322</v>
      </c>
      <c r="M1554" t="s">
        <v>1360</v>
      </c>
    </row>
    <row r="1555" spans="12:13" x14ac:dyDescent="0.25">
      <c r="L1555" s="65">
        <v>421323</v>
      </c>
      <c r="M1555" t="s">
        <v>1361</v>
      </c>
    </row>
    <row r="1556" spans="12:13" x14ac:dyDescent="0.25">
      <c r="L1556" s="65">
        <v>421324</v>
      </c>
      <c r="M1556" t="s">
        <v>1362</v>
      </c>
    </row>
    <row r="1557" spans="12:13" x14ac:dyDescent="0.25">
      <c r="L1557" s="65">
        <v>421325</v>
      </c>
      <c r="M1557" t="s">
        <v>1363</v>
      </c>
    </row>
    <row r="1558" spans="12:13" x14ac:dyDescent="0.25">
      <c r="L1558" s="65">
        <v>421390</v>
      </c>
      <c r="M1558" t="s">
        <v>1364</v>
      </c>
    </row>
    <row r="1559" spans="12:13" x14ac:dyDescent="0.25">
      <c r="L1559" s="65">
        <v>421391</v>
      </c>
      <c r="M1559" t="s">
        <v>1365</v>
      </c>
    </row>
    <row r="1560" spans="12:13" x14ac:dyDescent="0.25">
      <c r="L1560" s="65">
        <v>421392</v>
      </c>
      <c r="M1560" t="s">
        <v>1366</v>
      </c>
    </row>
    <row r="1561" spans="12:13" x14ac:dyDescent="0.25">
      <c r="L1561" s="65">
        <v>421400</v>
      </c>
      <c r="M1561" t="s">
        <v>1367</v>
      </c>
    </row>
    <row r="1562" spans="12:13" x14ac:dyDescent="0.25">
      <c r="L1562" s="65">
        <v>421410</v>
      </c>
      <c r="M1562" t="s">
        <v>1368</v>
      </c>
    </row>
    <row r="1563" spans="12:13" x14ac:dyDescent="0.25">
      <c r="L1563" s="65">
        <v>421411</v>
      </c>
      <c r="M1563" t="s">
        <v>1369</v>
      </c>
    </row>
    <row r="1564" spans="12:13" x14ac:dyDescent="0.25">
      <c r="L1564" s="65">
        <v>421412</v>
      </c>
      <c r="M1564" t="s">
        <v>1370</v>
      </c>
    </row>
    <row r="1565" spans="12:13" x14ac:dyDescent="0.25">
      <c r="L1565" s="65">
        <v>421413</v>
      </c>
      <c r="M1565" t="s">
        <v>1371</v>
      </c>
    </row>
    <row r="1566" spans="12:13" x14ac:dyDescent="0.25">
      <c r="L1566" s="65">
        <v>421414</v>
      </c>
      <c r="M1566" t="s">
        <v>1372</v>
      </c>
    </row>
    <row r="1567" spans="12:13" x14ac:dyDescent="0.25">
      <c r="L1567" s="65">
        <v>421419</v>
      </c>
      <c r="M1567" t="s">
        <v>1373</v>
      </c>
    </row>
    <row r="1568" spans="12:13" x14ac:dyDescent="0.25">
      <c r="L1568" s="65">
        <v>421420</v>
      </c>
      <c r="M1568" t="s">
        <v>1374</v>
      </c>
    </row>
    <row r="1569" spans="12:13" x14ac:dyDescent="0.25">
      <c r="L1569" s="65">
        <v>421421</v>
      </c>
      <c r="M1569" t="s">
        <v>1375</v>
      </c>
    </row>
    <row r="1570" spans="12:13" x14ac:dyDescent="0.25">
      <c r="L1570" s="65">
        <v>421422</v>
      </c>
      <c r="M1570" t="s">
        <v>1376</v>
      </c>
    </row>
    <row r="1571" spans="12:13" x14ac:dyDescent="0.25">
      <c r="L1571" s="65">
        <v>421429</v>
      </c>
      <c r="M1571" t="s">
        <v>1377</v>
      </c>
    </row>
    <row r="1572" spans="12:13" x14ac:dyDescent="0.25">
      <c r="L1572" s="65">
        <v>421500</v>
      </c>
      <c r="M1572" t="s">
        <v>1378</v>
      </c>
    </row>
    <row r="1573" spans="12:13" x14ac:dyDescent="0.25">
      <c r="L1573" s="65">
        <v>421510</v>
      </c>
      <c r="M1573" t="s">
        <v>1379</v>
      </c>
    </row>
    <row r="1574" spans="12:13" x14ac:dyDescent="0.25">
      <c r="L1574" s="65">
        <v>421511</v>
      </c>
      <c r="M1574" t="s">
        <v>1380</v>
      </c>
    </row>
    <row r="1575" spans="12:13" x14ac:dyDescent="0.25">
      <c r="L1575" s="65">
        <v>421512</v>
      </c>
      <c r="M1575" t="s">
        <v>1381</v>
      </c>
    </row>
    <row r="1576" spans="12:13" x14ac:dyDescent="0.25">
      <c r="L1576" s="65">
        <v>421513</v>
      </c>
      <c r="M1576" t="s">
        <v>1382</v>
      </c>
    </row>
    <row r="1577" spans="12:13" x14ac:dyDescent="0.25">
      <c r="L1577" s="65">
        <v>421519</v>
      </c>
      <c r="M1577" t="s">
        <v>1383</v>
      </c>
    </row>
    <row r="1578" spans="12:13" x14ac:dyDescent="0.25">
      <c r="L1578" s="65">
        <v>421520</v>
      </c>
      <c r="M1578" t="s">
        <v>1384</v>
      </c>
    </row>
    <row r="1579" spans="12:13" x14ac:dyDescent="0.25">
      <c r="L1579" s="65">
        <v>421521</v>
      </c>
      <c r="M1579" t="s">
        <v>1385</v>
      </c>
    </row>
    <row r="1580" spans="12:13" x14ac:dyDescent="0.25">
      <c r="L1580" s="65">
        <v>421522</v>
      </c>
      <c r="M1580" t="s">
        <v>1386</v>
      </c>
    </row>
    <row r="1581" spans="12:13" x14ac:dyDescent="0.25">
      <c r="L1581" s="65">
        <v>421523</v>
      </c>
      <c r="M1581" t="s">
        <v>1387</v>
      </c>
    </row>
    <row r="1582" spans="12:13" x14ac:dyDescent="0.25">
      <c r="L1582" s="65">
        <v>421600</v>
      </c>
      <c r="M1582" t="s">
        <v>1388</v>
      </c>
    </row>
    <row r="1583" spans="12:13" x14ac:dyDescent="0.25">
      <c r="L1583" s="65">
        <v>421610</v>
      </c>
      <c r="M1583" t="s">
        <v>1389</v>
      </c>
    </row>
    <row r="1584" spans="12:13" x14ac:dyDescent="0.25">
      <c r="L1584" s="65">
        <v>421611</v>
      </c>
      <c r="M1584" t="s">
        <v>1390</v>
      </c>
    </row>
    <row r="1585" spans="12:13" x14ac:dyDescent="0.25">
      <c r="L1585" s="65">
        <v>421612</v>
      </c>
      <c r="M1585" t="s">
        <v>1391</v>
      </c>
    </row>
    <row r="1586" spans="12:13" x14ac:dyDescent="0.25">
      <c r="L1586" s="65">
        <v>421619</v>
      </c>
      <c r="M1586" t="s">
        <v>1392</v>
      </c>
    </row>
    <row r="1587" spans="12:13" x14ac:dyDescent="0.25">
      <c r="L1587" s="65">
        <v>421620</v>
      </c>
      <c r="M1587" t="s">
        <v>1393</v>
      </c>
    </row>
    <row r="1588" spans="12:13" x14ac:dyDescent="0.25">
      <c r="L1588" s="65">
        <v>421621</v>
      </c>
      <c r="M1588" t="s">
        <v>1394</v>
      </c>
    </row>
    <row r="1589" spans="12:13" x14ac:dyDescent="0.25">
      <c r="L1589" s="65">
        <v>421622</v>
      </c>
      <c r="M1589" t="s">
        <v>1395</v>
      </c>
    </row>
    <row r="1590" spans="12:13" x14ac:dyDescent="0.25">
      <c r="L1590" s="65">
        <v>421623</v>
      </c>
      <c r="M1590" t="s">
        <v>1396</v>
      </c>
    </row>
    <row r="1591" spans="12:13" x14ac:dyDescent="0.25">
      <c r="L1591" s="65">
        <v>421624</v>
      </c>
      <c r="M1591" t="s">
        <v>1397</v>
      </c>
    </row>
    <row r="1592" spans="12:13" x14ac:dyDescent="0.25">
      <c r="L1592" s="65">
        <v>421625</v>
      </c>
      <c r="M1592" t="s">
        <v>1398</v>
      </c>
    </row>
    <row r="1593" spans="12:13" x14ac:dyDescent="0.25">
      <c r="L1593" s="65">
        <v>421626</v>
      </c>
      <c r="M1593" t="s">
        <v>1399</v>
      </c>
    </row>
    <row r="1594" spans="12:13" x14ac:dyDescent="0.25">
      <c r="L1594" s="65">
        <v>421627</v>
      </c>
      <c r="M1594" t="s">
        <v>1400</v>
      </c>
    </row>
    <row r="1595" spans="12:13" x14ac:dyDescent="0.25">
      <c r="L1595" s="65">
        <v>421628</v>
      </c>
      <c r="M1595" t="s">
        <v>1401</v>
      </c>
    </row>
    <row r="1596" spans="12:13" x14ac:dyDescent="0.25">
      <c r="L1596" s="65">
        <v>421629</v>
      </c>
      <c r="M1596" t="s">
        <v>1402</v>
      </c>
    </row>
    <row r="1597" spans="12:13" x14ac:dyDescent="0.25">
      <c r="L1597" s="65">
        <v>421900</v>
      </c>
      <c r="M1597" t="s">
        <v>1403</v>
      </c>
    </row>
    <row r="1598" spans="12:13" x14ac:dyDescent="0.25">
      <c r="L1598" s="65">
        <v>421910</v>
      </c>
      <c r="M1598" t="s">
        <v>1403</v>
      </c>
    </row>
    <row r="1599" spans="12:13" x14ac:dyDescent="0.25">
      <c r="L1599" s="65">
        <v>421911</v>
      </c>
      <c r="M1599" t="s">
        <v>1404</v>
      </c>
    </row>
    <row r="1600" spans="12:13" x14ac:dyDescent="0.25">
      <c r="L1600" s="65">
        <v>421919</v>
      </c>
      <c r="M1600" t="s">
        <v>1405</v>
      </c>
    </row>
    <row r="1601" spans="12:13" x14ac:dyDescent="0.25">
      <c r="L1601" s="65">
        <v>422000</v>
      </c>
      <c r="M1601" t="s">
        <v>1406</v>
      </c>
    </row>
    <row r="1602" spans="12:13" x14ac:dyDescent="0.25">
      <c r="L1602" s="65">
        <v>422100</v>
      </c>
      <c r="M1602" t="s">
        <v>1407</v>
      </c>
    </row>
    <row r="1603" spans="12:13" x14ac:dyDescent="0.25">
      <c r="L1603" s="65">
        <v>422110</v>
      </c>
      <c r="M1603" t="s">
        <v>1408</v>
      </c>
    </row>
    <row r="1604" spans="12:13" x14ac:dyDescent="0.25">
      <c r="L1604" s="65">
        <v>422111</v>
      </c>
      <c r="M1604" t="s">
        <v>1408</v>
      </c>
    </row>
    <row r="1605" spans="12:13" x14ac:dyDescent="0.25">
      <c r="L1605" s="65">
        <v>422120</v>
      </c>
      <c r="M1605" t="s">
        <v>1409</v>
      </c>
    </row>
    <row r="1606" spans="12:13" x14ac:dyDescent="0.25">
      <c r="L1606" s="65">
        <v>422121</v>
      </c>
      <c r="M1606" t="s">
        <v>1409</v>
      </c>
    </row>
    <row r="1607" spans="12:13" x14ac:dyDescent="0.25">
      <c r="L1607" s="65">
        <v>422130</v>
      </c>
      <c r="M1607" t="s">
        <v>1410</v>
      </c>
    </row>
    <row r="1608" spans="12:13" x14ac:dyDescent="0.25">
      <c r="L1608" s="65">
        <v>422131</v>
      </c>
      <c r="M1608" t="s">
        <v>1410</v>
      </c>
    </row>
    <row r="1609" spans="12:13" x14ac:dyDescent="0.25">
      <c r="L1609" s="65">
        <v>422190</v>
      </c>
      <c r="M1609" t="s">
        <v>1411</v>
      </c>
    </row>
    <row r="1610" spans="12:13" x14ac:dyDescent="0.25">
      <c r="L1610" s="65">
        <v>422191</v>
      </c>
      <c r="M1610" t="s">
        <v>1412</v>
      </c>
    </row>
    <row r="1611" spans="12:13" x14ac:dyDescent="0.25">
      <c r="L1611" s="65">
        <v>422192</v>
      </c>
      <c r="M1611" t="s">
        <v>1413</v>
      </c>
    </row>
    <row r="1612" spans="12:13" x14ac:dyDescent="0.25">
      <c r="L1612" s="65">
        <v>422193</v>
      </c>
      <c r="M1612" t="s">
        <v>1414</v>
      </c>
    </row>
    <row r="1613" spans="12:13" x14ac:dyDescent="0.25">
      <c r="L1613" s="65">
        <v>422194</v>
      </c>
      <c r="M1613" t="s">
        <v>1415</v>
      </c>
    </row>
    <row r="1614" spans="12:13" x14ac:dyDescent="0.25">
      <c r="L1614" s="65">
        <v>422199</v>
      </c>
      <c r="M1614" t="s">
        <v>1416</v>
      </c>
    </row>
    <row r="1615" spans="12:13" x14ac:dyDescent="0.25">
      <c r="L1615" s="65">
        <v>422200</v>
      </c>
      <c r="M1615" t="s">
        <v>1417</v>
      </c>
    </row>
    <row r="1616" spans="12:13" x14ac:dyDescent="0.25">
      <c r="L1616" s="65">
        <v>422210</v>
      </c>
      <c r="M1616" t="s">
        <v>1418</v>
      </c>
    </row>
    <row r="1617" spans="12:13" x14ac:dyDescent="0.25">
      <c r="L1617" s="65">
        <v>422211</v>
      </c>
      <c r="M1617" t="s">
        <v>1418</v>
      </c>
    </row>
    <row r="1618" spans="12:13" x14ac:dyDescent="0.25">
      <c r="L1618" s="65">
        <v>422220</v>
      </c>
      <c r="M1618" t="s">
        <v>1419</v>
      </c>
    </row>
    <row r="1619" spans="12:13" x14ac:dyDescent="0.25">
      <c r="L1619" s="65">
        <v>422221</v>
      </c>
      <c r="M1619" t="s">
        <v>1419</v>
      </c>
    </row>
    <row r="1620" spans="12:13" x14ac:dyDescent="0.25">
      <c r="L1620" s="65">
        <v>422230</v>
      </c>
      <c r="M1620" t="s">
        <v>1420</v>
      </c>
    </row>
    <row r="1621" spans="12:13" x14ac:dyDescent="0.25">
      <c r="L1621" s="65">
        <v>422231</v>
      </c>
      <c r="M1621" t="s">
        <v>1420</v>
      </c>
    </row>
    <row r="1622" spans="12:13" x14ac:dyDescent="0.25">
      <c r="L1622" s="65">
        <v>422290</v>
      </c>
      <c r="M1622" t="s">
        <v>1411</v>
      </c>
    </row>
    <row r="1623" spans="12:13" x14ac:dyDescent="0.25">
      <c r="L1623" s="65">
        <v>422291</v>
      </c>
      <c r="M1623" t="s">
        <v>1421</v>
      </c>
    </row>
    <row r="1624" spans="12:13" x14ac:dyDescent="0.25">
      <c r="L1624" s="65">
        <v>422292</v>
      </c>
      <c r="M1624" t="s">
        <v>1413</v>
      </c>
    </row>
    <row r="1625" spans="12:13" x14ac:dyDescent="0.25">
      <c r="L1625" s="65">
        <v>422293</v>
      </c>
      <c r="M1625" t="s">
        <v>1415</v>
      </c>
    </row>
    <row r="1626" spans="12:13" x14ac:dyDescent="0.25">
      <c r="L1626" s="65">
        <v>422299</v>
      </c>
      <c r="M1626" t="s">
        <v>1422</v>
      </c>
    </row>
    <row r="1627" spans="12:13" x14ac:dyDescent="0.25">
      <c r="L1627" s="65">
        <v>422300</v>
      </c>
      <c r="M1627" t="s">
        <v>1423</v>
      </c>
    </row>
    <row r="1628" spans="12:13" x14ac:dyDescent="0.25">
      <c r="L1628" s="65">
        <v>422310</v>
      </c>
      <c r="M1628" t="s">
        <v>1424</v>
      </c>
    </row>
    <row r="1629" spans="12:13" x14ac:dyDescent="0.25">
      <c r="L1629" s="65">
        <v>422311</v>
      </c>
      <c r="M1629" t="s">
        <v>1424</v>
      </c>
    </row>
    <row r="1630" spans="12:13" x14ac:dyDescent="0.25">
      <c r="L1630" s="65">
        <v>422320</v>
      </c>
      <c r="M1630" t="s">
        <v>1425</v>
      </c>
    </row>
    <row r="1631" spans="12:13" x14ac:dyDescent="0.25">
      <c r="L1631" s="65">
        <v>422321</v>
      </c>
      <c r="M1631" t="s">
        <v>1425</v>
      </c>
    </row>
    <row r="1632" spans="12:13" x14ac:dyDescent="0.25">
      <c r="L1632" s="65">
        <v>422330</v>
      </c>
      <c r="M1632" t="s">
        <v>1426</v>
      </c>
    </row>
    <row r="1633" spans="12:13" x14ac:dyDescent="0.25">
      <c r="L1633" s="65">
        <v>422331</v>
      </c>
      <c r="M1633" t="s">
        <v>1426</v>
      </c>
    </row>
    <row r="1634" spans="12:13" x14ac:dyDescent="0.25">
      <c r="L1634" s="65">
        <v>422390</v>
      </c>
      <c r="M1634" t="s">
        <v>1427</v>
      </c>
    </row>
    <row r="1635" spans="12:13" x14ac:dyDescent="0.25">
      <c r="L1635" s="65">
        <v>422391</v>
      </c>
      <c r="M1635" t="s">
        <v>1428</v>
      </c>
    </row>
    <row r="1636" spans="12:13" x14ac:dyDescent="0.25">
      <c r="L1636" s="65">
        <v>422392</v>
      </c>
      <c r="M1636" t="s">
        <v>1413</v>
      </c>
    </row>
    <row r="1637" spans="12:13" x14ac:dyDescent="0.25">
      <c r="L1637" s="65">
        <v>422393</v>
      </c>
      <c r="M1637" t="s">
        <v>1429</v>
      </c>
    </row>
    <row r="1638" spans="12:13" x14ac:dyDescent="0.25">
      <c r="L1638" s="65">
        <v>422394</v>
      </c>
      <c r="M1638" t="s">
        <v>1430</v>
      </c>
    </row>
    <row r="1639" spans="12:13" x14ac:dyDescent="0.25">
      <c r="L1639" s="65">
        <v>422399</v>
      </c>
      <c r="M1639" t="s">
        <v>1431</v>
      </c>
    </row>
    <row r="1640" spans="12:13" x14ac:dyDescent="0.25">
      <c r="L1640" s="65">
        <v>422400</v>
      </c>
      <c r="M1640" t="s">
        <v>1432</v>
      </c>
    </row>
    <row r="1641" spans="12:13" x14ac:dyDescent="0.25">
      <c r="L1641" s="65">
        <v>422410</v>
      </c>
      <c r="M1641" t="s">
        <v>1432</v>
      </c>
    </row>
    <row r="1642" spans="12:13" x14ac:dyDescent="0.25">
      <c r="L1642" s="65">
        <v>422411</v>
      </c>
      <c r="M1642" t="s">
        <v>1433</v>
      </c>
    </row>
    <row r="1643" spans="12:13" x14ac:dyDescent="0.25">
      <c r="L1643" s="65">
        <v>422412</v>
      </c>
      <c r="M1643" t="s">
        <v>1434</v>
      </c>
    </row>
    <row r="1644" spans="12:13" x14ac:dyDescent="0.25">
      <c r="L1644" s="65">
        <v>422900</v>
      </c>
      <c r="M1644" t="s">
        <v>1435</v>
      </c>
    </row>
    <row r="1645" spans="12:13" x14ac:dyDescent="0.25">
      <c r="L1645" s="65">
        <v>422910</v>
      </c>
      <c r="M1645" t="s">
        <v>1435</v>
      </c>
    </row>
    <row r="1646" spans="12:13" x14ac:dyDescent="0.25">
      <c r="L1646" s="65">
        <v>422911</v>
      </c>
      <c r="M1646" t="s">
        <v>1436</v>
      </c>
    </row>
    <row r="1647" spans="12:13" x14ac:dyDescent="0.25">
      <c r="L1647" s="65">
        <v>423000</v>
      </c>
      <c r="M1647" t="s">
        <v>1437</v>
      </c>
    </row>
    <row r="1648" spans="12:13" x14ac:dyDescent="0.25">
      <c r="L1648" s="65">
        <v>423100</v>
      </c>
      <c r="M1648" t="s">
        <v>1438</v>
      </c>
    </row>
    <row r="1649" spans="12:13" x14ac:dyDescent="0.25">
      <c r="L1649" s="65">
        <v>423110</v>
      </c>
      <c r="M1649" t="s">
        <v>1439</v>
      </c>
    </row>
    <row r="1650" spans="12:13" x14ac:dyDescent="0.25">
      <c r="L1650" s="65">
        <v>423111</v>
      </c>
      <c r="M1650" t="s">
        <v>1439</v>
      </c>
    </row>
    <row r="1651" spans="12:13" x14ac:dyDescent="0.25">
      <c r="L1651" s="65">
        <v>423120</v>
      </c>
      <c r="M1651" t="s">
        <v>1440</v>
      </c>
    </row>
    <row r="1652" spans="12:13" x14ac:dyDescent="0.25">
      <c r="L1652" s="65">
        <v>423121</v>
      </c>
      <c r="M1652" t="s">
        <v>1440</v>
      </c>
    </row>
    <row r="1653" spans="12:13" x14ac:dyDescent="0.25">
      <c r="L1653" s="65">
        <v>423130</v>
      </c>
      <c r="M1653" t="s">
        <v>1441</v>
      </c>
    </row>
    <row r="1654" spans="12:13" x14ac:dyDescent="0.25">
      <c r="L1654" s="65">
        <v>423131</v>
      </c>
      <c r="M1654" t="s">
        <v>1441</v>
      </c>
    </row>
    <row r="1655" spans="12:13" x14ac:dyDescent="0.25">
      <c r="L1655" s="65">
        <v>423190</v>
      </c>
      <c r="M1655" t="s">
        <v>1442</v>
      </c>
    </row>
    <row r="1656" spans="12:13" x14ac:dyDescent="0.25">
      <c r="L1656" s="65">
        <v>423191</v>
      </c>
      <c r="M1656" t="s">
        <v>1442</v>
      </c>
    </row>
    <row r="1657" spans="12:13" x14ac:dyDescent="0.25">
      <c r="L1657" s="65">
        <v>423200</v>
      </c>
      <c r="M1657" t="s">
        <v>1443</v>
      </c>
    </row>
    <row r="1658" spans="12:13" x14ac:dyDescent="0.25">
      <c r="L1658" s="65">
        <v>423210</v>
      </c>
      <c r="M1658" t="s">
        <v>1444</v>
      </c>
    </row>
    <row r="1659" spans="12:13" x14ac:dyDescent="0.25">
      <c r="L1659" s="65">
        <v>423211</v>
      </c>
      <c r="M1659" t="s">
        <v>1445</v>
      </c>
    </row>
    <row r="1660" spans="12:13" x14ac:dyDescent="0.25">
      <c r="L1660" s="65">
        <v>423212</v>
      </c>
      <c r="M1660" t="s">
        <v>1446</v>
      </c>
    </row>
    <row r="1661" spans="12:13" x14ac:dyDescent="0.25">
      <c r="L1661" s="65">
        <v>423220</v>
      </c>
      <c r="M1661" t="s">
        <v>1447</v>
      </c>
    </row>
    <row r="1662" spans="12:13" x14ac:dyDescent="0.25">
      <c r="L1662" s="65">
        <v>423221</v>
      </c>
      <c r="M1662" t="s">
        <v>1447</v>
      </c>
    </row>
    <row r="1663" spans="12:13" x14ac:dyDescent="0.25">
      <c r="L1663" s="65">
        <v>423290</v>
      </c>
      <c r="M1663" t="s">
        <v>1448</v>
      </c>
    </row>
    <row r="1664" spans="12:13" x14ac:dyDescent="0.25">
      <c r="L1664" s="65">
        <v>423291</v>
      </c>
      <c r="M1664" t="s">
        <v>1448</v>
      </c>
    </row>
    <row r="1665" spans="12:13" x14ac:dyDescent="0.25">
      <c r="L1665" s="65">
        <v>423300</v>
      </c>
      <c r="M1665" t="s">
        <v>1449</v>
      </c>
    </row>
    <row r="1666" spans="12:13" x14ac:dyDescent="0.25">
      <c r="L1666" s="65">
        <v>423310</v>
      </c>
      <c r="M1666" t="s">
        <v>1449</v>
      </c>
    </row>
    <row r="1667" spans="12:13" x14ac:dyDescent="0.25">
      <c r="L1667" s="65">
        <v>423311</v>
      </c>
      <c r="M1667" t="s">
        <v>1449</v>
      </c>
    </row>
    <row r="1668" spans="12:13" x14ac:dyDescent="0.25">
      <c r="L1668" s="65">
        <v>423320</v>
      </c>
      <c r="M1668" t="s">
        <v>1450</v>
      </c>
    </row>
    <row r="1669" spans="12:13" x14ac:dyDescent="0.25">
      <c r="L1669" s="65">
        <v>423321</v>
      </c>
      <c r="M1669" t="s">
        <v>1451</v>
      </c>
    </row>
    <row r="1670" spans="12:13" x14ac:dyDescent="0.25">
      <c r="L1670" s="65">
        <v>423322</v>
      </c>
      <c r="M1670" t="s">
        <v>1452</v>
      </c>
    </row>
    <row r="1671" spans="12:13" x14ac:dyDescent="0.25">
      <c r="L1671" s="65">
        <v>423323</v>
      </c>
      <c r="M1671" t="s">
        <v>1453</v>
      </c>
    </row>
    <row r="1672" spans="12:13" x14ac:dyDescent="0.25">
      <c r="L1672" s="65">
        <v>423390</v>
      </c>
      <c r="M1672" t="s">
        <v>1454</v>
      </c>
    </row>
    <row r="1673" spans="12:13" x14ac:dyDescent="0.25">
      <c r="L1673" s="65">
        <v>423391</v>
      </c>
      <c r="M1673" t="s">
        <v>1455</v>
      </c>
    </row>
    <row r="1674" spans="12:13" x14ac:dyDescent="0.25">
      <c r="L1674" s="65">
        <v>423399</v>
      </c>
      <c r="M1674" t="s">
        <v>1456</v>
      </c>
    </row>
    <row r="1675" spans="12:13" x14ac:dyDescent="0.25">
      <c r="L1675" s="65">
        <v>423400</v>
      </c>
      <c r="M1675" t="s">
        <v>1457</v>
      </c>
    </row>
    <row r="1676" spans="12:13" x14ac:dyDescent="0.25">
      <c r="L1676" s="65">
        <v>423410</v>
      </c>
      <c r="M1676" t="s">
        <v>1458</v>
      </c>
    </row>
    <row r="1677" spans="12:13" x14ac:dyDescent="0.25">
      <c r="L1677" s="65">
        <v>423411</v>
      </c>
      <c r="M1677" t="s">
        <v>1459</v>
      </c>
    </row>
    <row r="1678" spans="12:13" x14ac:dyDescent="0.25">
      <c r="L1678" s="65">
        <v>423412</v>
      </c>
      <c r="M1678" t="s">
        <v>1460</v>
      </c>
    </row>
    <row r="1679" spans="12:13" x14ac:dyDescent="0.25">
      <c r="L1679" s="65">
        <v>423413</v>
      </c>
      <c r="M1679" t="s">
        <v>1461</v>
      </c>
    </row>
    <row r="1680" spans="12:13" x14ac:dyDescent="0.25">
      <c r="L1680" s="65">
        <v>423419</v>
      </c>
      <c r="M1680" t="s">
        <v>1462</v>
      </c>
    </row>
    <row r="1681" spans="12:13" x14ac:dyDescent="0.25">
      <c r="L1681" s="65">
        <v>423420</v>
      </c>
      <c r="M1681" t="s">
        <v>1463</v>
      </c>
    </row>
    <row r="1682" spans="12:13" x14ac:dyDescent="0.25">
      <c r="L1682" s="65">
        <v>423421</v>
      </c>
      <c r="M1682" t="s">
        <v>1464</v>
      </c>
    </row>
    <row r="1683" spans="12:13" x14ac:dyDescent="0.25">
      <c r="L1683" s="65">
        <v>423422</v>
      </c>
      <c r="M1683" t="s">
        <v>1465</v>
      </c>
    </row>
    <row r="1684" spans="12:13" x14ac:dyDescent="0.25">
      <c r="L1684" s="65">
        <v>423430</v>
      </c>
      <c r="M1684" t="s">
        <v>1466</v>
      </c>
    </row>
    <row r="1685" spans="12:13" x14ac:dyDescent="0.25">
      <c r="L1685" s="65">
        <v>423431</v>
      </c>
      <c r="M1685" t="s">
        <v>1466</v>
      </c>
    </row>
    <row r="1686" spans="12:13" x14ac:dyDescent="0.25">
      <c r="L1686" s="65">
        <v>423432</v>
      </c>
      <c r="M1686" t="s">
        <v>1467</v>
      </c>
    </row>
    <row r="1687" spans="12:13" x14ac:dyDescent="0.25">
      <c r="L1687" s="65">
        <v>423439</v>
      </c>
      <c r="M1687" t="s">
        <v>1468</v>
      </c>
    </row>
    <row r="1688" spans="12:13" x14ac:dyDescent="0.25">
      <c r="L1688" s="65">
        <v>423440</v>
      </c>
      <c r="M1688" t="s">
        <v>1469</v>
      </c>
    </row>
    <row r="1689" spans="12:13" x14ac:dyDescent="0.25">
      <c r="L1689" s="65">
        <v>423441</v>
      </c>
      <c r="M1689" t="s">
        <v>1470</v>
      </c>
    </row>
    <row r="1690" spans="12:13" x14ac:dyDescent="0.25">
      <c r="L1690" s="65">
        <v>423449</v>
      </c>
      <c r="M1690" t="s">
        <v>1471</v>
      </c>
    </row>
    <row r="1691" spans="12:13" x14ac:dyDescent="0.25">
      <c r="L1691" s="65">
        <v>423500</v>
      </c>
      <c r="M1691" t="s">
        <v>1472</v>
      </c>
    </row>
    <row r="1692" spans="12:13" x14ac:dyDescent="0.25">
      <c r="L1692" s="65">
        <v>423510</v>
      </c>
      <c r="M1692" t="s">
        <v>1473</v>
      </c>
    </row>
    <row r="1693" spans="12:13" x14ac:dyDescent="0.25">
      <c r="L1693" s="65">
        <v>423511</v>
      </c>
      <c r="M1693" t="s">
        <v>1473</v>
      </c>
    </row>
    <row r="1694" spans="12:13" x14ac:dyDescent="0.25">
      <c r="L1694" s="65">
        <v>423520</v>
      </c>
      <c r="M1694" t="s">
        <v>1474</v>
      </c>
    </row>
    <row r="1695" spans="12:13" x14ac:dyDescent="0.25">
      <c r="L1695" s="65">
        <v>423521</v>
      </c>
      <c r="M1695" t="s">
        <v>1475</v>
      </c>
    </row>
    <row r="1696" spans="12:13" x14ac:dyDescent="0.25">
      <c r="L1696" s="65">
        <v>423522</v>
      </c>
      <c r="M1696" t="s">
        <v>1476</v>
      </c>
    </row>
    <row r="1697" spans="12:13" x14ac:dyDescent="0.25">
      <c r="L1697" s="65">
        <v>423530</v>
      </c>
      <c r="M1697" t="s">
        <v>1477</v>
      </c>
    </row>
    <row r="1698" spans="12:13" x14ac:dyDescent="0.25">
      <c r="L1698" s="65">
        <v>423531</v>
      </c>
      <c r="M1698" t="s">
        <v>1478</v>
      </c>
    </row>
    <row r="1699" spans="12:13" x14ac:dyDescent="0.25">
      <c r="L1699" s="65">
        <v>423532</v>
      </c>
      <c r="M1699" t="s">
        <v>1479</v>
      </c>
    </row>
    <row r="1700" spans="12:13" x14ac:dyDescent="0.25">
      <c r="L1700" s="65">
        <v>423539</v>
      </c>
      <c r="M1700" t="s">
        <v>1480</v>
      </c>
    </row>
    <row r="1701" spans="12:13" x14ac:dyDescent="0.25">
      <c r="L1701" s="65">
        <v>423540</v>
      </c>
      <c r="M1701" t="s">
        <v>1481</v>
      </c>
    </row>
    <row r="1702" spans="12:13" x14ac:dyDescent="0.25">
      <c r="L1702" s="65">
        <v>423541</v>
      </c>
      <c r="M1702" t="s">
        <v>1482</v>
      </c>
    </row>
    <row r="1703" spans="12:13" x14ac:dyDescent="0.25">
      <c r="L1703" s="65">
        <v>423542</v>
      </c>
      <c r="M1703" t="s">
        <v>1483</v>
      </c>
    </row>
    <row r="1704" spans="12:13" x14ac:dyDescent="0.25">
      <c r="L1704" s="65">
        <v>423590</v>
      </c>
      <c r="M1704" t="s">
        <v>1484</v>
      </c>
    </row>
    <row r="1705" spans="12:13" x14ac:dyDescent="0.25">
      <c r="L1705" s="65">
        <v>423591</v>
      </c>
      <c r="M1705" t="s">
        <v>1338</v>
      </c>
    </row>
    <row r="1706" spans="12:13" x14ac:dyDescent="0.25">
      <c r="L1706" s="65">
        <v>423599</v>
      </c>
      <c r="M1706" t="s">
        <v>1484</v>
      </c>
    </row>
    <row r="1707" spans="12:13" x14ac:dyDescent="0.25">
      <c r="L1707" s="65">
        <v>423600</v>
      </c>
      <c r="M1707" t="s">
        <v>1485</v>
      </c>
    </row>
    <row r="1708" spans="12:13" x14ac:dyDescent="0.25">
      <c r="L1708" s="65">
        <v>423610</v>
      </c>
      <c r="M1708" t="s">
        <v>1486</v>
      </c>
    </row>
    <row r="1709" spans="12:13" x14ac:dyDescent="0.25">
      <c r="L1709" s="65">
        <v>423611</v>
      </c>
      <c r="M1709" t="s">
        <v>1487</v>
      </c>
    </row>
    <row r="1710" spans="12:13" x14ac:dyDescent="0.25">
      <c r="L1710" s="65">
        <v>423612</v>
      </c>
      <c r="M1710" t="s">
        <v>1488</v>
      </c>
    </row>
    <row r="1711" spans="12:13" x14ac:dyDescent="0.25">
      <c r="L1711" s="65">
        <v>423620</v>
      </c>
      <c r="M1711" t="s">
        <v>1489</v>
      </c>
    </row>
    <row r="1712" spans="12:13" x14ac:dyDescent="0.25">
      <c r="L1712" s="65">
        <v>423621</v>
      </c>
      <c r="M1712" t="s">
        <v>1489</v>
      </c>
    </row>
    <row r="1713" spans="12:13" x14ac:dyDescent="0.25">
      <c r="L1713" s="65">
        <v>423700</v>
      </c>
      <c r="M1713" t="s">
        <v>1490</v>
      </c>
    </row>
    <row r="1714" spans="12:13" x14ac:dyDescent="0.25">
      <c r="L1714" s="65">
        <v>423710</v>
      </c>
      <c r="M1714" t="s">
        <v>1490</v>
      </c>
    </row>
    <row r="1715" spans="12:13" x14ac:dyDescent="0.25">
      <c r="L1715" s="65">
        <v>423711</v>
      </c>
      <c r="M1715" t="s">
        <v>1490</v>
      </c>
    </row>
    <row r="1716" spans="12:13" x14ac:dyDescent="0.25">
      <c r="L1716" s="65">
        <v>423712</v>
      </c>
      <c r="M1716" t="s">
        <v>1491</v>
      </c>
    </row>
    <row r="1717" spans="12:13" x14ac:dyDescent="0.25">
      <c r="L1717" s="65">
        <v>423900</v>
      </c>
      <c r="M1717" t="s">
        <v>1492</v>
      </c>
    </row>
    <row r="1718" spans="12:13" x14ac:dyDescent="0.25">
      <c r="L1718" s="65">
        <v>423910</v>
      </c>
      <c r="M1718" t="s">
        <v>1492</v>
      </c>
    </row>
    <row r="1719" spans="12:13" x14ac:dyDescent="0.25">
      <c r="L1719" s="65">
        <v>423911</v>
      </c>
      <c r="M1719" t="s">
        <v>1492</v>
      </c>
    </row>
    <row r="1720" spans="12:13" x14ac:dyDescent="0.25">
      <c r="L1720" s="65">
        <v>424000</v>
      </c>
      <c r="M1720" t="s">
        <v>1493</v>
      </c>
    </row>
    <row r="1721" spans="12:13" x14ac:dyDescent="0.25">
      <c r="L1721" s="65">
        <v>424100</v>
      </c>
      <c r="M1721" t="s">
        <v>1494</v>
      </c>
    </row>
    <row r="1722" spans="12:13" x14ac:dyDescent="0.25">
      <c r="L1722" s="65">
        <v>424110</v>
      </c>
      <c r="M1722" t="s">
        <v>1495</v>
      </c>
    </row>
    <row r="1723" spans="12:13" x14ac:dyDescent="0.25">
      <c r="L1723" s="65">
        <v>424111</v>
      </c>
      <c r="M1723" t="s">
        <v>1496</v>
      </c>
    </row>
    <row r="1724" spans="12:13" x14ac:dyDescent="0.25">
      <c r="L1724" s="65">
        <v>424112</v>
      </c>
      <c r="M1724" t="s">
        <v>1497</v>
      </c>
    </row>
    <row r="1725" spans="12:13" x14ac:dyDescent="0.25">
      <c r="L1725" s="65">
        <v>424113</v>
      </c>
      <c r="M1725" t="s">
        <v>1498</v>
      </c>
    </row>
    <row r="1726" spans="12:13" x14ac:dyDescent="0.25">
      <c r="L1726" s="65">
        <v>424119</v>
      </c>
      <c r="M1726" t="s">
        <v>1499</v>
      </c>
    </row>
    <row r="1727" spans="12:13" x14ac:dyDescent="0.25">
      <c r="L1727" s="65">
        <v>424200</v>
      </c>
      <c r="M1727" t="s">
        <v>1500</v>
      </c>
    </row>
    <row r="1728" spans="12:13" x14ac:dyDescent="0.25">
      <c r="L1728" s="65">
        <v>424210</v>
      </c>
      <c r="M1728" t="s">
        <v>1501</v>
      </c>
    </row>
    <row r="1729" spans="12:13" x14ac:dyDescent="0.25">
      <c r="L1729" s="65">
        <v>424211</v>
      </c>
      <c r="M1729" t="s">
        <v>1501</v>
      </c>
    </row>
    <row r="1730" spans="12:13" x14ac:dyDescent="0.25">
      <c r="L1730" s="65">
        <v>424212</v>
      </c>
      <c r="M1730" t="s">
        <v>1502</v>
      </c>
    </row>
    <row r="1731" spans="12:13" x14ac:dyDescent="0.25">
      <c r="L1731" s="65">
        <v>424213</v>
      </c>
      <c r="M1731" t="s">
        <v>1503</v>
      </c>
    </row>
    <row r="1732" spans="12:13" x14ac:dyDescent="0.25">
      <c r="L1732" s="65">
        <v>424220</v>
      </c>
      <c r="M1732" t="s">
        <v>1504</v>
      </c>
    </row>
    <row r="1733" spans="12:13" x14ac:dyDescent="0.25">
      <c r="L1733" s="65">
        <v>424221</v>
      </c>
      <c r="M1733" t="s">
        <v>1504</v>
      </c>
    </row>
    <row r="1734" spans="12:13" x14ac:dyDescent="0.25">
      <c r="L1734" s="65">
        <v>424230</v>
      </c>
      <c r="M1734" t="s">
        <v>1505</v>
      </c>
    </row>
    <row r="1735" spans="12:13" x14ac:dyDescent="0.25">
      <c r="L1735" s="65">
        <v>424231</v>
      </c>
      <c r="M1735" t="s">
        <v>1505</v>
      </c>
    </row>
    <row r="1736" spans="12:13" x14ac:dyDescent="0.25">
      <c r="L1736" s="65">
        <v>424300</v>
      </c>
      <c r="M1736" t="s">
        <v>1506</v>
      </c>
    </row>
    <row r="1737" spans="12:13" x14ac:dyDescent="0.25">
      <c r="L1737" s="65">
        <v>424310</v>
      </c>
      <c r="M1737" t="s">
        <v>1507</v>
      </c>
    </row>
    <row r="1738" spans="12:13" x14ac:dyDescent="0.25">
      <c r="L1738" s="65">
        <v>424311</v>
      </c>
      <c r="M1738" t="s">
        <v>1507</v>
      </c>
    </row>
    <row r="1739" spans="12:13" x14ac:dyDescent="0.25">
      <c r="L1739" s="65">
        <v>424320</v>
      </c>
      <c r="M1739" t="s">
        <v>1508</v>
      </c>
    </row>
    <row r="1740" spans="12:13" x14ac:dyDescent="0.25">
      <c r="L1740" s="65">
        <v>424321</v>
      </c>
      <c r="M1740" t="s">
        <v>1508</v>
      </c>
    </row>
    <row r="1741" spans="12:13" x14ac:dyDescent="0.25">
      <c r="L1741" s="65">
        <v>424330</v>
      </c>
      <c r="M1741" t="s">
        <v>1509</v>
      </c>
    </row>
    <row r="1742" spans="12:13" x14ac:dyDescent="0.25">
      <c r="L1742" s="65">
        <v>424331</v>
      </c>
      <c r="M1742" t="s">
        <v>1509</v>
      </c>
    </row>
    <row r="1743" spans="12:13" x14ac:dyDescent="0.25">
      <c r="L1743" s="65">
        <v>424340</v>
      </c>
      <c r="M1743" t="s">
        <v>1510</v>
      </c>
    </row>
    <row r="1744" spans="12:13" x14ac:dyDescent="0.25">
      <c r="L1744" s="65">
        <v>424341</v>
      </c>
      <c r="M1744" t="s">
        <v>1510</v>
      </c>
    </row>
    <row r="1745" spans="12:13" x14ac:dyDescent="0.25">
      <c r="L1745" s="65">
        <v>424350</v>
      </c>
      <c r="M1745" t="s">
        <v>1511</v>
      </c>
    </row>
    <row r="1746" spans="12:13" x14ac:dyDescent="0.25">
      <c r="L1746" s="65">
        <v>424351</v>
      </c>
      <c r="M1746" t="s">
        <v>1511</v>
      </c>
    </row>
    <row r="1747" spans="12:13" x14ac:dyDescent="0.25">
      <c r="L1747" s="65">
        <v>424400</v>
      </c>
      <c r="M1747" t="s">
        <v>1512</v>
      </c>
    </row>
    <row r="1748" spans="12:13" x14ac:dyDescent="0.25">
      <c r="L1748" s="65">
        <v>424410</v>
      </c>
      <c r="M1748" t="s">
        <v>1512</v>
      </c>
    </row>
    <row r="1749" spans="12:13" x14ac:dyDescent="0.25">
      <c r="L1749" s="65">
        <v>424411</v>
      </c>
      <c r="M1749" t="s">
        <v>1512</v>
      </c>
    </row>
    <row r="1750" spans="12:13" x14ac:dyDescent="0.25">
      <c r="L1750" s="65">
        <v>424500</v>
      </c>
      <c r="M1750" t="s">
        <v>1513</v>
      </c>
    </row>
    <row r="1751" spans="12:13" x14ac:dyDescent="0.25">
      <c r="L1751" s="65">
        <v>424510</v>
      </c>
      <c r="M1751" t="s">
        <v>1513</v>
      </c>
    </row>
    <row r="1752" spans="12:13" x14ac:dyDescent="0.25">
      <c r="L1752" s="65">
        <v>424511</v>
      </c>
      <c r="M1752" t="s">
        <v>1513</v>
      </c>
    </row>
    <row r="1753" spans="12:13" x14ac:dyDescent="0.25">
      <c r="L1753" s="65">
        <v>424600</v>
      </c>
      <c r="M1753" t="s">
        <v>1514</v>
      </c>
    </row>
    <row r="1754" spans="12:13" x14ac:dyDescent="0.25">
      <c r="L1754" s="65">
        <v>424610</v>
      </c>
      <c r="M1754" t="s">
        <v>1515</v>
      </c>
    </row>
    <row r="1755" spans="12:13" x14ac:dyDescent="0.25">
      <c r="L1755" s="65">
        <v>424611</v>
      </c>
      <c r="M1755" t="s">
        <v>1515</v>
      </c>
    </row>
    <row r="1756" spans="12:13" x14ac:dyDescent="0.25">
      <c r="L1756" s="65">
        <v>424620</v>
      </c>
      <c r="M1756" t="s">
        <v>1516</v>
      </c>
    </row>
    <row r="1757" spans="12:13" x14ac:dyDescent="0.25">
      <c r="L1757" s="65">
        <v>424621</v>
      </c>
      <c r="M1757" t="s">
        <v>1516</v>
      </c>
    </row>
    <row r="1758" spans="12:13" x14ac:dyDescent="0.25">
      <c r="L1758" s="65">
        <v>424630</v>
      </c>
      <c r="M1758" t="s">
        <v>1517</v>
      </c>
    </row>
    <row r="1759" spans="12:13" x14ac:dyDescent="0.25">
      <c r="L1759" s="65">
        <v>424631</v>
      </c>
      <c r="M1759" t="s">
        <v>1517</v>
      </c>
    </row>
    <row r="1760" spans="12:13" x14ac:dyDescent="0.25">
      <c r="L1760" s="65">
        <v>424900</v>
      </c>
      <c r="M1760" t="s">
        <v>1518</v>
      </c>
    </row>
    <row r="1761" spans="12:13" x14ac:dyDescent="0.25">
      <c r="L1761" s="65">
        <v>424910</v>
      </c>
      <c r="M1761" t="s">
        <v>1518</v>
      </c>
    </row>
    <row r="1762" spans="12:13" x14ac:dyDescent="0.25">
      <c r="L1762" s="65">
        <v>424911</v>
      </c>
      <c r="M1762" t="s">
        <v>1518</v>
      </c>
    </row>
    <row r="1763" spans="12:13" x14ac:dyDescent="0.25">
      <c r="L1763" s="65">
        <v>425000</v>
      </c>
      <c r="M1763" t="s">
        <v>1519</v>
      </c>
    </row>
    <row r="1764" spans="12:13" x14ac:dyDescent="0.25">
      <c r="L1764" s="65">
        <v>425100</v>
      </c>
      <c r="M1764" t="s">
        <v>1520</v>
      </c>
    </row>
    <row r="1765" spans="12:13" x14ac:dyDescent="0.25">
      <c r="L1765" s="65">
        <v>425110</v>
      </c>
      <c r="M1765" t="s">
        <v>1521</v>
      </c>
    </row>
    <row r="1766" spans="12:13" x14ac:dyDescent="0.25">
      <c r="L1766" s="65">
        <v>425111</v>
      </c>
      <c r="M1766" t="s">
        <v>1522</v>
      </c>
    </row>
    <row r="1767" spans="12:13" x14ac:dyDescent="0.25">
      <c r="L1767" s="65">
        <v>425112</v>
      </c>
      <c r="M1767" t="s">
        <v>1523</v>
      </c>
    </row>
    <row r="1768" spans="12:13" x14ac:dyDescent="0.25">
      <c r="L1768" s="65">
        <v>425113</v>
      </c>
      <c r="M1768" t="s">
        <v>1524</v>
      </c>
    </row>
    <row r="1769" spans="12:13" x14ac:dyDescent="0.25">
      <c r="L1769" s="65">
        <v>425114</v>
      </c>
      <c r="M1769" t="s">
        <v>1525</v>
      </c>
    </row>
    <row r="1770" spans="12:13" x14ac:dyDescent="0.25">
      <c r="L1770" s="65">
        <v>425115</v>
      </c>
      <c r="M1770" t="s">
        <v>1526</v>
      </c>
    </row>
    <row r="1771" spans="12:13" x14ac:dyDescent="0.25">
      <c r="L1771" s="65">
        <v>425116</v>
      </c>
      <c r="M1771" t="s">
        <v>1355</v>
      </c>
    </row>
    <row r="1772" spans="12:13" x14ac:dyDescent="0.25">
      <c r="L1772" s="65">
        <v>425117</v>
      </c>
      <c r="M1772" t="s">
        <v>1527</v>
      </c>
    </row>
    <row r="1773" spans="12:13" x14ac:dyDescent="0.25">
      <c r="L1773" s="65">
        <v>425118</v>
      </c>
      <c r="M1773" t="s">
        <v>1528</v>
      </c>
    </row>
    <row r="1774" spans="12:13" x14ac:dyDescent="0.25">
      <c r="L1774" s="65">
        <v>425119</v>
      </c>
      <c r="M1774" t="s">
        <v>1529</v>
      </c>
    </row>
    <row r="1775" spans="12:13" x14ac:dyDescent="0.25">
      <c r="L1775" s="65">
        <v>425190</v>
      </c>
      <c r="M1775" t="s">
        <v>1530</v>
      </c>
    </row>
    <row r="1776" spans="12:13" x14ac:dyDescent="0.25">
      <c r="L1776" s="65">
        <v>425191</v>
      </c>
      <c r="M1776" t="s">
        <v>1530</v>
      </c>
    </row>
    <row r="1777" spans="12:13" x14ac:dyDescent="0.25">
      <c r="L1777" s="65">
        <v>425200</v>
      </c>
      <c r="M1777" t="s">
        <v>1531</v>
      </c>
    </row>
    <row r="1778" spans="12:13" x14ac:dyDescent="0.25">
      <c r="L1778" s="65">
        <v>425210</v>
      </c>
      <c r="M1778" t="s">
        <v>1532</v>
      </c>
    </row>
    <row r="1779" spans="12:13" x14ac:dyDescent="0.25">
      <c r="L1779" s="65">
        <v>425211</v>
      </c>
      <c r="M1779" t="s">
        <v>1533</v>
      </c>
    </row>
    <row r="1780" spans="12:13" x14ac:dyDescent="0.25">
      <c r="L1780" s="65">
        <v>425212</v>
      </c>
      <c r="M1780" t="s">
        <v>1534</v>
      </c>
    </row>
    <row r="1781" spans="12:13" x14ac:dyDescent="0.25">
      <c r="L1781" s="65">
        <v>425213</v>
      </c>
      <c r="M1781" t="s">
        <v>1535</v>
      </c>
    </row>
    <row r="1782" spans="12:13" x14ac:dyDescent="0.25">
      <c r="L1782" s="65">
        <v>425219</v>
      </c>
      <c r="M1782" t="s">
        <v>1536</v>
      </c>
    </row>
    <row r="1783" spans="12:13" x14ac:dyDescent="0.25">
      <c r="L1783" s="65">
        <v>425220</v>
      </c>
      <c r="M1783" t="s">
        <v>1537</v>
      </c>
    </row>
    <row r="1784" spans="12:13" x14ac:dyDescent="0.25">
      <c r="L1784" s="65">
        <v>425221</v>
      </c>
      <c r="M1784" t="s">
        <v>1538</v>
      </c>
    </row>
    <row r="1785" spans="12:13" x14ac:dyDescent="0.25">
      <c r="L1785" s="65">
        <v>425222</v>
      </c>
      <c r="M1785" t="s">
        <v>338</v>
      </c>
    </row>
    <row r="1786" spans="12:13" x14ac:dyDescent="0.25">
      <c r="L1786" s="65">
        <v>425223</v>
      </c>
      <c r="M1786" t="s">
        <v>1539</v>
      </c>
    </row>
    <row r="1787" spans="12:13" x14ac:dyDescent="0.25">
      <c r="L1787" s="65">
        <v>425224</v>
      </c>
      <c r="M1787" t="s">
        <v>340</v>
      </c>
    </row>
    <row r="1788" spans="12:13" x14ac:dyDescent="0.25">
      <c r="L1788" s="65">
        <v>425225</v>
      </c>
      <c r="M1788" t="s">
        <v>341</v>
      </c>
    </row>
    <row r="1789" spans="12:13" x14ac:dyDescent="0.25">
      <c r="L1789" s="65">
        <v>425226</v>
      </c>
      <c r="M1789" t="s">
        <v>1540</v>
      </c>
    </row>
    <row r="1790" spans="12:13" x14ac:dyDescent="0.25">
      <c r="L1790" s="65">
        <v>425227</v>
      </c>
      <c r="M1790" t="s">
        <v>1541</v>
      </c>
    </row>
    <row r="1791" spans="12:13" x14ac:dyDescent="0.25">
      <c r="L1791" s="65">
        <v>425229</v>
      </c>
      <c r="M1791" t="s">
        <v>1542</v>
      </c>
    </row>
    <row r="1792" spans="12:13" x14ac:dyDescent="0.25">
      <c r="L1792" s="65">
        <v>425230</v>
      </c>
      <c r="M1792" t="s">
        <v>1543</v>
      </c>
    </row>
    <row r="1793" spans="12:13" x14ac:dyDescent="0.25">
      <c r="L1793" s="65">
        <v>425231</v>
      </c>
      <c r="M1793" t="s">
        <v>1543</v>
      </c>
    </row>
    <row r="1794" spans="12:13" x14ac:dyDescent="0.25">
      <c r="L1794" s="65">
        <v>425240</v>
      </c>
      <c r="M1794" t="s">
        <v>1544</v>
      </c>
    </row>
    <row r="1795" spans="12:13" x14ac:dyDescent="0.25">
      <c r="L1795" s="65">
        <v>425241</v>
      </c>
      <c r="M1795" t="s">
        <v>1545</v>
      </c>
    </row>
    <row r="1796" spans="12:13" x14ac:dyDescent="0.25">
      <c r="L1796" s="65">
        <v>425242</v>
      </c>
      <c r="M1796" t="s">
        <v>1546</v>
      </c>
    </row>
    <row r="1797" spans="12:13" x14ac:dyDescent="0.25">
      <c r="L1797" s="65">
        <v>425250</v>
      </c>
      <c r="M1797" t="s">
        <v>1547</v>
      </c>
    </row>
    <row r="1798" spans="12:13" x14ac:dyDescent="0.25">
      <c r="L1798" s="65">
        <v>425251</v>
      </c>
      <c r="M1798" t="s">
        <v>1548</v>
      </c>
    </row>
    <row r="1799" spans="12:13" x14ac:dyDescent="0.25">
      <c r="L1799" s="65">
        <v>425252</v>
      </c>
      <c r="M1799" t="s">
        <v>1549</v>
      </c>
    </row>
    <row r="1800" spans="12:13" x14ac:dyDescent="0.25">
      <c r="L1800" s="65">
        <v>425253</v>
      </c>
      <c r="M1800" t="s">
        <v>1550</v>
      </c>
    </row>
    <row r="1801" spans="12:13" x14ac:dyDescent="0.25">
      <c r="L1801" s="65">
        <v>425260</v>
      </c>
      <c r="M1801" t="s">
        <v>1551</v>
      </c>
    </row>
    <row r="1802" spans="12:13" x14ac:dyDescent="0.25">
      <c r="L1802" s="65">
        <v>425261</v>
      </c>
      <c r="M1802" t="s">
        <v>1552</v>
      </c>
    </row>
    <row r="1803" spans="12:13" x14ac:dyDescent="0.25">
      <c r="L1803" s="65">
        <v>425262</v>
      </c>
      <c r="M1803" t="s">
        <v>1553</v>
      </c>
    </row>
    <row r="1804" spans="12:13" x14ac:dyDescent="0.25">
      <c r="L1804" s="65">
        <v>425263</v>
      </c>
      <c r="M1804" t="s">
        <v>1554</v>
      </c>
    </row>
    <row r="1805" spans="12:13" x14ac:dyDescent="0.25">
      <c r="L1805" s="65">
        <v>425270</v>
      </c>
      <c r="M1805" t="s">
        <v>1555</v>
      </c>
    </row>
    <row r="1806" spans="12:13" x14ac:dyDescent="0.25">
      <c r="L1806" s="65">
        <v>425271</v>
      </c>
      <c r="M1806" t="s">
        <v>1555</v>
      </c>
    </row>
    <row r="1807" spans="12:13" x14ac:dyDescent="0.25">
      <c r="L1807" s="65">
        <v>425280</v>
      </c>
      <c r="M1807" t="s">
        <v>1556</v>
      </c>
    </row>
    <row r="1808" spans="12:13" x14ac:dyDescent="0.25">
      <c r="L1808" s="65">
        <v>425281</v>
      </c>
      <c r="M1808" t="s">
        <v>1556</v>
      </c>
    </row>
    <row r="1809" spans="12:13" x14ac:dyDescent="0.25">
      <c r="L1809" s="65">
        <v>425290</v>
      </c>
      <c r="M1809" t="s">
        <v>1557</v>
      </c>
    </row>
    <row r="1810" spans="12:13" x14ac:dyDescent="0.25">
      <c r="L1810" s="65">
        <v>425291</v>
      </c>
      <c r="M1810" t="s">
        <v>1557</v>
      </c>
    </row>
    <row r="1811" spans="12:13" x14ac:dyDescent="0.25">
      <c r="L1811" s="65">
        <v>426000</v>
      </c>
      <c r="M1811" t="s">
        <v>1558</v>
      </c>
    </row>
    <row r="1812" spans="12:13" x14ac:dyDescent="0.25">
      <c r="L1812" s="65">
        <v>426100</v>
      </c>
      <c r="M1812" t="s">
        <v>1559</v>
      </c>
    </row>
    <row r="1813" spans="12:13" x14ac:dyDescent="0.25">
      <c r="L1813" s="65">
        <v>426110</v>
      </c>
      <c r="M1813" t="s">
        <v>1560</v>
      </c>
    </row>
    <row r="1814" spans="12:13" x14ac:dyDescent="0.25">
      <c r="L1814" s="65">
        <v>426111</v>
      </c>
      <c r="M1814" t="s">
        <v>1560</v>
      </c>
    </row>
    <row r="1815" spans="12:13" x14ac:dyDescent="0.25">
      <c r="L1815" s="65">
        <v>426120</v>
      </c>
      <c r="M1815" t="s">
        <v>1561</v>
      </c>
    </row>
    <row r="1816" spans="12:13" x14ac:dyDescent="0.25">
      <c r="L1816" s="65">
        <v>426121</v>
      </c>
      <c r="M1816" t="s">
        <v>1562</v>
      </c>
    </row>
    <row r="1817" spans="12:13" x14ac:dyDescent="0.25">
      <c r="L1817" s="65">
        <v>426122</v>
      </c>
      <c r="M1817" t="s">
        <v>1563</v>
      </c>
    </row>
    <row r="1818" spans="12:13" x14ac:dyDescent="0.25">
      <c r="L1818" s="65">
        <v>426123</v>
      </c>
      <c r="M1818" t="s">
        <v>1564</v>
      </c>
    </row>
    <row r="1819" spans="12:13" x14ac:dyDescent="0.25">
      <c r="L1819" s="65">
        <v>426124</v>
      </c>
      <c r="M1819" t="s">
        <v>1565</v>
      </c>
    </row>
    <row r="1820" spans="12:13" x14ac:dyDescent="0.25">
      <c r="L1820" s="65">
        <v>426129</v>
      </c>
      <c r="M1820" t="s">
        <v>1566</v>
      </c>
    </row>
    <row r="1821" spans="12:13" x14ac:dyDescent="0.25">
      <c r="L1821" s="65">
        <v>426130</v>
      </c>
      <c r="M1821" t="s">
        <v>1567</v>
      </c>
    </row>
    <row r="1822" spans="12:13" x14ac:dyDescent="0.25">
      <c r="L1822" s="65">
        <v>426131</v>
      </c>
      <c r="M1822" t="s">
        <v>1568</v>
      </c>
    </row>
    <row r="1823" spans="12:13" x14ac:dyDescent="0.25">
      <c r="L1823" s="65">
        <v>426190</v>
      </c>
      <c r="M1823" t="s">
        <v>1569</v>
      </c>
    </row>
    <row r="1824" spans="12:13" x14ac:dyDescent="0.25">
      <c r="L1824" s="65">
        <v>426191</v>
      </c>
      <c r="M1824" t="s">
        <v>1569</v>
      </c>
    </row>
    <row r="1825" spans="12:13" x14ac:dyDescent="0.25">
      <c r="L1825" s="65">
        <v>426200</v>
      </c>
      <c r="M1825" t="s">
        <v>1570</v>
      </c>
    </row>
    <row r="1826" spans="12:13" x14ac:dyDescent="0.25">
      <c r="L1826" s="65">
        <v>426210</v>
      </c>
      <c r="M1826" t="s">
        <v>1571</v>
      </c>
    </row>
    <row r="1827" spans="12:13" x14ac:dyDescent="0.25">
      <c r="L1827" s="65">
        <v>426211</v>
      </c>
      <c r="M1827" t="s">
        <v>1571</v>
      </c>
    </row>
    <row r="1828" spans="12:13" x14ac:dyDescent="0.25">
      <c r="L1828" s="65">
        <v>426220</v>
      </c>
      <c r="M1828" t="s">
        <v>1572</v>
      </c>
    </row>
    <row r="1829" spans="12:13" x14ac:dyDescent="0.25">
      <c r="L1829" s="65">
        <v>426221</v>
      </c>
      <c r="M1829" t="s">
        <v>1572</v>
      </c>
    </row>
    <row r="1830" spans="12:13" x14ac:dyDescent="0.25">
      <c r="L1830" s="65">
        <v>426230</v>
      </c>
      <c r="M1830" t="s">
        <v>1573</v>
      </c>
    </row>
    <row r="1831" spans="12:13" x14ac:dyDescent="0.25">
      <c r="L1831" s="65">
        <v>426231</v>
      </c>
      <c r="M1831" t="s">
        <v>1573</v>
      </c>
    </row>
    <row r="1832" spans="12:13" x14ac:dyDescent="0.25">
      <c r="L1832" s="65">
        <v>426240</v>
      </c>
      <c r="M1832" t="s">
        <v>1574</v>
      </c>
    </row>
    <row r="1833" spans="12:13" x14ac:dyDescent="0.25">
      <c r="L1833" s="65">
        <v>426241</v>
      </c>
      <c r="M1833" t="s">
        <v>1574</v>
      </c>
    </row>
    <row r="1834" spans="12:13" x14ac:dyDescent="0.25">
      <c r="L1834" s="65">
        <v>426250</v>
      </c>
      <c r="M1834" t="s">
        <v>1575</v>
      </c>
    </row>
    <row r="1835" spans="12:13" x14ac:dyDescent="0.25">
      <c r="L1835" s="65">
        <v>426251</v>
      </c>
      <c r="M1835" t="s">
        <v>1575</v>
      </c>
    </row>
    <row r="1836" spans="12:13" x14ac:dyDescent="0.25">
      <c r="L1836" s="65">
        <v>426290</v>
      </c>
      <c r="M1836" t="s">
        <v>1576</v>
      </c>
    </row>
    <row r="1837" spans="12:13" x14ac:dyDescent="0.25">
      <c r="L1837" s="65">
        <v>426291</v>
      </c>
      <c r="M1837" t="s">
        <v>1576</v>
      </c>
    </row>
    <row r="1838" spans="12:13" x14ac:dyDescent="0.25">
      <c r="L1838" s="65">
        <v>426300</v>
      </c>
      <c r="M1838" t="s">
        <v>1577</v>
      </c>
    </row>
    <row r="1839" spans="12:13" x14ac:dyDescent="0.25">
      <c r="L1839" s="65">
        <v>426310</v>
      </c>
      <c r="M1839" t="s">
        <v>1578</v>
      </c>
    </row>
    <row r="1840" spans="12:13" x14ac:dyDescent="0.25">
      <c r="L1840" s="65">
        <v>426311</v>
      </c>
      <c r="M1840" t="s">
        <v>1579</v>
      </c>
    </row>
    <row r="1841" spans="12:13" x14ac:dyDescent="0.25">
      <c r="L1841" s="65">
        <v>426312</v>
      </c>
      <c r="M1841" t="s">
        <v>1580</v>
      </c>
    </row>
    <row r="1842" spans="12:13" x14ac:dyDescent="0.25">
      <c r="L1842" s="65">
        <v>426320</v>
      </c>
      <c r="M1842" t="s">
        <v>1581</v>
      </c>
    </row>
    <row r="1843" spans="12:13" x14ac:dyDescent="0.25">
      <c r="L1843" s="65">
        <v>426321</v>
      </c>
      <c r="M1843" t="s">
        <v>1581</v>
      </c>
    </row>
    <row r="1844" spans="12:13" x14ac:dyDescent="0.25">
      <c r="L1844" s="65">
        <v>426400</v>
      </c>
      <c r="M1844" t="s">
        <v>1582</v>
      </c>
    </row>
    <row r="1845" spans="12:13" x14ac:dyDescent="0.25">
      <c r="L1845" s="65">
        <v>426410</v>
      </c>
      <c r="M1845" t="s">
        <v>1583</v>
      </c>
    </row>
    <row r="1846" spans="12:13" x14ac:dyDescent="0.25">
      <c r="L1846" s="65">
        <v>426411</v>
      </c>
      <c r="M1846" t="s">
        <v>1584</v>
      </c>
    </row>
    <row r="1847" spans="12:13" x14ac:dyDescent="0.25">
      <c r="L1847" s="65">
        <v>426412</v>
      </c>
      <c r="M1847" t="s">
        <v>1585</v>
      </c>
    </row>
    <row r="1848" spans="12:13" x14ac:dyDescent="0.25">
      <c r="L1848" s="65">
        <v>426413</v>
      </c>
      <c r="M1848" t="s">
        <v>1586</v>
      </c>
    </row>
    <row r="1849" spans="12:13" x14ac:dyDescent="0.25">
      <c r="L1849" s="65">
        <v>426490</v>
      </c>
      <c r="M1849" t="s">
        <v>1587</v>
      </c>
    </row>
    <row r="1850" spans="12:13" x14ac:dyDescent="0.25">
      <c r="L1850" s="65">
        <v>426491</v>
      </c>
      <c r="M1850" t="s">
        <v>1587</v>
      </c>
    </row>
    <row r="1851" spans="12:13" x14ac:dyDescent="0.25">
      <c r="L1851" s="65">
        <v>426500</v>
      </c>
      <c r="M1851" t="s">
        <v>1588</v>
      </c>
    </row>
    <row r="1852" spans="12:13" x14ac:dyDescent="0.25">
      <c r="L1852" s="65">
        <v>426510</v>
      </c>
      <c r="M1852" t="s">
        <v>1589</v>
      </c>
    </row>
    <row r="1853" spans="12:13" x14ac:dyDescent="0.25">
      <c r="L1853" s="65">
        <v>426511</v>
      </c>
      <c r="M1853" t="s">
        <v>1589</v>
      </c>
    </row>
    <row r="1854" spans="12:13" x14ac:dyDescent="0.25">
      <c r="L1854" s="65">
        <v>426520</v>
      </c>
      <c r="M1854" t="s">
        <v>1590</v>
      </c>
    </row>
    <row r="1855" spans="12:13" x14ac:dyDescent="0.25">
      <c r="L1855" s="65">
        <v>426521</v>
      </c>
      <c r="M1855" t="s">
        <v>1590</v>
      </c>
    </row>
    <row r="1856" spans="12:13" x14ac:dyDescent="0.25">
      <c r="L1856" s="65">
        <v>426530</v>
      </c>
      <c r="M1856" t="s">
        <v>1591</v>
      </c>
    </row>
    <row r="1857" spans="12:13" x14ac:dyDescent="0.25">
      <c r="L1857" s="65">
        <v>426531</v>
      </c>
      <c r="M1857" t="s">
        <v>1591</v>
      </c>
    </row>
    <row r="1858" spans="12:13" x14ac:dyDescent="0.25">
      <c r="L1858" s="65">
        <v>426540</v>
      </c>
      <c r="M1858" t="s">
        <v>1592</v>
      </c>
    </row>
    <row r="1859" spans="12:13" x14ac:dyDescent="0.25">
      <c r="L1859" s="65">
        <v>426541</v>
      </c>
      <c r="M1859" t="s">
        <v>1592</v>
      </c>
    </row>
    <row r="1860" spans="12:13" x14ac:dyDescent="0.25">
      <c r="L1860" s="65">
        <v>426550</v>
      </c>
      <c r="M1860" t="s">
        <v>1593</v>
      </c>
    </row>
    <row r="1861" spans="12:13" x14ac:dyDescent="0.25">
      <c r="L1861" s="65">
        <v>426551</v>
      </c>
      <c r="M1861" t="s">
        <v>1593</v>
      </c>
    </row>
    <row r="1862" spans="12:13" x14ac:dyDescent="0.25">
      <c r="L1862" s="65">
        <v>426590</v>
      </c>
      <c r="M1862" t="s">
        <v>1594</v>
      </c>
    </row>
    <row r="1863" spans="12:13" x14ac:dyDescent="0.25">
      <c r="L1863" s="65">
        <v>426591</v>
      </c>
      <c r="M1863" t="s">
        <v>1594</v>
      </c>
    </row>
    <row r="1864" spans="12:13" x14ac:dyDescent="0.25">
      <c r="L1864" s="65">
        <v>426600</v>
      </c>
      <c r="M1864" t="s">
        <v>1595</v>
      </c>
    </row>
    <row r="1865" spans="12:13" x14ac:dyDescent="0.25">
      <c r="L1865" s="65">
        <v>426610</v>
      </c>
      <c r="M1865" t="s">
        <v>1581</v>
      </c>
    </row>
    <row r="1866" spans="12:13" x14ac:dyDescent="0.25">
      <c r="L1866" s="65">
        <v>426611</v>
      </c>
      <c r="M1866" t="s">
        <v>1581</v>
      </c>
    </row>
    <row r="1867" spans="12:13" x14ac:dyDescent="0.25">
      <c r="L1867" s="65">
        <v>426620</v>
      </c>
      <c r="M1867" t="s">
        <v>1596</v>
      </c>
    </row>
    <row r="1868" spans="12:13" x14ac:dyDescent="0.25">
      <c r="L1868" s="65">
        <v>426621</v>
      </c>
      <c r="M1868" t="s">
        <v>1596</v>
      </c>
    </row>
    <row r="1869" spans="12:13" x14ac:dyDescent="0.25">
      <c r="L1869" s="65">
        <v>426630</v>
      </c>
      <c r="M1869" t="s">
        <v>1597</v>
      </c>
    </row>
    <row r="1870" spans="12:13" x14ac:dyDescent="0.25">
      <c r="L1870" s="65">
        <v>426631</v>
      </c>
      <c r="M1870" t="s">
        <v>1597</v>
      </c>
    </row>
    <row r="1871" spans="12:13" x14ac:dyDescent="0.25">
      <c r="L1871" s="65">
        <v>426700</v>
      </c>
      <c r="M1871" t="s">
        <v>1598</v>
      </c>
    </row>
    <row r="1872" spans="12:13" x14ac:dyDescent="0.25">
      <c r="L1872" s="65">
        <v>426710</v>
      </c>
      <c r="M1872" t="s">
        <v>1599</v>
      </c>
    </row>
    <row r="1873" spans="12:13" x14ac:dyDescent="0.25">
      <c r="L1873" s="65">
        <v>426711</v>
      </c>
      <c r="M1873" t="s">
        <v>1599</v>
      </c>
    </row>
    <row r="1874" spans="12:13" x14ac:dyDescent="0.25">
      <c r="L1874" s="65">
        <v>426720</v>
      </c>
      <c r="M1874" t="s">
        <v>1600</v>
      </c>
    </row>
    <row r="1875" spans="12:13" x14ac:dyDescent="0.25">
      <c r="L1875" s="65">
        <v>426721</v>
      </c>
      <c r="M1875" t="s">
        <v>1600</v>
      </c>
    </row>
    <row r="1876" spans="12:13" x14ac:dyDescent="0.25">
      <c r="L1876" s="65">
        <v>426730</v>
      </c>
      <c r="M1876" t="s">
        <v>1601</v>
      </c>
    </row>
    <row r="1877" spans="12:13" x14ac:dyDescent="0.25">
      <c r="L1877" s="65">
        <v>426731</v>
      </c>
      <c r="M1877" t="s">
        <v>1601</v>
      </c>
    </row>
    <row r="1878" spans="12:13" x14ac:dyDescent="0.25">
      <c r="L1878" s="65">
        <v>426740</v>
      </c>
      <c r="M1878" t="s">
        <v>1602</v>
      </c>
    </row>
    <row r="1879" spans="12:13" x14ac:dyDescent="0.25">
      <c r="L1879" s="65">
        <v>426741</v>
      </c>
      <c r="M1879" t="s">
        <v>1602</v>
      </c>
    </row>
    <row r="1880" spans="12:13" x14ac:dyDescent="0.25">
      <c r="L1880" s="65">
        <v>426750</v>
      </c>
      <c r="M1880" t="s">
        <v>1603</v>
      </c>
    </row>
    <row r="1881" spans="12:13" x14ac:dyDescent="0.25">
      <c r="L1881" s="65">
        <v>426751</v>
      </c>
      <c r="M1881" t="s">
        <v>1603</v>
      </c>
    </row>
    <row r="1882" spans="12:13" x14ac:dyDescent="0.25">
      <c r="L1882" s="65">
        <v>426760</v>
      </c>
      <c r="M1882" t="s">
        <v>1604</v>
      </c>
    </row>
    <row r="1883" spans="12:13" x14ac:dyDescent="0.25">
      <c r="L1883" s="65">
        <v>426761</v>
      </c>
      <c r="M1883" t="s">
        <v>1604</v>
      </c>
    </row>
    <row r="1884" spans="12:13" x14ac:dyDescent="0.25">
      <c r="L1884" s="65">
        <v>426790</v>
      </c>
      <c r="M1884" t="s">
        <v>1605</v>
      </c>
    </row>
    <row r="1885" spans="12:13" x14ac:dyDescent="0.25">
      <c r="L1885" s="65">
        <v>426791</v>
      </c>
      <c r="M1885" t="s">
        <v>1605</v>
      </c>
    </row>
    <row r="1886" spans="12:13" x14ac:dyDescent="0.25">
      <c r="L1886" s="65">
        <v>426800</v>
      </c>
      <c r="M1886" t="s">
        <v>1606</v>
      </c>
    </row>
    <row r="1887" spans="12:13" x14ac:dyDescent="0.25">
      <c r="L1887" s="65">
        <v>426810</v>
      </c>
      <c r="M1887" t="s">
        <v>1607</v>
      </c>
    </row>
    <row r="1888" spans="12:13" x14ac:dyDescent="0.25">
      <c r="L1888" s="65">
        <v>426811</v>
      </c>
      <c r="M1888" t="s">
        <v>1608</v>
      </c>
    </row>
    <row r="1889" spans="12:13" x14ac:dyDescent="0.25">
      <c r="L1889" s="65">
        <v>426812</v>
      </c>
      <c r="M1889" t="s">
        <v>1609</v>
      </c>
    </row>
    <row r="1890" spans="12:13" x14ac:dyDescent="0.25">
      <c r="L1890" s="65">
        <v>426819</v>
      </c>
      <c r="M1890" t="s">
        <v>1610</v>
      </c>
    </row>
    <row r="1891" spans="12:13" x14ac:dyDescent="0.25">
      <c r="L1891" s="65">
        <v>426820</v>
      </c>
      <c r="M1891" t="s">
        <v>1611</v>
      </c>
    </row>
    <row r="1892" spans="12:13" x14ac:dyDescent="0.25">
      <c r="L1892" s="65">
        <v>426821</v>
      </c>
      <c r="M1892" t="s">
        <v>1612</v>
      </c>
    </row>
    <row r="1893" spans="12:13" x14ac:dyDescent="0.25">
      <c r="L1893" s="65">
        <v>426822</v>
      </c>
      <c r="M1893" t="s">
        <v>1613</v>
      </c>
    </row>
    <row r="1894" spans="12:13" x14ac:dyDescent="0.25">
      <c r="L1894" s="65">
        <v>426823</v>
      </c>
      <c r="M1894" t="s">
        <v>1614</v>
      </c>
    </row>
    <row r="1895" spans="12:13" x14ac:dyDescent="0.25">
      <c r="L1895" s="65">
        <v>426829</v>
      </c>
      <c r="M1895" t="s">
        <v>1615</v>
      </c>
    </row>
    <row r="1896" spans="12:13" x14ac:dyDescent="0.25">
      <c r="L1896" s="65">
        <v>426900</v>
      </c>
      <c r="M1896" t="s">
        <v>1616</v>
      </c>
    </row>
    <row r="1897" spans="12:13" x14ac:dyDescent="0.25">
      <c r="L1897" s="65">
        <v>426910</v>
      </c>
      <c r="M1897" t="s">
        <v>1616</v>
      </c>
    </row>
    <row r="1898" spans="12:13" x14ac:dyDescent="0.25">
      <c r="L1898" s="65">
        <v>426911</v>
      </c>
      <c r="M1898" t="s">
        <v>1617</v>
      </c>
    </row>
    <row r="1899" spans="12:13" x14ac:dyDescent="0.25">
      <c r="L1899" s="65">
        <v>426912</v>
      </c>
      <c r="M1899" t="s">
        <v>1618</v>
      </c>
    </row>
    <row r="1900" spans="12:13" x14ac:dyDescent="0.25">
      <c r="L1900" s="65">
        <v>426913</v>
      </c>
      <c r="M1900" t="s">
        <v>1619</v>
      </c>
    </row>
    <row r="1901" spans="12:13" x14ac:dyDescent="0.25">
      <c r="L1901" s="65">
        <v>426914</v>
      </c>
      <c r="M1901" t="s">
        <v>1620</v>
      </c>
    </row>
    <row r="1902" spans="12:13" x14ac:dyDescent="0.25">
      <c r="L1902" s="65">
        <v>426919</v>
      </c>
      <c r="M1902" t="s">
        <v>1621</v>
      </c>
    </row>
    <row r="1903" spans="12:13" x14ac:dyDescent="0.25">
      <c r="L1903" s="65">
        <v>430000</v>
      </c>
      <c r="M1903" t="s">
        <v>1622</v>
      </c>
    </row>
    <row r="1904" spans="12:13" x14ac:dyDescent="0.25">
      <c r="L1904" s="65">
        <v>431000</v>
      </c>
      <c r="M1904" t="s">
        <v>1623</v>
      </c>
    </row>
    <row r="1905" spans="12:13" x14ac:dyDescent="0.25">
      <c r="L1905" s="65">
        <v>431100</v>
      </c>
      <c r="M1905" t="s">
        <v>1624</v>
      </c>
    </row>
    <row r="1906" spans="12:13" x14ac:dyDescent="0.25">
      <c r="L1906" s="65">
        <v>431110</v>
      </c>
      <c r="M1906" t="s">
        <v>1624</v>
      </c>
    </row>
    <row r="1907" spans="12:13" x14ac:dyDescent="0.25">
      <c r="L1907" s="65">
        <v>431111</v>
      </c>
      <c r="M1907" t="s">
        <v>1624</v>
      </c>
    </row>
    <row r="1908" spans="12:13" x14ac:dyDescent="0.25">
      <c r="L1908" s="65">
        <v>431200</v>
      </c>
      <c r="M1908" t="s">
        <v>1625</v>
      </c>
    </row>
    <row r="1909" spans="12:13" x14ac:dyDescent="0.25">
      <c r="L1909" s="65">
        <v>431210</v>
      </c>
      <c r="M1909" t="s">
        <v>1625</v>
      </c>
    </row>
    <row r="1910" spans="12:13" x14ac:dyDescent="0.25">
      <c r="L1910" s="65">
        <v>431211</v>
      </c>
      <c r="M1910" t="s">
        <v>1625</v>
      </c>
    </row>
    <row r="1911" spans="12:13" x14ac:dyDescent="0.25">
      <c r="L1911" s="65">
        <v>431300</v>
      </c>
      <c r="M1911" t="s">
        <v>1626</v>
      </c>
    </row>
    <row r="1912" spans="12:13" x14ac:dyDescent="0.25">
      <c r="L1912" s="65">
        <v>431310</v>
      </c>
      <c r="M1912" t="s">
        <v>1626</v>
      </c>
    </row>
    <row r="1913" spans="12:13" x14ac:dyDescent="0.25">
      <c r="L1913" s="65">
        <v>431311</v>
      </c>
      <c r="M1913" t="s">
        <v>1626</v>
      </c>
    </row>
    <row r="1914" spans="12:13" x14ac:dyDescent="0.25">
      <c r="L1914" s="65">
        <v>432000</v>
      </c>
      <c r="M1914" t="s">
        <v>1627</v>
      </c>
    </row>
    <row r="1915" spans="12:13" x14ac:dyDescent="0.25">
      <c r="L1915" s="65">
        <v>432100</v>
      </c>
      <c r="M1915" t="s">
        <v>1627</v>
      </c>
    </row>
    <row r="1916" spans="12:13" x14ac:dyDescent="0.25">
      <c r="L1916" s="65">
        <v>432110</v>
      </c>
      <c r="M1916" t="s">
        <v>1627</v>
      </c>
    </row>
    <row r="1917" spans="12:13" x14ac:dyDescent="0.25">
      <c r="L1917" s="65">
        <v>432111</v>
      </c>
      <c r="M1917" t="s">
        <v>1627</v>
      </c>
    </row>
    <row r="1918" spans="12:13" x14ac:dyDescent="0.25">
      <c r="L1918" t="s">
        <v>1628</v>
      </c>
      <c r="M1918" t="s">
        <v>1629</v>
      </c>
    </row>
    <row r="1919" spans="12:13" x14ac:dyDescent="0.25">
      <c r="L1919" s="65">
        <v>433100</v>
      </c>
      <c r="M1919" t="s">
        <v>1630</v>
      </c>
    </row>
    <row r="1920" spans="12:13" x14ac:dyDescent="0.25">
      <c r="L1920" s="65">
        <v>433110</v>
      </c>
      <c r="M1920" t="s">
        <v>1630</v>
      </c>
    </row>
    <row r="1921" spans="12:13" x14ac:dyDescent="0.25">
      <c r="L1921" s="65">
        <v>433111</v>
      </c>
      <c r="M1921" t="s">
        <v>1630</v>
      </c>
    </row>
    <row r="1922" spans="12:13" x14ac:dyDescent="0.25">
      <c r="L1922" s="65">
        <v>434000</v>
      </c>
      <c r="M1922" t="s">
        <v>1631</v>
      </c>
    </row>
    <row r="1923" spans="12:13" x14ac:dyDescent="0.25">
      <c r="L1923" s="65">
        <v>434100</v>
      </c>
      <c r="M1923" t="s">
        <v>1632</v>
      </c>
    </row>
    <row r="1924" spans="12:13" x14ac:dyDescent="0.25">
      <c r="L1924" s="65">
        <v>434110</v>
      </c>
      <c r="M1924" t="s">
        <v>1632</v>
      </c>
    </row>
    <row r="1925" spans="12:13" x14ac:dyDescent="0.25">
      <c r="L1925" s="65">
        <v>434111</v>
      </c>
      <c r="M1925" t="s">
        <v>1632</v>
      </c>
    </row>
    <row r="1926" spans="12:13" x14ac:dyDescent="0.25">
      <c r="L1926" s="65">
        <v>434200</v>
      </c>
      <c r="M1926" t="s">
        <v>1633</v>
      </c>
    </row>
    <row r="1927" spans="12:13" x14ac:dyDescent="0.25">
      <c r="L1927" s="65">
        <v>434210</v>
      </c>
      <c r="M1927" t="s">
        <v>1633</v>
      </c>
    </row>
    <row r="1928" spans="12:13" x14ac:dyDescent="0.25">
      <c r="L1928" s="65">
        <v>434211</v>
      </c>
      <c r="M1928" t="s">
        <v>1633</v>
      </c>
    </row>
    <row r="1929" spans="12:13" x14ac:dyDescent="0.25">
      <c r="L1929" s="65">
        <v>434300</v>
      </c>
      <c r="M1929" t="s">
        <v>1634</v>
      </c>
    </row>
    <row r="1930" spans="12:13" x14ac:dyDescent="0.25">
      <c r="L1930" s="65">
        <v>434310</v>
      </c>
      <c r="M1930" t="s">
        <v>1635</v>
      </c>
    </row>
    <row r="1931" spans="12:13" x14ac:dyDescent="0.25">
      <c r="L1931" s="65">
        <v>434311</v>
      </c>
      <c r="M1931" t="s">
        <v>1635</v>
      </c>
    </row>
    <row r="1932" spans="12:13" x14ac:dyDescent="0.25">
      <c r="L1932" s="65">
        <v>434320</v>
      </c>
      <c r="M1932" t="s">
        <v>1636</v>
      </c>
    </row>
    <row r="1933" spans="12:13" x14ac:dyDescent="0.25">
      <c r="L1933" s="65">
        <v>434321</v>
      </c>
      <c r="M1933" t="s">
        <v>1636</v>
      </c>
    </row>
    <row r="1934" spans="12:13" x14ac:dyDescent="0.25">
      <c r="L1934" s="65">
        <v>435000</v>
      </c>
      <c r="M1934" t="s">
        <v>1637</v>
      </c>
    </row>
    <row r="1935" spans="12:13" x14ac:dyDescent="0.25">
      <c r="L1935" s="65">
        <v>435100</v>
      </c>
      <c r="M1935" t="s">
        <v>1637</v>
      </c>
    </row>
    <row r="1936" spans="12:13" x14ac:dyDescent="0.25">
      <c r="L1936" s="65">
        <v>435110</v>
      </c>
      <c r="M1936" t="s">
        <v>1637</v>
      </c>
    </row>
    <row r="1937" spans="12:13" x14ac:dyDescent="0.25">
      <c r="L1937" s="65">
        <v>435111</v>
      </c>
      <c r="M1937" t="s">
        <v>1637</v>
      </c>
    </row>
    <row r="1938" spans="12:13" x14ac:dyDescent="0.25">
      <c r="L1938" s="65">
        <v>440000</v>
      </c>
      <c r="M1938" t="s">
        <v>1638</v>
      </c>
    </row>
    <row r="1939" spans="12:13" x14ac:dyDescent="0.25">
      <c r="L1939" s="65">
        <v>441000</v>
      </c>
      <c r="M1939" t="s">
        <v>1639</v>
      </c>
    </row>
    <row r="1940" spans="12:13" x14ac:dyDescent="0.25">
      <c r="L1940" s="65">
        <v>441100</v>
      </c>
      <c r="M1940" t="s">
        <v>1640</v>
      </c>
    </row>
    <row r="1941" spans="12:13" x14ac:dyDescent="0.25">
      <c r="L1941" s="65">
        <v>441110</v>
      </c>
      <c r="M1941" t="s">
        <v>1641</v>
      </c>
    </row>
    <row r="1942" spans="12:13" x14ac:dyDescent="0.25">
      <c r="L1942" s="65">
        <v>441111</v>
      </c>
      <c r="M1942" t="s">
        <v>1641</v>
      </c>
    </row>
    <row r="1943" spans="12:13" x14ac:dyDescent="0.25">
      <c r="L1943" s="65">
        <v>441120</v>
      </c>
      <c r="M1943" t="s">
        <v>1642</v>
      </c>
    </row>
    <row r="1944" spans="12:13" x14ac:dyDescent="0.25">
      <c r="L1944" s="65">
        <v>441121</v>
      </c>
      <c r="M1944" t="s">
        <v>1642</v>
      </c>
    </row>
    <row r="1945" spans="12:13" x14ac:dyDescent="0.25">
      <c r="L1945" s="65">
        <v>441200</v>
      </c>
      <c r="M1945" t="s">
        <v>1643</v>
      </c>
    </row>
    <row r="1946" spans="12:13" x14ac:dyDescent="0.25">
      <c r="L1946" s="65">
        <v>441210</v>
      </c>
      <c r="M1946" t="s">
        <v>1644</v>
      </c>
    </row>
    <row r="1947" spans="12:13" x14ac:dyDescent="0.25">
      <c r="L1947" s="65">
        <v>441211</v>
      </c>
      <c r="M1947" t="s">
        <v>1644</v>
      </c>
    </row>
    <row r="1948" spans="12:13" x14ac:dyDescent="0.25">
      <c r="L1948" s="65">
        <v>441220</v>
      </c>
      <c r="M1948" t="s">
        <v>1645</v>
      </c>
    </row>
    <row r="1949" spans="12:13" x14ac:dyDescent="0.25">
      <c r="L1949" s="65">
        <v>441221</v>
      </c>
      <c r="M1949" t="s">
        <v>1645</v>
      </c>
    </row>
    <row r="1950" spans="12:13" x14ac:dyDescent="0.25">
      <c r="L1950" s="65">
        <v>441230</v>
      </c>
      <c r="M1950" t="s">
        <v>1646</v>
      </c>
    </row>
    <row r="1951" spans="12:13" x14ac:dyDescent="0.25">
      <c r="L1951" s="65">
        <v>441231</v>
      </c>
      <c r="M1951" t="s">
        <v>1646</v>
      </c>
    </row>
    <row r="1952" spans="12:13" x14ac:dyDescent="0.25">
      <c r="L1952" s="65">
        <v>441240</v>
      </c>
      <c r="M1952" t="s">
        <v>1647</v>
      </c>
    </row>
    <row r="1953" spans="12:13" x14ac:dyDescent="0.25">
      <c r="L1953" s="65">
        <v>441241</v>
      </c>
      <c r="M1953" t="s">
        <v>1647</v>
      </c>
    </row>
    <row r="1954" spans="12:13" x14ac:dyDescent="0.25">
      <c r="L1954" s="65">
        <v>441250</v>
      </c>
      <c r="M1954" t="s">
        <v>1648</v>
      </c>
    </row>
    <row r="1955" spans="12:13" x14ac:dyDescent="0.25">
      <c r="L1955" s="65">
        <v>441251</v>
      </c>
      <c r="M1955" t="s">
        <v>1649</v>
      </c>
    </row>
    <row r="1956" spans="12:13" x14ac:dyDescent="0.25">
      <c r="L1956" s="65">
        <v>441252</v>
      </c>
      <c r="M1956" t="s">
        <v>1650</v>
      </c>
    </row>
    <row r="1957" spans="12:13" x14ac:dyDescent="0.25">
      <c r="L1957" s="65">
        <v>441255</v>
      </c>
      <c r="M1957" t="s">
        <v>1651</v>
      </c>
    </row>
    <row r="1958" spans="12:13" x14ac:dyDescent="0.25">
      <c r="L1958" s="65">
        <v>441300</v>
      </c>
      <c r="M1958" t="s">
        <v>1652</v>
      </c>
    </row>
    <row r="1959" spans="12:13" x14ac:dyDescent="0.25">
      <c r="L1959" s="65">
        <v>441310</v>
      </c>
      <c r="M1959" t="s">
        <v>1653</v>
      </c>
    </row>
    <row r="1960" spans="12:13" x14ac:dyDescent="0.25">
      <c r="L1960" s="65">
        <v>441311</v>
      </c>
      <c r="M1960" t="s">
        <v>1653</v>
      </c>
    </row>
    <row r="1961" spans="12:13" x14ac:dyDescent="0.25">
      <c r="L1961" s="65">
        <v>441390</v>
      </c>
      <c r="M1961" t="s">
        <v>1654</v>
      </c>
    </row>
    <row r="1962" spans="12:13" x14ac:dyDescent="0.25">
      <c r="L1962" s="65">
        <v>441391</v>
      </c>
      <c r="M1962" t="s">
        <v>1654</v>
      </c>
    </row>
    <row r="1963" spans="12:13" x14ac:dyDescent="0.25">
      <c r="L1963" s="65">
        <v>441400</v>
      </c>
      <c r="M1963" t="s">
        <v>1655</v>
      </c>
    </row>
    <row r="1964" spans="12:13" x14ac:dyDescent="0.25">
      <c r="L1964" s="65">
        <v>441410</v>
      </c>
      <c r="M1964" t="s">
        <v>1655</v>
      </c>
    </row>
    <row r="1965" spans="12:13" x14ac:dyDescent="0.25">
      <c r="L1965" s="65">
        <v>441411</v>
      </c>
      <c r="M1965" t="s">
        <v>1655</v>
      </c>
    </row>
    <row r="1966" spans="12:13" x14ac:dyDescent="0.25">
      <c r="L1966" s="65">
        <v>441500</v>
      </c>
      <c r="M1966" t="s">
        <v>1656</v>
      </c>
    </row>
    <row r="1967" spans="12:13" x14ac:dyDescent="0.25">
      <c r="L1967" s="65">
        <v>441510</v>
      </c>
      <c r="M1967" t="s">
        <v>1656</v>
      </c>
    </row>
    <row r="1968" spans="12:13" x14ac:dyDescent="0.25">
      <c r="L1968" s="65">
        <v>441511</v>
      </c>
      <c r="M1968" t="s">
        <v>1656</v>
      </c>
    </row>
    <row r="1969" spans="12:13" x14ac:dyDescent="0.25">
      <c r="L1969" s="65">
        <v>441600</v>
      </c>
      <c r="M1969" t="s">
        <v>1657</v>
      </c>
    </row>
    <row r="1970" spans="12:13" x14ac:dyDescent="0.25">
      <c r="L1970" s="65">
        <v>441610</v>
      </c>
      <c r="M1970" t="s">
        <v>1657</v>
      </c>
    </row>
    <row r="1971" spans="12:13" x14ac:dyDescent="0.25">
      <c r="L1971" s="65">
        <v>441611</v>
      </c>
      <c r="M1971" t="s">
        <v>1657</v>
      </c>
    </row>
    <row r="1972" spans="12:13" x14ac:dyDescent="0.25">
      <c r="L1972" s="65">
        <v>441700</v>
      </c>
      <c r="M1972" t="s">
        <v>1658</v>
      </c>
    </row>
    <row r="1973" spans="12:13" x14ac:dyDescent="0.25">
      <c r="L1973" s="65">
        <v>441710</v>
      </c>
      <c r="M1973" t="s">
        <v>1658</v>
      </c>
    </row>
    <row r="1974" spans="12:13" x14ac:dyDescent="0.25">
      <c r="L1974" s="65">
        <v>441711</v>
      </c>
      <c r="M1974" t="s">
        <v>1658</v>
      </c>
    </row>
    <row r="1975" spans="12:13" x14ac:dyDescent="0.25">
      <c r="L1975" s="65">
        <v>441800</v>
      </c>
      <c r="M1975" t="s">
        <v>1659</v>
      </c>
    </row>
    <row r="1976" spans="12:13" x14ac:dyDescent="0.25">
      <c r="L1976" s="65">
        <v>441810</v>
      </c>
      <c r="M1976" t="s">
        <v>1659</v>
      </c>
    </row>
    <row r="1977" spans="12:13" x14ac:dyDescent="0.25">
      <c r="L1977" s="65">
        <v>441811</v>
      </c>
      <c r="M1977" t="s">
        <v>1659</v>
      </c>
    </row>
    <row r="1978" spans="12:13" x14ac:dyDescent="0.25">
      <c r="L1978" s="65">
        <v>441900</v>
      </c>
      <c r="M1978" t="s">
        <v>1660</v>
      </c>
    </row>
    <row r="1979" spans="12:13" x14ac:dyDescent="0.25">
      <c r="L1979" s="65">
        <v>441910</v>
      </c>
      <c r="M1979" t="s">
        <v>1660</v>
      </c>
    </row>
    <row r="1980" spans="12:13" x14ac:dyDescent="0.25">
      <c r="L1980" s="65">
        <v>441911</v>
      </c>
      <c r="M1980" t="s">
        <v>1661</v>
      </c>
    </row>
    <row r="1981" spans="12:13" x14ac:dyDescent="0.25">
      <c r="L1981" s="65">
        <v>442000</v>
      </c>
      <c r="M1981" t="s">
        <v>1662</v>
      </c>
    </row>
    <row r="1982" spans="12:13" x14ac:dyDescent="0.25">
      <c r="L1982" s="65">
        <v>442100</v>
      </c>
      <c r="M1982" t="s">
        <v>1663</v>
      </c>
    </row>
    <row r="1983" spans="12:13" x14ac:dyDescent="0.25">
      <c r="L1983" s="65">
        <v>442110</v>
      </c>
      <c r="M1983" t="s">
        <v>1664</v>
      </c>
    </row>
    <row r="1984" spans="12:13" x14ac:dyDescent="0.25">
      <c r="L1984" s="65">
        <v>442111</v>
      </c>
      <c r="M1984" t="s">
        <v>1664</v>
      </c>
    </row>
    <row r="1985" spans="12:13" x14ac:dyDescent="0.25">
      <c r="L1985" s="65">
        <v>442120</v>
      </c>
      <c r="M1985" t="s">
        <v>1665</v>
      </c>
    </row>
    <row r="1986" spans="12:13" x14ac:dyDescent="0.25">
      <c r="L1986" s="65">
        <v>442121</v>
      </c>
      <c r="M1986" t="s">
        <v>1666</v>
      </c>
    </row>
    <row r="1987" spans="12:13" x14ac:dyDescent="0.25">
      <c r="L1987" s="65">
        <v>442200</v>
      </c>
      <c r="M1987" t="s">
        <v>1667</v>
      </c>
    </row>
    <row r="1988" spans="12:13" x14ac:dyDescent="0.25">
      <c r="L1988" s="65">
        <v>442210</v>
      </c>
      <c r="M1988" t="s">
        <v>1668</v>
      </c>
    </row>
    <row r="1989" spans="12:13" x14ac:dyDescent="0.25">
      <c r="L1989" s="65">
        <v>442211</v>
      </c>
      <c r="M1989" t="s">
        <v>1668</v>
      </c>
    </row>
    <row r="1990" spans="12:13" x14ac:dyDescent="0.25">
      <c r="L1990" s="65">
        <v>442220</v>
      </c>
      <c r="M1990" t="s">
        <v>1669</v>
      </c>
    </row>
    <row r="1991" spans="12:13" x14ac:dyDescent="0.25">
      <c r="L1991" s="65">
        <v>442221</v>
      </c>
      <c r="M1991" t="s">
        <v>1669</v>
      </c>
    </row>
    <row r="1992" spans="12:13" x14ac:dyDescent="0.25">
      <c r="L1992" s="65">
        <v>442290</v>
      </c>
      <c r="M1992" t="s">
        <v>1670</v>
      </c>
    </row>
    <row r="1993" spans="12:13" x14ac:dyDescent="0.25">
      <c r="L1993" s="65">
        <v>442291</v>
      </c>
      <c r="M1993" t="s">
        <v>1670</v>
      </c>
    </row>
    <row r="1994" spans="12:13" x14ac:dyDescent="0.25">
      <c r="L1994" s="65">
        <v>442300</v>
      </c>
      <c r="M1994" t="s">
        <v>1671</v>
      </c>
    </row>
    <row r="1995" spans="12:13" x14ac:dyDescent="0.25">
      <c r="L1995" s="65">
        <v>442310</v>
      </c>
      <c r="M1995" t="s">
        <v>1672</v>
      </c>
    </row>
    <row r="1996" spans="12:13" x14ac:dyDescent="0.25">
      <c r="L1996" s="65">
        <v>442311</v>
      </c>
      <c r="M1996" t="s">
        <v>1672</v>
      </c>
    </row>
    <row r="1997" spans="12:13" x14ac:dyDescent="0.25">
      <c r="L1997" s="65">
        <v>442320</v>
      </c>
      <c r="M1997" t="s">
        <v>1673</v>
      </c>
    </row>
    <row r="1998" spans="12:13" x14ac:dyDescent="0.25">
      <c r="L1998" s="65">
        <v>442321</v>
      </c>
      <c r="M1998" t="s">
        <v>1673</v>
      </c>
    </row>
    <row r="1999" spans="12:13" x14ac:dyDescent="0.25">
      <c r="L1999" s="65">
        <v>442330</v>
      </c>
      <c r="M1999" t="s">
        <v>1674</v>
      </c>
    </row>
    <row r="2000" spans="12:13" x14ac:dyDescent="0.25">
      <c r="L2000" s="65">
        <v>442331</v>
      </c>
      <c r="M2000" t="s">
        <v>1674</v>
      </c>
    </row>
    <row r="2001" spans="12:13" x14ac:dyDescent="0.25">
      <c r="L2001" s="65">
        <v>442340</v>
      </c>
      <c r="M2001" t="s">
        <v>1675</v>
      </c>
    </row>
    <row r="2002" spans="12:13" x14ac:dyDescent="0.25">
      <c r="L2002" s="65">
        <v>442341</v>
      </c>
      <c r="M2002" t="s">
        <v>1675</v>
      </c>
    </row>
    <row r="2003" spans="12:13" x14ac:dyDescent="0.25">
      <c r="L2003" s="65">
        <v>442350</v>
      </c>
      <c r="M2003" t="s">
        <v>1676</v>
      </c>
    </row>
    <row r="2004" spans="12:13" x14ac:dyDescent="0.25">
      <c r="L2004" s="65">
        <v>442351</v>
      </c>
      <c r="M2004" t="s">
        <v>1676</v>
      </c>
    </row>
    <row r="2005" spans="12:13" x14ac:dyDescent="0.25">
      <c r="L2005" s="65">
        <v>442390</v>
      </c>
      <c r="M2005" t="s">
        <v>1677</v>
      </c>
    </row>
    <row r="2006" spans="12:13" x14ac:dyDescent="0.25">
      <c r="L2006" s="65">
        <v>442391</v>
      </c>
      <c r="M2006" t="s">
        <v>1677</v>
      </c>
    </row>
    <row r="2007" spans="12:13" x14ac:dyDescent="0.25">
      <c r="L2007" s="65">
        <v>442400</v>
      </c>
      <c r="M2007" t="s">
        <v>1678</v>
      </c>
    </row>
    <row r="2008" spans="12:13" x14ac:dyDescent="0.25">
      <c r="L2008" s="65">
        <v>442410</v>
      </c>
      <c r="M2008" t="s">
        <v>1679</v>
      </c>
    </row>
    <row r="2009" spans="12:13" x14ac:dyDescent="0.25">
      <c r="L2009" s="65">
        <v>442411</v>
      </c>
      <c r="M2009" t="s">
        <v>1679</v>
      </c>
    </row>
    <row r="2010" spans="12:13" x14ac:dyDescent="0.25">
      <c r="L2010" s="65">
        <v>442490</v>
      </c>
      <c r="M2010" t="s">
        <v>1680</v>
      </c>
    </row>
    <row r="2011" spans="12:13" x14ac:dyDescent="0.25">
      <c r="L2011" s="65">
        <v>442491</v>
      </c>
      <c r="M2011" t="s">
        <v>1680</v>
      </c>
    </row>
    <row r="2012" spans="12:13" x14ac:dyDescent="0.25">
      <c r="L2012" s="65">
        <v>442500</v>
      </c>
      <c r="M2012" t="s">
        <v>1681</v>
      </c>
    </row>
    <row r="2013" spans="12:13" x14ac:dyDescent="0.25">
      <c r="L2013" s="65">
        <v>442510</v>
      </c>
      <c r="M2013" t="s">
        <v>1681</v>
      </c>
    </row>
    <row r="2014" spans="12:13" x14ac:dyDescent="0.25">
      <c r="L2014" s="65">
        <v>442511</v>
      </c>
      <c r="M2014" t="s">
        <v>1681</v>
      </c>
    </row>
    <row r="2015" spans="12:13" x14ac:dyDescent="0.25">
      <c r="L2015" s="65">
        <v>442600</v>
      </c>
      <c r="M2015" t="s">
        <v>1682</v>
      </c>
    </row>
    <row r="2016" spans="12:13" x14ac:dyDescent="0.25">
      <c r="L2016" s="65">
        <v>442610</v>
      </c>
      <c r="M2016" t="s">
        <v>1682</v>
      </c>
    </row>
    <row r="2017" spans="12:13" x14ac:dyDescent="0.25">
      <c r="L2017" s="65">
        <v>442611</v>
      </c>
      <c r="M2017" t="s">
        <v>1682</v>
      </c>
    </row>
    <row r="2018" spans="12:13" x14ac:dyDescent="0.25">
      <c r="L2018" s="65">
        <v>443000</v>
      </c>
      <c r="M2018" t="s">
        <v>1683</v>
      </c>
    </row>
    <row r="2019" spans="12:13" x14ac:dyDescent="0.25">
      <c r="L2019" s="65">
        <v>443100</v>
      </c>
      <c r="M2019" t="s">
        <v>1683</v>
      </c>
    </row>
    <row r="2020" spans="12:13" x14ac:dyDescent="0.25">
      <c r="L2020" s="65">
        <v>443110</v>
      </c>
      <c r="M2020" t="s">
        <v>1683</v>
      </c>
    </row>
    <row r="2021" spans="12:13" x14ac:dyDescent="0.25">
      <c r="L2021" s="65">
        <v>443111</v>
      </c>
      <c r="M2021" t="s">
        <v>1683</v>
      </c>
    </row>
    <row r="2022" spans="12:13" x14ac:dyDescent="0.25">
      <c r="L2022" s="65">
        <v>444000</v>
      </c>
      <c r="M2022" t="s">
        <v>1684</v>
      </c>
    </row>
    <row r="2023" spans="12:13" x14ac:dyDescent="0.25">
      <c r="L2023" s="65">
        <v>444100</v>
      </c>
      <c r="M2023" t="s">
        <v>1685</v>
      </c>
    </row>
    <row r="2024" spans="12:13" x14ac:dyDescent="0.25">
      <c r="L2024" s="65">
        <v>444110</v>
      </c>
      <c r="M2024" t="s">
        <v>1685</v>
      </c>
    </row>
    <row r="2025" spans="12:13" x14ac:dyDescent="0.25">
      <c r="L2025" s="65">
        <v>444111</v>
      </c>
      <c r="M2025" t="s">
        <v>1685</v>
      </c>
    </row>
    <row r="2026" spans="12:13" x14ac:dyDescent="0.25">
      <c r="L2026" s="65">
        <v>444200</v>
      </c>
      <c r="M2026" t="s">
        <v>1686</v>
      </c>
    </row>
    <row r="2027" spans="12:13" x14ac:dyDescent="0.25">
      <c r="L2027" s="65">
        <v>444210</v>
      </c>
      <c r="M2027" t="s">
        <v>1686</v>
      </c>
    </row>
    <row r="2028" spans="12:13" x14ac:dyDescent="0.25">
      <c r="L2028" s="65">
        <v>444211</v>
      </c>
      <c r="M2028" t="s">
        <v>1686</v>
      </c>
    </row>
    <row r="2029" spans="12:13" x14ac:dyDescent="0.25">
      <c r="L2029" s="65">
        <v>444212</v>
      </c>
      <c r="M2029" t="s">
        <v>1687</v>
      </c>
    </row>
    <row r="2030" spans="12:13" x14ac:dyDescent="0.25">
      <c r="L2030" s="65">
        <v>444219</v>
      </c>
      <c r="M2030" t="s">
        <v>1688</v>
      </c>
    </row>
    <row r="2031" spans="12:13" x14ac:dyDescent="0.25">
      <c r="L2031" s="65">
        <v>444300</v>
      </c>
      <c r="M2031" t="s">
        <v>1689</v>
      </c>
    </row>
    <row r="2032" spans="12:13" x14ac:dyDescent="0.25">
      <c r="L2032" s="65">
        <v>444310</v>
      </c>
      <c r="M2032" t="s">
        <v>1689</v>
      </c>
    </row>
    <row r="2033" spans="12:13" x14ac:dyDescent="0.25">
      <c r="L2033" s="65">
        <v>444311</v>
      </c>
      <c r="M2033" t="s">
        <v>1689</v>
      </c>
    </row>
    <row r="2034" spans="12:13" x14ac:dyDescent="0.25">
      <c r="L2034" s="65">
        <v>450000</v>
      </c>
      <c r="M2034" t="s">
        <v>1690</v>
      </c>
    </row>
    <row r="2035" spans="12:13" x14ac:dyDescent="0.25">
      <c r="L2035" s="65">
        <v>451000</v>
      </c>
      <c r="M2035" t="s">
        <v>1691</v>
      </c>
    </row>
    <row r="2036" spans="12:13" x14ac:dyDescent="0.25">
      <c r="L2036" s="65">
        <v>451100</v>
      </c>
      <c r="M2036" t="s">
        <v>1692</v>
      </c>
    </row>
    <row r="2037" spans="12:13" x14ac:dyDescent="0.25">
      <c r="L2037" s="65">
        <v>451110</v>
      </c>
      <c r="M2037" t="s">
        <v>1693</v>
      </c>
    </row>
    <row r="2038" spans="12:13" x14ac:dyDescent="0.25">
      <c r="L2038" s="65">
        <v>451111</v>
      </c>
      <c r="M2038" t="s">
        <v>1693</v>
      </c>
    </row>
    <row r="2039" spans="12:13" x14ac:dyDescent="0.25">
      <c r="L2039" s="65">
        <v>451120</v>
      </c>
      <c r="M2039" t="s">
        <v>1694</v>
      </c>
    </row>
    <row r="2040" spans="12:13" x14ac:dyDescent="0.25">
      <c r="L2040" s="65">
        <v>451121</v>
      </c>
      <c r="M2040" t="s">
        <v>1695</v>
      </c>
    </row>
    <row r="2041" spans="12:13" x14ac:dyDescent="0.25">
      <c r="L2041" s="65">
        <v>451122</v>
      </c>
      <c r="M2041" t="s">
        <v>1696</v>
      </c>
    </row>
    <row r="2042" spans="12:13" x14ac:dyDescent="0.25">
      <c r="L2042" s="65">
        <v>451129</v>
      </c>
      <c r="M2042" t="s">
        <v>1697</v>
      </c>
    </row>
    <row r="2043" spans="12:13" x14ac:dyDescent="0.25">
      <c r="L2043" s="65">
        <v>451130</v>
      </c>
      <c r="M2043" t="s">
        <v>1698</v>
      </c>
    </row>
    <row r="2044" spans="12:13" x14ac:dyDescent="0.25">
      <c r="L2044" s="65">
        <v>451131</v>
      </c>
      <c r="M2044" t="s">
        <v>1698</v>
      </c>
    </row>
    <row r="2045" spans="12:13" x14ac:dyDescent="0.25">
      <c r="L2045" s="65">
        <v>451140</v>
      </c>
      <c r="M2045" t="s">
        <v>1699</v>
      </c>
    </row>
    <row r="2046" spans="12:13" x14ac:dyDescent="0.25">
      <c r="L2046" s="65">
        <v>451141</v>
      </c>
      <c r="M2046" t="s">
        <v>1699</v>
      </c>
    </row>
    <row r="2047" spans="12:13" x14ac:dyDescent="0.25">
      <c r="L2047" s="65">
        <v>451190</v>
      </c>
      <c r="M2047" t="s">
        <v>1700</v>
      </c>
    </row>
    <row r="2048" spans="12:13" x14ac:dyDescent="0.25">
      <c r="L2048" s="65">
        <v>451191</v>
      </c>
      <c r="M2048" t="s">
        <v>1700</v>
      </c>
    </row>
    <row r="2049" spans="12:13" x14ac:dyDescent="0.25">
      <c r="L2049" s="65">
        <v>451200</v>
      </c>
      <c r="M2049" t="s">
        <v>1701</v>
      </c>
    </row>
    <row r="2050" spans="12:13" x14ac:dyDescent="0.25">
      <c r="L2050" s="65">
        <v>451210</v>
      </c>
      <c r="M2050" t="s">
        <v>1702</v>
      </c>
    </row>
    <row r="2051" spans="12:13" x14ac:dyDescent="0.25">
      <c r="L2051" s="65">
        <v>451211</v>
      </c>
      <c r="M2051" t="s">
        <v>1702</v>
      </c>
    </row>
    <row r="2052" spans="12:13" x14ac:dyDescent="0.25">
      <c r="L2052" s="65">
        <v>451220</v>
      </c>
      <c r="M2052" t="s">
        <v>1703</v>
      </c>
    </row>
    <row r="2053" spans="12:13" x14ac:dyDescent="0.25">
      <c r="L2053" s="65">
        <v>451221</v>
      </c>
      <c r="M2053" t="s">
        <v>1704</v>
      </c>
    </row>
    <row r="2054" spans="12:13" x14ac:dyDescent="0.25">
      <c r="L2054" s="65">
        <v>451230</v>
      </c>
      <c r="M2054" t="s">
        <v>1705</v>
      </c>
    </row>
    <row r="2055" spans="12:13" x14ac:dyDescent="0.25">
      <c r="L2055" s="65">
        <v>451231</v>
      </c>
      <c r="M2055" t="s">
        <v>1705</v>
      </c>
    </row>
    <row r="2056" spans="12:13" x14ac:dyDescent="0.25">
      <c r="L2056" s="65">
        <v>451240</v>
      </c>
      <c r="M2056" t="s">
        <v>1706</v>
      </c>
    </row>
    <row r="2057" spans="12:13" x14ac:dyDescent="0.25">
      <c r="L2057" s="65">
        <v>451241</v>
      </c>
      <c r="M2057" t="s">
        <v>1706</v>
      </c>
    </row>
    <row r="2058" spans="12:13" x14ac:dyDescent="0.25">
      <c r="L2058" s="65">
        <v>451290</v>
      </c>
      <c r="M2058" t="s">
        <v>1707</v>
      </c>
    </row>
    <row r="2059" spans="12:13" x14ac:dyDescent="0.25">
      <c r="L2059" s="65">
        <v>451291</v>
      </c>
      <c r="M2059" t="s">
        <v>1707</v>
      </c>
    </row>
    <row r="2060" spans="12:13" x14ac:dyDescent="0.25">
      <c r="L2060" s="65">
        <v>452000</v>
      </c>
      <c r="M2060" t="s">
        <v>1708</v>
      </c>
    </row>
    <row r="2061" spans="12:13" x14ac:dyDescent="0.25">
      <c r="L2061" s="65">
        <v>452100</v>
      </c>
      <c r="M2061" t="s">
        <v>1709</v>
      </c>
    </row>
    <row r="2062" spans="12:13" x14ac:dyDescent="0.25">
      <c r="L2062" s="65">
        <v>452110</v>
      </c>
      <c r="M2062" t="s">
        <v>1710</v>
      </c>
    </row>
    <row r="2063" spans="12:13" x14ac:dyDescent="0.25">
      <c r="L2063" s="65">
        <v>452111</v>
      </c>
      <c r="M2063" t="s">
        <v>1710</v>
      </c>
    </row>
    <row r="2064" spans="12:13" x14ac:dyDescent="0.25">
      <c r="L2064" s="65">
        <v>452190</v>
      </c>
      <c r="M2064" t="s">
        <v>1711</v>
      </c>
    </row>
    <row r="2065" spans="12:13" x14ac:dyDescent="0.25">
      <c r="L2065" s="65">
        <v>452191</v>
      </c>
      <c r="M2065" t="s">
        <v>1711</v>
      </c>
    </row>
    <row r="2066" spans="12:13" x14ac:dyDescent="0.25">
      <c r="L2066" s="65">
        <v>452200</v>
      </c>
      <c r="M2066" t="s">
        <v>1712</v>
      </c>
    </row>
    <row r="2067" spans="12:13" x14ac:dyDescent="0.25">
      <c r="L2067" s="65">
        <v>452210</v>
      </c>
      <c r="M2067" t="s">
        <v>1713</v>
      </c>
    </row>
    <row r="2068" spans="12:13" x14ac:dyDescent="0.25">
      <c r="L2068" s="65">
        <v>452211</v>
      </c>
      <c r="M2068" t="s">
        <v>1713</v>
      </c>
    </row>
    <row r="2069" spans="12:13" x14ac:dyDescent="0.25">
      <c r="L2069" s="65">
        <v>452290</v>
      </c>
      <c r="M2069" t="s">
        <v>1714</v>
      </c>
    </row>
    <row r="2070" spans="12:13" x14ac:dyDescent="0.25">
      <c r="L2070" s="65">
        <v>452291</v>
      </c>
      <c r="M2070" t="s">
        <v>1714</v>
      </c>
    </row>
    <row r="2071" spans="12:13" x14ac:dyDescent="0.25">
      <c r="L2071" s="65">
        <v>453000</v>
      </c>
      <c r="M2071" t="s">
        <v>1715</v>
      </c>
    </row>
    <row r="2072" spans="12:13" x14ac:dyDescent="0.25">
      <c r="L2072" s="65">
        <v>453100</v>
      </c>
      <c r="M2072" t="s">
        <v>1716</v>
      </c>
    </row>
    <row r="2073" spans="12:13" x14ac:dyDescent="0.25">
      <c r="L2073" s="65">
        <v>453110</v>
      </c>
      <c r="M2073" t="s">
        <v>1717</v>
      </c>
    </row>
    <row r="2074" spans="12:13" x14ac:dyDescent="0.25">
      <c r="L2074" s="65">
        <v>453111</v>
      </c>
      <c r="M2074" t="s">
        <v>1718</v>
      </c>
    </row>
    <row r="2075" spans="12:13" x14ac:dyDescent="0.25">
      <c r="L2075" s="65">
        <v>453190</v>
      </c>
      <c r="M2075" t="s">
        <v>1719</v>
      </c>
    </row>
    <row r="2076" spans="12:13" x14ac:dyDescent="0.25">
      <c r="L2076" s="65">
        <v>453191</v>
      </c>
      <c r="M2076" t="s">
        <v>1719</v>
      </c>
    </row>
    <row r="2077" spans="12:13" x14ac:dyDescent="0.25">
      <c r="L2077" s="65">
        <v>453200</v>
      </c>
      <c r="M2077" t="s">
        <v>1720</v>
      </c>
    </row>
    <row r="2078" spans="12:13" x14ac:dyDescent="0.25">
      <c r="L2078" s="65">
        <v>453210</v>
      </c>
      <c r="M2078" t="s">
        <v>1721</v>
      </c>
    </row>
    <row r="2079" spans="12:13" x14ac:dyDescent="0.25">
      <c r="L2079" s="65">
        <v>453211</v>
      </c>
      <c r="M2079" t="s">
        <v>1721</v>
      </c>
    </row>
    <row r="2080" spans="12:13" x14ac:dyDescent="0.25">
      <c r="L2080" s="65">
        <v>453290</v>
      </c>
      <c r="M2080" t="s">
        <v>1722</v>
      </c>
    </row>
    <row r="2081" spans="12:13" x14ac:dyDescent="0.25">
      <c r="L2081" s="65">
        <v>453291</v>
      </c>
      <c r="M2081" t="s">
        <v>1722</v>
      </c>
    </row>
    <row r="2082" spans="12:13" x14ac:dyDescent="0.25">
      <c r="L2082" s="65">
        <v>454000</v>
      </c>
      <c r="M2082" t="s">
        <v>1723</v>
      </c>
    </row>
    <row r="2083" spans="12:13" x14ac:dyDescent="0.25">
      <c r="L2083" s="65">
        <v>454100</v>
      </c>
      <c r="M2083" t="s">
        <v>1724</v>
      </c>
    </row>
    <row r="2084" spans="12:13" x14ac:dyDescent="0.25">
      <c r="L2084" s="65">
        <v>454110</v>
      </c>
      <c r="M2084" t="s">
        <v>1724</v>
      </c>
    </row>
    <row r="2085" spans="12:13" x14ac:dyDescent="0.25">
      <c r="L2085" s="65">
        <v>454111</v>
      </c>
      <c r="M2085" t="s">
        <v>1724</v>
      </c>
    </row>
    <row r="2086" spans="12:13" x14ac:dyDescent="0.25">
      <c r="L2086" s="65">
        <v>454200</v>
      </c>
      <c r="M2086" t="s">
        <v>1725</v>
      </c>
    </row>
    <row r="2087" spans="12:13" x14ac:dyDescent="0.25">
      <c r="L2087" s="65">
        <v>454210</v>
      </c>
      <c r="M2087" t="s">
        <v>1725</v>
      </c>
    </row>
    <row r="2088" spans="12:13" x14ac:dyDescent="0.25">
      <c r="L2088" s="65">
        <v>454211</v>
      </c>
      <c r="M2088" t="s">
        <v>1725</v>
      </c>
    </row>
    <row r="2089" spans="12:13" x14ac:dyDescent="0.25">
      <c r="L2089" s="65">
        <v>460000</v>
      </c>
      <c r="M2089" t="s">
        <v>1726</v>
      </c>
    </row>
    <row r="2090" spans="12:13" x14ac:dyDescent="0.25">
      <c r="L2090" s="65">
        <v>461000</v>
      </c>
      <c r="M2090" t="s">
        <v>1727</v>
      </c>
    </row>
    <row r="2091" spans="12:13" x14ac:dyDescent="0.25">
      <c r="L2091" s="65">
        <v>461100</v>
      </c>
      <c r="M2091" t="s">
        <v>1728</v>
      </c>
    </row>
    <row r="2092" spans="12:13" x14ac:dyDescent="0.25">
      <c r="L2092" s="65">
        <v>461110</v>
      </c>
      <c r="M2092" t="s">
        <v>1728</v>
      </c>
    </row>
    <row r="2093" spans="12:13" x14ac:dyDescent="0.25">
      <c r="L2093" s="65">
        <v>461111</v>
      </c>
      <c r="M2093" t="s">
        <v>1728</v>
      </c>
    </row>
    <row r="2094" spans="12:13" x14ac:dyDescent="0.25">
      <c r="L2094" s="65">
        <v>461200</v>
      </c>
      <c r="M2094" t="s">
        <v>1729</v>
      </c>
    </row>
    <row r="2095" spans="12:13" x14ac:dyDescent="0.25">
      <c r="L2095" s="65">
        <v>461210</v>
      </c>
      <c r="M2095" t="s">
        <v>1729</v>
      </c>
    </row>
    <row r="2096" spans="12:13" x14ac:dyDescent="0.25">
      <c r="L2096" s="65">
        <v>461211</v>
      </c>
      <c r="M2096" t="s">
        <v>1729</v>
      </c>
    </row>
    <row r="2097" spans="12:13" x14ac:dyDescent="0.25">
      <c r="L2097" s="65">
        <v>462000</v>
      </c>
      <c r="M2097" t="s">
        <v>1730</v>
      </c>
    </row>
    <row r="2098" spans="12:13" x14ac:dyDescent="0.25">
      <c r="L2098" s="65">
        <v>462100</v>
      </c>
      <c r="M2098" t="s">
        <v>1731</v>
      </c>
    </row>
    <row r="2099" spans="12:13" x14ac:dyDescent="0.25">
      <c r="L2099" s="65">
        <v>462110</v>
      </c>
      <c r="M2099" t="s">
        <v>1732</v>
      </c>
    </row>
    <row r="2100" spans="12:13" x14ac:dyDescent="0.25">
      <c r="L2100" s="65">
        <v>462111</v>
      </c>
      <c r="M2100" t="s">
        <v>1732</v>
      </c>
    </row>
    <row r="2101" spans="12:13" x14ac:dyDescent="0.25">
      <c r="L2101" s="65">
        <v>462120</v>
      </c>
      <c r="M2101" t="s">
        <v>1733</v>
      </c>
    </row>
    <row r="2102" spans="12:13" x14ac:dyDescent="0.25">
      <c r="L2102" s="65">
        <v>462121</v>
      </c>
      <c r="M2102" t="s">
        <v>1733</v>
      </c>
    </row>
    <row r="2103" spans="12:13" x14ac:dyDescent="0.25">
      <c r="L2103" s="65">
        <v>462190</v>
      </c>
      <c r="M2103" t="s">
        <v>1734</v>
      </c>
    </row>
    <row r="2104" spans="12:13" x14ac:dyDescent="0.25">
      <c r="L2104" s="65">
        <v>462191</v>
      </c>
      <c r="M2104" t="s">
        <v>1735</v>
      </c>
    </row>
    <row r="2105" spans="12:13" x14ac:dyDescent="0.25">
      <c r="L2105" s="65">
        <v>462200</v>
      </c>
      <c r="M2105" t="s">
        <v>1736</v>
      </c>
    </row>
    <row r="2106" spans="12:13" x14ac:dyDescent="0.25">
      <c r="L2106" s="65">
        <v>462210</v>
      </c>
      <c r="M2106" t="s">
        <v>1737</v>
      </c>
    </row>
    <row r="2107" spans="12:13" x14ac:dyDescent="0.25">
      <c r="L2107" s="65">
        <v>462211</v>
      </c>
      <c r="M2107" t="s">
        <v>1737</v>
      </c>
    </row>
    <row r="2108" spans="12:13" x14ac:dyDescent="0.25">
      <c r="L2108" s="65">
        <v>462290</v>
      </c>
      <c r="M2108" t="s">
        <v>1738</v>
      </c>
    </row>
    <row r="2109" spans="12:13" x14ac:dyDescent="0.25">
      <c r="L2109" s="65">
        <v>462291</v>
      </c>
      <c r="M2109" t="s">
        <v>1738</v>
      </c>
    </row>
    <row r="2110" spans="12:13" x14ac:dyDescent="0.25">
      <c r="L2110" s="65">
        <v>463000</v>
      </c>
      <c r="M2110" t="s">
        <v>1739</v>
      </c>
    </row>
    <row r="2111" spans="12:13" x14ac:dyDescent="0.25">
      <c r="L2111" s="65">
        <v>463100</v>
      </c>
      <c r="M2111" t="s">
        <v>1740</v>
      </c>
    </row>
    <row r="2112" spans="12:13" x14ac:dyDescent="0.25">
      <c r="L2112" s="65">
        <v>463110</v>
      </c>
      <c r="M2112" t="s">
        <v>1741</v>
      </c>
    </row>
    <row r="2113" spans="12:13" x14ac:dyDescent="0.25">
      <c r="L2113" s="65">
        <v>463111</v>
      </c>
      <c r="M2113" t="s">
        <v>1741</v>
      </c>
    </row>
    <row r="2114" spans="12:13" x14ac:dyDescent="0.25">
      <c r="L2114" s="65">
        <v>463120</v>
      </c>
      <c r="M2114" t="s">
        <v>1742</v>
      </c>
    </row>
    <row r="2115" spans="12:13" x14ac:dyDescent="0.25">
      <c r="L2115" s="65">
        <v>463121</v>
      </c>
      <c r="M2115" t="s">
        <v>1743</v>
      </c>
    </row>
    <row r="2116" spans="12:13" x14ac:dyDescent="0.25">
      <c r="L2116" s="65">
        <v>463122</v>
      </c>
      <c r="M2116" t="s">
        <v>1744</v>
      </c>
    </row>
    <row r="2117" spans="12:13" x14ac:dyDescent="0.25">
      <c r="L2117" s="65">
        <v>463130</v>
      </c>
      <c r="M2117" t="s">
        <v>1745</v>
      </c>
    </row>
    <row r="2118" spans="12:13" x14ac:dyDescent="0.25">
      <c r="L2118" s="65">
        <v>463131</v>
      </c>
      <c r="M2118" t="s">
        <v>1745</v>
      </c>
    </row>
    <row r="2119" spans="12:13" x14ac:dyDescent="0.25">
      <c r="L2119" s="65">
        <v>463132</v>
      </c>
      <c r="M2119" t="s">
        <v>1746</v>
      </c>
    </row>
    <row r="2120" spans="12:13" x14ac:dyDescent="0.25">
      <c r="L2120" s="65">
        <v>463133</v>
      </c>
      <c r="M2120" t="s">
        <v>1747</v>
      </c>
    </row>
    <row r="2121" spans="12:13" x14ac:dyDescent="0.25">
      <c r="L2121" s="65">
        <v>463140</v>
      </c>
      <c r="M2121" t="s">
        <v>1748</v>
      </c>
    </row>
    <row r="2122" spans="12:13" x14ac:dyDescent="0.25">
      <c r="L2122" s="65">
        <v>463141</v>
      </c>
      <c r="M2122" t="s">
        <v>1748</v>
      </c>
    </row>
    <row r="2123" spans="12:13" x14ac:dyDescent="0.25">
      <c r="L2123" s="65">
        <v>463142</v>
      </c>
      <c r="M2123" t="s">
        <v>1749</v>
      </c>
    </row>
    <row r="2124" spans="12:13" x14ac:dyDescent="0.25">
      <c r="L2124" s="65">
        <v>463143</v>
      </c>
      <c r="M2124" t="s">
        <v>1750</v>
      </c>
    </row>
    <row r="2125" spans="12:13" x14ac:dyDescent="0.25">
      <c r="L2125" s="65">
        <v>463200</v>
      </c>
      <c r="M2125" t="s">
        <v>1751</v>
      </c>
    </row>
    <row r="2126" spans="12:13" x14ac:dyDescent="0.25">
      <c r="L2126" s="65">
        <v>463210</v>
      </c>
      <c r="M2126" t="s">
        <v>1752</v>
      </c>
    </row>
    <row r="2127" spans="12:13" x14ac:dyDescent="0.25">
      <c r="L2127" s="65">
        <v>463211</v>
      </c>
      <c r="M2127" t="s">
        <v>1752</v>
      </c>
    </row>
    <row r="2128" spans="12:13" x14ac:dyDescent="0.25">
      <c r="L2128" s="65">
        <v>463220</v>
      </c>
      <c r="M2128" t="s">
        <v>1753</v>
      </c>
    </row>
    <row r="2129" spans="12:13" x14ac:dyDescent="0.25">
      <c r="L2129" s="65">
        <v>463221</v>
      </c>
      <c r="M2129" t="s">
        <v>1754</v>
      </c>
    </row>
    <row r="2130" spans="12:13" x14ac:dyDescent="0.25">
      <c r="L2130" s="65">
        <v>463222</v>
      </c>
      <c r="M2130" t="s">
        <v>1755</v>
      </c>
    </row>
    <row r="2131" spans="12:13" x14ac:dyDescent="0.25">
      <c r="L2131" s="65">
        <v>463230</v>
      </c>
      <c r="M2131" t="s">
        <v>1756</v>
      </c>
    </row>
    <row r="2132" spans="12:13" x14ac:dyDescent="0.25">
      <c r="L2132" s="65">
        <v>463231</v>
      </c>
      <c r="M2132" t="s">
        <v>1756</v>
      </c>
    </row>
    <row r="2133" spans="12:13" x14ac:dyDescent="0.25">
      <c r="L2133" s="65">
        <v>463240</v>
      </c>
      <c r="M2133" t="s">
        <v>1757</v>
      </c>
    </row>
    <row r="2134" spans="12:13" x14ac:dyDescent="0.25">
      <c r="L2134" s="65">
        <v>463241</v>
      </c>
      <c r="M2134" t="s">
        <v>1757</v>
      </c>
    </row>
    <row r="2135" spans="12:13" x14ac:dyDescent="0.25">
      <c r="L2135" s="65">
        <v>464000</v>
      </c>
      <c r="M2135" t="s">
        <v>1758</v>
      </c>
    </row>
    <row r="2136" spans="12:13" x14ac:dyDescent="0.25">
      <c r="L2136" s="65">
        <v>464100</v>
      </c>
      <c r="M2136" t="s">
        <v>1759</v>
      </c>
    </row>
    <row r="2137" spans="12:13" x14ac:dyDescent="0.25">
      <c r="L2137" s="65">
        <v>464110</v>
      </c>
      <c r="M2137" t="s">
        <v>1760</v>
      </c>
    </row>
    <row r="2138" spans="12:13" x14ac:dyDescent="0.25">
      <c r="L2138" s="65">
        <v>464111</v>
      </c>
      <c r="M2138" t="s">
        <v>1760</v>
      </c>
    </row>
    <row r="2139" spans="12:13" x14ac:dyDescent="0.25">
      <c r="L2139" s="65">
        <v>464112</v>
      </c>
      <c r="M2139" t="s">
        <v>1761</v>
      </c>
    </row>
    <row r="2140" spans="12:13" x14ac:dyDescent="0.25">
      <c r="L2140" s="65">
        <v>464113</v>
      </c>
      <c r="M2140" t="s">
        <v>1762</v>
      </c>
    </row>
    <row r="2141" spans="12:13" x14ac:dyDescent="0.25">
      <c r="L2141" s="65">
        <v>464120</v>
      </c>
      <c r="M2141" t="s">
        <v>1763</v>
      </c>
    </row>
    <row r="2142" spans="12:13" x14ac:dyDescent="0.25">
      <c r="L2142" s="65">
        <v>464121</v>
      </c>
      <c r="M2142" t="s">
        <v>1764</v>
      </c>
    </row>
    <row r="2143" spans="12:13" x14ac:dyDescent="0.25">
      <c r="L2143" s="65">
        <v>464130</v>
      </c>
      <c r="M2143" t="s">
        <v>1765</v>
      </c>
    </row>
    <row r="2144" spans="12:13" x14ac:dyDescent="0.25">
      <c r="L2144" s="65">
        <v>464131</v>
      </c>
      <c r="M2144" t="s">
        <v>1766</v>
      </c>
    </row>
    <row r="2145" spans="12:13" x14ac:dyDescent="0.25">
      <c r="L2145" s="65">
        <v>464140</v>
      </c>
      <c r="M2145" t="s">
        <v>1767</v>
      </c>
    </row>
    <row r="2146" spans="12:13" x14ac:dyDescent="0.25">
      <c r="L2146" s="65">
        <v>464141</v>
      </c>
      <c r="M2146" t="s">
        <v>1768</v>
      </c>
    </row>
    <row r="2147" spans="12:13" x14ac:dyDescent="0.25">
      <c r="L2147" s="65">
        <v>464150</v>
      </c>
      <c r="M2147" t="s">
        <v>1769</v>
      </c>
    </row>
    <row r="2148" spans="12:13" x14ac:dyDescent="0.25">
      <c r="L2148" s="65">
        <v>464151</v>
      </c>
      <c r="M2148" t="s">
        <v>1769</v>
      </c>
    </row>
    <row r="2149" spans="12:13" x14ac:dyDescent="0.25">
      <c r="L2149" s="65">
        <v>464200</v>
      </c>
      <c r="M2149" t="s">
        <v>1770</v>
      </c>
    </row>
    <row r="2150" spans="12:13" x14ac:dyDescent="0.25">
      <c r="L2150" s="65">
        <v>464210</v>
      </c>
      <c r="M2150" t="s">
        <v>1771</v>
      </c>
    </row>
    <row r="2151" spans="12:13" x14ac:dyDescent="0.25">
      <c r="L2151" s="65">
        <v>464211</v>
      </c>
      <c r="M2151" t="s">
        <v>1771</v>
      </c>
    </row>
    <row r="2152" spans="12:13" x14ac:dyDescent="0.25">
      <c r="L2152" s="65">
        <v>464212</v>
      </c>
      <c r="M2152" t="s">
        <v>1772</v>
      </c>
    </row>
    <row r="2153" spans="12:13" x14ac:dyDescent="0.25">
      <c r="L2153" s="65">
        <v>464213</v>
      </c>
      <c r="M2153" t="s">
        <v>1773</v>
      </c>
    </row>
    <row r="2154" spans="12:13" x14ac:dyDescent="0.25">
      <c r="L2154" s="65">
        <v>464220</v>
      </c>
      <c r="M2154" t="s">
        <v>1774</v>
      </c>
    </row>
    <row r="2155" spans="12:13" x14ac:dyDescent="0.25">
      <c r="L2155" s="65">
        <v>464221</v>
      </c>
      <c r="M2155" t="s">
        <v>1774</v>
      </c>
    </row>
    <row r="2156" spans="12:13" x14ac:dyDescent="0.25">
      <c r="L2156" s="65">
        <v>464250</v>
      </c>
      <c r="M2156" t="s">
        <v>1775</v>
      </c>
    </row>
    <row r="2157" spans="12:13" x14ac:dyDescent="0.25">
      <c r="L2157" s="65">
        <v>464251</v>
      </c>
      <c r="M2157" t="s">
        <v>1775</v>
      </c>
    </row>
    <row r="2158" spans="12:13" x14ac:dyDescent="0.25">
      <c r="L2158" s="65">
        <v>465000</v>
      </c>
      <c r="M2158" t="s">
        <v>1776</v>
      </c>
    </row>
    <row r="2159" spans="12:13" x14ac:dyDescent="0.25">
      <c r="L2159" s="65">
        <v>465100</v>
      </c>
      <c r="M2159" t="s">
        <v>1777</v>
      </c>
    </row>
    <row r="2160" spans="12:13" x14ac:dyDescent="0.25">
      <c r="L2160" s="65">
        <v>465110</v>
      </c>
      <c r="M2160" t="s">
        <v>1777</v>
      </c>
    </row>
    <row r="2161" spans="12:13" x14ac:dyDescent="0.25">
      <c r="L2161" s="65">
        <v>465111</v>
      </c>
      <c r="M2161" t="s">
        <v>1777</v>
      </c>
    </row>
    <row r="2162" spans="12:13" x14ac:dyDescent="0.25">
      <c r="L2162" s="65">
        <v>465112</v>
      </c>
      <c r="M2162" t="s">
        <v>1778</v>
      </c>
    </row>
    <row r="2163" spans="12:13" x14ac:dyDescent="0.25">
      <c r="L2163" s="65">
        <v>465200</v>
      </c>
      <c r="M2163" t="s">
        <v>1779</v>
      </c>
    </row>
    <row r="2164" spans="12:13" x14ac:dyDescent="0.25">
      <c r="L2164" s="65">
        <v>465210</v>
      </c>
      <c r="M2164" t="s">
        <v>1779</v>
      </c>
    </row>
    <row r="2165" spans="12:13" x14ac:dyDescent="0.25">
      <c r="L2165" s="65">
        <v>465211</v>
      </c>
      <c r="M2165" t="s">
        <v>1779</v>
      </c>
    </row>
    <row r="2166" spans="12:13" x14ac:dyDescent="0.25">
      <c r="L2166" s="65">
        <v>470000</v>
      </c>
      <c r="M2166" t="s">
        <v>1780</v>
      </c>
    </row>
    <row r="2167" spans="12:13" x14ac:dyDescent="0.25">
      <c r="L2167" s="65">
        <v>471000</v>
      </c>
      <c r="M2167" t="s">
        <v>1781</v>
      </c>
    </row>
    <row r="2168" spans="12:13" x14ac:dyDescent="0.25">
      <c r="L2168" s="65">
        <v>471100</v>
      </c>
      <c r="M2168" t="s">
        <v>1782</v>
      </c>
    </row>
    <row r="2169" spans="12:13" x14ac:dyDescent="0.25">
      <c r="L2169" s="65">
        <v>471110</v>
      </c>
      <c r="M2169" t="s">
        <v>1783</v>
      </c>
    </row>
    <row r="2170" spans="12:13" x14ac:dyDescent="0.25">
      <c r="L2170" s="65">
        <v>471111</v>
      </c>
      <c r="M2170" t="s">
        <v>1784</v>
      </c>
    </row>
    <row r="2171" spans="12:13" x14ac:dyDescent="0.25">
      <c r="L2171" s="65">
        <v>471112</v>
      </c>
      <c r="M2171" t="s">
        <v>1785</v>
      </c>
    </row>
    <row r="2172" spans="12:13" x14ac:dyDescent="0.25">
      <c r="L2172" s="65">
        <v>471113</v>
      </c>
      <c r="M2172" t="s">
        <v>1786</v>
      </c>
    </row>
    <row r="2173" spans="12:13" x14ac:dyDescent="0.25">
      <c r="L2173" s="65">
        <v>471114</v>
      </c>
      <c r="M2173" t="s">
        <v>1787</v>
      </c>
    </row>
    <row r="2174" spans="12:13" x14ac:dyDescent="0.25">
      <c r="L2174" s="65">
        <v>471120</v>
      </c>
      <c r="M2174" t="s">
        <v>1788</v>
      </c>
    </row>
    <row r="2175" spans="12:13" x14ac:dyDescent="0.25">
      <c r="L2175" s="65">
        <v>471121</v>
      </c>
      <c r="M2175" t="s">
        <v>1789</v>
      </c>
    </row>
    <row r="2176" spans="12:13" x14ac:dyDescent="0.25">
      <c r="L2176" s="65">
        <v>471122</v>
      </c>
      <c r="M2176" t="s">
        <v>1790</v>
      </c>
    </row>
    <row r="2177" spans="12:13" x14ac:dyDescent="0.25">
      <c r="L2177" s="65">
        <v>471123</v>
      </c>
      <c r="M2177" t="s">
        <v>1791</v>
      </c>
    </row>
    <row r="2178" spans="12:13" x14ac:dyDescent="0.25">
      <c r="L2178" s="65">
        <v>471124</v>
      </c>
      <c r="M2178" t="s">
        <v>1792</v>
      </c>
    </row>
    <row r="2179" spans="12:13" x14ac:dyDescent="0.25">
      <c r="L2179" s="65">
        <v>471125</v>
      </c>
      <c r="M2179" t="s">
        <v>1793</v>
      </c>
    </row>
    <row r="2180" spans="12:13" x14ac:dyDescent="0.25">
      <c r="L2180" s="65">
        <v>471129</v>
      </c>
      <c r="M2180" t="s">
        <v>1794</v>
      </c>
    </row>
    <row r="2181" spans="12:13" x14ac:dyDescent="0.25">
      <c r="L2181" s="65">
        <v>471130</v>
      </c>
      <c r="M2181" t="s">
        <v>1795</v>
      </c>
    </row>
    <row r="2182" spans="12:13" x14ac:dyDescent="0.25">
      <c r="L2182" s="65">
        <v>471131</v>
      </c>
      <c r="M2182" t="s">
        <v>1796</v>
      </c>
    </row>
    <row r="2183" spans="12:13" x14ac:dyDescent="0.25">
      <c r="L2183" s="65">
        <v>471132</v>
      </c>
      <c r="M2183" t="s">
        <v>1797</v>
      </c>
    </row>
    <row r="2184" spans="12:13" x14ac:dyDescent="0.25">
      <c r="L2184" s="65">
        <v>471133</v>
      </c>
      <c r="M2184" t="s">
        <v>1798</v>
      </c>
    </row>
    <row r="2185" spans="12:13" x14ac:dyDescent="0.25">
      <c r="L2185" s="65">
        <v>471134</v>
      </c>
      <c r="M2185" t="s">
        <v>1799</v>
      </c>
    </row>
    <row r="2186" spans="12:13" x14ac:dyDescent="0.25">
      <c r="L2186" s="65">
        <v>471135</v>
      </c>
      <c r="M2186" t="s">
        <v>1800</v>
      </c>
    </row>
    <row r="2187" spans="12:13" x14ac:dyDescent="0.25">
      <c r="L2187" s="65">
        <v>471136</v>
      </c>
      <c r="M2187" t="s">
        <v>1801</v>
      </c>
    </row>
    <row r="2188" spans="12:13" x14ac:dyDescent="0.25">
      <c r="L2188" s="65">
        <v>471137</v>
      </c>
      <c r="M2188" t="s">
        <v>1802</v>
      </c>
    </row>
    <row r="2189" spans="12:13" x14ac:dyDescent="0.25">
      <c r="L2189" s="65">
        <v>471139</v>
      </c>
      <c r="M2189" t="s">
        <v>1803</v>
      </c>
    </row>
    <row r="2190" spans="12:13" x14ac:dyDescent="0.25">
      <c r="L2190" s="65">
        <v>471140</v>
      </c>
      <c r="M2190" t="s">
        <v>1804</v>
      </c>
    </row>
    <row r="2191" spans="12:13" x14ac:dyDescent="0.25">
      <c r="L2191" s="65">
        <v>471141</v>
      </c>
      <c r="M2191" t="s">
        <v>1805</v>
      </c>
    </row>
    <row r="2192" spans="12:13" x14ac:dyDescent="0.25">
      <c r="L2192" s="65">
        <v>471142</v>
      </c>
      <c r="M2192" t="s">
        <v>1806</v>
      </c>
    </row>
    <row r="2193" spans="12:13" x14ac:dyDescent="0.25">
      <c r="L2193" s="65">
        <v>471143</v>
      </c>
      <c r="M2193" t="s">
        <v>1807</v>
      </c>
    </row>
    <row r="2194" spans="12:13" x14ac:dyDescent="0.25">
      <c r="L2194" s="65">
        <v>471144</v>
      </c>
      <c r="M2194" t="s">
        <v>1808</v>
      </c>
    </row>
    <row r="2195" spans="12:13" x14ac:dyDescent="0.25">
      <c r="L2195" s="65">
        <v>471149</v>
      </c>
      <c r="M2195" t="s">
        <v>1809</v>
      </c>
    </row>
    <row r="2196" spans="12:13" x14ac:dyDescent="0.25">
      <c r="L2196" s="65">
        <v>471190</v>
      </c>
      <c r="M2196" t="s">
        <v>1810</v>
      </c>
    </row>
    <row r="2197" spans="12:13" x14ac:dyDescent="0.25">
      <c r="L2197" s="65">
        <v>471191</v>
      </c>
      <c r="M2197" t="s">
        <v>1811</v>
      </c>
    </row>
    <row r="2198" spans="12:13" x14ac:dyDescent="0.25">
      <c r="L2198" s="65">
        <v>471192</v>
      </c>
      <c r="M2198" t="s">
        <v>1812</v>
      </c>
    </row>
    <row r="2199" spans="12:13" x14ac:dyDescent="0.25">
      <c r="L2199" s="65">
        <v>471193</v>
      </c>
      <c r="M2199" t="s">
        <v>1813</v>
      </c>
    </row>
    <row r="2200" spans="12:13" x14ac:dyDescent="0.25">
      <c r="L2200" s="65">
        <v>471194</v>
      </c>
      <c r="M2200" t="s">
        <v>1814</v>
      </c>
    </row>
    <row r="2201" spans="12:13" x14ac:dyDescent="0.25">
      <c r="L2201" s="65">
        <v>471195</v>
      </c>
      <c r="M2201" t="s">
        <v>1815</v>
      </c>
    </row>
    <row r="2202" spans="12:13" x14ac:dyDescent="0.25">
      <c r="L2202" s="65">
        <v>471199</v>
      </c>
      <c r="M2202" t="s">
        <v>1816</v>
      </c>
    </row>
    <row r="2203" spans="12:13" x14ac:dyDescent="0.25">
      <c r="L2203" s="65">
        <v>471200</v>
      </c>
      <c r="M2203" t="s">
        <v>1817</v>
      </c>
    </row>
    <row r="2204" spans="12:13" x14ac:dyDescent="0.25">
      <c r="L2204" s="65">
        <v>471210</v>
      </c>
      <c r="M2204" t="s">
        <v>1818</v>
      </c>
    </row>
    <row r="2205" spans="12:13" x14ac:dyDescent="0.25">
      <c r="L2205" s="65">
        <v>471211</v>
      </c>
      <c r="M2205" t="s">
        <v>1819</v>
      </c>
    </row>
    <row r="2206" spans="12:13" x14ac:dyDescent="0.25">
      <c r="L2206" s="65">
        <v>471212</v>
      </c>
      <c r="M2206" t="s">
        <v>1820</v>
      </c>
    </row>
    <row r="2207" spans="12:13" x14ac:dyDescent="0.25">
      <c r="L2207" s="65">
        <v>471213</v>
      </c>
      <c r="M2207" t="s">
        <v>1821</v>
      </c>
    </row>
    <row r="2208" spans="12:13" x14ac:dyDescent="0.25">
      <c r="L2208" s="65">
        <v>471214</v>
      </c>
      <c r="M2208" t="s">
        <v>1822</v>
      </c>
    </row>
    <row r="2209" spans="12:13" x14ac:dyDescent="0.25">
      <c r="L2209" s="65">
        <v>471215</v>
      </c>
      <c r="M2209" t="s">
        <v>1823</v>
      </c>
    </row>
    <row r="2210" spans="12:13" x14ac:dyDescent="0.25">
      <c r="L2210" s="65">
        <v>471216</v>
      </c>
      <c r="M2210" t="s">
        <v>1824</v>
      </c>
    </row>
    <row r="2211" spans="12:13" x14ac:dyDescent="0.25">
      <c r="L2211" s="65">
        <v>471217</v>
      </c>
      <c r="M2211" t="s">
        <v>1825</v>
      </c>
    </row>
    <row r="2212" spans="12:13" x14ac:dyDescent="0.25">
      <c r="L2212" s="65">
        <v>471219</v>
      </c>
      <c r="M2212" t="s">
        <v>1826</v>
      </c>
    </row>
    <row r="2213" spans="12:13" x14ac:dyDescent="0.25">
      <c r="L2213" s="65">
        <v>471220</v>
      </c>
      <c r="M2213" t="s">
        <v>1827</v>
      </c>
    </row>
    <row r="2214" spans="12:13" x14ac:dyDescent="0.25">
      <c r="L2214" s="65">
        <v>471221</v>
      </c>
      <c r="M2214" t="s">
        <v>1508</v>
      </c>
    </row>
    <row r="2215" spans="12:13" x14ac:dyDescent="0.25">
      <c r="L2215" s="65">
        <v>471222</v>
      </c>
      <c r="M2215" t="s">
        <v>1828</v>
      </c>
    </row>
    <row r="2216" spans="12:13" x14ac:dyDescent="0.25">
      <c r="L2216" s="65">
        <v>471223</v>
      </c>
      <c r="M2216" t="s">
        <v>1829</v>
      </c>
    </row>
    <row r="2217" spans="12:13" x14ac:dyDescent="0.25">
      <c r="L2217" s="65">
        <v>471224</v>
      </c>
      <c r="M2217" t="s">
        <v>1830</v>
      </c>
    </row>
    <row r="2218" spans="12:13" x14ac:dyDescent="0.25">
      <c r="L2218" s="65">
        <v>471229</v>
      </c>
      <c r="M2218" t="s">
        <v>1831</v>
      </c>
    </row>
    <row r="2219" spans="12:13" x14ac:dyDescent="0.25">
      <c r="L2219" s="65">
        <v>471230</v>
      </c>
      <c r="M2219" t="s">
        <v>1832</v>
      </c>
    </row>
    <row r="2220" spans="12:13" x14ac:dyDescent="0.25">
      <c r="L2220" s="65">
        <v>471231</v>
      </c>
      <c r="M2220" t="s">
        <v>1833</v>
      </c>
    </row>
    <row r="2221" spans="12:13" x14ac:dyDescent="0.25">
      <c r="L2221" s="65">
        <v>471232</v>
      </c>
      <c r="M2221" t="s">
        <v>1834</v>
      </c>
    </row>
    <row r="2222" spans="12:13" x14ac:dyDescent="0.25">
      <c r="L2222" s="65">
        <v>471240</v>
      </c>
      <c r="M2222" t="s">
        <v>1835</v>
      </c>
    </row>
    <row r="2223" spans="12:13" x14ac:dyDescent="0.25">
      <c r="L2223" s="65">
        <v>471241</v>
      </c>
      <c r="M2223" t="s">
        <v>1836</v>
      </c>
    </row>
    <row r="2224" spans="12:13" x14ac:dyDescent="0.25">
      <c r="L2224" s="65">
        <v>471242</v>
      </c>
      <c r="M2224" t="s">
        <v>1837</v>
      </c>
    </row>
    <row r="2225" spans="12:13" x14ac:dyDescent="0.25">
      <c r="L2225" s="65">
        <v>471243</v>
      </c>
      <c r="M2225" t="s">
        <v>1838</v>
      </c>
    </row>
    <row r="2226" spans="12:13" x14ac:dyDescent="0.25">
      <c r="L2226" s="65">
        <v>471250</v>
      </c>
      <c r="M2226" t="s">
        <v>1839</v>
      </c>
    </row>
    <row r="2227" spans="12:13" x14ac:dyDescent="0.25">
      <c r="L2227" s="65">
        <v>471251</v>
      </c>
      <c r="M2227" t="s">
        <v>1840</v>
      </c>
    </row>
    <row r="2228" spans="12:13" x14ac:dyDescent="0.25">
      <c r="L2228" s="65">
        <v>471252</v>
      </c>
      <c r="M2228" t="s">
        <v>1841</v>
      </c>
    </row>
    <row r="2229" spans="12:13" x14ac:dyDescent="0.25">
      <c r="L2229" s="65">
        <v>471253</v>
      </c>
      <c r="M2229" t="s">
        <v>1842</v>
      </c>
    </row>
    <row r="2230" spans="12:13" x14ac:dyDescent="0.25">
      <c r="L2230" s="65">
        <v>471260</v>
      </c>
      <c r="M2230" t="s">
        <v>1843</v>
      </c>
    </row>
    <row r="2231" spans="12:13" x14ac:dyDescent="0.25">
      <c r="L2231" s="65">
        <v>471261</v>
      </c>
      <c r="M2231" t="s">
        <v>1844</v>
      </c>
    </row>
    <row r="2232" spans="12:13" x14ac:dyDescent="0.25">
      <c r="L2232" s="65">
        <v>471262</v>
      </c>
      <c r="M2232" t="s">
        <v>1845</v>
      </c>
    </row>
    <row r="2233" spans="12:13" x14ac:dyDescent="0.25">
      <c r="L2233" s="65">
        <v>471263</v>
      </c>
      <c r="M2233" t="s">
        <v>1846</v>
      </c>
    </row>
    <row r="2234" spans="12:13" x14ac:dyDescent="0.25">
      <c r="L2234" s="65">
        <v>471290</v>
      </c>
      <c r="M2234" t="s">
        <v>1847</v>
      </c>
    </row>
    <row r="2235" spans="12:13" x14ac:dyDescent="0.25">
      <c r="L2235" s="65">
        <v>471291</v>
      </c>
      <c r="M2235" t="s">
        <v>1848</v>
      </c>
    </row>
    <row r="2236" spans="12:13" x14ac:dyDescent="0.25">
      <c r="L2236" s="65">
        <v>471292</v>
      </c>
      <c r="M2236" t="s">
        <v>1815</v>
      </c>
    </row>
    <row r="2237" spans="12:13" x14ac:dyDescent="0.25">
      <c r="L2237" s="65">
        <v>471299</v>
      </c>
      <c r="M2237" t="s">
        <v>1849</v>
      </c>
    </row>
    <row r="2238" spans="12:13" x14ac:dyDescent="0.25">
      <c r="L2238" s="65">
        <v>471900</v>
      </c>
      <c r="M2238" t="s">
        <v>1850</v>
      </c>
    </row>
    <row r="2239" spans="12:13" x14ac:dyDescent="0.25">
      <c r="L2239" s="65">
        <v>471910</v>
      </c>
      <c r="M2239" t="s">
        <v>1851</v>
      </c>
    </row>
    <row r="2240" spans="12:13" x14ac:dyDescent="0.25">
      <c r="L2240" s="65">
        <v>471911</v>
      </c>
      <c r="M2240" t="s">
        <v>1851</v>
      </c>
    </row>
    <row r="2241" spans="12:13" x14ac:dyDescent="0.25">
      <c r="L2241" s="65">
        <v>471912</v>
      </c>
      <c r="M2241" t="s">
        <v>1852</v>
      </c>
    </row>
    <row r="2242" spans="12:13" x14ac:dyDescent="0.25">
      <c r="L2242" s="65">
        <v>471913</v>
      </c>
      <c r="M2242" t="s">
        <v>1853</v>
      </c>
    </row>
    <row r="2243" spans="12:13" x14ac:dyDescent="0.25">
      <c r="L2243" s="65">
        <v>471914</v>
      </c>
      <c r="M2243" t="s">
        <v>1854</v>
      </c>
    </row>
    <row r="2244" spans="12:13" x14ac:dyDescent="0.25">
      <c r="L2244" s="65">
        <v>471915</v>
      </c>
      <c r="M2244" t="s">
        <v>1855</v>
      </c>
    </row>
    <row r="2245" spans="12:13" x14ac:dyDescent="0.25">
      <c r="L2245" s="65">
        <v>471920</v>
      </c>
      <c r="M2245" t="s">
        <v>1856</v>
      </c>
    </row>
    <row r="2246" spans="12:13" x14ac:dyDescent="0.25">
      <c r="L2246" s="65">
        <v>471921</v>
      </c>
      <c r="M2246" t="s">
        <v>1856</v>
      </c>
    </row>
    <row r="2247" spans="12:13" x14ac:dyDescent="0.25">
      <c r="L2247" s="65">
        <v>471922</v>
      </c>
      <c r="M2247" t="s">
        <v>1857</v>
      </c>
    </row>
    <row r="2248" spans="12:13" x14ac:dyDescent="0.25">
      <c r="L2248" s="65">
        <v>471923</v>
      </c>
      <c r="M2248" t="s">
        <v>1858</v>
      </c>
    </row>
    <row r="2249" spans="12:13" x14ac:dyDescent="0.25">
      <c r="L2249" s="65">
        <v>471930</v>
      </c>
      <c r="M2249" t="s">
        <v>1859</v>
      </c>
    </row>
    <row r="2250" spans="12:13" x14ac:dyDescent="0.25">
      <c r="L2250" s="65">
        <v>471931</v>
      </c>
      <c r="M2250" t="s">
        <v>1860</v>
      </c>
    </row>
    <row r="2251" spans="12:13" x14ac:dyDescent="0.25">
      <c r="L2251" s="65">
        <v>471940</v>
      </c>
      <c r="M2251" t="s">
        <v>1861</v>
      </c>
    </row>
    <row r="2252" spans="12:13" x14ac:dyDescent="0.25">
      <c r="L2252" s="65">
        <v>471941</v>
      </c>
      <c r="M2252" t="s">
        <v>1862</v>
      </c>
    </row>
    <row r="2253" spans="12:13" x14ac:dyDescent="0.25">
      <c r="L2253" s="65">
        <v>471942</v>
      </c>
      <c r="M2253" t="s">
        <v>1863</v>
      </c>
    </row>
    <row r="2254" spans="12:13" x14ac:dyDescent="0.25">
      <c r="L2254" s="65">
        <v>471943</v>
      </c>
      <c r="M2254" t="s">
        <v>1864</v>
      </c>
    </row>
    <row r="2255" spans="12:13" x14ac:dyDescent="0.25">
      <c r="L2255" s="65">
        <v>471950</v>
      </c>
      <c r="M2255" t="s">
        <v>1865</v>
      </c>
    </row>
    <row r="2256" spans="12:13" x14ac:dyDescent="0.25">
      <c r="L2256" s="65">
        <v>471951</v>
      </c>
      <c r="M2256" t="s">
        <v>1865</v>
      </c>
    </row>
    <row r="2257" spans="12:13" x14ac:dyDescent="0.25">
      <c r="L2257" s="65">
        <v>472000</v>
      </c>
      <c r="M2257" t="s">
        <v>1866</v>
      </c>
    </row>
    <row r="2258" spans="12:13" x14ac:dyDescent="0.25">
      <c r="L2258" s="65">
        <v>472100</v>
      </c>
      <c r="M2258" t="s">
        <v>1867</v>
      </c>
    </row>
    <row r="2259" spans="12:13" x14ac:dyDescent="0.25">
      <c r="L2259" s="65">
        <v>472110</v>
      </c>
      <c r="M2259" t="s">
        <v>1868</v>
      </c>
    </row>
    <row r="2260" spans="12:13" x14ac:dyDescent="0.25">
      <c r="L2260" s="65">
        <v>472111</v>
      </c>
      <c r="M2260" t="s">
        <v>1868</v>
      </c>
    </row>
    <row r="2261" spans="12:13" x14ac:dyDescent="0.25">
      <c r="L2261" s="65">
        <v>472120</v>
      </c>
      <c r="M2261" t="s">
        <v>1869</v>
      </c>
    </row>
    <row r="2262" spans="12:13" x14ac:dyDescent="0.25">
      <c r="L2262" s="65">
        <v>472121</v>
      </c>
      <c r="M2262" t="s">
        <v>1869</v>
      </c>
    </row>
    <row r="2263" spans="12:13" x14ac:dyDescent="0.25">
      <c r="L2263" s="65">
        <v>472130</v>
      </c>
      <c r="M2263" t="s">
        <v>1870</v>
      </c>
    </row>
    <row r="2264" spans="12:13" x14ac:dyDescent="0.25">
      <c r="L2264" s="65">
        <v>472131</v>
      </c>
      <c r="M2264" t="s">
        <v>1871</v>
      </c>
    </row>
    <row r="2265" spans="12:13" x14ac:dyDescent="0.25">
      <c r="L2265" s="65">
        <v>472132</v>
      </c>
      <c r="M2265" t="s">
        <v>1872</v>
      </c>
    </row>
    <row r="2266" spans="12:13" x14ac:dyDescent="0.25">
      <c r="L2266" s="65">
        <v>472200</v>
      </c>
      <c r="M2266" t="s">
        <v>1873</v>
      </c>
    </row>
    <row r="2267" spans="12:13" x14ac:dyDescent="0.25">
      <c r="L2267" s="65">
        <v>472210</v>
      </c>
      <c r="M2267" t="s">
        <v>1873</v>
      </c>
    </row>
    <row r="2268" spans="12:13" x14ac:dyDescent="0.25">
      <c r="L2268" s="65">
        <v>472211</v>
      </c>
      <c r="M2268" t="s">
        <v>1873</v>
      </c>
    </row>
    <row r="2269" spans="12:13" x14ac:dyDescent="0.25">
      <c r="L2269" s="65">
        <v>472300</v>
      </c>
      <c r="M2269" t="s">
        <v>1874</v>
      </c>
    </row>
    <row r="2270" spans="12:13" x14ac:dyDescent="0.25">
      <c r="L2270" s="65">
        <v>472310</v>
      </c>
      <c r="M2270" t="s">
        <v>1874</v>
      </c>
    </row>
    <row r="2271" spans="12:13" x14ac:dyDescent="0.25">
      <c r="L2271" s="65">
        <v>472311</v>
      </c>
      <c r="M2271" t="s">
        <v>1874</v>
      </c>
    </row>
    <row r="2272" spans="12:13" x14ac:dyDescent="0.25">
      <c r="L2272" s="65">
        <v>472400</v>
      </c>
      <c r="M2272" t="s">
        <v>1875</v>
      </c>
    </row>
    <row r="2273" spans="12:13" x14ac:dyDescent="0.25">
      <c r="L2273" s="65">
        <v>472410</v>
      </c>
      <c r="M2273" t="s">
        <v>1875</v>
      </c>
    </row>
    <row r="2274" spans="12:13" x14ac:dyDescent="0.25">
      <c r="L2274" s="65">
        <v>472411</v>
      </c>
      <c r="M2274" t="s">
        <v>1875</v>
      </c>
    </row>
    <row r="2275" spans="12:13" x14ac:dyDescent="0.25">
      <c r="L2275" s="65">
        <v>472500</v>
      </c>
      <c r="M2275" t="s">
        <v>1876</v>
      </c>
    </row>
    <row r="2276" spans="12:13" x14ac:dyDescent="0.25">
      <c r="L2276" s="65">
        <v>472510</v>
      </c>
      <c r="M2276" t="s">
        <v>1877</v>
      </c>
    </row>
    <row r="2277" spans="12:13" x14ac:dyDescent="0.25">
      <c r="L2277" s="65">
        <v>472511</v>
      </c>
      <c r="M2277" t="s">
        <v>1877</v>
      </c>
    </row>
    <row r="2278" spans="12:13" x14ac:dyDescent="0.25">
      <c r="L2278" s="65">
        <v>472520</v>
      </c>
      <c r="M2278" t="s">
        <v>1878</v>
      </c>
    </row>
    <row r="2279" spans="12:13" x14ac:dyDescent="0.25">
      <c r="L2279" s="65">
        <v>472521</v>
      </c>
      <c r="M2279" t="s">
        <v>1878</v>
      </c>
    </row>
    <row r="2280" spans="12:13" x14ac:dyDescent="0.25">
      <c r="L2280" s="65">
        <v>472600</v>
      </c>
      <c r="M2280" t="s">
        <v>1879</v>
      </c>
    </row>
    <row r="2281" spans="12:13" x14ac:dyDescent="0.25">
      <c r="L2281" s="65">
        <v>472610</v>
      </c>
      <c r="M2281" t="s">
        <v>1879</v>
      </c>
    </row>
    <row r="2282" spans="12:13" x14ac:dyDescent="0.25">
      <c r="L2282" s="65">
        <v>472611</v>
      </c>
      <c r="M2282" t="s">
        <v>1879</v>
      </c>
    </row>
    <row r="2283" spans="12:13" x14ac:dyDescent="0.25">
      <c r="L2283" s="65">
        <v>472700</v>
      </c>
      <c r="M2283" t="s">
        <v>1880</v>
      </c>
    </row>
    <row r="2284" spans="12:13" x14ac:dyDescent="0.25">
      <c r="L2284" s="65">
        <v>472710</v>
      </c>
      <c r="M2284" t="s">
        <v>1881</v>
      </c>
    </row>
    <row r="2285" spans="12:13" x14ac:dyDescent="0.25">
      <c r="L2285" s="65">
        <v>472711</v>
      </c>
      <c r="M2285" t="s">
        <v>1882</v>
      </c>
    </row>
    <row r="2286" spans="12:13" x14ac:dyDescent="0.25">
      <c r="L2286" s="65">
        <v>472712</v>
      </c>
      <c r="M2286" t="s">
        <v>1883</v>
      </c>
    </row>
    <row r="2287" spans="12:13" x14ac:dyDescent="0.25">
      <c r="L2287" s="65">
        <v>472713</v>
      </c>
      <c r="M2287" t="s">
        <v>1884</v>
      </c>
    </row>
    <row r="2288" spans="12:13" x14ac:dyDescent="0.25">
      <c r="L2288" s="65">
        <v>472714</v>
      </c>
      <c r="M2288" t="s">
        <v>1885</v>
      </c>
    </row>
    <row r="2289" spans="12:13" x14ac:dyDescent="0.25">
      <c r="L2289" s="65">
        <v>472715</v>
      </c>
      <c r="M2289" t="s">
        <v>1886</v>
      </c>
    </row>
    <row r="2290" spans="12:13" x14ac:dyDescent="0.25">
      <c r="L2290" s="65">
        <v>472716</v>
      </c>
      <c r="M2290" t="s">
        <v>1887</v>
      </c>
    </row>
    <row r="2291" spans="12:13" x14ac:dyDescent="0.25">
      <c r="L2291" s="65">
        <v>472717</v>
      </c>
      <c r="M2291" t="s">
        <v>1888</v>
      </c>
    </row>
    <row r="2292" spans="12:13" x14ac:dyDescent="0.25">
      <c r="L2292" s="65">
        <v>472718</v>
      </c>
      <c r="M2292" t="s">
        <v>1433</v>
      </c>
    </row>
    <row r="2293" spans="12:13" x14ac:dyDescent="0.25">
      <c r="L2293" s="65">
        <v>472719</v>
      </c>
      <c r="M2293" t="s">
        <v>1889</v>
      </c>
    </row>
    <row r="2294" spans="12:13" x14ac:dyDescent="0.25">
      <c r="L2294" s="65">
        <v>472720</v>
      </c>
      <c r="M2294" t="s">
        <v>1890</v>
      </c>
    </row>
    <row r="2295" spans="12:13" x14ac:dyDescent="0.25">
      <c r="L2295" s="65">
        <v>472721</v>
      </c>
      <c r="M2295" t="s">
        <v>1890</v>
      </c>
    </row>
    <row r="2296" spans="12:13" x14ac:dyDescent="0.25">
      <c r="L2296" s="65">
        <v>472730</v>
      </c>
      <c r="M2296" t="s">
        <v>1891</v>
      </c>
    </row>
    <row r="2297" spans="12:13" x14ac:dyDescent="0.25">
      <c r="L2297" s="65">
        <v>472731</v>
      </c>
      <c r="M2297" t="s">
        <v>1892</v>
      </c>
    </row>
    <row r="2298" spans="12:13" x14ac:dyDescent="0.25">
      <c r="L2298" s="65">
        <v>472732</v>
      </c>
      <c r="M2298" t="s">
        <v>1893</v>
      </c>
    </row>
    <row r="2299" spans="12:13" x14ac:dyDescent="0.25">
      <c r="L2299" s="65">
        <v>472740</v>
      </c>
      <c r="M2299" t="s">
        <v>1894</v>
      </c>
    </row>
    <row r="2300" spans="12:13" x14ac:dyDescent="0.25">
      <c r="L2300" s="65">
        <v>472741</v>
      </c>
      <c r="M2300" t="s">
        <v>1894</v>
      </c>
    </row>
    <row r="2301" spans="12:13" x14ac:dyDescent="0.25">
      <c r="L2301" s="65">
        <v>472742</v>
      </c>
      <c r="M2301" t="s">
        <v>1895</v>
      </c>
    </row>
    <row r="2302" spans="12:13" x14ac:dyDescent="0.25">
      <c r="L2302" s="65">
        <v>472800</v>
      </c>
      <c r="M2302" t="s">
        <v>1896</v>
      </c>
    </row>
    <row r="2303" spans="12:13" x14ac:dyDescent="0.25">
      <c r="L2303" s="65">
        <v>472810</v>
      </c>
      <c r="M2303" t="s">
        <v>1896</v>
      </c>
    </row>
    <row r="2304" spans="12:13" x14ac:dyDescent="0.25">
      <c r="L2304" s="65">
        <v>472811</v>
      </c>
      <c r="M2304" t="s">
        <v>1896</v>
      </c>
    </row>
    <row r="2305" spans="12:13" x14ac:dyDescent="0.25">
      <c r="L2305" s="65">
        <v>472900</v>
      </c>
      <c r="M2305" t="s">
        <v>1897</v>
      </c>
    </row>
    <row r="2306" spans="12:13" x14ac:dyDescent="0.25">
      <c r="L2306" s="65">
        <v>472910</v>
      </c>
      <c r="M2306" t="s">
        <v>1898</v>
      </c>
    </row>
    <row r="2307" spans="12:13" x14ac:dyDescent="0.25">
      <c r="L2307" s="65">
        <v>472911</v>
      </c>
      <c r="M2307" t="s">
        <v>1898</v>
      </c>
    </row>
    <row r="2308" spans="12:13" x14ac:dyDescent="0.25">
      <c r="L2308" s="65">
        <v>472920</v>
      </c>
      <c r="M2308" t="s">
        <v>1899</v>
      </c>
    </row>
    <row r="2309" spans="12:13" x14ac:dyDescent="0.25">
      <c r="L2309" s="65">
        <v>472921</v>
      </c>
      <c r="M2309" t="s">
        <v>1900</v>
      </c>
    </row>
    <row r="2310" spans="12:13" x14ac:dyDescent="0.25">
      <c r="L2310" s="65">
        <v>472922</v>
      </c>
      <c r="M2310" t="s">
        <v>1901</v>
      </c>
    </row>
    <row r="2311" spans="12:13" x14ac:dyDescent="0.25">
      <c r="L2311" s="65">
        <v>472930</v>
      </c>
      <c r="M2311" t="s">
        <v>1808</v>
      </c>
    </row>
    <row r="2312" spans="12:13" x14ac:dyDescent="0.25">
      <c r="L2312" s="65">
        <v>472931</v>
      </c>
      <c r="M2312" t="s">
        <v>1808</v>
      </c>
    </row>
    <row r="2313" spans="12:13" x14ac:dyDescent="0.25">
      <c r="L2313" s="65">
        <v>480000</v>
      </c>
      <c r="M2313" t="s">
        <v>1902</v>
      </c>
    </row>
    <row r="2314" spans="12:13" x14ac:dyDescent="0.25">
      <c r="L2314" s="65">
        <v>481000</v>
      </c>
      <c r="M2314" t="s">
        <v>1903</v>
      </c>
    </row>
    <row r="2315" spans="12:13" x14ac:dyDescent="0.25">
      <c r="L2315" s="65">
        <v>481100</v>
      </c>
      <c r="M2315" t="s">
        <v>1904</v>
      </c>
    </row>
    <row r="2316" spans="12:13" x14ac:dyDescent="0.25">
      <c r="L2316" s="65">
        <v>481110</v>
      </c>
      <c r="M2316" t="s">
        <v>1904</v>
      </c>
    </row>
    <row r="2317" spans="12:13" x14ac:dyDescent="0.25">
      <c r="L2317" s="65">
        <v>481111</v>
      </c>
      <c r="M2317" t="s">
        <v>1905</v>
      </c>
    </row>
    <row r="2318" spans="12:13" x14ac:dyDescent="0.25">
      <c r="L2318" s="65">
        <v>481112</v>
      </c>
      <c r="M2318" t="s">
        <v>1906</v>
      </c>
    </row>
    <row r="2319" spans="12:13" x14ac:dyDescent="0.25">
      <c r="L2319" s="65">
        <v>481113</v>
      </c>
      <c r="M2319" t="s">
        <v>1907</v>
      </c>
    </row>
    <row r="2320" spans="12:13" x14ac:dyDescent="0.25">
      <c r="L2320" s="65">
        <v>481120</v>
      </c>
      <c r="M2320" t="s">
        <v>1908</v>
      </c>
    </row>
    <row r="2321" spans="12:13" x14ac:dyDescent="0.25">
      <c r="L2321" s="65">
        <v>481121</v>
      </c>
      <c r="M2321" t="s">
        <v>1909</v>
      </c>
    </row>
    <row r="2322" spans="12:13" x14ac:dyDescent="0.25">
      <c r="L2322" s="65">
        <v>481130</v>
      </c>
      <c r="M2322" t="s">
        <v>1910</v>
      </c>
    </row>
    <row r="2323" spans="12:13" x14ac:dyDescent="0.25">
      <c r="L2323" s="65">
        <v>481131</v>
      </c>
      <c r="M2323" t="s">
        <v>1910</v>
      </c>
    </row>
    <row r="2324" spans="12:13" x14ac:dyDescent="0.25">
      <c r="L2324" s="65">
        <v>481900</v>
      </c>
      <c r="M2324" t="s">
        <v>1911</v>
      </c>
    </row>
    <row r="2325" spans="12:13" x14ac:dyDescent="0.25">
      <c r="L2325" s="65">
        <v>481910</v>
      </c>
      <c r="M2325" t="s">
        <v>1912</v>
      </c>
    </row>
    <row r="2326" spans="12:13" x14ac:dyDescent="0.25">
      <c r="L2326" s="65">
        <v>481911</v>
      </c>
      <c r="M2326" t="s">
        <v>1912</v>
      </c>
    </row>
    <row r="2327" spans="12:13" x14ac:dyDescent="0.25">
      <c r="L2327" s="65">
        <v>481920</v>
      </c>
      <c r="M2327" t="s">
        <v>1913</v>
      </c>
    </row>
    <row r="2328" spans="12:13" x14ac:dyDescent="0.25">
      <c r="L2328" s="65">
        <v>481921</v>
      </c>
      <c r="M2328" t="s">
        <v>1913</v>
      </c>
    </row>
    <row r="2329" spans="12:13" x14ac:dyDescent="0.25">
      <c r="L2329" s="65">
        <v>481930</v>
      </c>
      <c r="M2329" t="s">
        <v>1914</v>
      </c>
    </row>
    <row r="2330" spans="12:13" x14ac:dyDescent="0.25">
      <c r="L2330" s="65">
        <v>481931</v>
      </c>
      <c r="M2330" t="s">
        <v>1914</v>
      </c>
    </row>
    <row r="2331" spans="12:13" x14ac:dyDescent="0.25">
      <c r="L2331" s="65">
        <v>481940</v>
      </c>
      <c r="M2331" t="s">
        <v>1915</v>
      </c>
    </row>
    <row r="2332" spans="12:13" x14ac:dyDescent="0.25">
      <c r="L2332" s="65">
        <v>481941</v>
      </c>
      <c r="M2332" t="s">
        <v>1916</v>
      </c>
    </row>
    <row r="2333" spans="12:13" x14ac:dyDescent="0.25">
      <c r="L2333" s="65">
        <v>481942</v>
      </c>
      <c r="M2333" t="s">
        <v>1917</v>
      </c>
    </row>
    <row r="2334" spans="12:13" x14ac:dyDescent="0.25">
      <c r="L2334" s="65">
        <v>481950</v>
      </c>
      <c r="M2334" t="s">
        <v>1918</v>
      </c>
    </row>
    <row r="2335" spans="12:13" x14ac:dyDescent="0.25">
      <c r="L2335" s="65">
        <v>481951</v>
      </c>
      <c r="M2335" t="s">
        <v>1918</v>
      </c>
    </row>
    <row r="2336" spans="12:13" x14ac:dyDescent="0.25">
      <c r="L2336" s="65">
        <v>481960</v>
      </c>
      <c r="M2336" t="s">
        <v>1919</v>
      </c>
    </row>
    <row r="2337" spans="12:13" x14ac:dyDescent="0.25">
      <c r="L2337" s="65">
        <v>481961</v>
      </c>
      <c r="M2337" t="s">
        <v>1920</v>
      </c>
    </row>
    <row r="2338" spans="12:13" x14ac:dyDescent="0.25">
      <c r="L2338" s="65">
        <v>481962</v>
      </c>
      <c r="M2338" t="s">
        <v>1921</v>
      </c>
    </row>
    <row r="2339" spans="12:13" x14ac:dyDescent="0.25">
      <c r="L2339" s="65">
        <v>481969</v>
      </c>
      <c r="M2339" t="s">
        <v>1922</v>
      </c>
    </row>
    <row r="2340" spans="12:13" x14ac:dyDescent="0.25">
      <c r="L2340" s="65">
        <v>481990</v>
      </c>
      <c r="M2340" t="s">
        <v>1911</v>
      </c>
    </row>
    <row r="2341" spans="12:13" x14ac:dyDescent="0.25">
      <c r="L2341" s="65">
        <v>481991</v>
      </c>
      <c r="M2341" t="s">
        <v>1911</v>
      </c>
    </row>
    <row r="2342" spans="12:13" x14ac:dyDescent="0.25">
      <c r="L2342" s="65">
        <v>482000</v>
      </c>
      <c r="M2342" t="s">
        <v>1923</v>
      </c>
    </row>
    <row r="2343" spans="12:13" x14ac:dyDescent="0.25">
      <c r="L2343" s="65">
        <v>482100</v>
      </c>
      <c r="M2343" t="s">
        <v>1924</v>
      </c>
    </row>
    <row r="2344" spans="12:13" x14ac:dyDescent="0.25">
      <c r="L2344" s="65">
        <v>482110</v>
      </c>
      <c r="M2344" t="s">
        <v>1925</v>
      </c>
    </row>
    <row r="2345" spans="12:13" x14ac:dyDescent="0.25">
      <c r="L2345" s="65">
        <v>482111</v>
      </c>
      <c r="M2345" t="s">
        <v>1926</v>
      </c>
    </row>
    <row r="2346" spans="12:13" x14ac:dyDescent="0.25">
      <c r="L2346" s="65">
        <v>482112</v>
      </c>
      <c r="M2346" t="s">
        <v>1927</v>
      </c>
    </row>
    <row r="2347" spans="12:13" x14ac:dyDescent="0.25">
      <c r="L2347" s="65">
        <v>482120</v>
      </c>
      <c r="M2347" t="s">
        <v>1928</v>
      </c>
    </row>
    <row r="2348" spans="12:13" x14ac:dyDescent="0.25">
      <c r="L2348" s="65">
        <v>482121</v>
      </c>
      <c r="M2348" t="s">
        <v>1929</v>
      </c>
    </row>
    <row r="2349" spans="12:13" x14ac:dyDescent="0.25">
      <c r="L2349" s="65">
        <v>482122</v>
      </c>
      <c r="M2349" t="s">
        <v>1930</v>
      </c>
    </row>
    <row r="2350" spans="12:13" x14ac:dyDescent="0.25">
      <c r="L2350" s="65">
        <v>482123</v>
      </c>
      <c r="M2350" t="s">
        <v>1931</v>
      </c>
    </row>
    <row r="2351" spans="12:13" x14ac:dyDescent="0.25">
      <c r="L2351" s="65">
        <v>482130</v>
      </c>
      <c r="M2351" t="s">
        <v>1932</v>
      </c>
    </row>
    <row r="2352" spans="12:13" x14ac:dyDescent="0.25">
      <c r="L2352" s="65">
        <v>482131</v>
      </c>
      <c r="M2352" t="s">
        <v>1933</v>
      </c>
    </row>
    <row r="2353" spans="12:13" x14ac:dyDescent="0.25">
      <c r="L2353" s="65">
        <v>482132</v>
      </c>
      <c r="M2353" t="s">
        <v>1934</v>
      </c>
    </row>
    <row r="2354" spans="12:13" x14ac:dyDescent="0.25">
      <c r="L2354" s="65">
        <v>482140</v>
      </c>
      <c r="M2354" t="s">
        <v>1935</v>
      </c>
    </row>
    <row r="2355" spans="12:13" x14ac:dyDescent="0.25">
      <c r="L2355" s="65">
        <v>482141</v>
      </c>
      <c r="M2355" t="s">
        <v>1936</v>
      </c>
    </row>
    <row r="2356" spans="12:13" x14ac:dyDescent="0.25">
      <c r="L2356" s="65">
        <v>482190</v>
      </c>
      <c r="M2356" t="s">
        <v>1924</v>
      </c>
    </row>
    <row r="2357" spans="12:13" x14ac:dyDescent="0.25">
      <c r="L2357" s="65">
        <v>482191</v>
      </c>
      <c r="M2357" t="s">
        <v>1924</v>
      </c>
    </row>
    <row r="2358" spans="12:13" x14ac:dyDescent="0.25">
      <c r="L2358" s="65">
        <v>482200</v>
      </c>
      <c r="M2358" t="s">
        <v>1937</v>
      </c>
    </row>
    <row r="2359" spans="12:13" x14ac:dyDescent="0.25">
      <c r="L2359" s="65">
        <v>482210</v>
      </c>
      <c r="M2359" t="s">
        <v>1131</v>
      </c>
    </row>
    <row r="2360" spans="12:13" x14ac:dyDescent="0.25">
      <c r="L2360" s="65">
        <v>482211</v>
      </c>
      <c r="M2360" t="s">
        <v>1131</v>
      </c>
    </row>
    <row r="2361" spans="12:13" x14ac:dyDescent="0.25">
      <c r="L2361" s="65">
        <v>482220</v>
      </c>
      <c r="M2361" t="s">
        <v>1132</v>
      </c>
    </row>
    <row r="2362" spans="12:13" x14ac:dyDescent="0.25">
      <c r="L2362" s="65">
        <v>482221</v>
      </c>
      <c r="M2362" t="s">
        <v>1132</v>
      </c>
    </row>
    <row r="2363" spans="12:13" x14ac:dyDescent="0.25">
      <c r="L2363" s="65">
        <v>482230</v>
      </c>
      <c r="M2363" t="s">
        <v>1133</v>
      </c>
    </row>
    <row r="2364" spans="12:13" x14ac:dyDescent="0.25">
      <c r="L2364" s="65">
        <v>482231</v>
      </c>
      <c r="M2364" t="s">
        <v>1133</v>
      </c>
    </row>
    <row r="2365" spans="12:13" x14ac:dyDescent="0.25">
      <c r="L2365" s="65">
        <v>482240</v>
      </c>
      <c r="M2365" t="s">
        <v>1134</v>
      </c>
    </row>
    <row r="2366" spans="12:13" x14ac:dyDescent="0.25">
      <c r="L2366" s="65">
        <v>482241</v>
      </c>
      <c r="M2366" t="s">
        <v>1134</v>
      </c>
    </row>
    <row r="2367" spans="12:13" x14ac:dyDescent="0.25">
      <c r="L2367" s="65">
        <v>482250</v>
      </c>
      <c r="M2367" t="s">
        <v>1135</v>
      </c>
    </row>
    <row r="2368" spans="12:13" x14ac:dyDescent="0.25">
      <c r="L2368" s="65">
        <v>482251</v>
      </c>
      <c r="M2368" t="s">
        <v>1135</v>
      </c>
    </row>
    <row r="2369" spans="12:13" x14ac:dyDescent="0.25">
      <c r="L2369" s="65">
        <v>482300</v>
      </c>
      <c r="M2369" t="s">
        <v>1938</v>
      </c>
    </row>
    <row r="2370" spans="12:13" x14ac:dyDescent="0.25">
      <c r="L2370" s="65">
        <v>482310</v>
      </c>
      <c r="M2370" t="s">
        <v>1939</v>
      </c>
    </row>
    <row r="2371" spans="12:13" x14ac:dyDescent="0.25">
      <c r="L2371" s="65">
        <v>482311</v>
      </c>
      <c r="M2371" t="s">
        <v>1137</v>
      </c>
    </row>
    <row r="2372" spans="12:13" x14ac:dyDescent="0.25">
      <c r="L2372" s="65">
        <v>482312</v>
      </c>
      <c r="M2372" t="s">
        <v>1940</v>
      </c>
    </row>
    <row r="2373" spans="12:13" x14ac:dyDescent="0.25">
      <c r="L2373" s="65">
        <v>482320</v>
      </c>
      <c r="M2373" t="s">
        <v>1138</v>
      </c>
    </row>
    <row r="2374" spans="12:13" x14ac:dyDescent="0.25">
      <c r="L2374" s="65">
        <v>482321</v>
      </c>
      <c r="M2374" t="s">
        <v>1138</v>
      </c>
    </row>
    <row r="2375" spans="12:13" x14ac:dyDescent="0.25">
      <c r="L2375" s="65">
        <v>482330</v>
      </c>
      <c r="M2375" t="s">
        <v>1139</v>
      </c>
    </row>
    <row r="2376" spans="12:13" x14ac:dyDescent="0.25">
      <c r="L2376" s="65">
        <v>482331</v>
      </c>
      <c r="M2376" t="s">
        <v>1139</v>
      </c>
    </row>
    <row r="2377" spans="12:13" x14ac:dyDescent="0.25">
      <c r="L2377" s="65">
        <v>482340</v>
      </c>
      <c r="M2377" t="s">
        <v>1140</v>
      </c>
    </row>
    <row r="2378" spans="12:13" x14ac:dyDescent="0.25">
      <c r="L2378" s="65">
        <v>482341</v>
      </c>
      <c r="M2378" t="s">
        <v>1140</v>
      </c>
    </row>
    <row r="2379" spans="12:13" x14ac:dyDescent="0.25">
      <c r="L2379" s="65">
        <v>483000</v>
      </c>
      <c r="M2379" t="s">
        <v>1941</v>
      </c>
    </row>
    <row r="2380" spans="12:13" x14ac:dyDescent="0.25">
      <c r="L2380" s="65">
        <v>483100</v>
      </c>
      <c r="M2380" t="s">
        <v>1941</v>
      </c>
    </row>
    <row r="2381" spans="12:13" x14ac:dyDescent="0.25">
      <c r="L2381" s="65">
        <v>483110</v>
      </c>
      <c r="M2381" t="s">
        <v>1941</v>
      </c>
    </row>
    <row r="2382" spans="12:13" x14ac:dyDescent="0.25">
      <c r="L2382" s="65">
        <v>483111</v>
      </c>
      <c r="M2382" t="s">
        <v>1941</v>
      </c>
    </row>
    <row r="2383" spans="12:13" x14ac:dyDescent="0.25">
      <c r="L2383" s="65">
        <v>484000</v>
      </c>
      <c r="M2383" t="s">
        <v>1942</v>
      </c>
    </row>
    <row r="2384" spans="12:13" x14ac:dyDescent="0.25">
      <c r="L2384" s="65">
        <v>484100</v>
      </c>
      <c r="M2384" t="s">
        <v>1943</v>
      </c>
    </row>
    <row r="2385" spans="12:13" x14ac:dyDescent="0.25">
      <c r="L2385" s="65">
        <v>484110</v>
      </c>
      <c r="M2385" t="s">
        <v>1943</v>
      </c>
    </row>
    <row r="2386" spans="12:13" x14ac:dyDescent="0.25">
      <c r="L2386" s="65">
        <v>484111</v>
      </c>
      <c r="M2386" t="s">
        <v>1943</v>
      </c>
    </row>
    <row r="2387" spans="12:13" x14ac:dyDescent="0.25">
      <c r="L2387" s="65">
        <v>484200</v>
      </c>
      <c r="M2387" t="s">
        <v>1944</v>
      </c>
    </row>
    <row r="2388" spans="12:13" x14ac:dyDescent="0.25">
      <c r="L2388" s="65">
        <v>484210</v>
      </c>
      <c r="M2388" t="s">
        <v>1944</v>
      </c>
    </row>
    <row r="2389" spans="12:13" x14ac:dyDescent="0.25">
      <c r="L2389" s="65">
        <v>484211</v>
      </c>
      <c r="M2389" t="s">
        <v>1944</v>
      </c>
    </row>
    <row r="2390" spans="12:13" x14ac:dyDescent="0.25">
      <c r="L2390" s="65">
        <v>485000</v>
      </c>
      <c r="M2390" t="s">
        <v>1945</v>
      </c>
    </row>
    <row r="2391" spans="12:13" x14ac:dyDescent="0.25">
      <c r="L2391" s="65">
        <v>485100</v>
      </c>
      <c r="M2391" t="s">
        <v>1945</v>
      </c>
    </row>
    <row r="2392" spans="12:13" x14ac:dyDescent="0.25">
      <c r="L2392" s="65">
        <v>485110</v>
      </c>
      <c r="M2392" t="s">
        <v>1945</v>
      </c>
    </row>
    <row r="2393" spans="12:13" x14ac:dyDescent="0.25">
      <c r="L2393" s="65">
        <v>485111</v>
      </c>
      <c r="M2393" t="s">
        <v>1946</v>
      </c>
    </row>
    <row r="2394" spans="12:13" x14ac:dyDescent="0.25">
      <c r="L2394" s="65">
        <v>485119</v>
      </c>
      <c r="M2394" t="s">
        <v>1947</v>
      </c>
    </row>
    <row r="2395" spans="12:13" x14ac:dyDescent="0.25">
      <c r="L2395" s="65">
        <v>489000</v>
      </c>
      <c r="M2395" t="s">
        <v>1948</v>
      </c>
    </row>
    <row r="2396" spans="12:13" x14ac:dyDescent="0.25">
      <c r="L2396" s="65">
        <v>489100</v>
      </c>
      <c r="M2396" t="s">
        <v>1948</v>
      </c>
    </row>
    <row r="2397" spans="12:13" x14ac:dyDescent="0.25">
      <c r="L2397" s="65">
        <v>489110</v>
      </c>
      <c r="M2397" t="s">
        <v>1948</v>
      </c>
    </row>
    <row r="2398" spans="12:13" x14ac:dyDescent="0.25">
      <c r="L2398" s="65">
        <v>489111</v>
      </c>
      <c r="M2398" t="s">
        <v>1948</v>
      </c>
    </row>
    <row r="2399" spans="12:13" x14ac:dyDescent="0.25">
      <c r="L2399" s="65">
        <v>490000</v>
      </c>
      <c r="M2399" t="s">
        <v>1949</v>
      </c>
    </row>
    <row r="2400" spans="12:13" x14ac:dyDescent="0.25">
      <c r="L2400" s="65">
        <v>494000</v>
      </c>
      <c r="M2400" t="s">
        <v>1267</v>
      </c>
    </row>
    <row r="2401" spans="12:13" x14ac:dyDescent="0.25">
      <c r="L2401" s="65">
        <v>494100</v>
      </c>
      <c r="M2401" t="s">
        <v>1268</v>
      </c>
    </row>
    <row r="2402" spans="12:13" x14ac:dyDescent="0.25">
      <c r="L2402" s="65">
        <v>494110</v>
      </c>
      <c r="M2402" t="s">
        <v>1270</v>
      </c>
    </row>
    <row r="2403" spans="12:13" x14ac:dyDescent="0.25">
      <c r="L2403" s="65">
        <v>494111</v>
      </c>
      <c r="M2403" t="s">
        <v>1270</v>
      </c>
    </row>
    <row r="2404" spans="12:13" x14ac:dyDescent="0.25">
      <c r="L2404" s="65">
        <v>494120</v>
      </c>
      <c r="M2404" t="s">
        <v>1289</v>
      </c>
    </row>
    <row r="2405" spans="12:13" x14ac:dyDescent="0.25">
      <c r="L2405" s="65">
        <v>494121</v>
      </c>
      <c r="M2405" t="s">
        <v>1290</v>
      </c>
    </row>
    <row r="2406" spans="12:13" x14ac:dyDescent="0.25">
      <c r="L2406" s="65">
        <v>494122</v>
      </c>
      <c r="M2406" t="s">
        <v>1293</v>
      </c>
    </row>
    <row r="2407" spans="12:13" x14ac:dyDescent="0.25">
      <c r="L2407" s="65">
        <v>494123</v>
      </c>
      <c r="M2407" t="s">
        <v>1950</v>
      </c>
    </row>
    <row r="2408" spans="12:13" x14ac:dyDescent="0.25">
      <c r="L2408" s="65">
        <v>494130</v>
      </c>
      <c r="M2408" t="s">
        <v>1296</v>
      </c>
    </row>
    <row r="2409" spans="12:13" x14ac:dyDescent="0.25">
      <c r="L2409" s="65">
        <v>494131</v>
      </c>
      <c r="M2409" t="s">
        <v>1296</v>
      </c>
    </row>
    <row r="2410" spans="12:13" x14ac:dyDescent="0.25">
      <c r="L2410" s="65">
        <v>494140</v>
      </c>
      <c r="M2410" t="s">
        <v>1311</v>
      </c>
    </row>
    <row r="2411" spans="12:13" x14ac:dyDescent="0.25">
      <c r="L2411" s="65">
        <v>494141</v>
      </c>
      <c r="M2411" t="s">
        <v>1951</v>
      </c>
    </row>
    <row r="2412" spans="12:13" x14ac:dyDescent="0.25">
      <c r="L2412" s="65">
        <v>494142</v>
      </c>
      <c r="M2412" t="s">
        <v>1316</v>
      </c>
    </row>
    <row r="2413" spans="12:13" x14ac:dyDescent="0.25">
      <c r="L2413" s="65">
        <v>494143</v>
      </c>
      <c r="M2413" t="s">
        <v>1317</v>
      </c>
    </row>
    <row r="2414" spans="12:13" x14ac:dyDescent="0.25">
      <c r="L2414" s="65">
        <v>494144</v>
      </c>
      <c r="M2414" t="s">
        <v>1321</v>
      </c>
    </row>
    <row r="2415" spans="12:13" x14ac:dyDescent="0.25">
      <c r="L2415" s="65">
        <v>494150</v>
      </c>
      <c r="M2415" t="s">
        <v>1325</v>
      </c>
    </row>
    <row r="2416" spans="12:13" x14ac:dyDescent="0.25">
      <c r="L2416" s="65">
        <v>494151</v>
      </c>
      <c r="M2416" t="s">
        <v>1325</v>
      </c>
    </row>
    <row r="2417" spans="12:13" x14ac:dyDescent="0.25">
      <c r="L2417" s="65">
        <v>494160</v>
      </c>
      <c r="M2417" t="s">
        <v>1331</v>
      </c>
    </row>
    <row r="2418" spans="12:13" x14ac:dyDescent="0.25">
      <c r="L2418" s="65">
        <v>494161</v>
      </c>
      <c r="M2418" t="s">
        <v>1331</v>
      </c>
    </row>
    <row r="2419" spans="12:13" x14ac:dyDescent="0.25">
      <c r="L2419" s="65">
        <v>494170</v>
      </c>
      <c r="M2419" t="s">
        <v>1341</v>
      </c>
    </row>
    <row r="2420" spans="12:13" x14ac:dyDescent="0.25">
      <c r="L2420" s="65">
        <v>494171</v>
      </c>
      <c r="M2420" t="s">
        <v>1341</v>
      </c>
    </row>
    <row r="2421" spans="12:13" x14ac:dyDescent="0.25">
      <c r="L2421" s="65">
        <v>494180</v>
      </c>
      <c r="M2421" t="s">
        <v>1342</v>
      </c>
    </row>
    <row r="2422" spans="12:13" x14ac:dyDescent="0.25">
      <c r="L2422" s="65">
        <v>494181</v>
      </c>
      <c r="M2422" t="s">
        <v>1342</v>
      </c>
    </row>
    <row r="2423" spans="12:13" x14ac:dyDescent="0.25">
      <c r="L2423" s="65">
        <v>494200</v>
      </c>
      <c r="M2423" t="s">
        <v>1343</v>
      </c>
    </row>
    <row r="2424" spans="12:13" x14ac:dyDescent="0.25">
      <c r="L2424" s="65">
        <v>494210</v>
      </c>
      <c r="M2424" t="s">
        <v>1344</v>
      </c>
    </row>
    <row r="2425" spans="12:13" x14ac:dyDescent="0.25">
      <c r="L2425" s="65">
        <v>494211</v>
      </c>
      <c r="M2425" t="s">
        <v>1345</v>
      </c>
    </row>
    <row r="2426" spans="12:13" x14ac:dyDescent="0.25">
      <c r="L2426" s="65">
        <v>494212</v>
      </c>
      <c r="M2426" t="s">
        <v>1348</v>
      </c>
    </row>
    <row r="2427" spans="12:13" x14ac:dyDescent="0.25">
      <c r="L2427" s="65">
        <v>494213</v>
      </c>
      <c r="M2427" t="s">
        <v>1356</v>
      </c>
    </row>
    <row r="2428" spans="12:13" x14ac:dyDescent="0.25">
      <c r="L2428" s="65">
        <v>494214</v>
      </c>
      <c r="M2428" t="s">
        <v>1367</v>
      </c>
    </row>
    <row r="2429" spans="12:13" x14ac:dyDescent="0.25">
      <c r="L2429" s="65">
        <v>494215</v>
      </c>
      <c r="M2429" t="s">
        <v>1378</v>
      </c>
    </row>
    <row r="2430" spans="12:13" x14ac:dyDescent="0.25">
      <c r="L2430" s="65">
        <v>494216</v>
      </c>
      <c r="M2430" t="s">
        <v>1388</v>
      </c>
    </row>
    <row r="2431" spans="12:13" x14ac:dyDescent="0.25">
      <c r="L2431" s="65">
        <v>494219</v>
      </c>
      <c r="M2431" t="s">
        <v>1403</v>
      </c>
    </row>
    <row r="2432" spans="12:13" x14ac:dyDescent="0.25">
      <c r="L2432" s="65">
        <v>494220</v>
      </c>
      <c r="M2432" t="s">
        <v>1406</v>
      </c>
    </row>
    <row r="2433" spans="12:13" x14ac:dyDescent="0.25">
      <c r="L2433" s="65">
        <v>494221</v>
      </c>
      <c r="M2433" t="s">
        <v>1407</v>
      </c>
    </row>
    <row r="2434" spans="12:13" x14ac:dyDescent="0.25">
      <c r="L2434" s="65">
        <v>494222</v>
      </c>
      <c r="M2434" t="s">
        <v>1417</v>
      </c>
    </row>
    <row r="2435" spans="12:13" x14ac:dyDescent="0.25">
      <c r="L2435" s="65">
        <v>494223</v>
      </c>
      <c r="M2435" t="s">
        <v>1423</v>
      </c>
    </row>
    <row r="2436" spans="12:13" x14ac:dyDescent="0.25">
      <c r="L2436" s="65">
        <v>494224</v>
      </c>
      <c r="M2436" t="s">
        <v>1432</v>
      </c>
    </row>
    <row r="2437" spans="12:13" x14ac:dyDescent="0.25">
      <c r="L2437" s="65">
        <v>494229</v>
      </c>
      <c r="M2437" t="s">
        <v>1435</v>
      </c>
    </row>
    <row r="2438" spans="12:13" x14ac:dyDescent="0.25">
      <c r="L2438" s="65">
        <v>494230</v>
      </c>
      <c r="M2438" t="s">
        <v>1437</v>
      </c>
    </row>
    <row r="2439" spans="12:13" x14ac:dyDescent="0.25">
      <c r="L2439" s="65">
        <v>494231</v>
      </c>
      <c r="M2439" t="s">
        <v>1438</v>
      </c>
    </row>
    <row r="2440" spans="12:13" x14ac:dyDescent="0.25">
      <c r="L2440" s="65">
        <v>494232</v>
      </c>
      <c r="M2440" t="s">
        <v>1443</v>
      </c>
    </row>
    <row r="2441" spans="12:13" x14ac:dyDescent="0.25">
      <c r="L2441" s="65">
        <v>494233</v>
      </c>
      <c r="M2441" t="s">
        <v>1449</v>
      </c>
    </row>
    <row r="2442" spans="12:13" x14ac:dyDescent="0.25">
      <c r="L2442" s="65">
        <v>494234</v>
      </c>
      <c r="M2442" t="s">
        <v>1457</v>
      </c>
    </row>
    <row r="2443" spans="12:13" x14ac:dyDescent="0.25">
      <c r="L2443" s="65">
        <v>494235</v>
      </c>
      <c r="M2443" t="s">
        <v>1472</v>
      </c>
    </row>
    <row r="2444" spans="12:13" x14ac:dyDescent="0.25">
      <c r="L2444" s="65">
        <v>494236</v>
      </c>
      <c r="M2444" t="s">
        <v>1485</v>
      </c>
    </row>
    <row r="2445" spans="12:13" x14ac:dyDescent="0.25">
      <c r="L2445" s="65">
        <v>494237</v>
      </c>
      <c r="M2445" t="s">
        <v>1490</v>
      </c>
    </row>
    <row r="2446" spans="12:13" x14ac:dyDescent="0.25">
      <c r="L2446" s="65">
        <v>494239</v>
      </c>
      <c r="M2446" t="s">
        <v>1492</v>
      </c>
    </row>
    <row r="2447" spans="12:13" x14ac:dyDescent="0.25">
      <c r="L2447" s="65">
        <v>494240</v>
      </c>
      <c r="M2447" t="s">
        <v>1493</v>
      </c>
    </row>
    <row r="2448" spans="12:13" x14ac:dyDescent="0.25">
      <c r="L2448" s="65">
        <v>494241</v>
      </c>
      <c r="M2448" t="s">
        <v>1494</v>
      </c>
    </row>
    <row r="2449" spans="12:13" x14ac:dyDescent="0.25">
      <c r="L2449" s="65">
        <v>494242</v>
      </c>
      <c r="M2449" t="s">
        <v>1500</v>
      </c>
    </row>
    <row r="2450" spans="12:13" x14ac:dyDescent="0.25">
      <c r="L2450" s="65">
        <v>494243</v>
      </c>
      <c r="M2450" t="s">
        <v>1506</v>
      </c>
    </row>
    <row r="2451" spans="12:13" x14ac:dyDescent="0.25">
      <c r="L2451" s="65">
        <v>494244</v>
      </c>
      <c r="M2451" t="s">
        <v>1512</v>
      </c>
    </row>
    <row r="2452" spans="12:13" x14ac:dyDescent="0.25">
      <c r="L2452" s="65">
        <v>494245</v>
      </c>
      <c r="M2452" t="s">
        <v>1513</v>
      </c>
    </row>
    <row r="2453" spans="12:13" x14ac:dyDescent="0.25">
      <c r="L2453" s="65">
        <v>494246</v>
      </c>
      <c r="M2453" t="s">
        <v>1514</v>
      </c>
    </row>
    <row r="2454" spans="12:13" x14ac:dyDescent="0.25">
      <c r="L2454" s="65">
        <v>494249</v>
      </c>
      <c r="M2454" t="s">
        <v>1518</v>
      </c>
    </row>
    <row r="2455" spans="12:13" x14ac:dyDescent="0.25">
      <c r="L2455" s="65">
        <v>494250</v>
      </c>
      <c r="M2455" t="s">
        <v>1519</v>
      </c>
    </row>
    <row r="2456" spans="12:13" x14ac:dyDescent="0.25">
      <c r="L2456" s="65">
        <v>494251</v>
      </c>
      <c r="M2456" t="s">
        <v>1520</v>
      </c>
    </row>
    <row r="2457" spans="12:13" x14ac:dyDescent="0.25">
      <c r="L2457" s="65">
        <v>494252</v>
      </c>
      <c r="M2457" t="s">
        <v>1531</v>
      </c>
    </row>
    <row r="2458" spans="12:13" x14ac:dyDescent="0.25">
      <c r="L2458" s="65">
        <v>494260</v>
      </c>
      <c r="M2458" t="s">
        <v>1558</v>
      </c>
    </row>
    <row r="2459" spans="12:13" x14ac:dyDescent="0.25">
      <c r="L2459" s="65">
        <v>494261</v>
      </c>
      <c r="M2459" t="s">
        <v>1559</v>
      </c>
    </row>
    <row r="2460" spans="12:13" x14ac:dyDescent="0.25">
      <c r="L2460" s="65">
        <v>494262</v>
      </c>
      <c r="M2460" t="s">
        <v>1952</v>
      </c>
    </row>
    <row r="2461" spans="12:13" x14ac:dyDescent="0.25">
      <c r="L2461" s="65">
        <v>494263</v>
      </c>
      <c r="M2461" t="s">
        <v>1953</v>
      </c>
    </row>
    <row r="2462" spans="12:13" x14ac:dyDescent="0.25">
      <c r="L2462" s="65">
        <v>494264</v>
      </c>
      <c r="M2462" t="s">
        <v>1954</v>
      </c>
    </row>
    <row r="2463" spans="12:13" x14ac:dyDescent="0.25">
      <c r="L2463" s="65">
        <v>494265</v>
      </c>
      <c r="M2463" t="s">
        <v>1955</v>
      </c>
    </row>
    <row r="2464" spans="12:13" x14ac:dyDescent="0.25">
      <c r="L2464" s="65">
        <v>494266</v>
      </c>
      <c r="M2464" t="s">
        <v>1956</v>
      </c>
    </row>
    <row r="2465" spans="12:13" x14ac:dyDescent="0.25">
      <c r="L2465" s="65">
        <v>494267</v>
      </c>
      <c r="M2465" t="s">
        <v>1598</v>
      </c>
    </row>
    <row r="2466" spans="12:13" x14ac:dyDescent="0.25">
      <c r="L2466" s="65">
        <v>494268</v>
      </c>
      <c r="M2466" t="s">
        <v>1957</v>
      </c>
    </row>
    <row r="2467" spans="12:13" x14ac:dyDescent="0.25">
      <c r="L2467" s="65">
        <v>494269</v>
      </c>
      <c r="M2467" t="s">
        <v>1958</v>
      </c>
    </row>
    <row r="2468" spans="12:13" x14ac:dyDescent="0.25">
      <c r="L2468" s="65">
        <v>494300</v>
      </c>
      <c r="M2468" t="s">
        <v>1622</v>
      </c>
    </row>
    <row r="2469" spans="12:13" x14ac:dyDescent="0.25">
      <c r="L2469" s="65">
        <v>494310</v>
      </c>
      <c r="M2469" t="s">
        <v>1623</v>
      </c>
    </row>
    <row r="2470" spans="12:13" x14ac:dyDescent="0.25">
      <c r="L2470" s="65">
        <v>494311</v>
      </c>
      <c r="M2470" t="s">
        <v>1624</v>
      </c>
    </row>
    <row r="2471" spans="12:13" x14ac:dyDescent="0.25">
      <c r="L2471" s="65">
        <v>494312</v>
      </c>
      <c r="M2471" t="s">
        <v>1625</v>
      </c>
    </row>
    <row r="2472" spans="12:13" x14ac:dyDescent="0.25">
      <c r="L2472" s="65">
        <v>494313</v>
      </c>
      <c r="M2472" t="s">
        <v>1626</v>
      </c>
    </row>
    <row r="2473" spans="12:13" x14ac:dyDescent="0.25">
      <c r="L2473" s="65">
        <v>494320</v>
      </c>
      <c r="M2473" t="s">
        <v>1627</v>
      </c>
    </row>
    <row r="2474" spans="12:13" x14ac:dyDescent="0.25">
      <c r="L2474" s="65">
        <v>494321</v>
      </c>
      <c r="M2474" t="s">
        <v>1627</v>
      </c>
    </row>
    <row r="2475" spans="12:13" x14ac:dyDescent="0.25">
      <c r="L2475" s="65">
        <v>494330</v>
      </c>
      <c r="M2475" t="s">
        <v>1629</v>
      </c>
    </row>
    <row r="2476" spans="12:13" x14ac:dyDescent="0.25">
      <c r="L2476" s="65">
        <v>494331</v>
      </c>
      <c r="M2476" t="s">
        <v>1630</v>
      </c>
    </row>
    <row r="2477" spans="12:13" x14ac:dyDescent="0.25">
      <c r="L2477" s="65">
        <v>494340</v>
      </c>
      <c r="M2477" t="s">
        <v>1631</v>
      </c>
    </row>
    <row r="2478" spans="12:13" x14ac:dyDescent="0.25">
      <c r="L2478" s="65">
        <v>494341</v>
      </c>
      <c r="M2478" t="s">
        <v>1632</v>
      </c>
    </row>
    <row r="2479" spans="12:13" x14ac:dyDescent="0.25">
      <c r="L2479" s="65">
        <v>494342</v>
      </c>
      <c r="M2479" t="s">
        <v>1633</v>
      </c>
    </row>
    <row r="2480" spans="12:13" x14ac:dyDescent="0.25">
      <c r="L2480" s="65">
        <v>494343</v>
      </c>
      <c r="M2480" t="s">
        <v>1634</v>
      </c>
    </row>
    <row r="2481" spans="12:13" x14ac:dyDescent="0.25">
      <c r="L2481" s="65">
        <v>494350</v>
      </c>
      <c r="M2481" t="s">
        <v>1637</v>
      </c>
    </row>
    <row r="2482" spans="12:13" x14ac:dyDescent="0.25">
      <c r="L2482" s="65">
        <v>494351</v>
      </c>
      <c r="M2482" t="s">
        <v>1637</v>
      </c>
    </row>
    <row r="2483" spans="12:13" x14ac:dyDescent="0.25">
      <c r="L2483" s="65">
        <v>494400</v>
      </c>
      <c r="M2483" t="s">
        <v>1638</v>
      </c>
    </row>
    <row r="2484" spans="12:13" x14ac:dyDescent="0.25">
      <c r="L2484" s="65">
        <v>494410</v>
      </c>
      <c r="M2484" t="s">
        <v>1959</v>
      </c>
    </row>
    <row r="2485" spans="12:13" x14ac:dyDescent="0.25">
      <c r="L2485" s="65">
        <v>494411</v>
      </c>
      <c r="M2485" t="s">
        <v>1640</v>
      </c>
    </row>
    <row r="2486" spans="12:13" x14ac:dyDescent="0.25">
      <c r="L2486" s="65">
        <v>494412</v>
      </c>
      <c r="M2486" t="s">
        <v>1643</v>
      </c>
    </row>
    <row r="2487" spans="12:13" x14ac:dyDescent="0.25">
      <c r="L2487" s="65">
        <v>494413</v>
      </c>
      <c r="M2487" t="s">
        <v>1652</v>
      </c>
    </row>
    <row r="2488" spans="12:13" x14ac:dyDescent="0.25">
      <c r="L2488" s="65">
        <v>494414</v>
      </c>
      <c r="M2488" t="s">
        <v>1960</v>
      </c>
    </row>
    <row r="2489" spans="12:13" x14ac:dyDescent="0.25">
      <c r="L2489" s="65">
        <v>494415</v>
      </c>
      <c r="M2489" t="s">
        <v>1961</v>
      </c>
    </row>
    <row r="2490" spans="12:13" x14ac:dyDescent="0.25">
      <c r="L2490" s="65">
        <v>494416</v>
      </c>
      <c r="M2490" t="s">
        <v>1962</v>
      </c>
    </row>
    <row r="2491" spans="12:13" x14ac:dyDescent="0.25">
      <c r="L2491" s="65">
        <v>494417</v>
      </c>
      <c r="M2491" t="s">
        <v>1658</v>
      </c>
    </row>
    <row r="2492" spans="12:13" x14ac:dyDescent="0.25">
      <c r="L2492" s="65">
        <v>494418</v>
      </c>
      <c r="M2492" t="s">
        <v>1963</v>
      </c>
    </row>
    <row r="2493" spans="12:13" x14ac:dyDescent="0.25">
      <c r="L2493" s="65">
        <v>494420</v>
      </c>
      <c r="M2493" t="s">
        <v>1662</v>
      </c>
    </row>
    <row r="2494" spans="12:13" x14ac:dyDescent="0.25">
      <c r="L2494" s="65">
        <v>494421</v>
      </c>
      <c r="M2494" t="s">
        <v>1663</v>
      </c>
    </row>
    <row r="2495" spans="12:13" x14ac:dyDescent="0.25">
      <c r="L2495" s="65">
        <v>494422</v>
      </c>
      <c r="M2495" t="s">
        <v>1667</v>
      </c>
    </row>
    <row r="2496" spans="12:13" x14ac:dyDescent="0.25">
      <c r="L2496" s="65">
        <v>494423</v>
      </c>
      <c r="M2496" t="s">
        <v>1671</v>
      </c>
    </row>
    <row r="2497" spans="12:13" x14ac:dyDescent="0.25">
      <c r="L2497" s="65">
        <v>494424</v>
      </c>
      <c r="M2497" t="s">
        <v>1678</v>
      </c>
    </row>
    <row r="2498" spans="12:13" x14ac:dyDescent="0.25">
      <c r="L2498" s="65">
        <v>494425</v>
      </c>
      <c r="M2498" t="s">
        <v>1681</v>
      </c>
    </row>
    <row r="2499" spans="12:13" x14ac:dyDescent="0.25">
      <c r="L2499" s="65">
        <v>494426</v>
      </c>
      <c r="M2499" t="s">
        <v>1682</v>
      </c>
    </row>
    <row r="2500" spans="12:13" x14ac:dyDescent="0.25">
      <c r="L2500" s="65">
        <v>494430</v>
      </c>
      <c r="M2500" t="s">
        <v>1683</v>
      </c>
    </row>
    <row r="2501" spans="12:13" x14ac:dyDescent="0.25">
      <c r="L2501" s="65">
        <v>494431</v>
      </c>
      <c r="M2501" t="s">
        <v>1683</v>
      </c>
    </row>
    <row r="2502" spans="12:13" x14ac:dyDescent="0.25">
      <c r="L2502" s="65">
        <v>494440</v>
      </c>
      <c r="M2502" t="s">
        <v>1684</v>
      </c>
    </row>
    <row r="2503" spans="12:13" x14ac:dyDescent="0.25">
      <c r="L2503" s="65">
        <v>494441</v>
      </c>
      <c r="M2503" t="s">
        <v>1685</v>
      </c>
    </row>
    <row r="2504" spans="12:13" x14ac:dyDescent="0.25">
      <c r="L2504" s="65">
        <v>494442</v>
      </c>
      <c r="M2504" t="s">
        <v>1686</v>
      </c>
    </row>
    <row r="2505" spans="12:13" x14ac:dyDescent="0.25">
      <c r="L2505" s="65">
        <v>494443</v>
      </c>
      <c r="M2505" t="s">
        <v>1689</v>
      </c>
    </row>
    <row r="2506" spans="12:13" x14ac:dyDescent="0.25">
      <c r="L2506" s="65">
        <v>494500</v>
      </c>
      <c r="M2506" t="s">
        <v>1690</v>
      </c>
    </row>
    <row r="2507" spans="12:13" x14ac:dyDescent="0.25">
      <c r="L2507" s="65">
        <v>494510</v>
      </c>
      <c r="M2507" t="s">
        <v>1691</v>
      </c>
    </row>
    <row r="2508" spans="12:13" x14ac:dyDescent="0.25">
      <c r="L2508" s="65">
        <v>494511</v>
      </c>
      <c r="M2508" t="s">
        <v>1692</v>
      </c>
    </row>
    <row r="2509" spans="12:13" x14ac:dyDescent="0.25">
      <c r="L2509" s="65">
        <v>494512</v>
      </c>
      <c r="M2509" t="s">
        <v>1701</v>
      </c>
    </row>
    <row r="2510" spans="12:13" x14ac:dyDescent="0.25">
      <c r="L2510" s="65">
        <v>494520</v>
      </c>
      <c r="M2510" t="s">
        <v>1708</v>
      </c>
    </row>
    <row r="2511" spans="12:13" x14ac:dyDescent="0.25">
      <c r="L2511" s="65">
        <v>494521</v>
      </c>
      <c r="M2511" t="s">
        <v>1709</v>
      </c>
    </row>
    <row r="2512" spans="12:13" x14ac:dyDescent="0.25">
      <c r="L2512" s="65">
        <v>494522</v>
      </c>
      <c r="M2512" t="s">
        <v>1712</v>
      </c>
    </row>
    <row r="2513" spans="12:13" x14ac:dyDescent="0.25">
      <c r="L2513" s="65">
        <v>494530</v>
      </c>
      <c r="M2513" t="s">
        <v>1715</v>
      </c>
    </row>
    <row r="2514" spans="12:13" x14ac:dyDescent="0.25">
      <c r="L2514" s="65">
        <v>494531</v>
      </c>
      <c r="M2514" t="s">
        <v>1716</v>
      </c>
    </row>
    <row r="2515" spans="12:13" x14ac:dyDescent="0.25">
      <c r="L2515" s="65">
        <v>494532</v>
      </c>
      <c r="M2515" t="s">
        <v>1720</v>
      </c>
    </row>
    <row r="2516" spans="12:13" x14ac:dyDescent="0.25">
      <c r="L2516" s="65">
        <v>494540</v>
      </c>
      <c r="M2516" t="s">
        <v>1723</v>
      </c>
    </row>
    <row r="2517" spans="12:13" x14ac:dyDescent="0.25">
      <c r="L2517" s="65">
        <v>494541</v>
      </c>
      <c r="M2517" t="s">
        <v>1724</v>
      </c>
    </row>
    <row r="2518" spans="12:13" x14ac:dyDescent="0.25">
      <c r="L2518" s="65">
        <v>494542</v>
      </c>
      <c r="M2518" t="s">
        <v>1725</v>
      </c>
    </row>
    <row r="2519" spans="12:13" x14ac:dyDescent="0.25">
      <c r="L2519" s="65">
        <v>494700</v>
      </c>
      <c r="M2519" t="s">
        <v>1964</v>
      </c>
    </row>
    <row r="2520" spans="12:13" x14ac:dyDescent="0.25">
      <c r="L2520" s="65">
        <v>494710</v>
      </c>
      <c r="M2520" t="s">
        <v>1781</v>
      </c>
    </row>
    <row r="2521" spans="12:13" x14ac:dyDescent="0.25">
      <c r="L2521" s="65">
        <v>494711</v>
      </c>
      <c r="M2521" t="s">
        <v>1782</v>
      </c>
    </row>
    <row r="2522" spans="12:13" x14ac:dyDescent="0.25">
      <c r="L2522" s="65">
        <v>494712</v>
      </c>
      <c r="M2522" t="s">
        <v>1817</v>
      </c>
    </row>
    <row r="2523" spans="12:13" x14ac:dyDescent="0.25">
      <c r="L2523" s="65">
        <v>494719</v>
      </c>
      <c r="M2523" t="s">
        <v>1850</v>
      </c>
    </row>
    <row r="2524" spans="12:13" x14ac:dyDescent="0.25">
      <c r="L2524" s="65">
        <v>494720</v>
      </c>
      <c r="M2524" t="s">
        <v>1866</v>
      </c>
    </row>
    <row r="2525" spans="12:13" x14ac:dyDescent="0.25">
      <c r="L2525" s="65">
        <v>494721</v>
      </c>
      <c r="M2525" t="s">
        <v>1867</v>
      </c>
    </row>
    <row r="2526" spans="12:13" x14ac:dyDescent="0.25">
      <c r="L2526" s="65">
        <v>494722</v>
      </c>
      <c r="M2526" t="s">
        <v>1873</v>
      </c>
    </row>
    <row r="2527" spans="12:13" x14ac:dyDescent="0.25">
      <c r="L2527" s="65">
        <v>494723</v>
      </c>
      <c r="M2527" t="s">
        <v>1874</v>
      </c>
    </row>
    <row r="2528" spans="12:13" x14ac:dyDescent="0.25">
      <c r="L2528" s="65">
        <v>494724</v>
      </c>
      <c r="M2528" t="s">
        <v>1965</v>
      </c>
    </row>
    <row r="2529" spans="12:13" x14ac:dyDescent="0.25">
      <c r="L2529" s="65">
        <v>494725</v>
      </c>
      <c r="M2529" t="s">
        <v>1876</v>
      </c>
    </row>
    <row r="2530" spans="12:13" x14ac:dyDescent="0.25">
      <c r="L2530" s="65">
        <v>494726</v>
      </c>
      <c r="M2530" t="s">
        <v>1879</v>
      </c>
    </row>
    <row r="2531" spans="12:13" x14ac:dyDescent="0.25">
      <c r="L2531" s="65">
        <v>494727</v>
      </c>
      <c r="M2531" t="s">
        <v>1880</v>
      </c>
    </row>
    <row r="2532" spans="12:13" x14ac:dyDescent="0.25">
      <c r="L2532" s="65">
        <v>494728</v>
      </c>
      <c r="M2532" t="s">
        <v>1896</v>
      </c>
    </row>
    <row r="2533" spans="12:13" x14ac:dyDescent="0.25">
      <c r="L2533" s="65">
        <v>494729</v>
      </c>
      <c r="M2533" t="s">
        <v>1966</v>
      </c>
    </row>
    <row r="2534" spans="12:13" x14ac:dyDescent="0.25">
      <c r="L2534" s="65">
        <v>494800</v>
      </c>
      <c r="M2534" t="s">
        <v>1902</v>
      </c>
    </row>
    <row r="2535" spans="12:13" x14ac:dyDescent="0.25">
      <c r="L2535" s="65">
        <v>494810</v>
      </c>
      <c r="M2535" t="s">
        <v>1903</v>
      </c>
    </row>
    <row r="2536" spans="12:13" x14ac:dyDescent="0.25">
      <c r="L2536" s="65">
        <v>494811</v>
      </c>
      <c r="M2536" t="s">
        <v>1904</v>
      </c>
    </row>
    <row r="2537" spans="12:13" x14ac:dyDescent="0.25">
      <c r="L2537" s="65">
        <v>494819</v>
      </c>
      <c r="M2537" t="s">
        <v>1911</v>
      </c>
    </row>
    <row r="2538" spans="12:13" x14ac:dyDescent="0.25">
      <c r="L2538" s="65">
        <v>494820</v>
      </c>
      <c r="M2538" t="s">
        <v>1967</v>
      </c>
    </row>
    <row r="2539" spans="12:13" x14ac:dyDescent="0.25">
      <c r="L2539" s="65">
        <v>494821</v>
      </c>
      <c r="M2539" t="s">
        <v>1924</v>
      </c>
    </row>
    <row r="2540" spans="12:13" x14ac:dyDescent="0.25">
      <c r="L2540" s="65">
        <v>494822</v>
      </c>
      <c r="M2540" t="s">
        <v>1937</v>
      </c>
    </row>
    <row r="2541" spans="12:13" x14ac:dyDescent="0.25">
      <c r="L2541" s="65">
        <v>494823</v>
      </c>
      <c r="M2541" t="s">
        <v>1938</v>
      </c>
    </row>
    <row r="2542" spans="12:13" x14ac:dyDescent="0.25">
      <c r="L2542" s="65">
        <v>494830</v>
      </c>
      <c r="M2542" t="s">
        <v>1941</v>
      </c>
    </row>
    <row r="2543" spans="12:13" x14ac:dyDescent="0.25">
      <c r="L2543" s="65">
        <v>494831</v>
      </c>
      <c r="M2543" t="s">
        <v>1941</v>
      </c>
    </row>
    <row r="2544" spans="12:13" x14ac:dyDescent="0.25">
      <c r="L2544" s="65">
        <v>494840</v>
      </c>
      <c r="M2544" t="s">
        <v>1942</v>
      </c>
    </row>
    <row r="2545" spans="12:13" x14ac:dyDescent="0.25">
      <c r="L2545" s="65">
        <v>494841</v>
      </c>
      <c r="M2545" t="s">
        <v>1943</v>
      </c>
    </row>
    <row r="2546" spans="12:13" x14ac:dyDescent="0.25">
      <c r="L2546" s="65">
        <v>494842</v>
      </c>
      <c r="M2546" t="s">
        <v>1944</v>
      </c>
    </row>
    <row r="2547" spans="12:13" x14ac:dyDescent="0.25">
      <c r="L2547" s="65">
        <v>494850</v>
      </c>
      <c r="M2547" t="s">
        <v>1945</v>
      </c>
    </row>
    <row r="2548" spans="12:13" x14ac:dyDescent="0.25">
      <c r="L2548" s="65">
        <v>494851</v>
      </c>
      <c r="M2548" t="s">
        <v>1945</v>
      </c>
    </row>
    <row r="2549" spans="12:13" x14ac:dyDescent="0.25">
      <c r="L2549" s="65">
        <v>495000</v>
      </c>
      <c r="M2549" t="s">
        <v>1968</v>
      </c>
    </row>
    <row r="2550" spans="12:13" x14ac:dyDescent="0.25">
      <c r="L2550" s="65">
        <v>495100</v>
      </c>
      <c r="M2550" t="s">
        <v>1202</v>
      </c>
    </row>
    <row r="2551" spans="12:13" x14ac:dyDescent="0.25">
      <c r="L2551" s="65">
        <v>495110</v>
      </c>
      <c r="M2551" t="s">
        <v>270</v>
      </c>
    </row>
    <row r="2552" spans="12:13" x14ac:dyDescent="0.25">
      <c r="L2552" s="65">
        <v>495111</v>
      </c>
      <c r="M2552" t="s">
        <v>1969</v>
      </c>
    </row>
    <row r="2553" spans="12:13" x14ac:dyDescent="0.25">
      <c r="L2553" s="65">
        <v>495112</v>
      </c>
      <c r="M2553" t="s">
        <v>1970</v>
      </c>
    </row>
    <row r="2554" spans="12:13" x14ac:dyDescent="0.25">
      <c r="L2554" s="65">
        <v>495113</v>
      </c>
      <c r="M2554" t="s">
        <v>1971</v>
      </c>
    </row>
    <row r="2555" spans="12:13" x14ac:dyDescent="0.25">
      <c r="L2555" s="65">
        <v>495114</v>
      </c>
      <c r="M2555" t="s">
        <v>1972</v>
      </c>
    </row>
    <row r="2556" spans="12:13" x14ac:dyDescent="0.25">
      <c r="L2556" s="65">
        <v>495120</v>
      </c>
      <c r="M2556" t="s">
        <v>1973</v>
      </c>
    </row>
    <row r="2557" spans="12:13" x14ac:dyDescent="0.25">
      <c r="L2557" s="65">
        <v>495121</v>
      </c>
      <c r="M2557" t="s">
        <v>327</v>
      </c>
    </row>
    <row r="2558" spans="12:13" x14ac:dyDescent="0.25">
      <c r="L2558" s="65">
        <v>495122</v>
      </c>
      <c r="M2558" t="s">
        <v>336</v>
      </c>
    </row>
    <row r="2559" spans="12:13" x14ac:dyDescent="0.25">
      <c r="L2559" s="65">
        <v>495123</v>
      </c>
      <c r="M2559" t="s">
        <v>346</v>
      </c>
    </row>
    <row r="2560" spans="12:13" x14ac:dyDescent="0.25">
      <c r="L2560" s="65">
        <v>495124</v>
      </c>
      <c r="M2560" t="s">
        <v>351</v>
      </c>
    </row>
    <row r="2561" spans="12:13" x14ac:dyDescent="0.25">
      <c r="L2561" s="65">
        <v>495125</v>
      </c>
      <c r="M2561" t="s">
        <v>356</v>
      </c>
    </row>
    <row r="2562" spans="12:13" x14ac:dyDescent="0.25">
      <c r="L2562" s="65">
        <v>495126</v>
      </c>
      <c r="M2562" t="s">
        <v>365</v>
      </c>
    </row>
    <row r="2563" spans="12:13" x14ac:dyDescent="0.25">
      <c r="L2563" s="65">
        <v>495127</v>
      </c>
      <c r="M2563" t="s">
        <v>374</v>
      </c>
    </row>
    <row r="2564" spans="12:13" x14ac:dyDescent="0.25">
      <c r="L2564" s="65">
        <v>495128</v>
      </c>
      <c r="M2564" t="s">
        <v>379</v>
      </c>
    </row>
    <row r="2565" spans="12:13" x14ac:dyDescent="0.25">
      <c r="L2565" s="65">
        <v>495129</v>
      </c>
      <c r="M2565" t="s">
        <v>384</v>
      </c>
    </row>
    <row r="2566" spans="12:13" x14ac:dyDescent="0.25">
      <c r="L2566" s="65">
        <v>495130</v>
      </c>
      <c r="M2566" t="s">
        <v>393</v>
      </c>
    </row>
    <row r="2567" spans="12:13" x14ac:dyDescent="0.25">
      <c r="L2567" s="65">
        <v>495131</v>
      </c>
      <c r="M2567" t="s">
        <v>393</v>
      </c>
    </row>
    <row r="2568" spans="12:13" x14ac:dyDescent="0.25">
      <c r="L2568" s="65">
        <v>495140</v>
      </c>
      <c r="M2568" t="s">
        <v>398</v>
      </c>
    </row>
    <row r="2569" spans="12:13" x14ac:dyDescent="0.25">
      <c r="L2569" s="65">
        <v>495141</v>
      </c>
      <c r="M2569" t="s">
        <v>398</v>
      </c>
    </row>
    <row r="2570" spans="12:13" x14ac:dyDescent="0.25">
      <c r="L2570" s="65">
        <v>495150</v>
      </c>
      <c r="M2570" t="s">
        <v>490</v>
      </c>
    </row>
    <row r="2571" spans="12:13" x14ac:dyDescent="0.25">
      <c r="L2571" s="65">
        <v>495151</v>
      </c>
      <c r="M2571" t="s">
        <v>490</v>
      </c>
    </row>
    <row r="2572" spans="12:13" x14ac:dyDescent="0.25">
      <c r="L2572" s="65">
        <v>495200</v>
      </c>
      <c r="M2572" t="s">
        <v>522</v>
      </c>
    </row>
    <row r="2573" spans="12:13" x14ac:dyDescent="0.25">
      <c r="L2573" s="65">
        <v>495210</v>
      </c>
      <c r="M2573" t="s">
        <v>523</v>
      </c>
    </row>
    <row r="2574" spans="12:13" x14ac:dyDescent="0.25">
      <c r="L2574" s="65">
        <v>495211</v>
      </c>
      <c r="M2574" t="s">
        <v>523</v>
      </c>
    </row>
    <row r="2575" spans="12:13" x14ac:dyDescent="0.25">
      <c r="L2575" s="65">
        <v>495220</v>
      </c>
      <c r="M2575" t="s">
        <v>527</v>
      </c>
    </row>
    <row r="2576" spans="12:13" x14ac:dyDescent="0.25">
      <c r="L2576" s="65">
        <v>495221</v>
      </c>
      <c r="M2576" t="s">
        <v>1974</v>
      </c>
    </row>
    <row r="2577" spans="12:13" x14ac:dyDescent="0.25">
      <c r="L2577" s="65">
        <v>495222</v>
      </c>
      <c r="M2577" t="s">
        <v>1206</v>
      </c>
    </row>
    <row r="2578" spans="12:13" x14ac:dyDescent="0.25">
      <c r="L2578" s="65">
        <v>495223</v>
      </c>
      <c r="M2578" t="s">
        <v>1207</v>
      </c>
    </row>
    <row r="2579" spans="12:13" x14ac:dyDescent="0.25">
      <c r="L2579" s="65">
        <v>495230</v>
      </c>
      <c r="M2579" t="s">
        <v>1208</v>
      </c>
    </row>
    <row r="2580" spans="12:13" x14ac:dyDescent="0.25">
      <c r="L2580" s="65">
        <v>495231</v>
      </c>
      <c r="M2580" t="s">
        <v>1208</v>
      </c>
    </row>
    <row r="2581" spans="12:13" x14ac:dyDescent="0.25">
      <c r="L2581" s="65">
        <v>495300</v>
      </c>
      <c r="M2581" t="s">
        <v>404</v>
      </c>
    </row>
    <row r="2582" spans="12:13" x14ac:dyDescent="0.25">
      <c r="L2582" s="65">
        <v>495310</v>
      </c>
      <c r="M2582" t="s">
        <v>404</v>
      </c>
    </row>
    <row r="2583" spans="12:13" x14ac:dyDescent="0.25">
      <c r="L2583" s="65">
        <v>495311</v>
      </c>
      <c r="M2583" t="s">
        <v>404</v>
      </c>
    </row>
    <row r="2584" spans="12:13" x14ac:dyDescent="0.25">
      <c r="L2584" s="65">
        <v>495400</v>
      </c>
      <c r="M2584" t="s">
        <v>413</v>
      </c>
    </row>
    <row r="2585" spans="12:13" x14ac:dyDescent="0.25">
      <c r="L2585" s="65">
        <v>495410</v>
      </c>
      <c r="M2585" t="s">
        <v>414</v>
      </c>
    </row>
    <row r="2586" spans="12:13" x14ac:dyDescent="0.25">
      <c r="L2586" s="65">
        <v>495411</v>
      </c>
      <c r="M2586" t="s">
        <v>414</v>
      </c>
    </row>
    <row r="2587" spans="12:13" x14ac:dyDescent="0.25">
      <c r="L2587" s="65">
        <v>495420</v>
      </c>
      <c r="M2587" t="s">
        <v>1975</v>
      </c>
    </row>
    <row r="2588" spans="12:13" x14ac:dyDescent="0.25">
      <c r="L2588" s="65">
        <v>495421</v>
      </c>
      <c r="M2588" t="s">
        <v>424</v>
      </c>
    </row>
    <row r="2589" spans="12:13" x14ac:dyDescent="0.25">
      <c r="L2589" s="65">
        <v>495430</v>
      </c>
      <c r="M2589" t="s">
        <v>430</v>
      </c>
    </row>
    <row r="2590" spans="12:13" x14ac:dyDescent="0.25">
      <c r="L2590" s="65">
        <v>495431</v>
      </c>
      <c r="M2590" t="s">
        <v>431</v>
      </c>
    </row>
    <row r="2591" spans="12:13" x14ac:dyDescent="0.25">
      <c r="L2591" s="65">
        <v>495432</v>
      </c>
      <c r="M2591" t="s">
        <v>435</v>
      </c>
    </row>
    <row r="2592" spans="12:13" x14ac:dyDescent="0.25">
      <c r="L2592" s="65">
        <v>496000</v>
      </c>
      <c r="M2592" t="s">
        <v>1976</v>
      </c>
    </row>
    <row r="2593" spans="12:13" x14ac:dyDescent="0.25">
      <c r="L2593" s="65">
        <v>496100</v>
      </c>
      <c r="M2593" t="s">
        <v>1977</v>
      </c>
    </row>
    <row r="2594" spans="12:13" x14ac:dyDescent="0.25">
      <c r="L2594" s="65">
        <v>496110</v>
      </c>
      <c r="M2594" t="s">
        <v>1978</v>
      </c>
    </row>
    <row r="2595" spans="12:13" x14ac:dyDescent="0.25">
      <c r="L2595" s="65">
        <v>496111</v>
      </c>
      <c r="M2595" t="s">
        <v>1979</v>
      </c>
    </row>
    <row r="2596" spans="12:13" x14ac:dyDescent="0.25">
      <c r="L2596" s="65">
        <v>496112</v>
      </c>
      <c r="M2596" t="s">
        <v>1980</v>
      </c>
    </row>
    <row r="2597" spans="12:13" x14ac:dyDescent="0.25">
      <c r="L2597" s="65">
        <v>496113</v>
      </c>
      <c r="M2597" t="s">
        <v>1981</v>
      </c>
    </row>
    <row r="2598" spans="12:13" x14ac:dyDescent="0.25">
      <c r="L2598" s="65">
        <v>496114</v>
      </c>
      <c r="M2598" t="s">
        <v>1982</v>
      </c>
    </row>
    <row r="2599" spans="12:13" x14ac:dyDescent="0.25">
      <c r="L2599" s="65">
        <v>496115</v>
      </c>
      <c r="M2599" t="s">
        <v>1983</v>
      </c>
    </row>
    <row r="2600" spans="12:13" x14ac:dyDescent="0.25">
      <c r="L2600" s="65">
        <v>496116</v>
      </c>
      <c r="M2600" t="s">
        <v>1984</v>
      </c>
    </row>
    <row r="2601" spans="12:13" x14ac:dyDescent="0.25">
      <c r="L2601" s="65">
        <v>496117</v>
      </c>
      <c r="M2601" t="s">
        <v>1985</v>
      </c>
    </row>
    <row r="2602" spans="12:13" x14ac:dyDescent="0.25">
      <c r="L2602" s="65">
        <v>496118</v>
      </c>
      <c r="M2602" t="s">
        <v>1986</v>
      </c>
    </row>
    <row r="2603" spans="12:13" x14ac:dyDescent="0.25">
      <c r="L2603" s="65">
        <v>496119</v>
      </c>
      <c r="M2603" t="s">
        <v>1987</v>
      </c>
    </row>
    <row r="2604" spans="12:13" x14ac:dyDescent="0.25">
      <c r="L2604" s="65">
        <v>496120</v>
      </c>
      <c r="M2604" t="s">
        <v>1988</v>
      </c>
    </row>
    <row r="2605" spans="12:13" x14ac:dyDescent="0.25">
      <c r="L2605" s="65">
        <v>496121</v>
      </c>
      <c r="M2605" t="s">
        <v>1989</v>
      </c>
    </row>
    <row r="2606" spans="12:13" x14ac:dyDescent="0.25">
      <c r="L2606" s="65">
        <v>496122</v>
      </c>
      <c r="M2606" t="s">
        <v>1990</v>
      </c>
    </row>
    <row r="2607" spans="12:13" x14ac:dyDescent="0.25">
      <c r="L2607" s="65">
        <v>496123</v>
      </c>
      <c r="M2607" t="s">
        <v>1991</v>
      </c>
    </row>
    <row r="2608" spans="12:13" x14ac:dyDescent="0.25">
      <c r="L2608" s="65">
        <v>496124</v>
      </c>
      <c r="M2608" t="s">
        <v>1992</v>
      </c>
    </row>
    <row r="2609" spans="12:13" x14ac:dyDescent="0.25">
      <c r="L2609" s="65">
        <v>496125</v>
      </c>
      <c r="M2609" t="s">
        <v>1993</v>
      </c>
    </row>
    <row r="2610" spans="12:13" x14ac:dyDescent="0.25">
      <c r="L2610" s="65">
        <v>496126</v>
      </c>
      <c r="M2610" t="s">
        <v>1994</v>
      </c>
    </row>
    <row r="2611" spans="12:13" x14ac:dyDescent="0.25">
      <c r="L2611" s="65">
        <v>496129</v>
      </c>
      <c r="M2611" t="s">
        <v>1995</v>
      </c>
    </row>
    <row r="2612" spans="12:13" x14ac:dyDescent="0.25">
      <c r="L2612" s="65">
        <v>496130</v>
      </c>
      <c r="M2612" t="s">
        <v>1996</v>
      </c>
    </row>
    <row r="2613" spans="12:13" x14ac:dyDescent="0.25">
      <c r="L2613" s="65">
        <v>496131</v>
      </c>
      <c r="M2613" t="s">
        <v>1996</v>
      </c>
    </row>
    <row r="2614" spans="12:13" x14ac:dyDescent="0.25">
      <c r="L2614" s="65">
        <v>496140</v>
      </c>
      <c r="M2614" t="s">
        <v>1997</v>
      </c>
    </row>
    <row r="2615" spans="12:13" x14ac:dyDescent="0.25">
      <c r="L2615" s="65">
        <v>496141</v>
      </c>
      <c r="M2615" t="s">
        <v>1997</v>
      </c>
    </row>
    <row r="2616" spans="12:13" x14ac:dyDescent="0.25">
      <c r="L2616" s="65">
        <v>496200</v>
      </c>
      <c r="M2616" t="s">
        <v>1998</v>
      </c>
    </row>
    <row r="2617" spans="12:13" x14ac:dyDescent="0.25">
      <c r="L2617" s="65">
        <v>496210</v>
      </c>
      <c r="M2617" t="s">
        <v>1999</v>
      </c>
    </row>
    <row r="2618" spans="12:13" x14ac:dyDescent="0.25">
      <c r="L2618" s="65">
        <v>496211</v>
      </c>
      <c r="M2618" t="s">
        <v>2000</v>
      </c>
    </row>
    <row r="2619" spans="12:13" x14ac:dyDescent="0.25">
      <c r="L2619" s="65">
        <v>496212</v>
      </c>
      <c r="M2619" t="s">
        <v>567</v>
      </c>
    </row>
    <row r="2620" spans="12:13" x14ac:dyDescent="0.25">
      <c r="L2620" s="65">
        <v>496213</v>
      </c>
      <c r="M2620" t="s">
        <v>582</v>
      </c>
    </row>
    <row r="2621" spans="12:13" x14ac:dyDescent="0.25">
      <c r="L2621" s="65">
        <v>496214</v>
      </c>
      <c r="M2621" t="s">
        <v>589</v>
      </c>
    </row>
    <row r="2622" spans="12:13" x14ac:dyDescent="0.25">
      <c r="L2622" s="65">
        <v>496215</v>
      </c>
      <c r="M2622" t="s">
        <v>591</v>
      </c>
    </row>
    <row r="2623" spans="12:13" x14ac:dyDescent="0.25">
      <c r="L2623" s="65">
        <v>496216</v>
      </c>
      <c r="M2623" t="s">
        <v>593</v>
      </c>
    </row>
    <row r="2624" spans="12:13" x14ac:dyDescent="0.25">
      <c r="L2624" s="65">
        <v>496217</v>
      </c>
      <c r="M2624" t="s">
        <v>2001</v>
      </c>
    </row>
    <row r="2625" spans="12:13" x14ac:dyDescent="0.25">
      <c r="L2625" s="65">
        <v>496218</v>
      </c>
      <c r="M2625" t="s">
        <v>602</v>
      </c>
    </row>
    <row r="2626" spans="12:13" x14ac:dyDescent="0.25">
      <c r="L2626" s="65">
        <v>496219</v>
      </c>
      <c r="M2626" t="s">
        <v>2002</v>
      </c>
    </row>
    <row r="2627" spans="12:13" x14ac:dyDescent="0.25">
      <c r="L2627" s="65">
        <v>496220</v>
      </c>
      <c r="M2627" t="s">
        <v>2003</v>
      </c>
    </row>
    <row r="2628" spans="12:13" x14ac:dyDescent="0.25">
      <c r="L2628" s="65">
        <v>496221</v>
      </c>
      <c r="M2628" t="s">
        <v>2004</v>
      </c>
    </row>
    <row r="2629" spans="12:13" x14ac:dyDescent="0.25">
      <c r="L2629" s="65">
        <v>496222</v>
      </c>
      <c r="M2629" t="s">
        <v>619</v>
      </c>
    </row>
    <row r="2630" spans="12:13" x14ac:dyDescent="0.25">
      <c r="L2630" s="65">
        <v>496223</v>
      </c>
      <c r="M2630" t="s">
        <v>621</v>
      </c>
    </row>
    <row r="2631" spans="12:13" x14ac:dyDescent="0.25">
      <c r="L2631" s="65">
        <v>496224</v>
      </c>
      <c r="M2631" t="s">
        <v>623</v>
      </c>
    </row>
    <row r="2632" spans="12:13" x14ac:dyDescent="0.25">
      <c r="L2632" s="65">
        <v>496225</v>
      </c>
      <c r="M2632" t="s">
        <v>625</v>
      </c>
    </row>
    <row r="2633" spans="12:13" x14ac:dyDescent="0.25">
      <c r="L2633" s="65">
        <v>496226</v>
      </c>
      <c r="M2633" t="s">
        <v>627</v>
      </c>
    </row>
    <row r="2634" spans="12:13" x14ac:dyDescent="0.25">
      <c r="L2634" s="65">
        <v>496227</v>
      </c>
      <c r="M2634" t="s">
        <v>2005</v>
      </c>
    </row>
    <row r="2635" spans="12:13" x14ac:dyDescent="0.25">
      <c r="L2635" s="65">
        <v>496228</v>
      </c>
      <c r="M2635" t="s">
        <v>2006</v>
      </c>
    </row>
    <row r="2636" spans="12:13" x14ac:dyDescent="0.25">
      <c r="L2636" s="65">
        <v>499000</v>
      </c>
      <c r="M2636" t="s">
        <v>2007</v>
      </c>
    </row>
    <row r="2637" spans="12:13" x14ac:dyDescent="0.25">
      <c r="L2637" s="65">
        <v>499100</v>
      </c>
      <c r="M2637" t="s">
        <v>2007</v>
      </c>
    </row>
    <row r="2638" spans="12:13" x14ac:dyDescent="0.25">
      <c r="L2638" s="65">
        <v>499110</v>
      </c>
      <c r="M2638" t="s">
        <v>2008</v>
      </c>
    </row>
    <row r="2639" spans="12:13" x14ac:dyDescent="0.25">
      <c r="L2639" s="65">
        <v>499111</v>
      </c>
      <c r="M2639" t="s">
        <v>2008</v>
      </c>
    </row>
    <row r="2640" spans="12:13" x14ac:dyDescent="0.25">
      <c r="L2640" s="65">
        <v>499120</v>
      </c>
      <c r="M2640" t="s">
        <v>2009</v>
      </c>
    </row>
    <row r="2641" spans="12:13" x14ac:dyDescent="0.25">
      <c r="L2641" s="65">
        <v>499121</v>
      </c>
      <c r="M2641" t="s">
        <v>2009</v>
      </c>
    </row>
    <row r="2642" spans="12:13" x14ac:dyDescent="0.25">
      <c r="L2642" s="65">
        <v>500000</v>
      </c>
      <c r="M2642" t="s">
        <v>1968</v>
      </c>
    </row>
    <row r="2643" spans="12:13" x14ac:dyDescent="0.25">
      <c r="L2643" s="65">
        <v>510000</v>
      </c>
      <c r="M2643" t="s">
        <v>1202</v>
      </c>
    </row>
    <row r="2644" spans="12:13" x14ac:dyDescent="0.25">
      <c r="L2644" s="65">
        <v>511000</v>
      </c>
      <c r="M2644" t="s">
        <v>270</v>
      </c>
    </row>
    <row r="2645" spans="12:13" x14ac:dyDescent="0.25">
      <c r="L2645" s="65">
        <v>511100</v>
      </c>
      <c r="M2645" t="s">
        <v>1969</v>
      </c>
    </row>
    <row r="2646" spans="12:13" x14ac:dyDescent="0.25">
      <c r="L2646" s="65">
        <v>511110</v>
      </c>
      <c r="M2646" t="s">
        <v>2010</v>
      </c>
    </row>
    <row r="2647" spans="12:13" x14ac:dyDescent="0.25">
      <c r="L2647" s="65">
        <v>511111</v>
      </c>
      <c r="M2647" t="s">
        <v>2011</v>
      </c>
    </row>
    <row r="2648" spans="12:13" x14ac:dyDescent="0.25">
      <c r="L2648" s="65">
        <v>511112</v>
      </c>
      <c r="M2648" t="s">
        <v>2012</v>
      </c>
    </row>
    <row r="2649" spans="12:13" x14ac:dyDescent="0.25">
      <c r="L2649" s="65">
        <v>511113</v>
      </c>
      <c r="M2649" t="s">
        <v>2013</v>
      </c>
    </row>
    <row r="2650" spans="12:13" x14ac:dyDescent="0.25">
      <c r="L2650" s="65">
        <v>511118</v>
      </c>
      <c r="M2650" t="s">
        <v>2014</v>
      </c>
    </row>
    <row r="2651" spans="12:13" x14ac:dyDescent="0.25">
      <c r="L2651" s="65">
        <v>511119</v>
      </c>
      <c r="M2651" t="s">
        <v>2015</v>
      </c>
    </row>
    <row r="2652" spans="12:13" x14ac:dyDescent="0.25">
      <c r="L2652" s="65">
        <v>511120</v>
      </c>
      <c r="M2652" t="s">
        <v>2016</v>
      </c>
    </row>
    <row r="2653" spans="12:13" x14ac:dyDescent="0.25">
      <c r="L2653" s="65">
        <v>511121</v>
      </c>
      <c r="M2653" t="s">
        <v>2017</v>
      </c>
    </row>
    <row r="2654" spans="12:13" x14ac:dyDescent="0.25">
      <c r="L2654" s="65">
        <v>511122</v>
      </c>
      <c r="M2654" t="s">
        <v>2018</v>
      </c>
    </row>
    <row r="2655" spans="12:13" x14ac:dyDescent="0.25">
      <c r="L2655" s="65">
        <v>511123</v>
      </c>
      <c r="M2655" t="s">
        <v>2019</v>
      </c>
    </row>
    <row r="2656" spans="12:13" x14ac:dyDescent="0.25">
      <c r="L2656" s="65">
        <v>511124</v>
      </c>
      <c r="M2656" t="s">
        <v>2020</v>
      </c>
    </row>
    <row r="2657" spans="12:13" x14ac:dyDescent="0.25">
      <c r="L2657" s="65">
        <v>511125</v>
      </c>
      <c r="M2657" t="s">
        <v>2021</v>
      </c>
    </row>
    <row r="2658" spans="12:13" x14ac:dyDescent="0.25">
      <c r="L2658" s="65">
        <v>511126</v>
      </c>
      <c r="M2658" t="s">
        <v>2022</v>
      </c>
    </row>
    <row r="2659" spans="12:13" x14ac:dyDescent="0.25">
      <c r="L2659" s="65">
        <v>511127</v>
      </c>
      <c r="M2659" t="s">
        <v>2023</v>
      </c>
    </row>
    <row r="2660" spans="12:13" x14ac:dyDescent="0.25">
      <c r="L2660" s="65">
        <v>511129</v>
      </c>
      <c r="M2660" t="s">
        <v>2024</v>
      </c>
    </row>
    <row r="2661" spans="12:13" x14ac:dyDescent="0.25">
      <c r="L2661" s="65">
        <v>511190</v>
      </c>
      <c r="M2661" t="s">
        <v>2025</v>
      </c>
    </row>
    <row r="2662" spans="12:13" x14ac:dyDescent="0.25">
      <c r="L2662" s="65">
        <v>511191</v>
      </c>
      <c r="M2662" t="s">
        <v>2026</v>
      </c>
    </row>
    <row r="2663" spans="12:13" x14ac:dyDescent="0.25">
      <c r="L2663" s="65">
        <v>511192</v>
      </c>
      <c r="M2663" t="s">
        <v>2027</v>
      </c>
    </row>
    <row r="2664" spans="12:13" x14ac:dyDescent="0.25">
      <c r="L2664" s="65">
        <v>511193</v>
      </c>
      <c r="M2664" t="s">
        <v>2028</v>
      </c>
    </row>
    <row r="2665" spans="12:13" x14ac:dyDescent="0.25">
      <c r="L2665" s="65">
        <v>511199</v>
      </c>
      <c r="M2665" t="s">
        <v>322</v>
      </c>
    </row>
    <row r="2666" spans="12:13" x14ac:dyDescent="0.25">
      <c r="L2666" s="65">
        <v>511200</v>
      </c>
      <c r="M2666" t="s">
        <v>1970</v>
      </c>
    </row>
    <row r="2667" spans="12:13" x14ac:dyDescent="0.25">
      <c r="L2667" s="65">
        <v>511210</v>
      </c>
      <c r="M2667" t="s">
        <v>2029</v>
      </c>
    </row>
    <row r="2668" spans="12:13" x14ac:dyDescent="0.25">
      <c r="L2668" s="65">
        <v>511211</v>
      </c>
      <c r="M2668" t="s">
        <v>2030</v>
      </c>
    </row>
    <row r="2669" spans="12:13" x14ac:dyDescent="0.25">
      <c r="L2669" s="65">
        <v>511212</v>
      </c>
      <c r="M2669" t="s">
        <v>2031</v>
      </c>
    </row>
    <row r="2670" spans="12:13" x14ac:dyDescent="0.25">
      <c r="L2670" s="65">
        <v>511213</v>
      </c>
      <c r="M2670" t="s">
        <v>2032</v>
      </c>
    </row>
    <row r="2671" spans="12:13" x14ac:dyDescent="0.25">
      <c r="L2671" s="65">
        <v>511219</v>
      </c>
      <c r="M2671" t="s">
        <v>2033</v>
      </c>
    </row>
    <row r="2672" spans="12:13" x14ac:dyDescent="0.25">
      <c r="L2672" s="65">
        <v>511220</v>
      </c>
      <c r="M2672" t="s">
        <v>2034</v>
      </c>
    </row>
    <row r="2673" spans="12:13" x14ac:dyDescent="0.25">
      <c r="L2673" s="65">
        <v>511221</v>
      </c>
      <c r="M2673" t="s">
        <v>2035</v>
      </c>
    </row>
    <row r="2674" spans="12:13" x14ac:dyDescent="0.25">
      <c r="L2674" s="65">
        <v>511222</v>
      </c>
      <c r="M2674" t="s">
        <v>281</v>
      </c>
    </row>
    <row r="2675" spans="12:13" x14ac:dyDescent="0.25">
      <c r="L2675" s="65">
        <v>511223</v>
      </c>
      <c r="M2675" t="s">
        <v>288</v>
      </c>
    </row>
    <row r="2676" spans="12:13" x14ac:dyDescent="0.25">
      <c r="L2676" s="65">
        <v>511224</v>
      </c>
      <c r="M2676" t="s">
        <v>2036</v>
      </c>
    </row>
    <row r="2677" spans="12:13" x14ac:dyDescent="0.25">
      <c r="L2677" s="65">
        <v>511225</v>
      </c>
      <c r="M2677" t="s">
        <v>2037</v>
      </c>
    </row>
    <row r="2678" spans="12:13" x14ac:dyDescent="0.25">
      <c r="L2678" s="65">
        <v>511226</v>
      </c>
      <c r="M2678" t="s">
        <v>2038</v>
      </c>
    </row>
    <row r="2679" spans="12:13" x14ac:dyDescent="0.25">
      <c r="L2679" s="65">
        <v>511227</v>
      </c>
      <c r="M2679" t="s">
        <v>291</v>
      </c>
    </row>
    <row r="2680" spans="12:13" x14ac:dyDescent="0.25">
      <c r="L2680" s="65">
        <v>511228</v>
      </c>
      <c r="M2680" t="s">
        <v>292</v>
      </c>
    </row>
    <row r="2681" spans="12:13" x14ac:dyDescent="0.25">
      <c r="L2681" s="65">
        <v>511230</v>
      </c>
      <c r="M2681" t="s">
        <v>2039</v>
      </c>
    </row>
    <row r="2682" spans="12:13" x14ac:dyDescent="0.25">
      <c r="L2682" s="65">
        <v>511231</v>
      </c>
      <c r="M2682" t="s">
        <v>2040</v>
      </c>
    </row>
    <row r="2683" spans="12:13" x14ac:dyDescent="0.25">
      <c r="L2683" s="65">
        <v>511232</v>
      </c>
      <c r="M2683" t="s">
        <v>299</v>
      </c>
    </row>
    <row r="2684" spans="12:13" x14ac:dyDescent="0.25">
      <c r="L2684" s="65">
        <v>511233</v>
      </c>
      <c r="M2684" t="s">
        <v>300</v>
      </c>
    </row>
    <row r="2685" spans="12:13" x14ac:dyDescent="0.25">
      <c r="L2685" s="65">
        <v>511240</v>
      </c>
      <c r="M2685" t="s">
        <v>2041</v>
      </c>
    </row>
    <row r="2686" spans="12:13" x14ac:dyDescent="0.25">
      <c r="L2686" s="65">
        <v>511241</v>
      </c>
      <c r="M2686" t="s">
        <v>307</v>
      </c>
    </row>
    <row r="2687" spans="12:13" x14ac:dyDescent="0.25">
      <c r="L2687" s="65">
        <v>511242</v>
      </c>
      <c r="M2687" t="s">
        <v>308</v>
      </c>
    </row>
    <row r="2688" spans="12:13" x14ac:dyDescent="0.25">
      <c r="L2688" s="65">
        <v>511243</v>
      </c>
      <c r="M2688" t="s">
        <v>309</v>
      </c>
    </row>
    <row r="2689" spans="12:13" x14ac:dyDescent="0.25">
      <c r="L2689" s="65">
        <v>511244</v>
      </c>
      <c r="M2689" t="s">
        <v>310</v>
      </c>
    </row>
    <row r="2690" spans="12:13" x14ac:dyDescent="0.25">
      <c r="L2690" s="65">
        <v>511290</v>
      </c>
      <c r="M2690" t="s">
        <v>2042</v>
      </c>
    </row>
    <row r="2691" spans="12:13" x14ac:dyDescent="0.25">
      <c r="L2691" s="65">
        <v>511291</v>
      </c>
      <c r="M2691" t="s">
        <v>2043</v>
      </c>
    </row>
    <row r="2692" spans="12:13" x14ac:dyDescent="0.25">
      <c r="L2692" s="65">
        <v>511292</v>
      </c>
      <c r="M2692" t="s">
        <v>318</v>
      </c>
    </row>
    <row r="2693" spans="12:13" x14ac:dyDescent="0.25">
      <c r="L2693" s="65">
        <v>511293</v>
      </c>
      <c r="M2693" t="s">
        <v>2044</v>
      </c>
    </row>
    <row r="2694" spans="12:13" x14ac:dyDescent="0.25">
      <c r="L2694" s="65">
        <v>511294</v>
      </c>
      <c r="M2694" t="s">
        <v>320</v>
      </c>
    </row>
    <row r="2695" spans="12:13" x14ac:dyDescent="0.25">
      <c r="L2695" s="65">
        <v>511295</v>
      </c>
      <c r="M2695" t="s">
        <v>321</v>
      </c>
    </row>
    <row r="2696" spans="12:13" x14ac:dyDescent="0.25">
      <c r="L2696" s="65">
        <v>511296</v>
      </c>
      <c r="M2696" t="s">
        <v>2045</v>
      </c>
    </row>
    <row r="2697" spans="12:13" x14ac:dyDescent="0.25">
      <c r="L2697" s="65">
        <v>511299</v>
      </c>
      <c r="M2697" t="s">
        <v>2042</v>
      </c>
    </row>
    <row r="2698" spans="12:13" x14ac:dyDescent="0.25">
      <c r="L2698" s="65">
        <v>511300</v>
      </c>
      <c r="M2698" t="s">
        <v>1971</v>
      </c>
    </row>
    <row r="2699" spans="12:13" x14ac:dyDescent="0.25">
      <c r="L2699" s="65">
        <v>511310</v>
      </c>
      <c r="M2699" t="s">
        <v>2046</v>
      </c>
    </row>
    <row r="2700" spans="12:13" x14ac:dyDescent="0.25">
      <c r="L2700" s="65">
        <v>511311</v>
      </c>
      <c r="M2700" t="s">
        <v>2047</v>
      </c>
    </row>
    <row r="2701" spans="12:13" x14ac:dyDescent="0.25">
      <c r="L2701" s="65">
        <v>511312</v>
      </c>
      <c r="M2701" t="s">
        <v>2048</v>
      </c>
    </row>
    <row r="2702" spans="12:13" x14ac:dyDescent="0.25">
      <c r="L2702" s="65">
        <v>511313</v>
      </c>
      <c r="M2702" t="s">
        <v>2049</v>
      </c>
    </row>
    <row r="2703" spans="12:13" x14ac:dyDescent="0.25">
      <c r="L2703" s="65">
        <v>511319</v>
      </c>
      <c r="M2703" t="s">
        <v>2050</v>
      </c>
    </row>
    <row r="2704" spans="12:13" x14ac:dyDescent="0.25">
      <c r="L2704" s="65">
        <v>511320</v>
      </c>
      <c r="M2704" t="s">
        <v>2051</v>
      </c>
    </row>
    <row r="2705" spans="12:13" x14ac:dyDescent="0.25">
      <c r="L2705" s="65">
        <v>511321</v>
      </c>
      <c r="M2705" t="s">
        <v>2051</v>
      </c>
    </row>
    <row r="2706" spans="12:13" x14ac:dyDescent="0.25">
      <c r="L2706" s="65">
        <v>511322</v>
      </c>
      <c r="M2706" t="s">
        <v>2052</v>
      </c>
    </row>
    <row r="2707" spans="12:13" x14ac:dyDescent="0.25">
      <c r="L2707" s="65">
        <v>511323</v>
      </c>
      <c r="M2707" t="s">
        <v>2053</v>
      </c>
    </row>
    <row r="2708" spans="12:13" x14ac:dyDescent="0.25">
      <c r="L2708" s="65">
        <v>511324</v>
      </c>
      <c r="M2708" t="s">
        <v>2054</v>
      </c>
    </row>
    <row r="2709" spans="12:13" x14ac:dyDescent="0.25">
      <c r="L2709" s="65">
        <v>511325</v>
      </c>
      <c r="M2709" t="s">
        <v>2055</v>
      </c>
    </row>
    <row r="2710" spans="12:13" x14ac:dyDescent="0.25">
      <c r="L2710" s="65">
        <v>511326</v>
      </c>
      <c r="M2710" t="s">
        <v>2056</v>
      </c>
    </row>
    <row r="2711" spans="12:13" x14ac:dyDescent="0.25">
      <c r="L2711" s="65">
        <v>511327</v>
      </c>
      <c r="M2711" t="s">
        <v>2057</v>
      </c>
    </row>
    <row r="2712" spans="12:13" x14ac:dyDescent="0.25">
      <c r="L2712" s="65">
        <v>511328</v>
      </c>
      <c r="M2712" t="s">
        <v>2058</v>
      </c>
    </row>
    <row r="2713" spans="12:13" x14ac:dyDescent="0.25">
      <c r="L2713" s="65">
        <v>511330</v>
      </c>
      <c r="M2713" t="s">
        <v>2059</v>
      </c>
    </row>
    <row r="2714" spans="12:13" x14ac:dyDescent="0.25">
      <c r="L2714" s="65">
        <v>511331</v>
      </c>
      <c r="M2714" t="s">
        <v>2060</v>
      </c>
    </row>
    <row r="2715" spans="12:13" x14ac:dyDescent="0.25">
      <c r="L2715" s="65">
        <v>511332</v>
      </c>
      <c r="M2715" t="s">
        <v>2061</v>
      </c>
    </row>
    <row r="2716" spans="12:13" x14ac:dyDescent="0.25">
      <c r="L2716" s="65">
        <v>511333</v>
      </c>
      <c r="M2716" t="s">
        <v>2062</v>
      </c>
    </row>
    <row r="2717" spans="12:13" x14ac:dyDescent="0.25">
      <c r="L2717" s="65">
        <v>511340</v>
      </c>
      <c r="M2717" t="s">
        <v>2063</v>
      </c>
    </row>
    <row r="2718" spans="12:13" x14ac:dyDescent="0.25">
      <c r="L2718" s="65">
        <v>511341</v>
      </c>
      <c r="M2718" t="s">
        <v>2064</v>
      </c>
    </row>
    <row r="2719" spans="12:13" x14ac:dyDescent="0.25">
      <c r="L2719" s="65">
        <v>511342</v>
      </c>
      <c r="M2719" t="s">
        <v>2065</v>
      </c>
    </row>
    <row r="2720" spans="12:13" x14ac:dyDescent="0.25">
      <c r="L2720" s="65">
        <v>511343</v>
      </c>
      <c r="M2720" t="s">
        <v>2066</v>
      </c>
    </row>
    <row r="2721" spans="12:13" x14ac:dyDescent="0.25">
      <c r="L2721" s="65">
        <v>511344</v>
      </c>
      <c r="M2721" t="s">
        <v>2067</v>
      </c>
    </row>
    <row r="2722" spans="12:13" x14ac:dyDescent="0.25">
      <c r="L2722" s="65">
        <v>511390</v>
      </c>
      <c r="M2722" t="s">
        <v>2068</v>
      </c>
    </row>
    <row r="2723" spans="12:13" x14ac:dyDescent="0.25">
      <c r="L2723" s="65">
        <v>511391</v>
      </c>
      <c r="M2723" t="s">
        <v>2069</v>
      </c>
    </row>
    <row r="2724" spans="12:13" x14ac:dyDescent="0.25">
      <c r="L2724" s="65">
        <v>511392</v>
      </c>
      <c r="M2724" t="s">
        <v>2070</v>
      </c>
    </row>
    <row r="2725" spans="12:13" x14ac:dyDescent="0.25">
      <c r="L2725" s="65">
        <v>511393</v>
      </c>
      <c r="M2725" t="s">
        <v>2071</v>
      </c>
    </row>
    <row r="2726" spans="12:13" x14ac:dyDescent="0.25">
      <c r="L2726" s="65">
        <v>511394</v>
      </c>
      <c r="M2726" t="s">
        <v>2072</v>
      </c>
    </row>
    <row r="2727" spans="12:13" x14ac:dyDescent="0.25">
      <c r="L2727" s="65">
        <v>511395</v>
      </c>
      <c r="M2727" t="s">
        <v>2073</v>
      </c>
    </row>
    <row r="2728" spans="12:13" x14ac:dyDescent="0.25">
      <c r="L2728" s="65">
        <v>511396</v>
      </c>
      <c r="M2728" t="s">
        <v>2074</v>
      </c>
    </row>
    <row r="2729" spans="12:13" x14ac:dyDescent="0.25">
      <c r="L2729" s="65">
        <v>511399</v>
      </c>
      <c r="M2729" t="s">
        <v>2068</v>
      </c>
    </row>
    <row r="2730" spans="12:13" x14ac:dyDescent="0.25">
      <c r="L2730" s="65">
        <v>511400</v>
      </c>
      <c r="M2730" t="s">
        <v>1972</v>
      </c>
    </row>
    <row r="2731" spans="12:13" x14ac:dyDescent="0.25">
      <c r="L2731" s="65">
        <v>511410</v>
      </c>
      <c r="M2731" t="s">
        <v>2075</v>
      </c>
    </row>
    <row r="2732" spans="12:13" x14ac:dyDescent="0.25">
      <c r="L2732" s="65">
        <v>511411</v>
      </c>
      <c r="M2732" t="s">
        <v>2075</v>
      </c>
    </row>
    <row r="2733" spans="12:13" x14ac:dyDescent="0.25">
      <c r="L2733" s="65">
        <v>511420</v>
      </c>
      <c r="M2733" t="s">
        <v>2076</v>
      </c>
    </row>
    <row r="2734" spans="12:13" x14ac:dyDescent="0.25">
      <c r="L2734" s="65">
        <v>511421</v>
      </c>
      <c r="M2734" t="s">
        <v>2076</v>
      </c>
    </row>
    <row r="2735" spans="12:13" x14ac:dyDescent="0.25">
      <c r="L2735" s="65">
        <v>511430</v>
      </c>
      <c r="M2735" t="s">
        <v>2077</v>
      </c>
    </row>
    <row r="2736" spans="12:13" x14ac:dyDescent="0.25">
      <c r="L2736" s="65">
        <v>511431</v>
      </c>
      <c r="M2736" t="s">
        <v>2077</v>
      </c>
    </row>
    <row r="2737" spans="12:13" x14ac:dyDescent="0.25">
      <c r="L2737" s="65">
        <v>511440</v>
      </c>
      <c r="M2737" t="s">
        <v>2078</v>
      </c>
    </row>
    <row r="2738" spans="12:13" x14ac:dyDescent="0.25">
      <c r="L2738" s="65">
        <v>511441</v>
      </c>
      <c r="M2738" t="s">
        <v>2078</v>
      </c>
    </row>
    <row r="2739" spans="12:13" x14ac:dyDescent="0.25">
      <c r="L2739" s="65">
        <v>511450</v>
      </c>
      <c r="M2739" t="s">
        <v>2079</v>
      </c>
    </row>
    <row r="2740" spans="12:13" x14ac:dyDescent="0.25">
      <c r="L2740" s="65">
        <v>511451</v>
      </c>
      <c r="M2740" t="s">
        <v>2079</v>
      </c>
    </row>
    <row r="2741" spans="12:13" x14ac:dyDescent="0.25">
      <c r="L2741" s="65">
        <v>512000</v>
      </c>
      <c r="M2741" t="s">
        <v>1973</v>
      </c>
    </row>
    <row r="2742" spans="12:13" x14ac:dyDescent="0.25">
      <c r="L2742" s="65">
        <v>512100</v>
      </c>
      <c r="M2742" t="s">
        <v>327</v>
      </c>
    </row>
    <row r="2743" spans="12:13" x14ac:dyDescent="0.25">
      <c r="L2743" s="65">
        <v>512110</v>
      </c>
      <c r="M2743" t="s">
        <v>328</v>
      </c>
    </row>
    <row r="2744" spans="12:13" x14ac:dyDescent="0.25">
      <c r="L2744" s="65">
        <v>512111</v>
      </c>
      <c r="M2744" t="s">
        <v>2080</v>
      </c>
    </row>
    <row r="2745" spans="12:13" x14ac:dyDescent="0.25">
      <c r="L2745" s="65">
        <v>512112</v>
      </c>
      <c r="M2745" t="s">
        <v>2081</v>
      </c>
    </row>
    <row r="2746" spans="12:13" x14ac:dyDescent="0.25">
      <c r="L2746" s="65">
        <v>512113</v>
      </c>
      <c r="M2746" t="s">
        <v>2082</v>
      </c>
    </row>
    <row r="2747" spans="12:13" x14ac:dyDescent="0.25">
      <c r="L2747" s="65">
        <v>512114</v>
      </c>
      <c r="M2747" t="s">
        <v>2083</v>
      </c>
    </row>
    <row r="2748" spans="12:13" x14ac:dyDescent="0.25">
      <c r="L2748" s="65">
        <v>512115</v>
      </c>
      <c r="M2748" t="s">
        <v>2084</v>
      </c>
    </row>
    <row r="2749" spans="12:13" x14ac:dyDescent="0.25">
      <c r="L2749" s="65">
        <v>512116</v>
      </c>
      <c r="M2749" t="s">
        <v>2085</v>
      </c>
    </row>
    <row r="2750" spans="12:13" x14ac:dyDescent="0.25">
      <c r="L2750" s="65">
        <v>512117</v>
      </c>
      <c r="M2750" t="s">
        <v>2086</v>
      </c>
    </row>
    <row r="2751" spans="12:13" x14ac:dyDescent="0.25">
      <c r="L2751" s="65">
        <v>512120</v>
      </c>
      <c r="M2751" t="s">
        <v>329</v>
      </c>
    </row>
    <row r="2752" spans="12:13" x14ac:dyDescent="0.25">
      <c r="L2752" s="65">
        <v>512121</v>
      </c>
      <c r="M2752" t="s">
        <v>2087</v>
      </c>
    </row>
    <row r="2753" spans="12:13" x14ac:dyDescent="0.25">
      <c r="L2753" s="65">
        <v>512122</v>
      </c>
      <c r="M2753" t="s">
        <v>2088</v>
      </c>
    </row>
    <row r="2754" spans="12:13" x14ac:dyDescent="0.25">
      <c r="L2754" s="65">
        <v>512130</v>
      </c>
      <c r="M2754" t="s">
        <v>330</v>
      </c>
    </row>
    <row r="2755" spans="12:13" x14ac:dyDescent="0.25">
      <c r="L2755" s="65">
        <v>512131</v>
      </c>
      <c r="M2755" t="s">
        <v>2089</v>
      </c>
    </row>
    <row r="2756" spans="12:13" x14ac:dyDescent="0.25">
      <c r="L2756" s="65">
        <v>512132</v>
      </c>
      <c r="M2756" t="s">
        <v>2090</v>
      </c>
    </row>
    <row r="2757" spans="12:13" x14ac:dyDescent="0.25">
      <c r="L2757" s="65">
        <v>512140</v>
      </c>
      <c r="M2757" t="s">
        <v>332</v>
      </c>
    </row>
    <row r="2758" spans="12:13" x14ac:dyDescent="0.25">
      <c r="L2758" s="65">
        <v>512141</v>
      </c>
      <c r="M2758" t="s">
        <v>332</v>
      </c>
    </row>
    <row r="2759" spans="12:13" x14ac:dyDescent="0.25">
      <c r="L2759" s="65">
        <v>512200</v>
      </c>
      <c r="M2759" t="s">
        <v>336</v>
      </c>
    </row>
    <row r="2760" spans="12:13" x14ac:dyDescent="0.25">
      <c r="L2760" s="65">
        <v>512210</v>
      </c>
      <c r="M2760" t="s">
        <v>337</v>
      </c>
    </row>
    <row r="2761" spans="12:13" x14ac:dyDescent="0.25">
      <c r="L2761" s="65">
        <v>512211</v>
      </c>
      <c r="M2761" t="s">
        <v>1538</v>
      </c>
    </row>
    <row r="2762" spans="12:13" x14ac:dyDescent="0.25">
      <c r="L2762" s="65">
        <v>512212</v>
      </c>
      <c r="M2762" t="s">
        <v>1541</v>
      </c>
    </row>
    <row r="2763" spans="12:13" x14ac:dyDescent="0.25">
      <c r="L2763" s="65">
        <v>512213</v>
      </c>
      <c r="M2763" t="s">
        <v>2091</v>
      </c>
    </row>
    <row r="2764" spans="12:13" x14ac:dyDescent="0.25">
      <c r="L2764" s="65">
        <v>512220</v>
      </c>
      <c r="M2764" t="s">
        <v>338</v>
      </c>
    </row>
    <row r="2765" spans="12:13" x14ac:dyDescent="0.25">
      <c r="L2765" s="65">
        <v>512221</v>
      </c>
      <c r="M2765" t="s">
        <v>338</v>
      </c>
    </row>
    <row r="2766" spans="12:13" x14ac:dyDescent="0.25">
      <c r="L2766" s="65">
        <v>512222</v>
      </c>
      <c r="M2766" t="s">
        <v>2092</v>
      </c>
    </row>
    <row r="2767" spans="12:13" x14ac:dyDescent="0.25">
      <c r="L2767" s="65">
        <v>512223</v>
      </c>
      <c r="M2767" t="s">
        <v>2093</v>
      </c>
    </row>
    <row r="2768" spans="12:13" x14ac:dyDescent="0.25">
      <c r="L2768" s="65">
        <v>512230</v>
      </c>
      <c r="M2768" t="s">
        <v>339</v>
      </c>
    </row>
    <row r="2769" spans="12:13" x14ac:dyDescent="0.25">
      <c r="L2769" s="65">
        <v>512231</v>
      </c>
      <c r="M2769" t="s">
        <v>2094</v>
      </c>
    </row>
    <row r="2770" spans="12:13" x14ac:dyDescent="0.25">
      <c r="L2770" s="65">
        <v>512232</v>
      </c>
      <c r="M2770" t="s">
        <v>1368</v>
      </c>
    </row>
    <row r="2771" spans="12:13" x14ac:dyDescent="0.25">
      <c r="L2771" s="65">
        <v>512233</v>
      </c>
      <c r="M2771" t="s">
        <v>2095</v>
      </c>
    </row>
    <row r="2772" spans="12:13" x14ac:dyDescent="0.25">
      <c r="L2772" s="65">
        <v>512240</v>
      </c>
      <c r="M2772" t="s">
        <v>340</v>
      </c>
    </row>
    <row r="2773" spans="12:13" x14ac:dyDescent="0.25">
      <c r="L2773" s="65">
        <v>512241</v>
      </c>
      <c r="M2773" t="s">
        <v>2096</v>
      </c>
    </row>
    <row r="2774" spans="12:13" x14ac:dyDescent="0.25">
      <c r="L2774" s="65">
        <v>512242</v>
      </c>
      <c r="M2774" t="s">
        <v>2097</v>
      </c>
    </row>
    <row r="2775" spans="12:13" x14ac:dyDescent="0.25">
      <c r="L2775" s="65">
        <v>512250</v>
      </c>
      <c r="M2775" t="s">
        <v>341</v>
      </c>
    </row>
    <row r="2776" spans="12:13" x14ac:dyDescent="0.25">
      <c r="L2776" s="65">
        <v>512251</v>
      </c>
      <c r="M2776" t="s">
        <v>2098</v>
      </c>
    </row>
    <row r="2777" spans="12:13" x14ac:dyDescent="0.25">
      <c r="L2777" s="65">
        <v>512252</v>
      </c>
      <c r="M2777" t="s">
        <v>2099</v>
      </c>
    </row>
    <row r="2778" spans="12:13" x14ac:dyDescent="0.25">
      <c r="L2778" s="65">
        <v>512260</v>
      </c>
      <c r="M2778" t="s">
        <v>342</v>
      </c>
    </row>
    <row r="2779" spans="12:13" x14ac:dyDescent="0.25">
      <c r="L2779" s="65">
        <v>512261</v>
      </c>
      <c r="M2779" t="s">
        <v>342</v>
      </c>
    </row>
    <row r="2780" spans="12:13" x14ac:dyDescent="0.25">
      <c r="L2780" s="65">
        <v>512300</v>
      </c>
      <c r="M2780" t="s">
        <v>346</v>
      </c>
    </row>
    <row r="2781" spans="12:13" x14ac:dyDescent="0.25">
      <c r="L2781" s="65">
        <v>512310</v>
      </c>
      <c r="M2781" t="s">
        <v>2100</v>
      </c>
    </row>
    <row r="2782" spans="12:13" x14ac:dyDescent="0.25">
      <c r="L2782" s="65">
        <v>512311</v>
      </c>
      <c r="M2782" t="s">
        <v>2100</v>
      </c>
    </row>
    <row r="2783" spans="12:13" x14ac:dyDescent="0.25">
      <c r="L2783" s="65">
        <v>512320</v>
      </c>
      <c r="M2783" t="s">
        <v>2101</v>
      </c>
    </row>
    <row r="2784" spans="12:13" x14ac:dyDescent="0.25">
      <c r="L2784" s="65">
        <v>512321</v>
      </c>
      <c r="M2784" t="s">
        <v>2101</v>
      </c>
    </row>
    <row r="2785" spans="12:13" x14ac:dyDescent="0.25">
      <c r="L2785" s="65">
        <v>512400</v>
      </c>
      <c r="M2785" t="s">
        <v>351</v>
      </c>
    </row>
    <row r="2786" spans="12:13" x14ac:dyDescent="0.25">
      <c r="L2786" s="65">
        <v>512410</v>
      </c>
      <c r="M2786" t="s">
        <v>351</v>
      </c>
    </row>
    <row r="2787" spans="12:13" x14ac:dyDescent="0.25">
      <c r="L2787" s="65">
        <v>512411</v>
      </c>
      <c r="M2787" t="s">
        <v>351</v>
      </c>
    </row>
    <row r="2788" spans="12:13" x14ac:dyDescent="0.25">
      <c r="L2788" s="65">
        <v>512420</v>
      </c>
      <c r="M2788" t="s">
        <v>352</v>
      </c>
    </row>
    <row r="2789" spans="12:13" x14ac:dyDescent="0.25">
      <c r="L2789" s="65">
        <v>512421</v>
      </c>
      <c r="M2789" t="s">
        <v>352</v>
      </c>
    </row>
    <row r="2790" spans="12:13" x14ac:dyDescent="0.25">
      <c r="L2790" s="65">
        <v>512500</v>
      </c>
      <c r="M2790" t="s">
        <v>356</v>
      </c>
    </row>
    <row r="2791" spans="12:13" x14ac:dyDescent="0.25">
      <c r="L2791" s="65">
        <v>512510</v>
      </c>
      <c r="M2791" t="s">
        <v>357</v>
      </c>
    </row>
    <row r="2792" spans="12:13" x14ac:dyDescent="0.25">
      <c r="L2792" s="65">
        <v>512511</v>
      </c>
      <c r="M2792" t="s">
        <v>357</v>
      </c>
    </row>
    <row r="2793" spans="12:13" x14ac:dyDescent="0.25">
      <c r="L2793" s="65">
        <v>512520</v>
      </c>
      <c r="M2793" t="s">
        <v>358</v>
      </c>
    </row>
    <row r="2794" spans="12:13" x14ac:dyDescent="0.25">
      <c r="L2794" s="65">
        <v>512521</v>
      </c>
      <c r="M2794" t="s">
        <v>358</v>
      </c>
    </row>
    <row r="2795" spans="12:13" x14ac:dyDescent="0.25">
      <c r="L2795" s="65">
        <v>512530</v>
      </c>
      <c r="M2795" t="s">
        <v>359</v>
      </c>
    </row>
    <row r="2796" spans="12:13" x14ac:dyDescent="0.25">
      <c r="L2796" s="65">
        <v>512531</v>
      </c>
      <c r="M2796" t="s">
        <v>359</v>
      </c>
    </row>
    <row r="2797" spans="12:13" x14ac:dyDescent="0.25">
      <c r="L2797" s="65">
        <v>512540</v>
      </c>
      <c r="M2797" t="s">
        <v>361</v>
      </c>
    </row>
    <row r="2798" spans="12:13" x14ac:dyDescent="0.25">
      <c r="L2798" s="65">
        <v>512541</v>
      </c>
      <c r="M2798" t="s">
        <v>361</v>
      </c>
    </row>
    <row r="2799" spans="12:13" x14ac:dyDescent="0.25">
      <c r="L2799" s="65">
        <v>512600</v>
      </c>
      <c r="M2799" t="s">
        <v>365</v>
      </c>
    </row>
    <row r="2800" spans="12:13" x14ac:dyDescent="0.25">
      <c r="L2800" s="65">
        <v>512610</v>
      </c>
      <c r="M2800" t="s">
        <v>366</v>
      </c>
    </row>
    <row r="2801" spans="12:13" x14ac:dyDescent="0.25">
      <c r="L2801" s="65">
        <v>512611</v>
      </c>
      <c r="M2801" t="s">
        <v>366</v>
      </c>
    </row>
    <row r="2802" spans="12:13" x14ac:dyDescent="0.25">
      <c r="L2802" s="65">
        <v>512620</v>
      </c>
      <c r="M2802" t="s">
        <v>367</v>
      </c>
    </row>
    <row r="2803" spans="12:13" x14ac:dyDescent="0.25">
      <c r="L2803" s="65">
        <v>512621</v>
      </c>
      <c r="M2803" t="s">
        <v>367</v>
      </c>
    </row>
    <row r="2804" spans="12:13" x14ac:dyDescent="0.25">
      <c r="L2804" s="65">
        <v>512630</v>
      </c>
      <c r="M2804" t="s">
        <v>368</v>
      </c>
    </row>
    <row r="2805" spans="12:13" x14ac:dyDescent="0.25">
      <c r="L2805" s="65">
        <v>512631</v>
      </c>
      <c r="M2805" t="s">
        <v>368</v>
      </c>
    </row>
    <row r="2806" spans="12:13" x14ac:dyDescent="0.25">
      <c r="L2806" s="65">
        <v>512640</v>
      </c>
      <c r="M2806" t="s">
        <v>369</v>
      </c>
    </row>
    <row r="2807" spans="12:13" x14ac:dyDescent="0.25">
      <c r="L2807" s="65">
        <v>512641</v>
      </c>
      <c r="M2807" t="s">
        <v>369</v>
      </c>
    </row>
    <row r="2808" spans="12:13" x14ac:dyDescent="0.25">
      <c r="L2808" s="65">
        <v>512650</v>
      </c>
      <c r="M2808" t="s">
        <v>370</v>
      </c>
    </row>
    <row r="2809" spans="12:13" x14ac:dyDescent="0.25">
      <c r="L2809" s="65">
        <v>512651</v>
      </c>
      <c r="M2809" t="s">
        <v>370</v>
      </c>
    </row>
    <row r="2810" spans="12:13" x14ac:dyDescent="0.25">
      <c r="L2810" s="65">
        <v>512700</v>
      </c>
      <c r="M2810" t="s">
        <v>374</v>
      </c>
    </row>
    <row r="2811" spans="12:13" x14ac:dyDescent="0.25">
      <c r="L2811" s="65">
        <v>512710</v>
      </c>
      <c r="M2811" t="s">
        <v>374</v>
      </c>
    </row>
    <row r="2812" spans="12:13" x14ac:dyDescent="0.25">
      <c r="L2812" s="65">
        <v>512711</v>
      </c>
      <c r="M2812" t="s">
        <v>374</v>
      </c>
    </row>
    <row r="2813" spans="12:13" x14ac:dyDescent="0.25">
      <c r="L2813" s="65">
        <v>512720</v>
      </c>
      <c r="M2813" t="s">
        <v>2102</v>
      </c>
    </row>
    <row r="2814" spans="12:13" x14ac:dyDescent="0.25">
      <c r="L2814" s="65">
        <v>512721</v>
      </c>
      <c r="M2814" t="s">
        <v>2102</v>
      </c>
    </row>
    <row r="2815" spans="12:13" x14ac:dyDescent="0.25">
      <c r="L2815" s="65">
        <v>512800</v>
      </c>
      <c r="M2815" t="s">
        <v>379</v>
      </c>
    </row>
    <row r="2816" spans="12:13" x14ac:dyDescent="0.25">
      <c r="L2816" s="65">
        <v>512810</v>
      </c>
      <c r="M2816" t="s">
        <v>379</v>
      </c>
    </row>
    <row r="2817" spans="12:13" x14ac:dyDescent="0.25">
      <c r="L2817" s="65">
        <v>512811</v>
      </c>
      <c r="M2817" t="s">
        <v>379</v>
      </c>
    </row>
    <row r="2818" spans="12:13" x14ac:dyDescent="0.25">
      <c r="L2818" s="65">
        <v>512820</v>
      </c>
      <c r="M2818" t="s">
        <v>2103</v>
      </c>
    </row>
    <row r="2819" spans="12:13" x14ac:dyDescent="0.25">
      <c r="L2819" s="65">
        <v>512821</v>
      </c>
      <c r="M2819" t="s">
        <v>2103</v>
      </c>
    </row>
    <row r="2820" spans="12:13" x14ac:dyDescent="0.25">
      <c r="L2820" s="65">
        <v>512900</v>
      </c>
      <c r="M2820" t="s">
        <v>384</v>
      </c>
    </row>
    <row r="2821" spans="12:13" x14ac:dyDescent="0.25">
      <c r="L2821" s="65">
        <v>512910</v>
      </c>
      <c r="M2821" t="s">
        <v>2104</v>
      </c>
    </row>
    <row r="2822" spans="12:13" x14ac:dyDescent="0.25">
      <c r="L2822" s="65">
        <v>512911</v>
      </c>
      <c r="M2822" t="s">
        <v>2104</v>
      </c>
    </row>
    <row r="2823" spans="12:13" x14ac:dyDescent="0.25">
      <c r="L2823" s="65">
        <v>512920</v>
      </c>
      <c r="M2823" t="s">
        <v>386</v>
      </c>
    </row>
    <row r="2824" spans="12:13" x14ac:dyDescent="0.25">
      <c r="L2824" s="65">
        <v>512921</v>
      </c>
      <c r="M2824" t="s">
        <v>386</v>
      </c>
    </row>
    <row r="2825" spans="12:13" x14ac:dyDescent="0.25">
      <c r="L2825" s="65">
        <v>512930</v>
      </c>
      <c r="M2825" t="s">
        <v>387</v>
      </c>
    </row>
    <row r="2826" spans="12:13" x14ac:dyDescent="0.25">
      <c r="L2826" s="65">
        <v>512931</v>
      </c>
      <c r="M2826" t="s">
        <v>2105</v>
      </c>
    </row>
    <row r="2827" spans="12:13" x14ac:dyDescent="0.25">
      <c r="L2827" s="65">
        <v>512932</v>
      </c>
      <c r="M2827" t="s">
        <v>2106</v>
      </c>
    </row>
    <row r="2828" spans="12:13" x14ac:dyDescent="0.25">
      <c r="L2828" s="65">
        <v>512933</v>
      </c>
      <c r="M2828" t="s">
        <v>2107</v>
      </c>
    </row>
    <row r="2829" spans="12:13" x14ac:dyDescent="0.25">
      <c r="L2829" s="65">
        <v>512940</v>
      </c>
      <c r="M2829" t="s">
        <v>2108</v>
      </c>
    </row>
    <row r="2830" spans="12:13" x14ac:dyDescent="0.25">
      <c r="L2830" s="65">
        <v>512941</v>
      </c>
      <c r="M2830" t="s">
        <v>2108</v>
      </c>
    </row>
    <row r="2831" spans="12:13" x14ac:dyDescent="0.25">
      <c r="L2831" s="65">
        <v>512950</v>
      </c>
      <c r="M2831" t="s">
        <v>2109</v>
      </c>
    </row>
    <row r="2832" spans="12:13" x14ac:dyDescent="0.25">
      <c r="L2832" s="65">
        <v>512951</v>
      </c>
      <c r="M2832" t="s">
        <v>2109</v>
      </c>
    </row>
    <row r="2833" spans="12:13" x14ac:dyDescent="0.25">
      <c r="L2833" s="65">
        <v>513000</v>
      </c>
      <c r="M2833" t="s">
        <v>393</v>
      </c>
    </row>
    <row r="2834" spans="12:13" x14ac:dyDescent="0.25">
      <c r="L2834" s="65">
        <v>513100</v>
      </c>
      <c r="M2834" t="s">
        <v>393</v>
      </c>
    </row>
    <row r="2835" spans="12:13" x14ac:dyDescent="0.25">
      <c r="L2835" s="65">
        <v>513110</v>
      </c>
      <c r="M2835" t="s">
        <v>393</v>
      </c>
    </row>
    <row r="2836" spans="12:13" x14ac:dyDescent="0.25">
      <c r="L2836" s="65">
        <v>513111</v>
      </c>
      <c r="M2836" t="s">
        <v>393</v>
      </c>
    </row>
    <row r="2837" spans="12:13" x14ac:dyDescent="0.25">
      <c r="L2837" s="65">
        <v>513119</v>
      </c>
      <c r="M2837" t="s">
        <v>2110</v>
      </c>
    </row>
    <row r="2838" spans="12:13" x14ac:dyDescent="0.25">
      <c r="L2838" s="65">
        <v>514000</v>
      </c>
      <c r="M2838" t="s">
        <v>398</v>
      </c>
    </row>
    <row r="2839" spans="12:13" x14ac:dyDescent="0.25">
      <c r="L2839" s="65">
        <v>514100</v>
      </c>
      <c r="M2839" t="s">
        <v>398</v>
      </c>
    </row>
    <row r="2840" spans="12:13" x14ac:dyDescent="0.25">
      <c r="L2840" s="65">
        <v>514110</v>
      </c>
      <c r="M2840" t="s">
        <v>2111</v>
      </c>
    </row>
    <row r="2841" spans="12:13" x14ac:dyDescent="0.25">
      <c r="L2841" s="65">
        <v>514111</v>
      </c>
      <c r="M2841" t="s">
        <v>2112</v>
      </c>
    </row>
    <row r="2842" spans="12:13" x14ac:dyDescent="0.25">
      <c r="L2842" s="65">
        <v>514112</v>
      </c>
      <c r="M2842" t="s">
        <v>2113</v>
      </c>
    </row>
    <row r="2843" spans="12:13" x14ac:dyDescent="0.25">
      <c r="L2843" s="65">
        <v>514113</v>
      </c>
      <c r="M2843" t="s">
        <v>2114</v>
      </c>
    </row>
    <row r="2844" spans="12:13" x14ac:dyDescent="0.25">
      <c r="L2844" s="65">
        <v>514114</v>
      </c>
      <c r="M2844" t="s">
        <v>2115</v>
      </c>
    </row>
    <row r="2845" spans="12:13" x14ac:dyDescent="0.25">
      <c r="L2845" s="65">
        <v>514115</v>
      </c>
      <c r="M2845" t="s">
        <v>2116</v>
      </c>
    </row>
    <row r="2846" spans="12:13" x14ac:dyDescent="0.25">
      <c r="L2846" s="65">
        <v>514116</v>
      </c>
      <c r="M2846" t="s">
        <v>2117</v>
      </c>
    </row>
    <row r="2847" spans="12:13" x14ac:dyDescent="0.25">
      <c r="L2847" s="65">
        <v>514117</v>
      </c>
      <c r="M2847" t="s">
        <v>2118</v>
      </c>
    </row>
    <row r="2848" spans="12:13" x14ac:dyDescent="0.25">
      <c r="L2848" s="65">
        <v>514118</v>
      </c>
      <c r="M2848" t="s">
        <v>2119</v>
      </c>
    </row>
    <row r="2849" spans="12:13" x14ac:dyDescent="0.25">
      <c r="L2849" s="65">
        <v>514119</v>
      </c>
      <c r="M2849" t="s">
        <v>2120</v>
      </c>
    </row>
    <row r="2850" spans="12:13" x14ac:dyDescent="0.25">
      <c r="L2850" s="65">
        <v>514120</v>
      </c>
      <c r="M2850" t="s">
        <v>400</v>
      </c>
    </row>
    <row r="2851" spans="12:13" x14ac:dyDescent="0.25">
      <c r="L2851" s="65">
        <v>514121</v>
      </c>
      <c r="M2851" t="s">
        <v>400</v>
      </c>
    </row>
    <row r="2852" spans="12:13" x14ac:dyDescent="0.25">
      <c r="L2852" s="65">
        <v>515000</v>
      </c>
      <c r="M2852" t="s">
        <v>490</v>
      </c>
    </row>
    <row r="2853" spans="12:13" x14ac:dyDescent="0.25">
      <c r="L2853" s="65">
        <v>515100</v>
      </c>
      <c r="M2853" t="s">
        <v>490</v>
      </c>
    </row>
    <row r="2854" spans="12:13" x14ac:dyDescent="0.25">
      <c r="L2854" s="65">
        <v>515110</v>
      </c>
      <c r="M2854" t="s">
        <v>491</v>
      </c>
    </row>
    <row r="2855" spans="12:13" x14ac:dyDescent="0.25">
      <c r="L2855" s="65">
        <v>515111</v>
      </c>
      <c r="M2855" t="s">
        <v>491</v>
      </c>
    </row>
    <row r="2856" spans="12:13" x14ac:dyDescent="0.25">
      <c r="L2856" s="65">
        <v>515120</v>
      </c>
      <c r="M2856" t="s">
        <v>495</v>
      </c>
    </row>
    <row r="2857" spans="12:13" x14ac:dyDescent="0.25">
      <c r="L2857" s="65">
        <v>515121</v>
      </c>
      <c r="M2857" t="s">
        <v>2121</v>
      </c>
    </row>
    <row r="2858" spans="12:13" x14ac:dyDescent="0.25">
      <c r="L2858" s="65">
        <v>515122</v>
      </c>
      <c r="M2858" t="s">
        <v>2122</v>
      </c>
    </row>
    <row r="2859" spans="12:13" x14ac:dyDescent="0.25">
      <c r="L2859" s="65">
        <v>515123</v>
      </c>
      <c r="M2859" t="s">
        <v>2123</v>
      </c>
    </row>
    <row r="2860" spans="12:13" x14ac:dyDescent="0.25">
      <c r="L2860" s="65">
        <v>515124</v>
      </c>
      <c r="M2860" t="s">
        <v>2124</v>
      </c>
    </row>
    <row r="2861" spans="12:13" x14ac:dyDescent="0.25">
      <c r="L2861" s="65">
        <v>515125</v>
      </c>
      <c r="M2861" t="s">
        <v>2125</v>
      </c>
    </row>
    <row r="2862" spans="12:13" x14ac:dyDescent="0.25">
      <c r="L2862" s="65">
        <v>515126</v>
      </c>
      <c r="M2862" t="s">
        <v>2126</v>
      </c>
    </row>
    <row r="2863" spans="12:13" x14ac:dyDescent="0.25">
      <c r="L2863" s="65">
        <v>515129</v>
      </c>
      <c r="M2863" t="s">
        <v>2127</v>
      </c>
    </row>
    <row r="2864" spans="12:13" x14ac:dyDescent="0.25">
      <c r="L2864" s="65">
        <v>515190</v>
      </c>
      <c r="M2864" t="s">
        <v>511</v>
      </c>
    </row>
    <row r="2865" spans="12:13" x14ac:dyDescent="0.25">
      <c r="L2865" s="65">
        <v>515191</v>
      </c>
      <c r="M2865" t="s">
        <v>2128</v>
      </c>
    </row>
    <row r="2866" spans="12:13" x14ac:dyDescent="0.25">
      <c r="L2866" s="65">
        <v>515192</v>
      </c>
      <c r="M2866" t="s">
        <v>2129</v>
      </c>
    </row>
    <row r="2867" spans="12:13" x14ac:dyDescent="0.25">
      <c r="L2867" s="65">
        <v>515193</v>
      </c>
      <c r="M2867" t="s">
        <v>2130</v>
      </c>
    </row>
    <row r="2868" spans="12:13" x14ac:dyDescent="0.25">
      <c r="L2868" s="65">
        <v>515194</v>
      </c>
      <c r="M2868" t="s">
        <v>2131</v>
      </c>
    </row>
    <row r="2869" spans="12:13" x14ac:dyDescent="0.25">
      <c r="L2869" s="65">
        <v>515195</v>
      </c>
      <c r="M2869" t="s">
        <v>2132</v>
      </c>
    </row>
    <row r="2870" spans="12:13" x14ac:dyDescent="0.25">
      <c r="L2870" s="65">
        <v>515196</v>
      </c>
      <c r="M2870" t="s">
        <v>2133</v>
      </c>
    </row>
    <row r="2871" spans="12:13" x14ac:dyDescent="0.25">
      <c r="L2871" s="65">
        <v>515197</v>
      </c>
      <c r="M2871" t="s">
        <v>2134</v>
      </c>
    </row>
    <row r="2872" spans="12:13" x14ac:dyDescent="0.25">
      <c r="L2872" s="65">
        <v>515199</v>
      </c>
      <c r="M2872" t="s">
        <v>511</v>
      </c>
    </row>
    <row r="2873" spans="12:13" x14ac:dyDescent="0.25">
      <c r="L2873" s="65">
        <v>520000</v>
      </c>
      <c r="M2873" t="s">
        <v>522</v>
      </c>
    </row>
    <row r="2874" spans="12:13" x14ac:dyDescent="0.25">
      <c r="L2874" s="65">
        <v>521000</v>
      </c>
      <c r="M2874" t="s">
        <v>523</v>
      </c>
    </row>
    <row r="2875" spans="12:13" x14ac:dyDescent="0.25">
      <c r="L2875" s="65">
        <v>521100</v>
      </c>
      <c r="M2875" t="s">
        <v>523</v>
      </c>
    </row>
    <row r="2876" spans="12:13" x14ac:dyDescent="0.25">
      <c r="L2876" s="65">
        <v>521110</v>
      </c>
      <c r="M2876" t="s">
        <v>523</v>
      </c>
    </row>
    <row r="2877" spans="12:13" x14ac:dyDescent="0.25">
      <c r="L2877" s="65">
        <v>521111</v>
      </c>
      <c r="M2877" t="s">
        <v>523</v>
      </c>
    </row>
    <row r="2878" spans="12:13" x14ac:dyDescent="0.25">
      <c r="L2878" s="65">
        <v>522000</v>
      </c>
      <c r="M2878" t="s">
        <v>527</v>
      </c>
    </row>
    <row r="2879" spans="12:13" x14ac:dyDescent="0.25">
      <c r="L2879" s="65">
        <v>522100</v>
      </c>
      <c r="M2879" t="s">
        <v>1974</v>
      </c>
    </row>
    <row r="2880" spans="12:13" x14ac:dyDescent="0.25">
      <c r="L2880" s="65">
        <v>522110</v>
      </c>
      <c r="M2880" t="s">
        <v>1974</v>
      </c>
    </row>
    <row r="2881" spans="12:13" x14ac:dyDescent="0.25">
      <c r="L2881" s="65">
        <v>522111</v>
      </c>
      <c r="M2881" t="s">
        <v>1974</v>
      </c>
    </row>
    <row r="2882" spans="12:13" x14ac:dyDescent="0.25">
      <c r="L2882" s="65">
        <v>522200</v>
      </c>
      <c r="M2882" t="s">
        <v>1206</v>
      </c>
    </row>
    <row r="2883" spans="12:13" x14ac:dyDescent="0.25">
      <c r="L2883" s="65">
        <v>522210</v>
      </c>
      <c r="M2883" t="s">
        <v>1206</v>
      </c>
    </row>
    <row r="2884" spans="12:13" x14ac:dyDescent="0.25">
      <c r="L2884" s="65">
        <v>522211</v>
      </c>
      <c r="M2884" t="s">
        <v>1206</v>
      </c>
    </row>
    <row r="2885" spans="12:13" x14ac:dyDescent="0.25">
      <c r="L2885" s="65">
        <v>522300</v>
      </c>
      <c r="M2885" t="s">
        <v>1207</v>
      </c>
    </row>
    <row r="2886" spans="12:13" x14ac:dyDescent="0.25">
      <c r="L2886" s="65">
        <v>522310</v>
      </c>
      <c r="M2886" t="s">
        <v>1207</v>
      </c>
    </row>
    <row r="2887" spans="12:13" x14ac:dyDescent="0.25">
      <c r="L2887" s="65">
        <v>522311</v>
      </c>
      <c r="M2887" t="s">
        <v>1207</v>
      </c>
    </row>
    <row r="2888" spans="12:13" x14ac:dyDescent="0.25">
      <c r="L2888" s="65">
        <v>523000</v>
      </c>
      <c r="M2888" t="s">
        <v>1208</v>
      </c>
    </row>
    <row r="2889" spans="12:13" x14ac:dyDescent="0.25">
      <c r="L2889" s="65">
        <v>523100</v>
      </c>
      <c r="M2889" t="s">
        <v>1208</v>
      </c>
    </row>
    <row r="2890" spans="12:13" x14ac:dyDescent="0.25">
      <c r="L2890" s="65">
        <v>523110</v>
      </c>
      <c r="M2890" t="s">
        <v>1208</v>
      </c>
    </row>
    <row r="2891" spans="12:13" x14ac:dyDescent="0.25">
      <c r="L2891" s="65">
        <v>523111</v>
      </c>
      <c r="M2891" t="s">
        <v>1208</v>
      </c>
    </row>
    <row r="2892" spans="12:13" x14ac:dyDescent="0.25">
      <c r="L2892" s="65">
        <v>530000</v>
      </c>
      <c r="M2892" t="s">
        <v>404</v>
      </c>
    </row>
    <row r="2893" spans="12:13" x14ac:dyDescent="0.25">
      <c r="L2893" s="65">
        <v>531000</v>
      </c>
      <c r="M2893" t="s">
        <v>404</v>
      </c>
    </row>
    <row r="2894" spans="12:13" x14ac:dyDescent="0.25">
      <c r="L2894" s="65">
        <v>531100</v>
      </c>
      <c r="M2894" t="s">
        <v>404</v>
      </c>
    </row>
    <row r="2895" spans="12:13" x14ac:dyDescent="0.25">
      <c r="L2895" s="65">
        <v>531110</v>
      </c>
      <c r="M2895" t="s">
        <v>404</v>
      </c>
    </row>
    <row r="2896" spans="12:13" x14ac:dyDescent="0.25">
      <c r="L2896" s="65">
        <v>531111</v>
      </c>
      <c r="M2896" t="s">
        <v>404</v>
      </c>
    </row>
    <row r="2897" spans="12:13" x14ac:dyDescent="0.25">
      <c r="L2897" s="65">
        <v>540000</v>
      </c>
      <c r="M2897" t="s">
        <v>413</v>
      </c>
    </row>
    <row r="2898" spans="12:13" x14ac:dyDescent="0.25">
      <c r="L2898" s="65">
        <v>541000</v>
      </c>
      <c r="M2898" t="s">
        <v>414</v>
      </c>
    </row>
    <row r="2899" spans="12:13" x14ac:dyDescent="0.25">
      <c r="L2899" s="65">
        <v>541100</v>
      </c>
      <c r="M2899" t="s">
        <v>414</v>
      </c>
    </row>
    <row r="2900" spans="12:13" x14ac:dyDescent="0.25">
      <c r="L2900" s="65">
        <v>541110</v>
      </c>
      <c r="M2900" t="s">
        <v>2135</v>
      </c>
    </row>
    <row r="2901" spans="12:13" x14ac:dyDescent="0.25">
      <c r="L2901" s="65">
        <v>541111</v>
      </c>
      <c r="M2901" t="s">
        <v>2136</v>
      </c>
    </row>
    <row r="2902" spans="12:13" x14ac:dyDescent="0.25">
      <c r="L2902" s="65">
        <v>541112</v>
      </c>
      <c r="M2902" t="s">
        <v>2137</v>
      </c>
    </row>
    <row r="2903" spans="12:13" x14ac:dyDescent="0.25">
      <c r="L2903" s="65">
        <v>541113</v>
      </c>
      <c r="M2903" t="s">
        <v>2138</v>
      </c>
    </row>
    <row r="2904" spans="12:13" x14ac:dyDescent="0.25">
      <c r="L2904" s="65">
        <v>541114</v>
      </c>
      <c r="M2904" t="s">
        <v>2139</v>
      </c>
    </row>
    <row r="2905" spans="12:13" x14ac:dyDescent="0.25">
      <c r="L2905" s="65">
        <v>541115</v>
      </c>
      <c r="M2905" t="s">
        <v>2140</v>
      </c>
    </row>
    <row r="2906" spans="12:13" x14ac:dyDescent="0.25">
      <c r="L2906" s="65">
        <v>541120</v>
      </c>
      <c r="M2906" t="s">
        <v>2141</v>
      </c>
    </row>
    <row r="2907" spans="12:13" x14ac:dyDescent="0.25">
      <c r="L2907" s="65">
        <v>541121</v>
      </c>
      <c r="M2907" t="s">
        <v>2142</v>
      </c>
    </row>
    <row r="2908" spans="12:13" x14ac:dyDescent="0.25">
      <c r="L2908" s="65">
        <v>541122</v>
      </c>
      <c r="M2908" t="s">
        <v>2143</v>
      </c>
    </row>
    <row r="2909" spans="12:13" x14ac:dyDescent="0.25">
      <c r="L2909" s="65">
        <v>541123</v>
      </c>
      <c r="M2909" t="s">
        <v>2144</v>
      </c>
    </row>
    <row r="2910" spans="12:13" x14ac:dyDescent="0.25">
      <c r="L2910" s="65">
        <v>541124</v>
      </c>
      <c r="M2910" t="s">
        <v>2145</v>
      </c>
    </row>
    <row r="2911" spans="12:13" x14ac:dyDescent="0.25">
      <c r="L2911" s="65">
        <v>541125</v>
      </c>
      <c r="M2911" t="s">
        <v>2146</v>
      </c>
    </row>
    <row r="2912" spans="12:13" x14ac:dyDescent="0.25">
      <c r="L2912" s="65">
        <v>542000</v>
      </c>
      <c r="M2912" t="s">
        <v>1975</v>
      </c>
    </row>
    <row r="2913" spans="12:13" x14ac:dyDescent="0.25">
      <c r="L2913" s="65">
        <v>542100</v>
      </c>
      <c r="M2913" t="s">
        <v>424</v>
      </c>
    </row>
    <row r="2914" spans="12:13" x14ac:dyDescent="0.25">
      <c r="L2914" s="65">
        <v>542110</v>
      </c>
      <c r="M2914" t="s">
        <v>424</v>
      </c>
    </row>
    <row r="2915" spans="12:13" x14ac:dyDescent="0.25">
      <c r="L2915" s="65">
        <v>542111</v>
      </c>
      <c r="M2915" t="s">
        <v>424</v>
      </c>
    </row>
    <row r="2916" spans="12:13" x14ac:dyDescent="0.25">
      <c r="L2916" s="65">
        <v>542112</v>
      </c>
      <c r="M2916" t="s">
        <v>2147</v>
      </c>
    </row>
    <row r="2917" spans="12:13" x14ac:dyDescent="0.25">
      <c r="L2917" s="65">
        <v>542113</v>
      </c>
      <c r="M2917" t="s">
        <v>2148</v>
      </c>
    </row>
    <row r="2918" spans="12:13" x14ac:dyDescent="0.25">
      <c r="L2918" s="65">
        <v>542120</v>
      </c>
      <c r="M2918" t="s">
        <v>2149</v>
      </c>
    </row>
    <row r="2919" spans="12:13" x14ac:dyDescent="0.25">
      <c r="L2919" s="65">
        <v>542121</v>
      </c>
      <c r="M2919" t="s">
        <v>2150</v>
      </c>
    </row>
    <row r="2920" spans="12:13" x14ac:dyDescent="0.25">
      <c r="L2920" s="65">
        <v>542122</v>
      </c>
      <c r="M2920" t="s">
        <v>2151</v>
      </c>
    </row>
    <row r="2921" spans="12:13" x14ac:dyDescent="0.25">
      <c r="L2921" s="65">
        <v>542123</v>
      </c>
      <c r="M2921" t="s">
        <v>2152</v>
      </c>
    </row>
    <row r="2922" spans="12:13" x14ac:dyDescent="0.25">
      <c r="L2922" s="65">
        <v>543000</v>
      </c>
      <c r="M2922" t="s">
        <v>430</v>
      </c>
    </row>
    <row r="2923" spans="12:13" x14ac:dyDescent="0.25">
      <c r="L2923" s="65">
        <v>543100</v>
      </c>
      <c r="M2923" t="s">
        <v>431</v>
      </c>
    </row>
    <row r="2924" spans="12:13" x14ac:dyDescent="0.25">
      <c r="L2924" s="65">
        <v>543110</v>
      </c>
      <c r="M2924" t="s">
        <v>431</v>
      </c>
    </row>
    <row r="2925" spans="12:13" x14ac:dyDescent="0.25">
      <c r="L2925" s="65">
        <v>543111</v>
      </c>
      <c r="M2925" t="s">
        <v>2153</v>
      </c>
    </row>
    <row r="2926" spans="12:13" x14ac:dyDescent="0.25">
      <c r="L2926" s="65">
        <v>543120</v>
      </c>
      <c r="M2926" t="s">
        <v>2154</v>
      </c>
    </row>
    <row r="2927" spans="12:13" x14ac:dyDescent="0.25">
      <c r="L2927" s="65">
        <v>543121</v>
      </c>
      <c r="M2927" t="s">
        <v>2155</v>
      </c>
    </row>
    <row r="2928" spans="12:13" x14ac:dyDescent="0.25">
      <c r="L2928" s="65">
        <v>543200</v>
      </c>
      <c r="M2928" t="s">
        <v>435</v>
      </c>
    </row>
    <row r="2929" spans="12:13" x14ac:dyDescent="0.25">
      <c r="L2929" s="65">
        <v>543210</v>
      </c>
      <c r="M2929" t="s">
        <v>435</v>
      </c>
    </row>
    <row r="2930" spans="12:13" x14ac:dyDescent="0.25">
      <c r="L2930" s="65">
        <v>543211</v>
      </c>
      <c r="M2930" t="s">
        <v>2156</v>
      </c>
    </row>
    <row r="2931" spans="12:13" x14ac:dyDescent="0.25">
      <c r="L2931" s="65">
        <v>543220</v>
      </c>
      <c r="M2931" t="s">
        <v>2157</v>
      </c>
    </row>
    <row r="2932" spans="12:13" x14ac:dyDescent="0.25">
      <c r="L2932" s="65">
        <v>543221</v>
      </c>
      <c r="M2932" t="s">
        <v>2157</v>
      </c>
    </row>
    <row r="2933" spans="12:13" x14ac:dyDescent="0.25">
      <c r="L2933" s="65">
        <v>550000</v>
      </c>
      <c r="M2933" t="s">
        <v>2158</v>
      </c>
    </row>
    <row r="2934" spans="12:13" x14ac:dyDescent="0.25">
      <c r="L2934" s="65">
        <v>551000</v>
      </c>
      <c r="M2934" t="s">
        <v>2158</v>
      </c>
    </row>
    <row r="2935" spans="12:13" x14ac:dyDescent="0.25">
      <c r="L2935" s="65">
        <v>551100</v>
      </c>
      <c r="M2935" t="s">
        <v>2158</v>
      </c>
    </row>
    <row r="2936" spans="12:13" x14ac:dyDescent="0.25">
      <c r="L2936" s="65">
        <v>551110</v>
      </c>
      <c r="M2936" t="s">
        <v>2158</v>
      </c>
    </row>
    <row r="2937" spans="12:13" x14ac:dyDescent="0.25">
      <c r="L2937" s="65">
        <v>551111</v>
      </c>
      <c r="M2937" t="s">
        <v>2158</v>
      </c>
    </row>
    <row r="2938" spans="12:13" x14ac:dyDescent="0.25">
      <c r="L2938" s="65">
        <v>551120</v>
      </c>
      <c r="M2938" t="s">
        <v>2159</v>
      </c>
    </row>
    <row r="2939" spans="12:13" x14ac:dyDescent="0.25">
      <c r="L2939" s="65">
        <v>551121</v>
      </c>
      <c r="M2939" t="s">
        <v>2159</v>
      </c>
    </row>
    <row r="2940" spans="12:13" x14ac:dyDescent="0.25">
      <c r="L2940" s="65">
        <v>600000</v>
      </c>
      <c r="M2940" t="s">
        <v>1976</v>
      </c>
    </row>
    <row r="2941" spans="12:13" x14ac:dyDescent="0.25">
      <c r="L2941" s="65">
        <v>610000</v>
      </c>
      <c r="M2941" t="s">
        <v>1977</v>
      </c>
    </row>
    <row r="2942" spans="12:13" x14ac:dyDescent="0.25">
      <c r="L2942" s="65">
        <v>611000</v>
      </c>
      <c r="M2942" t="s">
        <v>2160</v>
      </c>
    </row>
    <row r="2943" spans="12:13" x14ac:dyDescent="0.25">
      <c r="L2943" s="65">
        <v>611100</v>
      </c>
      <c r="M2943" t="s">
        <v>1979</v>
      </c>
    </row>
    <row r="2944" spans="12:13" x14ac:dyDescent="0.25">
      <c r="L2944" s="65">
        <v>611110</v>
      </c>
      <c r="M2944" t="s">
        <v>2161</v>
      </c>
    </row>
    <row r="2945" spans="12:13" x14ac:dyDescent="0.25">
      <c r="L2945" s="65">
        <v>611111</v>
      </c>
      <c r="M2945" t="s">
        <v>2161</v>
      </c>
    </row>
    <row r="2946" spans="12:13" x14ac:dyDescent="0.25">
      <c r="L2946" s="65">
        <v>611120</v>
      </c>
      <c r="M2946" t="s">
        <v>2162</v>
      </c>
    </row>
    <row r="2947" spans="12:13" x14ac:dyDescent="0.25">
      <c r="L2947" s="65">
        <v>611121</v>
      </c>
      <c r="M2947" t="s">
        <v>2162</v>
      </c>
    </row>
    <row r="2948" spans="12:13" x14ac:dyDescent="0.25">
      <c r="L2948" s="65">
        <v>611122</v>
      </c>
      <c r="M2948" t="s">
        <v>2163</v>
      </c>
    </row>
    <row r="2949" spans="12:13" x14ac:dyDescent="0.25">
      <c r="L2949" s="65">
        <v>611200</v>
      </c>
      <c r="M2949" t="s">
        <v>1980</v>
      </c>
    </row>
    <row r="2950" spans="12:13" x14ac:dyDescent="0.25">
      <c r="L2950" s="65">
        <v>611210</v>
      </c>
      <c r="M2950" t="s">
        <v>2164</v>
      </c>
    </row>
    <row r="2951" spans="12:13" x14ac:dyDescent="0.25">
      <c r="L2951" s="65">
        <v>611211</v>
      </c>
      <c r="M2951" t="s">
        <v>2164</v>
      </c>
    </row>
    <row r="2952" spans="12:13" x14ac:dyDescent="0.25">
      <c r="L2952" s="65">
        <v>611220</v>
      </c>
      <c r="M2952" t="s">
        <v>2165</v>
      </c>
    </row>
    <row r="2953" spans="12:13" x14ac:dyDescent="0.25">
      <c r="L2953" s="65">
        <v>611221</v>
      </c>
      <c r="M2953" t="s">
        <v>2165</v>
      </c>
    </row>
    <row r="2954" spans="12:13" x14ac:dyDescent="0.25">
      <c r="L2954" s="65">
        <v>611230</v>
      </c>
      <c r="M2954" t="s">
        <v>2166</v>
      </c>
    </row>
    <row r="2955" spans="12:13" x14ac:dyDescent="0.25">
      <c r="L2955" s="65">
        <v>611231</v>
      </c>
      <c r="M2955" t="s">
        <v>2166</v>
      </c>
    </row>
    <row r="2956" spans="12:13" x14ac:dyDescent="0.25">
      <c r="L2956" s="65">
        <v>611240</v>
      </c>
      <c r="M2956" t="s">
        <v>2167</v>
      </c>
    </row>
    <row r="2957" spans="12:13" x14ac:dyDescent="0.25">
      <c r="L2957" s="65">
        <v>611241</v>
      </c>
      <c r="M2957" t="s">
        <v>2167</v>
      </c>
    </row>
    <row r="2958" spans="12:13" x14ac:dyDescent="0.25">
      <c r="L2958" s="65">
        <v>611250</v>
      </c>
      <c r="M2958" t="s">
        <v>2168</v>
      </c>
    </row>
    <row r="2959" spans="12:13" x14ac:dyDescent="0.25">
      <c r="L2959" s="65">
        <v>611251</v>
      </c>
      <c r="M2959" t="s">
        <v>2169</v>
      </c>
    </row>
    <row r="2960" spans="12:13" x14ac:dyDescent="0.25">
      <c r="L2960" s="65">
        <v>611252</v>
      </c>
      <c r="M2960" t="s">
        <v>2170</v>
      </c>
    </row>
    <row r="2961" spans="12:13" x14ac:dyDescent="0.25">
      <c r="L2961" s="65">
        <v>611255</v>
      </c>
      <c r="M2961" t="s">
        <v>2171</v>
      </c>
    </row>
    <row r="2962" spans="12:13" x14ac:dyDescent="0.25">
      <c r="L2962" s="65">
        <v>611300</v>
      </c>
      <c r="M2962" t="s">
        <v>1981</v>
      </c>
    </row>
    <row r="2963" spans="12:13" x14ac:dyDescent="0.25">
      <c r="L2963" s="65">
        <v>611310</v>
      </c>
      <c r="M2963" t="s">
        <v>2172</v>
      </c>
    </row>
    <row r="2964" spans="12:13" x14ac:dyDescent="0.25">
      <c r="L2964" s="65">
        <v>611311</v>
      </c>
      <c r="M2964" t="s">
        <v>2172</v>
      </c>
    </row>
    <row r="2965" spans="12:13" x14ac:dyDescent="0.25">
      <c r="L2965" s="65">
        <v>611390</v>
      </c>
      <c r="M2965" t="s">
        <v>2173</v>
      </c>
    </row>
    <row r="2966" spans="12:13" x14ac:dyDescent="0.25">
      <c r="L2966" s="65">
        <v>611391</v>
      </c>
      <c r="M2966" t="s">
        <v>2173</v>
      </c>
    </row>
    <row r="2967" spans="12:13" x14ac:dyDescent="0.25">
      <c r="L2967" s="65">
        <v>611400</v>
      </c>
      <c r="M2967" t="s">
        <v>1982</v>
      </c>
    </row>
    <row r="2968" spans="12:13" x14ac:dyDescent="0.25">
      <c r="L2968" s="65">
        <v>611410</v>
      </c>
      <c r="M2968" t="s">
        <v>1982</v>
      </c>
    </row>
    <row r="2969" spans="12:13" x14ac:dyDescent="0.25">
      <c r="L2969" s="65">
        <v>611411</v>
      </c>
      <c r="M2969" t="s">
        <v>1982</v>
      </c>
    </row>
    <row r="2970" spans="12:13" x14ac:dyDescent="0.25">
      <c r="L2970" s="65">
        <v>611500</v>
      </c>
      <c r="M2970" t="s">
        <v>1983</v>
      </c>
    </row>
    <row r="2971" spans="12:13" x14ac:dyDescent="0.25">
      <c r="L2971" s="65">
        <v>611510</v>
      </c>
      <c r="M2971" t="s">
        <v>1983</v>
      </c>
    </row>
    <row r="2972" spans="12:13" x14ac:dyDescent="0.25">
      <c r="L2972" s="65">
        <v>611511</v>
      </c>
      <c r="M2972" t="s">
        <v>1983</v>
      </c>
    </row>
    <row r="2973" spans="12:13" x14ac:dyDescent="0.25">
      <c r="L2973" s="65">
        <v>611600</v>
      </c>
      <c r="M2973" t="s">
        <v>1984</v>
      </c>
    </row>
    <row r="2974" spans="12:13" x14ac:dyDescent="0.25">
      <c r="L2974" s="65">
        <v>611610</v>
      </c>
      <c r="M2974" t="s">
        <v>1984</v>
      </c>
    </row>
    <row r="2975" spans="12:13" x14ac:dyDescent="0.25">
      <c r="L2975" s="65">
        <v>611611</v>
      </c>
      <c r="M2975" t="s">
        <v>1984</v>
      </c>
    </row>
    <row r="2976" spans="12:13" x14ac:dyDescent="0.25">
      <c r="L2976" s="65">
        <v>611700</v>
      </c>
      <c r="M2976" t="s">
        <v>1985</v>
      </c>
    </row>
    <row r="2977" spans="12:13" x14ac:dyDescent="0.25">
      <c r="L2977" s="65">
        <v>611710</v>
      </c>
      <c r="M2977" t="s">
        <v>1985</v>
      </c>
    </row>
    <row r="2978" spans="12:13" x14ac:dyDescent="0.25">
      <c r="L2978" s="65">
        <v>611711</v>
      </c>
      <c r="M2978" t="s">
        <v>1985</v>
      </c>
    </row>
    <row r="2979" spans="12:13" x14ac:dyDescent="0.25">
      <c r="L2979" s="65">
        <v>611800</v>
      </c>
      <c r="M2979" t="s">
        <v>1986</v>
      </c>
    </row>
    <row r="2980" spans="12:13" x14ac:dyDescent="0.25">
      <c r="L2980" s="65">
        <v>611810</v>
      </c>
      <c r="M2980" t="s">
        <v>1986</v>
      </c>
    </row>
    <row r="2981" spans="12:13" x14ac:dyDescent="0.25">
      <c r="L2981" s="65">
        <v>611811</v>
      </c>
      <c r="M2981" t="s">
        <v>1986</v>
      </c>
    </row>
    <row r="2982" spans="12:13" x14ac:dyDescent="0.25">
      <c r="L2982" s="65">
        <v>611900</v>
      </c>
      <c r="M2982" t="s">
        <v>1987</v>
      </c>
    </row>
    <row r="2983" spans="12:13" x14ac:dyDescent="0.25">
      <c r="L2983" s="65">
        <v>611910</v>
      </c>
      <c r="M2983" t="s">
        <v>2174</v>
      </c>
    </row>
    <row r="2984" spans="12:13" x14ac:dyDescent="0.25">
      <c r="L2984" s="65">
        <v>611911</v>
      </c>
      <c r="M2984" t="s">
        <v>2174</v>
      </c>
    </row>
    <row r="2985" spans="12:13" x14ac:dyDescent="0.25">
      <c r="L2985" s="65">
        <v>611920</v>
      </c>
      <c r="M2985" t="s">
        <v>2175</v>
      </c>
    </row>
    <row r="2986" spans="12:13" x14ac:dyDescent="0.25">
      <c r="L2986" s="65">
        <v>611921</v>
      </c>
      <c r="M2986" t="s">
        <v>2175</v>
      </c>
    </row>
    <row r="2987" spans="12:13" x14ac:dyDescent="0.25">
      <c r="L2987" s="65">
        <v>612000</v>
      </c>
      <c r="M2987" t="s">
        <v>1988</v>
      </c>
    </row>
    <row r="2988" spans="12:13" x14ac:dyDescent="0.25">
      <c r="L2988" s="65">
        <v>612100</v>
      </c>
      <c r="M2988" t="s">
        <v>1989</v>
      </c>
    </row>
    <row r="2989" spans="12:13" x14ac:dyDescent="0.25">
      <c r="L2989" s="65">
        <v>612110</v>
      </c>
      <c r="M2989" t="s">
        <v>2176</v>
      </c>
    </row>
    <row r="2990" spans="12:13" x14ac:dyDescent="0.25">
      <c r="L2990" s="65">
        <v>612111</v>
      </c>
      <c r="M2990" t="s">
        <v>2176</v>
      </c>
    </row>
    <row r="2991" spans="12:13" x14ac:dyDescent="0.25">
      <c r="L2991" s="65">
        <v>612120</v>
      </c>
      <c r="M2991" t="s">
        <v>2177</v>
      </c>
    </row>
    <row r="2992" spans="12:13" x14ac:dyDescent="0.25">
      <c r="L2992" s="65">
        <v>612121</v>
      </c>
      <c r="M2992" t="s">
        <v>2178</v>
      </c>
    </row>
    <row r="2993" spans="12:13" x14ac:dyDescent="0.25">
      <c r="L2993" s="65">
        <v>612122</v>
      </c>
      <c r="M2993" t="s">
        <v>2179</v>
      </c>
    </row>
    <row r="2994" spans="12:13" x14ac:dyDescent="0.25">
      <c r="L2994" s="65">
        <v>612200</v>
      </c>
      <c r="M2994" t="s">
        <v>1990</v>
      </c>
    </row>
    <row r="2995" spans="12:13" x14ac:dyDescent="0.25">
      <c r="L2995" s="65">
        <v>612210</v>
      </c>
      <c r="M2995" t="s">
        <v>2180</v>
      </c>
    </row>
    <row r="2996" spans="12:13" x14ac:dyDescent="0.25">
      <c r="L2996" s="65">
        <v>612211</v>
      </c>
      <c r="M2996" t="s">
        <v>2180</v>
      </c>
    </row>
    <row r="2997" spans="12:13" x14ac:dyDescent="0.25">
      <c r="L2997" s="65">
        <v>612220</v>
      </c>
      <c r="M2997" t="s">
        <v>2181</v>
      </c>
    </row>
    <row r="2998" spans="12:13" x14ac:dyDescent="0.25">
      <c r="L2998" s="65">
        <v>612221</v>
      </c>
      <c r="M2998" t="s">
        <v>2181</v>
      </c>
    </row>
    <row r="2999" spans="12:13" x14ac:dyDescent="0.25">
      <c r="L2999" s="65">
        <v>612290</v>
      </c>
      <c r="M2999" t="s">
        <v>2182</v>
      </c>
    </row>
    <row r="3000" spans="12:13" x14ac:dyDescent="0.25">
      <c r="L3000" s="65">
        <v>612291</v>
      </c>
      <c r="M3000" t="s">
        <v>2182</v>
      </c>
    </row>
    <row r="3001" spans="12:13" x14ac:dyDescent="0.25">
      <c r="L3001" s="65">
        <v>612300</v>
      </c>
      <c r="M3001" t="s">
        <v>1991</v>
      </c>
    </row>
    <row r="3002" spans="12:13" x14ac:dyDescent="0.25">
      <c r="L3002" s="65">
        <v>612310</v>
      </c>
      <c r="M3002" t="s">
        <v>2183</v>
      </c>
    </row>
    <row r="3003" spans="12:13" x14ac:dyDescent="0.25">
      <c r="L3003" s="65">
        <v>612311</v>
      </c>
      <c r="M3003" t="s">
        <v>2183</v>
      </c>
    </row>
    <row r="3004" spans="12:13" x14ac:dyDescent="0.25">
      <c r="L3004" s="65">
        <v>612320</v>
      </c>
      <c r="M3004" t="s">
        <v>2184</v>
      </c>
    </row>
    <row r="3005" spans="12:13" x14ac:dyDescent="0.25">
      <c r="L3005" s="65">
        <v>612321</v>
      </c>
      <c r="M3005" t="s">
        <v>2184</v>
      </c>
    </row>
    <row r="3006" spans="12:13" x14ac:dyDescent="0.25">
      <c r="L3006" s="65">
        <v>612330</v>
      </c>
      <c r="M3006" t="s">
        <v>2185</v>
      </c>
    </row>
    <row r="3007" spans="12:13" x14ac:dyDescent="0.25">
      <c r="L3007" s="65">
        <v>612331</v>
      </c>
      <c r="M3007" t="s">
        <v>2185</v>
      </c>
    </row>
    <row r="3008" spans="12:13" x14ac:dyDescent="0.25">
      <c r="L3008" s="65">
        <v>612340</v>
      </c>
      <c r="M3008" t="s">
        <v>2186</v>
      </c>
    </row>
    <row r="3009" spans="12:13" x14ac:dyDescent="0.25">
      <c r="L3009" s="65">
        <v>612341</v>
      </c>
      <c r="M3009" t="s">
        <v>2186</v>
      </c>
    </row>
    <row r="3010" spans="12:13" x14ac:dyDescent="0.25">
      <c r="L3010" s="65">
        <v>612350</v>
      </c>
      <c r="M3010" t="s">
        <v>2187</v>
      </c>
    </row>
    <row r="3011" spans="12:13" x14ac:dyDescent="0.25">
      <c r="L3011" s="65">
        <v>612351</v>
      </c>
      <c r="M3011" t="s">
        <v>2187</v>
      </c>
    </row>
    <row r="3012" spans="12:13" x14ac:dyDescent="0.25">
      <c r="L3012" s="65">
        <v>612390</v>
      </c>
      <c r="M3012" t="s">
        <v>2188</v>
      </c>
    </row>
    <row r="3013" spans="12:13" x14ac:dyDescent="0.25">
      <c r="L3013" s="65">
        <v>612391</v>
      </c>
      <c r="M3013" t="s">
        <v>2188</v>
      </c>
    </row>
    <row r="3014" spans="12:13" x14ac:dyDescent="0.25">
      <c r="L3014" s="65">
        <v>612400</v>
      </c>
      <c r="M3014" t="s">
        <v>2189</v>
      </c>
    </row>
    <row r="3015" spans="12:13" x14ac:dyDescent="0.25">
      <c r="L3015" s="65">
        <v>612410</v>
      </c>
      <c r="M3015" t="s">
        <v>2190</v>
      </c>
    </row>
    <row r="3016" spans="12:13" x14ac:dyDescent="0.25">
      <c r="L3016" s="65">
        <v>612411</v>
      </c>
      <c r="M3016" t="s">
        <v>2190</v>
      </c>
    </row>
    <row r="3017" spans="12:13" x14ac:dyDescent="0.25">
      <c r="L3017" s="65">
        <v>612490</v>
      </c>
      <c r="M3017" t="s">
        <v>2191</v>
      </c>
    </row>
    <row r="3018" spans="12:13" x14ac:dyDescent="0.25">
      <c r="L3018" s="65">
        <v>612491</v>
      </c>
      <c r="M3018" t="s">
        <v>2191</v>
      </c>
    </row>
    <row r="3019" spans="12:13" x14ac:dyDescent="0.25">
      <c r="L3019" s="65">
        <v>612500</v>
      </c>
      <c r="M3019" t="s">
        <v>2192</v>
      </c>
    </row>
    <row r="3020" spans="12:13" x14ac:dyDescent="0.25">
      <c r="L3020" s="65">
        <v>612510</v>
      </c>
      <c r="M3020" t="s">
        <v>2192</v>
      </c>
    </row>
    <row r="3021" spans="12:13" x14ac:dyDescent="0.25">
      <c r="L3021" s="65">
        <v>612511</v>
      </c>
      <c r="M3021" t="s">
        <v>2192</v>
      </c>
    </row>
    <row r="3022" spans="12:13" x14ac:dyDescent="0.25">
      <c r="L3022" s="65">
        <v>612600</v>
      </c>
      <c r="M3022" t="s">
        <v>1994</v>
      </c>
    </row>
    <row r="3023" spans="12:13" x14ac:dyDescent="0.25">
      <c r="L3023" s="65">
        <v>612610</v>
      </c>
      <c r="M3023" t="s">
        <v>1994</v>
      </c>
    </row>
    <row r="3024" spans="12:13" x14ac:dyDescent="0.25">
      <c r="L3024" s="65">
        <v>612611</v>
      </c>
      <c r="M3024" t="s">
        <v>1994</v>
      </c>
    </row>
    <row r="3025" spans="12:13" x14ac:dyDescent="0.25">
      <c r="L3025" s="65">
        <v>612900</v>
      </c>
      <c r="M3025" t="s">
        <v>1995</v>
      </c>
    </row>
    <row r="3026" spans="12:13" x14ac:dyDescent="0.25">
      <c r="L3026" s="65">
        <v>612910</v>
      </c>
      <c r="M3026" t="s">
        <v>2193</v>
      </c>
    </row>
    <row r="3027" spans="12:13" x14ac:dyDescent="0.25">
      <c r="L3027" s="65">
        <v>612911</v>
      </c>
      <c r="M3027" t="s">
        <v>2193</v>
      </c>
    </row>
    <row r="3028" spans="12:13" x14ac:dyDescent="0.25">
      <c r="L3028" s="65">
        <v>613000</v>
      </c>
      <c r="M3028" t="s">
        <v>1996</v>
      </c>
    </row>
    <row r="3029" spans="12:13" x14ac:dyDescent="0.25">
      <c r="L3029" s="65">
        <v>613100</v>
      </c>
      <c r="M3029" t="s">
        <v>1996</v>
      </c>
    </row>
    <row r="3030" spans="12:13" x14ac:dyDescent="0.25">
      <c r="L3030" s="65">
        <v>613110</v>
      </c>
      <c r="M3030" t="s">
        <v>1996</v>
      </c>
    </row>
    <row r="3031" spans="12:13" x14ac:dyDescent="0.25">
      <c r="L3031" s="65">
        <v>613111</v>
      </c>
      <c r="M3031" t="s">
        <v>1996</v>
      </c>
    </row>
    <row r="3032" spans="12:13" x14ac:dyDescent="0.25">
      <c r="L3032" s="65">
        <v>614000</v>
      </c>
      <c r="M3032" t="s">
        <v>1997</v>
      </c>
    </row>
    <row r="3033" spans="12:13" x14ac:dyDescent="0.25">
      <c r="L3033" s="65">
        <v>614100</v>
      </c>
      <c r="M3033" t="s">
        <v>1997</v>
      </c>
    </row>
    <row r="3034" spans="12:13" x14ac:dyDescent="0.25">
      <c r="L3034" s="65">
        <v>614110</v>
      </c>
      <c r="M3034" t="s">
        <v>1997</v>
      </c>
    </row>
    <row r="3035" spans="12:13" x14ac:dyDescent="0.25">
      <c r="L3035" s="65">
        <v>614111</v>
      </c>
      <c r="M3035" t="s">
        <v>2194</v>
      </c>
    </row>
    <row r="3036" spans="12:13" x14ac:dyDescent="0.25">
      <c r="L3036" s="65">
        <v>620000</v>
      </c>
      <c r="M3036" t="s">
        <v>1998</v>
      </c>
    </row>
    <row r="3037" spans="12:13" x14ac:dyDescent="0.25">
      <c r="L3037" s="65">
        <v>621000</v>
      </c>
      <c r="M3037" t="s">
        <v>1999</v>
      </c>
    </row>
    <row r="3038" spans="12:13" x14ac:dyDescent="0.25">
      <c r="L3038" s="65">
        <v>621100</v>
      </c>
      <c r="M3038" t="s">
        <v>2000</v>
      </c>
    </row>
    <row r="3039" spans="12:13" x14ac:dyDescent="0.25">
      <c r="L3039" s="65">
        <v>621110</v>
      </c>
      <c r="M3039" t="s">
        <v>2195</v>
      </c>
    </row>
    <row r="3040" spans="12:13" x14ac:dyDescent="0.25">
      <c r="L3040" s="65">
        <v>621111</v>
      </c>
      <c r="M3040" t="s">
        <v>2195</v>
      </c>
    </row>
    <row r="3041" spans="12:13" x14ac:dyDescent="0.25">
      <c r="L3041" s="65">
        <v>621120</v>
      </c>
      <c r="M3041" t="s">
        <v>565</v>
      </c>
    </row>
    <row r="3042" spans="12:13" x14ac:dyDescent="0.25">
      <c r="L3042" s="65">
        <v>621121</v>
      </c>
      <c r="M3042" t="s">
        <v>565</v>
      </c>
    </row>
    <row r="3043" spans="12:13" x14ac:dyDescent="0.25">
      <c r="L3043" s="65">
        <v>621200</v>
      </c>
      <c r="M3043" t="s">
        <v>567</v>
      </c>
    </row>
    <row r="3044" spans="12:13" x14ac:dyDescent="0.25">
      <c r="L3044" s="65">
        <v>621210</v>
      </c>
      <c r="M3044" t="s">
        <v>568</v>
      </c>
    </row>
    <row r="3045" spans="12:13" x14ac:dyDescent="0.25">
      <c r="L3045" s="65">
        <v>621211</v>
      </c>
      <c r="M3045" t="s">
        <v>568</v>
      </c>
    </row>
    <row r="3046" spans="12:13" x14ac:dyDescent="0.25">
      <c r="L3046" s="65">
        <v>621220</v>
      </c>
      <c r="M3046" t="s">
        <v>569</v>
      </c>
    </row>
    <row r="3047" spans="12:13" x14ac:dyDescent="0.25">
      <c r="L3047" s="65">
        <v>621221</v>
      </c>
      <c r="M3047" t="s">
        <v>569</v>
      </c>
    </row>
    <row r="3048" spans="12:13" x14ac:dyDescent="0.25">
      <c r="L3048" s="65">
        <v>621230</v>
      </c>
      <c r="M3048" t="s">
        <v>570</v>
      </c>
    </row>
    <row r="3049" spans="12:13" x14ac:dyDescent="0.25">
      <c r="L3049" s="65">
        <v>621231</v>
      </c>
      <c r="M3049" t="s">
        <v>570</v>
      </c>
    </row>
    <row r="3050" spans="12:13" x14ac:dyDescent="0.25">
      <c r="L3050" s="65">
        <v>621240</v>
      </c>
      <c r="M3050" t="s">
        <v>571</v>
      </c>
    </row>
    <row r="3051" spans="12:13" x14ac:dyDescent="0.25">
      <c r="L3051" s="65">
        <v>621241</v>
      </c>
      <c r="M3051" t="s">
        <v>571</v>
      </c>
    </row>
    <row r="3052" spans="12:13" x14ac:dyDescent="0.25">
      <c r="L3052" s="65">
        <v>621250</v>
      </c>
      <c r="M3052" t="s">
        <v>572</v>
      </c>
    </row>
    <row r="3053" spans="12:13" x14ac:dyDescent="0.25">
      <c r="L3053" s="65">
        <v>621251</v>
      </c>
      <c r="M3053" t="s">
        <v>573</v>
      </c>
    </row>
    <row r="3054" spans="12:13" x14ac:dyDescent="0.25">
      <c r="L3054" s="65">
        <v>621252</v>
      </c>
      <c r="M3054" t="s">
        <v>574</v>
      </c>
    </row>
    <row r="3055" spans="12:13" x14ac:dyDescent="0.25">
      <c r="L3055" s="65">
        <v>621255</v>
      </c>
      <c r="M3055" t="s">
        <v>575</v>
      </c>
    </row>
    <row r="3056" spans="12:13" x14ac:dyDescent="0.25">
      <c r="L3056" s="65">
        <v>621300</v>
      </c>
      <c r="M3056" t="s">
        <v>582</v>
      </c>
    </row>
    <row r="3057" spans="12:13" x14ac:dyDescent="0.25">
      <c r="L3057" s="65">
        <v>621310</v>
      </c>
      <c r="M3057" t="s">
        <v>583</v>
      </c>
    </row>
    <row r="3058" spans="12:13" x14ac:dyDescent="0.25">
      <c r="L3058" s="65">
        <v>621311</v>
      </c>
      <c r="M3058" t="s">
        <v>583</v>
      </c>
    </row>
    <row r="3059" spans="12:13" x14ac:dyDescent="0.25">
      <c r="L3059" s="65">
        <v>621390</v>
      </c>
      <c r="M3059" t="s">
        <v>584</v>
      </c>
    </row>
    <row r="3060" spans="12:13" x14ac:dyDescent="0.25">
      <c r="L3060" s="65">
        <v>621391</v>
      </c>
      <c r="M3060" t="s">
        <v>584</v>
      </c>
    </row>
    <row r="3061" spans="12:13" x14ac:dyDescent="0.25">
      <c r="L3061" s="65">
        <v>621400</v>
      </c>
      <c r="M3061" t="s">
        <v>589</v>
      </c>
    </row>
    <row r="3062" spans="12:13" x14ac:dyDescent="0.25">
      <c r="L3062" s="65">
        <v>621410</v>
      </c>
      <c r="M3062" t="s">
        <v>589</v>
      </c>
    </row>
    <row r="3063" spans="12:13" x14ac:dyDescent="0.25">
      <c r="L3063" s="65">
        <v>621411</v>
      </c>
      <c r="M3063" t="s">
        <v>589</v>
      </c>
    </row>
    <row r="3064" spans="12:13" x14ac:dyDescent="0.25">
      <c r="L3064" s="65">
        <v>621500</v>
      </c>
      <c r="M3064" t="s">
        <v>2196</v>
      </c>
    </row>
    <row r="3065" spans="12:13" x14ac:dyDescent="0.25">
      <c r="L3065" s="65">
        <v>621510</v>
      </c>
      <c r="M3065" t="s">
        <v>2196</v>
      </c>
    </row>
    <row r="3066" spans="12:13" x14ac:dyDescent="0.25">
      <c r="L3066" s="65">
        <v>621511</v>
      </c>
      <c r="M3066" t="s">
        <v>2196</v>
      </c>
    </row>
    <row r="3067" spans="12:13" x14ac:dyDescent="0.25">
      <c r="L3067" s="65">
        <v>621600</v>
      </c>
      <c r="M3067" t="s">
        <v>593</v>
      </c>
    </row>
    <row r="3068" spans="12:13" x14ac:dyDescent="0.25">
      <c r="L3068" s="65">
        <v>621610</v>
      </c>
      <c r="M3068" t="s">
        <v>593</v>
      </c>
    </row>
    <row r="3069" spans="12:13" x14ac:dyDescent="0.25">
      <c r="L3069" s="65">
        <v>621611</v>
      </c>
      <c r="M3069" t="s">
        <v>2197</v>
      </c>
    </row>
    <row r="3070" spans="12:13" x14ac:dyDescent="0.25">
      <c r="L3070" s="65">
        <v>621612</v>
      </c>
      <c r="M3070" t="s">
        <v>2198</v>
      </c>
    </row>
    <row r="3071" spans="12:13" x14ac:dyDescent="0.25">
      <c r="L3071" s="65">
        <v>621613</v>
      </c>
      <c r="M3071" t="s">
        <v>596</v>
      </c>
    </row>
    <row r="3072" spans="12:13" x14ac:dyDescent="0.25">
      <c r="L3072" s="65">
        <v>621700</v>
      </c>
      <c r="M3072" t="s">
        <v>2199</v>
      </c>
    </row>
    <row r="3073" spans="12:13" x14ac:dyDescent="0.25">
      <c r="L3073" s="65">
        <v>621710</v>
      </c>
      <c r="M3073" t="s">
        <v>2199</v>
      </c>
    </row>
    <row r="3074" spans="12:13" x14ac:dyDescent="0.25">
      <c r="L3074" s="65">
        <v>621711</v>
      </c>
      <c r="M3074" t="s">
        <v>599</v>
      </c>
    </row>
    <row r="3075" spans="12:13" x14ac:dyDescent="0.25">
      <c r="L3075" s="65">
        <v>621712</v>
      </c>
      <c r="M3075" t="s">
        <v>600</v>
      </c>
    </row>
    <row r="3076" spans="12:13" x14ac:dyDescent="0.25">
      <c r="L3076" s="65">
        <v>621800</v>
      </c>
      <c r="M3076" t="s">
        <v>602</v>
      </c>
    </row>
    <row r="3077" spans="12:13" x14ac:dyDescent="0.25">
      <c r="L3077" s="65">
        <v>621810</v>
      </c>
      <c r="M3077" t="s">
        <v>602</v>
      </c>
    </row>
    <row r="3078" spans="12:13" x14ac:dyDescent="0.25">
      <c r="L3078" s="65">
        <v>621811</v>
      </c>
      <c r="M3078" t="s">
        <v>602</v>
      </c>
    </row>
    <row r="3079" spans="12:13" x14ac:dyDescent="0.25">
      <c r="L3079" s="65">
        <v>621900</v>
      </c>
      <c r="M3079" t="s">
        <v>2002</v>
      </c>
    </row>
    <row r="3080" spans="12:13" x14ac:dyDescent="0.25">
      <c r="L3080" s="65">
        <v>621910</v>
      </c>
      <c r="M3080" t="s">
        <v>2200</v>
      </c>
    </row>
    <row r="3081" spans="12:13" x14ac:dyDescent="0.25">
      <c r="L3081" s="65">
        <v>621911</v>
      </c>
      <c r="M3081" t="s">
        <v>2200</v>
      </c>
    </row>
    <row r="3082" spans="12:13" x14ac:dyDescent="0.25">
      <c r="L3082" s="65">
        <v>621920</v>
      </c>
      <c r="M3082" t="s">
        <v>606</v>
      </c>
    </row>
    <row r="3083" spans="12:13" x14ac:dyDescent="0.25">
      <c r="L3083" s="65">
        <v>621921</v>
      </c>
      <c r="M3083" t="s">
        <v>607</v>
      </c>
    </row>
    <row r="3084" spans="12:13" x14ac:dyDescent="0.25">
      <c r="L3084" s="65">
        <v>621922</v>
      </c>
      <c r="M3084" t="s">
        <v>2201</v>
      </c>
    </row>
    <row r="3085" spans="12:13" x14ac:dyDescent="0.25">
      <c r="L3085" s="65">
        <v>621930</v>
      </c>
      <c r="M3085" t="s">
        <v>609</v>
      </c>
    </row>
    <row r="3086" spans="12:13" x14ac:dyDescent="0.25">
      <c r="L3086" s="65">
        <v>621931</v>
      </c>
      <c r="M3086" t="s">
        <v>609</v>
      </c>
    </row>
    <row r="3087" spans="12:13" x14ac:dyDescent="0.25">
      <c r="L3087" s="65">
        <v>621940</v>
      </c>
      <c r="M3087" t="s">
        <v>610</v>
      </c>
    </row>
    <row r="3088" spans="12:13" x14ac:dyDescent="0.25">
      <c r="L3088" s="65">
        <v>621941</v>
      </c>
      <c r="M3088" t="s">
        <v>610</v>
      </c>
    </row>
    <row r="3089" spans="12:13" x14ac:dyDescent="0.25">
      <c r="L3089" s="65">
        <v>622000</v>
      </c>
      <c r="M3089" t="s">
        <v>2003</v>
      </c>
    </row>
    <row r="3090" spans="12:13" x14ac:dyDescent="0.25">
      <c r="L3090" s="65">
        <v>622100</v>
      </c>
      <c r="M3090" t="s">
        <v>2004</v>
      </c>
    </row>
    <row r="3091" spans="12:13" x14ac:dyDescent="0.25">
      <c r="L3091" s="65">
        <v>622110</v>
      </c>
      <c r="M3091" t="s">
        <v>2202</v>
      </c>
    </row>
    <row r="3092" spans="12:13" x14ac:dyDescent="0.25">
      <c r="L3092" s="65">
        <v>622111</v>
      </c>
      <c r="M3092" t="s">
        <v>2202</v>
      </c>
    </row>
    <row r="3093" spans="12:13" x14ac:dyDescent="0.25">
      <c r="L3093" s="65">
        <v>622120</v>
      </c>
      <c r="M3093" t="s">
        <v>2203</v>
      </c>
    </row>
    <row r="3094" spans="12:13" x14ac:dyDescent="0.25">
      <c r="L3094" s="65">
        <v>622121</v>
      </c>
      <c r="M3094" t="s">
        <v>2203</v>
      </c>
    </row>
    <row r="3095" spans="12:13" x14ac:dyDescent="0.25">
      <c r="L3095" s="65">
        <v>622200</v>
      </c>
      <c r="M3095" t="s">
        <v>619</v>
      </c>
    </row>
    <row r="3096" spans="12:13" x14ac:dyDescent="0.25">
      <c r="L3096" s="65">
        <v>622210</v>
      </c>
      <c r="M3096" t="s">
        <v>619</v>
      </c>
    </row>
    <row r="3097" spans="12:13" x14ac:dyDescent="0.25">
      <c r="L3097" s="65">
        <v>622211</v>
      </c>
      <c r="M3097" t="s">
        <v>619</v>
      </c>
    </row>
    <row r="3098" spans="12:13" x14ac:dyDescent="0.25">
      <c r="L3098" s="65">
        <v>622300</v>
      </c>
      <c r="M3098" t="s">
        <v>621</v>
      </c>
    </row>
    <row r="3099" spans="12:13" x14ac:dyDescent="0.25">
      <c r="L3099" s="65">
        <v>622310</v>
      </c>
      <c r="M3099" t="s">
        <v>621</v>
      </c>
    </row>
    <row r="3100" spans="12:13" x14ac:dyDescent="0.25">
      <c r="L3100" s="65">
        <v>622311</v>
      </c>
      <c r="M3100" t="s">
        <v>621</v>
      </c>
    </row>
    <row r="3101" spans="12:13" x14ac:dyDescent="0.25">
      <c r="L3101" s="65">
        <v>622400</v>
      </c>
      <c r="M3101" t="s">
        <v>623</v>
      </c>
    </row>
    <row r="3102" spans="12:13" x14ac:dyDescent="0.25">
      <c r="L3102" s="65">
        <v>622410</v>
      </c>
      <c r="M3102" t="s">
        <v>623</v>
      </c>
    </row>
    <row r="3103" spans="12:13" x14ac:dyDescent="0.25">
      <c r="L3103" s="65">
        <v>622411</v>
      </c>
      <c r="M3103" t="s">
        <v>623</v>
      </c>
    </row>
    <row r="3104" spans="12:13" x14ac:dyDescent="0.25">
      <c r="L3104" s="65">
        <v>622500</v>
      </c>
      <c r="M3104" t="s">
        <v>625</v>
      </c>
    </row>
    <row r="3105" spans="12:13" x14ac:dyDescent="0.25">
      <c r="L3105" s="65">
        <v>622510</v>
      </c>
      <c r="M3105" t="s">
        <v>625</v>
      </c>
    </row>
    <row r="3106" spans="12:13" x14ac:dyDescent="0.25">
      <c r="L3106" s="65">
        <v>622511</v>
      </c>
      <c r="M3106" t="s">
        <v>625</v>
      </c>
    </row>
    <row r="3107" spans="12:13" x14ac:dyDescent="0.25">
      <c r="L3107" s="65">
        <v>622600</v>
      </c>
      <c r="M3107" t="s">
        <v>627</v>
      </c>
    </row>
    <row r="3108" spans="12:13" x14ac:dyDescent="0.25">
      <c r="L3108" s="65">
        <v>622610</v>
      </c>
      <c r="M3108" t="s">
        <v>627</v>
      </c>
    </row>
    <row r="3109" spans="12:13" x14ac:dyDescent="0.25">
      <c r="L3109" s="65">
        <v>622611</v>
      </c>
      <c r="M3109" t="s">
        <v>628</v>
      </c>
    </row>
    <row r="3110" spans="12:13" x14ac:dyDescent="0.25">
      <c r="L3110" s="65">
        <v>622612</v>
      </c>
      <c r="M3110" t="s">
        <v>629</v>
      </c>
    </row>
    <row r="3111" spans="12:13" x14ac:dyDescent="0.25">
      <c r="L3111" s="65">
        <v>622700</v>
      </c>
      <c r="M3111" t="s">
        <v>2005</v>
      </c>
    </row>
    <row r="3112" spans="12:13" x14ac:dyDescent="0.25">
      <c r="L3112" s="65">
        <v>622710</v>
      </c>
      <c r="M3112" t="s">
        <v>632</v>
      </c>
    </row>
    <row r="3113" spans="12:13" x14ac:dyDescent="0.25">
      <c r="L3113" s="65">
        <v>622711</v>
      </c>
      <c r="M3113" t="s">
        <v>632</v>
      </c>
    </row>
    <row r="3114" spans="12:13" x14ac:dyDescent="0.25">
      <c r="L3114" s="65">
        <v>622720</v>
      </c>
      <c r="M3114" t="s">
        <v>633</v>
      </c>
    </row>
    <row r="3115" spans="12:13" x14ac:dyDescent="0.25">
      <c r="L3115" s="65">
        <v>622721</v>
      </c>
      <c r="M3115" t="s">
        <v>633</v>
      </c>
    </row>
    <row r="3116" spans="12:13" x14ac:dyDescent="0.25">
      <c r="L3116" s="65">
        <v>622800</v>
      </c>
      <c r="M3116" t="s">
        <v>2006</v>
      </c>
    </row>
    <row r="3117" spans="12:13" x14ac:dyDescent="0.25">
      <c r="L3117" s="65">
        <v>622810</v>
      </c>
      <c r="M3117" t="s">
        <v>2006</v>
      </c>
    </row>
    <row r="3118" spans="12:13" x14ac:dyDescent="0.25">
      <c r="L3118" s="65">
        <v>622811</v>
      </c>
      <c r="M3118" t="s">
        <v>2006</v>
      </c>
    </row>
    <row r="3119" spans="12:13" x14ac:dyDescent="0.25">
      <c r="L3119" s="65">
        <v>623000</v>
      </c>
      <c r="M3119" t="s">
        <v>2204</v>
      </c>
    </row>
    <row r="3120" spans="12:13" x14ac:dyDescent="0.25">
      <c r="L3120" s="65">
        <v>623100</v>
      </c>
      <c r="M3120" t="s">
        <v>2205</v>
      </c>
    </row>
    <row r="3121" spans="12:13" x14ac:dyDescent="0.25">
      <c r="L3121" s="65">
        <v>623110</v>
      </c>
      <c r="M3121" t="s">
        <v>2205</v>
      </c>
    </row>
    <row r="3122" spans="12:13" x14ac:dyDescent="0.25">
      <c r="L3122" s="65">
        <v>623111</v>
      </c>
      <c r="M3122" t="s">
        <v>2205</v>
      </c>
    </row>
    <row r="3123" spans="12:13" x14ac:dyDescent="0.25">
      <c r="L3123" s="65">
        <v>690000</v>
      </c>
      <c r="M3123" t="s">
        <v>2206</v>
      </c>
    </row>
    <row r="3124" spans="12:13" x14ac:dyDescent="0.25">
      <c r="L3124" s="65">
        <v>699000</v>
      </c>
      <c r="M3124" t="s">
        <v>2206</v>
      </c>
    </row>
    <row r="3125" spans="12:13" x14ac:dyDescent="0.25">
      <c r="L3125" s="65">
        <v>699900</v>
      </c>
      <c r="M3125" t="s">
        <v>2206</v>
      </c>
    </row>
    <row r="3126" spans="12:13" x14ac:dyDescent="0.25">
      <c r="L3126" s="65">
        <v>699990</v>
      </c>
      <c r="M3126" t="s">
        <v>2206</v>
      </c>
    </row>
    <row r="3127" spans="12:13" x14ac:dyDescent="0.25">
      <c r="L3127" s="65">
        <v>699999</v>
      </c>
      <c r="M3127" t="s">
        <v>2206</v>
      </c>
    </row>
    <row r="3128" spans="12:13" x14ac:dyDescent="0.25">
      <c r="L3128" s="65">
        <v>700000</v>
      </c>
      <c r="M3128" t="s">
        <v>2208</v>
      </c>
    </row>
    <row r="3129" spans="12:13" x14ac:dyDescent="0.25">
      <c r="L3129" s="65">
        <v>710000</v>
      </c>
      <c r="M3129" t="s">
        <v>2209</v>
      </c>
    </row>
    <row r="3130" spans="12:13" x14ac:dyDescent="0.25">
      <c r="L3130" s="65">
        <v>711000</v>
      </c>
      <c r="M3130" t="s">
        <v>2210</v>
      </c>
    </row>
    <row r="3131" spans="12:13" x14ac:dyDescent="0.25">
      <c r="L3131" s="65">
        <v>711100</v>
      </c>
      <c r="M3131" t="s">
        <v>2211</v>
      </c>
    </row>
    <row r="3132" spans="12:13" x14ac:dyDescent="0.25">
      <c r="L3132" s="65">
        <v>711110</v>
      </c>
      <c r="M3132" t="s">
        <v>2212</v>
      </c>
    </row>
    <row r="3133" spans="12:13" x14ac:dyDescent="0.25">
      <c r="L3133" s="65">
        <v>711111</v>
      </c>
      <c r="M3133" t="s">
        <v>2212</v>
      </c>
    </row>
    <row r="3134" spans="12:13" x14ac:dyDescent="0.25">
      <c r="L3134" s="65">
        <v>711120</v>
      </c>
      <c r="M3134" t="s">
        <v>2213</v>
      </c>
    </row>
    <row r="3135" spans="12:13" x14ac:dyDescent="0.25">
      <c r="L3135" s="65">
        <v>711121</v>
      </c>
      <c r="M3135" t="s">
        <v>2214</v>
      </c>
    </row>
    <row r="3136" spans="12:13" x14ac:dyDescent="0.25">
      <c r="L3136" s="65">
        <v>711122</v>
      </c>
      <c r="M3136" t="s">
        <v>2215</v>
      </c>
    </row>
    <row r="3137" spans="12:13" x14ac:dyDescent="0.25">
      <c r="L3137" s="65">
        <v>711130</v>
      </c>
      <c r="M3137" t="s">
        <v>2216</v>
      </c>
    </row>
    <row r="3138" spans="12:13" x14ac:dyDescent="0.25">
      <c r="L3138" s="65">
        <v>711131</v>
      </c>
      <c r="M3138" t="s">
        <v>2217</v>
      </c>
    </row>
    <row r="3139" spans="12:13" x14ac:dyDescent="0.25">
      <c r="L3139" s="65">
        <v>711140</v>
      </c>
      <c r="M3139" t="s">
        <v>2218</v>
      </c>
    </row>
    <row r="3140" spans="12:13" x14ac:dyDescent="0.25">
      <c r="L3140" s="65">
        <v>711141</v>
      </c>
      <c r="M3140" t="s">
        <v>2219</v>
      </c>
    </row>
    <row r="3141" spans="12:13" x14ac:dyDescent="0.25">
      <c r="L3141" s="65">
        <v>711142</v>
      </c>
      <c r="M3141" t="s">
        <v>2220</v>
      </c>
    </row>
    <row r="3142" spans="12:13" x14ac:dyDescent="0.25">
      <c r="L3142" s="65">
        <v>711143</v>
      </c>
      <c r="M3142" t="s">
        <v>2221</v>
      </c>
    </row>
    <row r="3143" spans="12:13" x14ac:dyDescent="0.25">
      <c r="L3143" s="65">
        <v>711144</v>
      </c>
      <c r="M3143" t="s">
        <v>2222</v>
      </c>
    </row>
    <row r="3144" spans="12:13" x14ac:dyDescent="0.25">
      <c r="L3144" s="65">
        <v>711145</v>
      </c>
      <c r="M3144" t="s">
        <v>2223</v>
      </c>
    </row>
    <row r="3145" spans="12:13" x14ac:dyDescent="0.25">
      <c r="L3145" s="65">
        <v>711146</v>
      </c>
      <c r="M3145" t="s">
        <v>2224</v>
      </c>
    </row>
    <row r="3146" spans="12:13" x14ac:dyDescent="0.25">
      <c r="L3146" s="65">
        <v>711147</v>
      </c>
      <c r="M3146" t="s">
        <v>2225</v>
      </c>
    </row>
    <row r="3147" spans="12:13" x14ac:dyDescent="0.25">
      <c r="L3147" s="65">
        <v>711148</v>
      </c>
      <c r="M3147" t="s">
        <v>2226</v>
      </c>
    </row>
    <row r="3148" spans="12:13" x14ac:dyDescent="0.25">
      <c r="L3148" s="65">
        <v>711149</v>
      </c>
      <c r="M3148" t="s">
        <v>2227</v>
      </c>
    </row>
    <row r="3149" spans="12:13" x14ac:dyDescent="0.25">
      <c r="L3149" s="65">
        <v>711150</v>
      </c>
      <c r="M3149" t="s">
        <v>2228</v>
      </c>
    </row>
    <row r="3150" spans="12:13" x14ac:dyDescent="0.25">
      <c r="L3150" s="65">
        <v>711151</v>
      </c>
      <c r="M3150" t="s">
        <v>2228</v>
      </c>
    </row>
    <row r="3151" spans="12:13" x14ac:dyDescent="0.25">
      <c r="L3151" s="65">
        <v>711160</v>
      </c>
      <c r="M3151" t="s">
        <v>2229</v>
      </c>
    </row>
    <row r="3152" spans="12:13" x14ac:dyDescent="0.25">
      <c r="L3152" s="65">
        <v>711161</v>
      </c>
      <c r="M3152" t="s">
        <v>2229</v>
      </c>
    </row>
    <row r="3153" spans="12:13" x14ac:dyDescent="0.25">
      <c r="L3153" s="65">
        <v>711170</v>
      </c>
      <c r="M3153" t="s">
        <v>2230</v>
      </c>
    </row>
    <row r="3154" spans="12:13" x14ac:dyDescent="0.25">
      <c r="L3154" s="65">
        <v>711171</v>
      </c>
      <c r="M3154" t="s">
        <v>2230</v>
      </c>
    </row>
    <row r="3155" spans="12:13" x14ac:dyDescent="0.25">
      <c r="L3155" s="65">
        <v>711180</v>
      </c>
      <c r="M3155" t="s">
        <v>2231</v>
      </c>
    </row>
    <row r="3156" spans="12:13" x14ac:dyDescent="0.25">
      <c r="L3156" s="65">
        <v>711181</v>
      </c>
      <c r="M3156" t="s">
        <v>2232</v>
      </c>
    </row>
    <row r="3157" spans="12:13" x14ac:dyDescent="0.25">
      <c r="L3157" s="65">
        <v>711182</v>
      </c>
      <c r="M3157" t="s">
        <v>2233</v>
      </c>
    </row>
    <row r="3158" spans="12:13" x14ac:dyDescent="0.25">
      <c r="L3158" s="65">
        <v>711183</v>
      </c>
      <c r="M3158" t="s">
        <v>2234</v>
      </c>
    </row>
    <row r="3159" spans="12:13" x14ac:dyDescent="0.25">
      <c r="L3159" s="65">
        <v>711184</v>
      </c>
      <c r="M3159" t="s">
        <v>2235</v>
      </c>
    </row>
    <row r="3160" spans="12:13" x14ac:dyDescent="0.25">
      <c r="L3160" s="65">
        <v>711185</v>
      </c>
      <c r="M3160" t="s">
        <v>2236</v>
      </c>
    </row>
    <row r="3161" spans="12:13" x14ac:dyDescent="0.25">
      <c r="L3161" s="65">
        <v>711190</v>
      </c>
      <c r="M3161" t="s">
        <v>2237</v>
      </c>
    </row>
    <row r="3162" spans="12:13" x14ac:dyDescent="0.25">
      <c r="L3162" s="65">
        <v>711191</v>
      </c>
      <c r="M3162" t="s">
        <v>2238</v>
      </c>
    </row>
    <row r="3163" spans="12:13" x14ac:dyDescent="0.25">
      <c r="L3163" s="65">
        <v>711192</v>
      </c>
      <c r="M3163" t="s">
        <v>2239</v>
      </c>
    </row>
    <row r="3164" spans="12:13" x14ac:dyDescent="0.25">
      <c r="L3164" s="65">
        <v>711193</v>
      </c>
      <c r="M3164" t="s">
        <v>2240</v>
      </c>
    </row>
    <row r="3165" spans="12:13" x14ac:dyDescent="0.25">
      <c r="L3165" s="65">
        <v>711194</v>
      </c>
      <c r="M3165" t="s">
        <v>2241</v>
      </c>
    </row>
    <row r="3166" spans="12:13" x14ac:dyDescent="0.25">
      <c r="L3166" s="65">
        <v>711195</v>
      </c>
      <c r="M3166" t="s">
        <v>2242</v>
      </c>
    </row>
    <row r="3167" spans="12:13" x14ac:dyDescent="0.25">
      <c r="L3167" s="65">
        <v>711200</v>
      </c>
      <c r="M3167" t="s">
        <v>2243</v>
      </c>
    </row>
    <row r="3168" spans="12:13" x14ac:dyDescent="0.25">
      <c r="L3168" s="65">
        <v>711210</v>
      </c>
      <c r="M3168" t="s">
        <v>2244</v>
      </c>
    </row>
    <row r="3169" spans="12:13" x14ac:dyDescent="0.25">
      <c r="L3169" s="65">
        <v>711211</v>
      </c>
      <c r="M3169" t="s">
        <v>2245</v>
      </c>
    </row>
    <row r="3170" spans="12:13" x14ac:dyDescent="0.25">
      <c r="L3170" s="65">
        <v>711212</v>
      </c>
      <c r="M3170" t="s">
        <v>2246</v>
      </c>
    </row>
    <row r="3171" spans="12:13" x14ac:dyDescent="0.25">
      <c r="L3171" s="65">
        <v>711213</v>
      </c>
      <c r="M3171" t="s">
        <v>2247</v>
      </c>
    </row>
    <row r="3172" spans="12:13" x14ac:dyDescent="0.25">
      <c r="L3172" s="65">
        <v>711214</v>
      </c>
      <c r="M3172" t="s">
        <v>2248</v>
      </c>
    </row>
    <row r="3173" spans="12:13" x14ac:dyDescent="0.25">
      <c r="L3173" s="65">
        <v>711215</v>
      </c>
      <c r="M3173" t="s">
        <v>2249</v>
      </c>
    </row>
    <row r="3174" spans="12:13" x14ac:dyDescent="0.25">
      <c r="L3174" s="65">
        <v>711216</v>
      </c>
      <c r="M3174" t="s">
        <v>2250</v>
      </c>
    </row>
    <row r="3175" spans="12:13" x14ac:dyDescent="0.25">
      <c r="L3175" s="65">
        <v>711217</v>
      </c>
      <c r="M3175" t="s">
        <v>2251</v>
      </c>
    </row>
    <row r="3176" spans="12:13" x14ac:dyDescent="0.25">
      <c r="L3176" s="65">
        <v>711218</v>
      </c>
      <c r="M3176" t="s">
        <v>2252</v>
      </c>
    </row>
    <row r="3177" spans="12:13" x14ac:dyDescent="0.25">
      <c r="L3177" s="65">
        <v>711300</v>
      </c>
      <c r="M3177" t="s">
        <v>2253</v>
      </c>
    </row>
    <row r="3178" spans="12:13" x14ac:dyDescent="0.25">
      <c r="L3178">
        <v>711310</v>
      </c>
      <c r="M3178" t="s">
        <v>2253</v>
      </c>
    </row>
    <row r="3179" spans="12:13" x14ac:dyDescent="0.25">
      <c r="L3179" s="65">
        <v>711311</v>
      </c>
      <c r="M3179" t="s">
        <v>2253</v>
      </c>
    </row>
    <row r="3180" spans="12:13" x14ac:dyDescent="0.25">
      <c r="L3180" s="65">
        <v>712000</v>
      </c>
      <c r="M3180" t="s">
        <v>2254</v>
      </c>
    </row>
    <row r="3181" spans="12:13" x14ac:dyDescent="0.25">
      <c r="L3181" s="65">
        <v>712100</v>
      </c>
      <c r="M3181" t="s">
        <v>2254</v>
      </c>
    </row>
    <row r="3182" spans="12:13" x14ac:dyDescent="0.25">
      <c r="L3182" s="65">
        <v>712110</v>
      </c>
      <c r="M3182" t="s">
        <v>2254</v>
      </c>
    </row>
    <row r="3183" spans="12:13" x14ac:dyDescent="0.25">
      <c r="L3183" s="65">
        <v>712111</v>
      </c>
      <c r="M3183" t="s">
        <v>2255</v>
      </c>
    </row>
    <row r="3184" spans="12:13" x14ac:dyDescent="0.25">
      <c r="L3184" s="65">
        <v>712112</v>
      </c>
      <c r="M3184" t="s">
        <v>2256</v>
      </c>
    </row>
    <row r="3185" spans="12:13" x14ac:dyDescent="0.25">
      <c r="L3185" s="65">
        <v>712113</v>
      </c>
      <c r="M3185" t="s">
        <v>2257</v>
      </c>
    </row>
    <row r="3186" spans="12:13" x14ac:dyDescent="0.25">
      <c r="L3186" s="65">
        <v>713000</v>
      </c>
      <c r="M3186" t="s">
        <v>2258</v>
      </c>
    </row>
    <row r="3187" spans="12:13" x14ac:dyDescent="0.25">
      <c r="L3187" s="65">
        <v>713100</v>
      </c>
      <c r="M3187" t="s">
        <v>2259</v>
      </c>
    </row>
    <row r="3188" spans="12:13" x14ac:dyDescent="0.25">
      <c r="L3188" s="65">
        <v>713110</v>
      </c>
      <c r="M3188" t="s">
        <v>2260</v>
      </c>
    </row>
    <row r="3189" spans="12:13" x14ac:dyDescent="0.25">
      <c r="L3189" s="65">
        <v>713111</v>
      </c>
      <c r="M3189" t="s">
        <v>2261</v>
      </c>
    </row>
    <row r="3190" spans="12:13" x14ac:dyDescent="0.25">
      <c r="L3190" s="65">
        <v>713120</v>
      </c>
      <c r="M3190" t="s">
        <v>2258</v>
      </c>
    </row>
    <row r="3191" spans="12:13" x14ac:dyDescent="0.25">
      <c r="L3191" s="65">
        <v>713121</v>
      </c>
      <c r="M3191" t="s">
        <v>2262</v>
      </c>
    </row>
    <row r="3192" spans="12:13" x14ac:dyDescent="0.25">
      <c r="L3192" s="65">
        <v>713122</v>
      </c>
      <c r="M3192" t="s">
        <v>2263</v>
      </c>
    </row>
    <row r="3193" spans="12:13" x14ac:dyDescent="0.25">
      <c r="L3193" s="65">
        <v>713200</v>
      </c>
      <c r="M3193" t="s">
        <v>2264</v>
      </c>
    </row>
    <row r="3194" spans="12:13" x14ac:dyDescent="0.25">
      <c r="L3194" s="65">
        <v>713210</v>
      </c>
      <c r="M3194" t="s">
        <v>2264</v>
      </c>
    </row>
    <row r="3195" spans="12:13" x14ac:dyDescent="0.25">
      <c r="L3195" s="65">
        <v>713211</v>
      </c>
      <c r="M3195" t="s">
        <v>2264</v>
      </c>
    </row>
    <row r="3196" spans="12:13" x14ac:dyDescent="0.25">
      <c r="L3196" s="65">
        <v>713300</v>
      </c>
      <c r="M3196" t="s">
        <v>2265</v>
      </c>
    </row>
    <row r="3197" spans="12:13" x14ac:dyDescent="0.25">
      <c r="L3197" s="65">
        <v>713310</v>
      </c>
      <c r="M3197" t="s">
        <v>2266</v>
      </c>
    </row>
    <row r="3198" spans="12:13" x14ac:dyDescent="0.25">
      <c r="L3198" s="65">
        <v>713311</v>
      </c>
      <c r="M3198" t="s">
        <v>2267</v>
      </c>
    </row>
    <row r="3199" spans="12:13" x14ac:dyDescent="0.25">
      <c r="L3199" s="65">
        <v>713400</v>
      </c>
      <c r="M3199" t="s">
        <v>2268</v>
      </c>
    </row>
    <row r="3200" spans="12:13" x14ac:dyDescent="0.25">
      <c r="L3200" s="65">
        <v>713410</v>
      </c>
      <c r="M3200" t="s">
        <v>1927</v>
      </c>
    </row>
    <row r="3201" spans="12:13" x14ac:dyDescent="0.25">
      <c r="L3201" s="65">
        <v>713411</v>
      </c>
      <c r="M3201" t="s">
        <v>1927</v>
      </c>
    </row>
    <row r="3202" spans="12:13" x14ac:dyDescent="0.25">
      <c r="L3202" s="65">
        <v>713420</v>
      </c>
      <c r="M3202" t="s">
        <v>2269</v>
      </c>
    </row>
    <row r="3203" spans="12:13" x14ac:dyDescent="0.25">
      <c r="L3203" s="65">
        <v>713421</v>
      </c>
      <c r="M3203" t="s">
        <v>2270</v>
      </c>
    </row>
    <row r="3204" spans="12:13" x14ac:dyDescent="0.25">
      <c r="L3204" s="65">
        <v>713422</v>
      </c>
      <c r="M3204" t="s">
        <v>2271</v>
      </c>
    </row>
    <row r="3205" spans="12:13" x14ac:dyDescent="0.25">
      <c r="L3205" s="65">
        <v>713423</v>
      </c>
      <c r="M3205" t="s">
        <v>2272</v>
      </c>
    </row>
    <row r="3206" spans="12:13" x14ac:dyDescent="0.25">
      <c r="L3206" s="65">
        <v>713424</v>
      </c>
      <c r="M3206" t="s">
        <v>2273</v>
      </c>
    </row>
    <row r="3207" spans="12:13" x14ac:dyDescent="0.25">
      <c r="L3207" s="65">
        <v>713500</v>
      </c>
      <c r="M3207" t="s">
        <v>2274</v>
      </c>
    </row>
    <row r="3208" spans="12:13" x14ac:dyDescent="0.25">
      <c r="L3208" s="65">
        <v>713510</v>
      </c>
      <c r="M3208" t="s">
        <v>2274</v>
      </c>
    </row>
    <row r="3209" spans="12:13" x14ac:dyDescent="0.25">
      <c r="L3209" s="65">
        <v>713511</v>
      </c>
      <c r="M3209" t="s">
        <v>2274</v>
      </c>
    </row>
    <row r="3210" spans="12:13" x14ac:dyDescent="0.25">
      <c r="L3210" s="65">
        <v>713600</v>
      </c>
      <c r="M3210" t="s">
        <v>2275</v>
      </c>
    </row>
    <row r="3211" spans="12:13" x14ac:dyDescent="0.25">
      <c r="L3211" s="65">
        <v>713610</v>
      </c>
      <c r="M3211" t="s">
        <v>2276</v>
      </c>
    </row>
    <row r="3212" spans="12:13" x14ac:dyDescent="0.25">
      <c r="L3212" s="65">
        <v>713611</v>
      </c>
      <c r="M3212" t="s">
        <v>2276</v>
      </c>
    </row>
    <row r="3213" spans="12:13" x14ac:dyDescent="0.25">
      <c r="L3213" s="65">
        <v>714000</v>
      </c>
      <c r="M3213" t="s">
        <v>2277</v>
      </c>
    </row>
    <row r="3214" spans="12:13" x14ac:dyDescent="0.25">
      <c r="L3214" s="65">
        <v>714100</v>
      </c>
      <c r="M3214" t="s">
        <v>2278</v>
      </c>
    </row>
    <row r="3215" spans="12:13" x14ac:dyDescent="0.25">
      <c r="L3215" s="65">
        <v>714110</v>
      </c>
      <c r="M3215" t="s">
        <v>2279</v>
      </c>
    </row>
    <row r="3216" spans="12:13" x14ac:dyDescent="0.25">
      <c r="L3216" s="65">
        <v>714111</v>
      </c>
      <c r="M3216" t="s">
        <v>2280</v>
      </c>
    </row>
    <row r="3217" spans="12:13" x14ac:dyDescent="0.25">
      <c r="L3217" s="65">
        <v>714112</v>
      </c>
      <c r="M3217" t="s">
        <v>789</v>
      </c>
    </row>
    <row r="3218" spans="12:13" x14ac:dyDescent="0.25">
      <c r="L3218" s="65">
        <v>714113</v>
      </c>
      <c r="M3218" t="s">
        <v>2281</v>
      </c>
    </row>
    <row r="3219" spans="12:13" x14ac:dyDescent="0.25">
      <c r="L3219" s="65">
        <v>714114</v>
      </c>
      <c r="M3219" t="s">
        <v>2282</v>
      </c>
    </row>
    <row r="3220" spans="12:13" x14ac:dyDescent="0.25">
      <c r="L3220" s="65">
        <v>714120</v>
      </c>
      <c r="M3220" t="s">
        <v>2283</v>
      </c>
    </row>
    <row r="3221" spans="12:13" x14ac:dyDescent="0.25">
      <c r="L3221" s="65">
        <v>714121</v>
      </c>
      <c r="M3221" t="s">
        <v>2284</v>
      </c>
    </row>
    <row r="3222" spans="12:13" x14ac:dyDescent="0.25">
      <c r="L3222" s="65">
        <v>714122</v>
      </c>
      <c r="M3222" t="s">
        <v>2285</v>
      </c>
    </row>
    <row r="3223" spans="12:13" x14ac:dyDescent="0.25">
      <c r="L3223" s="65">
        <v>714123</v>
      </c>
      <c r="M3223" t="s">
        <v>2286</v>
      </c>
    </row>
    <row r="3224" spans="12:13" x14ac:dyDescent="0.25">
      <c r="L3224" s="65">
        <v>714124</v>
      </c>
      <c r="M3224" t="s">
        <v>2287</v>
      </c>
    </row>
    <row r="3225" spans="12:13" x14ac:dyDescent="0.25">
      <c r="L3225" s="65">
        <v>714125</v>
      </c>
      <c r="M3225" t="s">
        <v>2288</v>
      </c>
    </row>
    <row r="3226" spans="12:13" x14ac:dyDescent="0.25">
      <c r="L3226" s="65">
        <v>714126</v>
      </c>
      <c r="M3226" t="s">
        <v>2289</v>
      </c>
    </row>
    <row r="3227" spans="12:13" x14ac:dyDescent="0.25">
      <c r="L3227" s="65">
        <v>714127</v>
      </c>
      <c r="M3227" t="s">
        <v>2290</v>
      </c>
    </row>
    <row r="3228" spans="12:13" x14ac:dyDescent="0.25">
      <c r="L3228" s="65">
        <v>714128</v>
      </c>
      <c r="M3228" t="s">
        <v>2291</v>
      </c>
    </row>
    <row r="3229" spans="12:13" x14ac:dyDescent="0.25">
      <c r="L3229" s="65">
        <v>714129</v>
      </c>
      <c r="M3229" t="s">
        <v>2292</v>
      </c>
    </row>
    <row r="3230" spans="12:13" x14ac:dyDescent="0.25">
      <c r="L3230" s="65">
        <v>714130</v>
      </c>
      <c r="M3230" t="s">
        <v>2293</v>
      </c>
    </row>
    <row r="3231" spans="12:13" x14ac:dyDescent="0.25">
      <c r="L3231" s="65">
        <v>714131</v>
      </c>
      <c r="M3231" t="s">
        <v>2294</v>
      </c>
    </row>
    <row r="3232" spans="12:13" x14ac:dyDescent="0.25">
      <c r="L3232" s="65">
        <v>714132</v>
      </c>
      <c r="M3232" t="s">
        <v>2295</v>
      </c>
    </row>
    <row r="3233" spans="12:13" x14ac:dyDescent="0.25">
      <c r="L3233" s="65">
        <v>714133</v>
      </c>
      <c r="M3233" t="s">
        <v>2296</v>
      </c>
    </row>
    <row r="3234" spans="12:13" x14ac:dyDescent="0.25">
      <c r="L3234" s="65">
        <v>714134</v>
      </c>
      <c r="M3234" t="s">
        <v>2297</v>
      </c>
    </row>
    <row r="3235" spans="12:13" x14ac:dyDescent="0.25">
      <c r="L3235" s="65">
        <v>714135</v>
      </c>
      <c r="M3235" t="s">
        <v>2298</v>
      </c>
    </row>
    <row r="3236" spans="12:13" x14ac:dyDescent="0.25">
      <c r="L3236" s="65">
        <v>714136</v>
      </c>
      <c r="M3236" t="s">
        <v>2299</v>
      </c>
    </row>
    <row r="3237" spans="12:13" x14ac:dyDescent="0.25">
      <c r="L3237" s="65">
        <v>714137</v>
      </c>
      <c r="M3237" t="s">
        <v>2300</v>
      </c>
    </row>
    <row r="3238" spans="12:13" x14ac:dyDescent="0.25">
      <c r="L3238" s="65">
        <v>714138</v>
      </c>
      <c r="M3238" t="s">
        <v>2301</v>
      </c>
    </row>
    <row r="3239" spans="12:13" x14ac:dyDescent="0.25">
      <c r="L3239" s="65">
        <v>714139</v>
      </c>
      <c r="M3239" t="s">
        <v>2302</v>
      </c>
    </row>
    <row r="3240" spans="12:13" x14ac:dyDescent="0.25">
      <c r="L3240" s="65">
        <v>714140</v>
      </c>
      <c r="M3240" t="s">
        <v>2303</v>
      </c>
    </row>
    <row r="3241" spans="12:13" x14ac:dyDescent="0.25">
      <c r="L3241" s="65">
        <v>714141</v>
      </c>
      <c r="M3241" t="s">
        <v>2303</v>
      </c>
    </row>
    <row r="3242" spans="12:13" x14ac:dyDescent="0.25">
      <c r="L3242" s="65">
        <v>714300</v>
      </c>
      <c r="M3242" t="s">
        <v>2304</v>
      </c>
    </row>
    <row r="3243" spans="12:13" x14ac:dyDescent="0.25">
      <c r="L3243" s="65">
        <v>714310</v>
      </c>
      <c r="M3243" t="s">
        <v>2304</v>
      </c>
    </row>
    <row r="3244" spans="12:13" x14ac:dyDescent="0.25">
      <c r="L3244" s="65">
        <v>714311</v>
      </c>
      <c r="M3244" t="s">
        <v>2304</v>
      </c>
    </row>
    <row r="3245" spans="12:13" x14ac:dyDescent="0.25">
      <c r="L3245" s="65">
        <v>714400</v>
      </c>
      <c r="M3245" t="s">
        <v>2305</v>
      </c>
    </row>
    <row r="3246" spans="12:13" x14ac:dyDescent="0.25">
      <c r="L3246" s="65">
        <v>714420</v>
      </c>
      <c r="M3246" t="s">
        <v>2306</v>
      </c>
    </row>
    <row r="3247" spans="12:13" x14ac:dyDescent="0.25">
      <c r="L3247" s="65">
        <v>714421</v>
      </c>
      <c r="M3247" t="s">
        <v>2307</v>
      </c>
    </row>
    <row r="3248" spans="12:13" x14ac:dyDescent="0.25">
      <c r="L3248" s="65">
        <v>714430</v>
      </c>
      <c r="M3248" t="s">
        <v>2308</v>
      </c>
    </row>
    <row r="3249" spans="12:13" x14ac:dyDescent="0.25">
      <c r="L3249" s="65">
        <v>714431</v>
      </c>
      <c r="M3249" t="s">
        <v>2308</v>
      </c>
    </row>
    <row r="3250" spans="12:13" x14ac:dyDescent="0.25">
      <c r="L3250" s="65">
        <v>714440</v>
      </c>
      <c r="M3250" t="s">
        <v>2309</v>
      </c>
    </row>
    <row r="3251" spans="12:13" x14ac:dyDescent="0.25">
      <c r="L3251" s="65">
        <v>714442</v>
      </c>
      <c r="M3251" t="s">
        <v>2310</v>
      </c>
    </row>
    <row r="3252" spans="12:13" x14ac:dyDescent="0.25">
      <c r="L3252" s="65">
        <v>714443</v>
      </c>
      <c r="M3252" t="s">
        <v>2311</v>
      </c>
    </row>
    <row r="3253" spans="12:13" x14ac:dyDescent="0.25">
      <c r="L3253" s="65">
        <v>714444</v>
      </c>
      <c r="M3253" t="s">
        <v>2312</v>
      </c>
    </row>
    <row r="3254" spans="12:13" x14ac:dyDescent="0.25">
      <c r="L3254" s="65">
        <v>714445</v>
      </c>
      <c r="M3254" t="s">
        <v>2313</v>
      </c>
    </row>
    <row r="3255" spans="12:13" x14ac:dyDescent="0.25">
      <c r="L3255" s="65">
        <v>714446</v>
      </c>
      <c r="M3255" t="s">
        <v>2314</v>
      </c>
    </row>
    <row r="3256" spans="12:13" x14ac:dyDescent="0.25">
      <c r="L3256" s="65">
        <v>714447</v>
      </c>
      <c r="M3256" t="s">
        <v>2315</v>
      </c>
    </row>
    <row r="3257" spans="12:13" x14ac:dyDescent="0.25">
      <c r="L3257" s="65">
        <v>714500</v>
      </c>
      <c r="M3257" t="s">
        <v>2316</v>
      </c>
    </row>
    <row r="3258" spans="12:13" x14ac:dyDescent="0.25">
      <c r="L3258" s="65">
        <v>714510</v>
      </c>
      <c r="M3258" t="s">
        <v>2317</v>
      </c>
    </row>
    <row r="3259" spans="12:13" x14ac:dyDescent="0.25">
      <c r="L3259" s="65">
        <v>714511</v>
      </c>
      <c r="M3259" t="s">
        <v>2318</v>
      </c>
    </row>
    <row r="3260" spans="12:13" x14ac:dyDescent="0.25">
      <c r="L3260" s="65">
        <v>714512</v>
      </c>
      <c r="M3260" t="s">
        <v>2319</v>
      </c>
    </row>
    <row r="3261" spans="12:13" x14ac:dyDescent="0.25">
      <c r="L3261" s="65">
        <v>714513</v>
      </c>
      <c r="M3261" t="s">
        <v>2320</v>
      </c>
    </row>
    <row r="3262" spans="12:13" x14ac:dyDescent="0.25">
      <c r="L3262" s="65">
        <v>714514</v>
      </c>
      <c r="M3262" t="s">
        <v>2321</v>
      </c>
    </row>
    <row r="3263" spans="12:13" x14ac:dyDescent="0.25">
      <c r="L3263" s="65">
        <v>714516</v>
      </c>
      <c r="M3263" t="s">
        <v>2322</v>
      </c>
    </row>
    <row r="3264" spans="12:13" x14ac:dyDescent="0.25">
      <c r="L3264" s="65">
        <v>714517</v>
      </c>
      <c r="M3264" t="s">
        <v>2323</v>
      </c>
    </row>
    <row r="3265" spans="12:13" x14ac:dyDescent="0.25">
      <c r="L3265" s="65">
        <v>714520</v>
      </c>
      <c r="M3265" t="s">
        <v>2324</v>
      </c>
    </row>
    <row r="3266" spans="12:13" x14ac:dyDescent="0.25">
      <c r="L3266" s="65">
        <v>714521</v>
      </c>
      <c r="M3266" t="s">
        <v>2325</v>
      </c>
    </row>
    <row r="3267" spans="12:13" x14ac:dyDescent="0.25">
      <c r="L3267" s="65">
        <v>714522</v>
      </c>
      <c r="M3267" t="s">
        <v>2326</v>
      </c>
    </row>
    <row r="3268" spans="12:13" x14ac:dyDescent="0.25">
      <c r="L3268" s="65">
        <v>714523</v>
      </c>
      <c r="M3268" t="s">
        <v>2327</v>
      </c>
    </row>
    <row r="3269" spans="12:13" x14ac:dyDescent="0.25">
      <c r="L3269" s="65">
        <v>714524</v>
      </c>
      <c r="M3269" t="s">
        <v>2328</v>
      </c>
    </row>
    <row r="3270" spans="12:13" x14ac:dyDescent="0.25">
      <c r="L3270" s="65">
        <v>714525</v>
      </c>
      <c r="M3270" t="s">
        <v>2329</v>
      </c>
    </row>
    <row r="3271" spans="12:13" x14ac:dyDescent="0.25">
      <c r="L3271" s="65">
        <v>714530</v>
      </c>
      <c r="M3271" t="s">
        <v>2330</v>
      </c>
    </row>
    <row r="3272" spans="12:13" x14ac:dyDescent="0.25">
      <c r="L3272" s="65">
        <v>714531</v>
      </c>
      <c r="M3272" t="s">
        <v>2331</v>
      </c>
    </row>
    <row r="3273" spans="12:13" x14ac:dyDescent="0.25">
      <c r="L3273" s="65">
        <v>714532</v>
      </c>
      <c r="M3273" t="s">
        <v>2332</v>
      </c>
    </row>
    <row r="3274" spans="12:13" x14ac:dyDescent="0.25">
      <c r="L3274" s="65">
        <v>714533</v>
      </c>
      <c r="M3274" t="s">
        <v>2333</v>
      </c>
    </row>
    <row r="3275" spans="12:13" x14ac:dyDescent="0.25">
      <c r="L3275" s="65">
        <v>714536</v>
      </c>
      <c r="M3275" t="s">
        <v>2334</v>
      </c>
    </row>
    <row r="3276" spans="12:13" x14ac:dyDescent="0.25">
      <c r="L3276" s="65">
        <v>714540</v>
      </c>
      <c r="M3276" t="s">
        <v>2335</v>
      </c>
    </row>
    <row r="3277" spans="12:13" x14ac:dyDescent="0.25">
      <c r="L3277" s="65">
        <v>714541</v>
      </c>
      <c r="M3277" t="s">
        <v>2336</v>
      </c>
    </row>
    <row r="3278" spans="12:13" x14ac:dyDescent="0.25">
      <c r="L3278" s="65">
        <v>714542</v>
      </c>
      <c r="M3278" t="s">
        <v>2337</v>
      </c>
    </row>
    <row r="3279" spans="12:13" x14ac:dyDescent="0.25">
      <c r="L3279" s="65">
        <v>714543</v>
      </c>
      <c r="M3279" t="s">
        <v>2338</v>
      </c>
    </row>
    <row r="3280" spans="12:13" x14ac:dyDescent="0.25">
      <c r="L3280" s="65">
        <v>714544</v>
      </c>
      <c r="M3280" t="s">
        <v>2339</v>
      </c>
    </row>
    <row r="3281" spans="12:13" x14ac:dyDescent="0.25">
      <c r="L3281" s="65">
        <v>714545</v>
      </c>
      <c r="M3281" t="s">
        <v>2340</v>
      </c>
    </row>
    <row r="3282" spans="12:13" x14ac:dyDescent="0.25">
      <c r="L3282" s="65">
        <v>714546</v>
      </c>
      <c r="M3282" t="s">
        <v>2341</v>
      </c>
    </row>
    <row r="3283" spans="12:13" x14ac:dyDescent="0.25">
      <c r="L3283" s="65">
        <v>714547</v>
      </c>
      <c r="M3283" t="s">
        <v>2342</v>
      </c>
    </row>
    <row r="3284" spans="12:13" x14ac:dyDescent="0.25">
      <c r="L3284" s="65">
        <v>714548</v>
      </c>
      <c r="M3284" t="s">
        <v>2343</v>
      </c>
    </row>
    <row r="3285" spans="12:13" x14ac:dyDescent="0.25">
      <c r="L3285" s="65">
        <v>714549</v>
      </c>
      <c r="M3285" t="s">
        <v>2344</v>
      </c>
    </row>
    <row r="3286" spans="12:13" x14ac:dyDescent="0.25">
      <c r="L3286" s="65">
        <v>714550</v>
      </c>
      <c r="M3286" t="s">
        <v>2345</v>
      </c>
    </row>
    <row r="3287" spans="12:13" x14ac:dyDescent="0.25">
      <c r="L3287" s="65">
        <v>714551</v>
      </c>
      <c r="M3287" t="s">
        <v>2346</v>
      </c>
    </row>
    <row r="3288" spans="12:13" x14ac:dyDescent="0.25">
      <c r="L3288" s="65">
        <v>714552</v>
      </c>
      <c r="M3288" t="s">
        <v>2347</v>
      </c>
    </row>
    <row r="3289" spans="12:13" x14ac:dyDescent="0.25">
      <c r="L3289" s="65">
        <v>714560</v>
      </c>
      <c r="M3289" t="s">
        <v>2348</v>
      </c>
    </row>
    <row r="3290" spans="12:13" x14ac:dyDescent="0.25">
      <c r="L3290" s="65">
        <v>714562</v>
      </c>
      <c r="M3290" t="s">
        <v>2349</v>
      </c>
    </row>
    <row r="3291" spans="12:13" x14ac:dyDescent="0.25">
      <c r="L3291" s="65">
        <v>714563</v>
      </c>
      <c r="M3291" t="s">
        <v>2350</v>
      </c>
    </row>
    <row r="3292" spans="12:13" x14ac:dyDescent="0.25">
      <c r="L3292" s="65">
        <v>714564</v>
      </c>
      <c r="M3292" t="s">
        <v>2351</v>
      </c>
    </row>
    <row r="3293" spans="12:13" x14ac:dyDescent="0.25">
      <c r="L3293" s="65">
        <v>714570</v>
      </c>
      <c r="M3293" t="s">
        <v>2352</v>
      </c>
    </row>
    <row r="3294" spans="12:13" x14ac:dyDescent="0.25">
      <c r="L3294" s="65">
        <v>714571</v>
      </c>
      <c r="M3294" t="s">
        <v>2353</v>
      </c>
    </row>
    <row r="3295" spans="12:13" x14ac:dyDescent="0.25">
      <c r="L3295" s="65">
        <v>714572</v>
      </c>
      <c r="M3295" t="s">
        <v>2354</v>
      </c>
    </row>
    <row r="3296" spans="12:13" x14ac:dyDescent="0.25">
      <c r="L3296" s="65">
        <v>714573</v>
      </c>
      <c r="M3296" t="s">
        <v>2355</v>
      </c>
    </row>
    <row r="3297" spans="12:13" x14ac:dyDescent="0.25">
      <c r="L3297" s="65">
        <v>714574</v>
      </c>
      <c r="M3297" t="s">
        <v>2356</v>
      </c>
    </row>
    <row r="3298" spans="12:13" x14ac:dyDescent="0.25">
      <c r="L3298" s="65">
        <v>714575</v>
      </c>
      <c r="M3298" t="s">
        <v>2357</v>
      </c>
    </row>
    <row r="3299" spans="12:13" x14ac:dyDescent="0.25">
      <c r="L3299" s="65">
        <v>714576</v>
      </c>
      <c r="M3299" t="s">
        <v>2358</v>
      </c>
    </row>
    <row r="3300" spans="12:13" x14ac:dyDescent="0.25">
      <c r="L3300" s="65">
        <v>714580</v>
      </c>
      <c r="M3300" t="s">
        <v>2359</v>
      </c>
    </row>
    <row r="3301" spans="12:13" x14ac:dyDescent="0.25">
      <c r="L3301" s="65">
        <v>714581</v>
      </c>
      <c r="M3301" t="s">
        <v>2360</v>
      </c>
    </row>
    <row r="3302" spans="12:13" x14ac:dyDescent="0.25">
      <c r="L3302" s="65">
        <v>714582</v>
      </c>
      <c r="M3302" t="s">
        <v>2361</v>
      </c>
    </row>
    <row r="3303" spans="12:13" x14ac:dyDescent="0.25">
      <c r="L3303" s="65">
        <v>714583</v>
      </c>
      <c r="M3303" t="s">
        <v>2362</v>
      </c>
    </row>
    <row r="3304" spans="12:13" x14ac:dyDescent="0.25">
      <c r="L3304" s="65">
        <v>714584</v>
      </c>
      <c r="M3304" t="s">
        <v>2363</v>
      </c>
    </row>
    <row r="3305" spans="12:13" x14ac:dyDescent="0.25">
      <c r="L3305" s="65">
        <v>714585</v>
      </c>
      <c r="M3305" t="s">
        <v>2364</v>
      </c>
    </row>
    <row r="3306" spans="12:13" x14ac:dyDescent="0.25">
      <c r="L3306" s="65">
        <v>714586</v>
      </c>
      <c r="M3306" t="s">
        <v>2365</v>
      </c>
    </row>
    <row r="3307" spans="12:13" x14ac:dyDescent="0.25">
      <c r="L3307" s="65">
        <v>714587</v>
      </c>
      <c r="M3307" t="s">
        <v>2366</v>
      </c>
    </row>
    <row r="3308" spans="12:13" x14ac:dyDescent="0.25">
      <c r="L3308" s="65">
        <v>714590</v>
      </c>
      <c r="M3308" t="s">
        <v>2367</v>
      </c>
    </row>
    <row r="3309" spans="12:13" x14ac:dyDescent="0.25">
      <c r="L3309" s="65">
        <v>714591</v>
      </c>
      <c r="M3309" t="s">
        <v>2368</v>
      </c>
    </row>
    <row r="3310" spans="12:13" x14ac:dyDescent="0.25">
      <c r="L3310" s="65">
        <v>714592</v>
      </c>
      <c r="M3310" t="s">
        <v>2369</v>
      </c>
    </row>
    <row r="3311" spans="12:13" x14ac:dyDescent="0.25">
      <c r="L3311" s="65">
        <v>714593</v>
      </c>
      <c r="M3311" t="s">
        <v>2370</v>
      </c>
    </row>
    <row r="3312" spans="12:13" x14ac:dyDescent="0.25">
      <c r="L3312" s="65">
        <v>714594</v>
      </c>
      <c r="M3312" t="s">
        <v>2371</v>
      </c>
    </row>
    <row r="3313" spans="12:13" x14ac:dyDescent="0.25">
      <c r="L3313" s="65">
        <v>714595</v>
      </c>
      <c r="M3313" t="s">
        <v>2372</v>
      </c>
    </row>
    <row r="3314" spans="12:13" x14ac:dyDescent="0.25">
      <c r="L3314" s="65">
        <v>714596</v>
      </c>
      <c r="M3314" t="s">
        <v>2373</v>
      </c>
    </row>
    <row r="3315" spans="12:13" x14ac:dyDescent="0.25">
      <c r="L3315" s="65">
        <v>714597</v>
      </c>
      <c r="M3315" t="s">
        <v>2374</v>
      </c>
    </row>
    <row r="3316" spans="12:13" x14ac:dyDescent="0.25">
      <c r="L3316" s="65">
        <v>714598</v>
      </c>
      <c r="M3316" t="s">
        <v>2375</v>
      </c>
    </row>
    <row r="3317" spans="12:13" x14ac:dyDescent="0.25">
      <c r="L3317" s="65">
        <v>714599</v>
      </c>
      <c r="M3317" t="s">
        <v>2376</v>
      </c>
    </row>
    <row r="3318" spans="12:13" x14ac:dyDescent="0.25">
      <c r="L3318" s="65">
        <v>714600</v>
      </c>
      <c r="M3318" t="s">
        <v>2377</v>
      </c>
    </row>
    <row r="3319" spans="12:13" x14ac:dyDescent="0.25">
      <c r="L3319" s="65">
        <v>714610</v>
      </c>
      <c r="M3319" t="s">
        <v>2377</v>
      </c>
    </row>
    <row r="3320" spans="12:13" x14ac:dyDescent="0.25">
      <c r="L3320" s="65">
        <v>714611</v>
      </c>
      <c r="M3320" t="s">
        <v>2377</v>
      </c>
    </row>
    <row r="3321" spans="12:13" x14ac:dyDescent="0.25">
      <c r="L3321" s="65">
        <v>715000</v>
      </c>
      <c r="M3321" t="s">
        <v>2378</v>
      </c>
    </row>
    <row r="3322" spans="12:13" x14ac:dyDescent="0.25">
      <c r="L3322" s="65">
        <v>715100</v>
      </c>
      <c r="M3322" t="s">
        <v>2379</v>
      </c>
    </row>
    <row r="3323" spans="12:13" x14ac:dyDescent="0.25">
      <c r="L3323" s="65">
        <v>715110</v>
      </c>
      <c r="M3323" t="s">
        <v>2380</v>
      </c>
    </row>
    <row r="3324" spans="12:13" x14ac:dyDescent="0.25">
      <c r="L3324" s="65">
        <v>715111</v>
      </c>
      <c r="M3324" t="s">
        <v>2380</v>
      </c>
    </row>
    <row r="3325" spans="12:13" x14ac:dyDescent="0.25">
      <c r="L3325" s="65">
        <v>715120</v>
      </c>
      <c r="M3325" t="s">
        <v>2381</v>
      </c>
    </row>
    <row r="3326" spans="12:13" x14ac:dyDescent="0.25">
      <c r="L3326" s="65">
        <v>715121</v>
      </c>
      <c r="M3326" t="s">
        <v>2381</v>
      </c>
    </row>
    <row r="3327" spans="12:13" x14ac:dyDescent="0.25">
      <c r="L3327" s="65">
        <v>715190</v>
      </c>
      <c r="M3327" t="s">
        <v>2382</v>
      </c>
    </row>
    <row r="3328" spans="12:13" x14ac:dyDescent="0.25">
      <c r="L3328" s="65">
        <v>715191</v>
      </c>
      <c r="M3328" t="s">
        <v>2383</v>
      </c>
    </row>
    <row r="3329" spans="12:13" x14ac:dyDescent="0.25">
      <c r="L3329" s="65">
        <v>715192</v>
      </c>
      <c r="M3329" t="s">
        <v>2384</v>
      </c>
    </row>
    <row r="3330" spans="12:13" x14ac:dyDescent="0.25">
      <c r="L3330" s="65">
        <v>715193</v>
      </c>
      <c r="M3330" t="s">
        <v>2385</v>
      </c>
    </row>
    <row r="3331" spans="12:13" x14ac:dyDescent="0.25">
      <c r="L3331" s="65">
        <v>715200</v>
      </c>
      <c r="M3331" t="s">
        <v>2386</v>
      </c>
    </row>
    <row r="3332" spans="12:13" x14ac:dyDescent="0.25">
      <c r="L3332" s="65">
        <v>715210</v>
      </c>
      <c r="M3332" t="s">
        <v>2386</v>
      </c>
    </row>
    <row r="3333" spans="12:13" x14ac:dyDescent="0.25">
      <c r="L3333" s="65">
        <v>715211</v>
      </c>
      <c r="M3333" t="s">
        <v>2386</v>
      </c>
    </row>
    <row r="3334" spans="12:13" x14ac:dyDescent="0.25">
      <c r="L3334" s="65">
        <v>715300</v>
      </c>
      <c r="M3334" t="s">
        <v>2387</v>
      </c>
    </row>
    <row r="3335" spans="12:13" x14ac:dyDescent="0.25">
      <c r="L3335" s="65">
        <v>715310</v>
      </c>
      <c r="M3335" t="s">
        <v>2387</v>
      </c>
    </row>
    <row r="3336" spans="12:13" x14ac:dyDescent="0.25">
      <c r="L3336" s="65">
        <v>715311</v>
      </c>
      <c r="M3336" t="s">
        <v>2387</v>
      </c>
    </row>
    <row r="3337" spans="12:13" x14ac:dyDescent="0.25">
      <c r="L3337" s="65">
        <v>715400</v>
      </c>
      <c r="M3337" t="s">
        <v>2388</v>
      </c>
    </row>
    <row r="3338" spans="12:13" x14ac:dyDescent="0.25">
      <c r="L3338" s="65">
        <v>715410</v>
      </c>
      <c r="M3338" t="s">
        <v>2388</v>
      </c>
    </row>
    <row r="3339" spans="12:13" x14ac:dyDescent="0.25">
      <c r="L3339" s="65">
        <v>715411</v>
      </c>
      <c r="M3339" t="s">
        <v>2388</v>
      </c>
    </row>
    <row r="3340" spans="12:13" x14ac:dyDescent="0.25">
      <c r="L3340" s="65">
        <v>715500</v>
      </c>
      <c r="M3340" t="s">
        <v>2389</v>
      </c>
    </row>
    <row r="3341" spans="12:13" x14ac:dyDescent="0.25">
      <c r="L3341" s="65">
        <v>715510</v>
      </c>
      <c r="M3341" t="s">
        <v>2389</v>
      </c>
    </row>
    <row r="3342" spans="12:13" x14ac:dyDescent="0.25">
      <c r="L3342" s="65">
        <v>715511</v>
      </c>
      <c r="M3342" t="s">
        <v>2389</v>
      </c>
    </row>
    <row r="3343" spans="12:13" x14ac:dyDescent="0.25">
      <c r="L3343" s="65">
        <v>715600</v>
      </c>
      <c r="M3343" t="s">
        <v>2390</v>
      </c>
    </row>
    <row r="3344" spans="12:13" x14ac:dyDescent="0.25">
      <c r="L3344" s="65">
        <v>715610</v>
      </c>
      <c r="M3344" t="s">
        <v>2390</v>
      </c>
    </row>
    <row r="3345" spans="12:13" x14ac:dyDescent="0.25">
      <c r="L3345" s="65">
        <v>715611</v>
      </c>
      <c r="M3345" t="s">
        <v>2390</v>
      </c>
    </row>
    <row r="3346" spans="12:13" x14ac:dyDescent="0.25">
      <c r="L3346" s="65">
        <v>716000</v>
      </c>
      <c r="M3346" t="s">
        <v>2392</v>
      </c>
    </row>
    <row r="3347" spans="12:13" x14ac:dyDescent="0.25">
      <c r="L3347" s="65">
        <v>716100</v>
      </c>
      <c r="M3347" t="s">
        <v>2393</v>
      </c>
    </row>
    <row r="3348" spans="12:13" x14ac:dyDescent="0.25">
      <c r="L3348" s="65">
        <v>716110</v>
      </c>
      <c r="M3348" t="s">
        <v>2394</v>
      </c>
    </row>
    <row r="3349" spans="12:13" x14ac:dyDescent="0.25">
      <c r="L3349" s="65">
        <v>716111</v>
      </c>
      <c r="M3349" t="s">
        <v>2396</v>
      </c>
    </row>
    <row r="3350" spans="12:13" x14ac:dyDescent="0.25">
      <c r="L3350" s="65">
        <v>716112</v>
      </c>
      <c r="M3350" t="s">
        <v>2397</v>
      </c>
    </row>
    <row r="3351" spans="12:13" x14ac:dyDescent="0.25">
      <c r="L3351" s="65">
        <v>716200</v>
      </c>
      <c r="M3351" t="s">
        <v>2398</v>
      </c>
    </row>
    <row r="3352" spans="12:13" x14ac:dyDescent="0.25">
      <c r="L3352" s="65">
        <v>716210</v>
      </c>
      <c r="M3352" t="s">
        <v>2399</v>
      </c>
    </row>
    <row r="3353" spans="12:13" x14ac:dyDescent="0.25">
      <c r="L3353" s="65">
        <v>716211</v>
      </c>
      <c r="M3353" t="s">
        <v>2399</v>
      </c>
    </row>
    <row r="3354" spans="12:13" x14ac:dyDescent="0.25">
      <c r="L3354" s="65">
        <v>716220</v>
      </c>
      <c r="M3354" t="s">
        <v>2400</v>
      </c>
    </row>
    <row r="3355" spans="12:13" x14ac:dyDescent="0.25">
      <c r="L3355" s="65">
        <v>716221</v>
      </c>
      <c r="M3355" t="s">
        <v>2401</v>
      </c>
    </row>
    <row r="3356" spans="12:13" x14ac:dyDescent="0.25">
      <c r="L3356" s="65">
        <v>716222</v>
      </c>
      <c r="M3356" t="s">
        <v>2402</v>
      </c>
    </row>
    <row r="3357" spans="12:13" x14ac:dyDescent="0.25">
      <c r="L3357" s="65">
        <v>716223</v>
      </c>
      <c r="M3357" t="s">
        <v>2403</v>
      </c>
    </row>
    <row r="3358" spans="12:13" x14ac:dyDescent="0.25">
      <c r="L3358" s="65">
        <v>716224</v>
      </c>
      <c r="M3358" t="s">
        <v>2404</v>
      </c>
    </row>
    <row r="3359" spans="12:13" x14ac:dyDescent="0.25">
      <c r="L3359" s="65">
        <v>716225</v>
      </c>
      <c r="M3359" t="s">
        <v>2405</v>
      </c>
    </row>
    <row r="3360" spans="12:13" x14ac:dyDescent="0.25">
      <c r="L3360" s="65">
        <v>716226</v>
      </c>
      <c r="M3360" t="s">
        <v>2406</v>
      </c>
    </row>
    <row r="3361" spans="12:13" x14ac:dyDescent="0.25">
      <c r="L3361" s="65">
        <v>716227</v>
      </c>
      <c r="M3361" t="s">
        <v>2407</v>
      </c>
    </row>
    <row r="3362" spans="12:13" x14ac:dyDescent="0.25">
      <c r="L3362" s="65">
        <v>716228</v>
      </c>
      <c r="M3362" t="s">
        <v>2408</v>
      </c>
    </row>
    <row r="3363" spans="12:13" x14ac:dyDescent="0.25">
      <c r="L3363" s="65">
        <v>716229</v>
      </c>
      <c r="M3363" t="s">
        <v>2409</v>
      </c>
    </row>
    <row r="3364" spans="12:13" x14ac:dyDescent="0.25">
      <c r="L3364" s="65">
        <v>717000</v>
      </c>
      <c r="M3364" t="s">
        <v>2410</v>
      </c>
    </row>
    <row r="3365" spans="12:13" x14ac:dyDescent="0.25">
      <c r="L3365" s="65">
        <v>717100</v>
      </c>
      <c r="M3365" t="s">
        <v>2411</v>
      </c>
    </row>
    <row r="3366" spans="12:13" x14ac:dyDescent="0.25">
      <c r="L3366" s="65">
        <v>717110</v>
      </c>
      <c r="M3366" t="s">
        <v>2412</v>
      </c>
    </row>
    <row r="3367" spans="12:13" x14ac:dyDescent="0.25">
      <c r="L3367" s="65">
        <v>717111</v>
      </c>
      <c r="M3367" t="s">
        <v>2413</v>
      </c>
    </row>
    <row r="3368" spans="12:13" x14ac:dyDescent="0.25">
      <c r="L3368" s="65">
        <v>717112</v>
      </c>
      <c r="M3368" t="s">
        <v>2414</v>
      </c>
    </row>
    <row r="3369" spans="12:13" x14ac:dyDescent="0.25">
      <c r="L3369" s="65">
        <v>717113</v>
      </c>
      <c r="M3369" t="s">
        <v>2415</v>
      </c>
    </row>
    <row r="3370" spans="12:13" x14ac:dyDescent="0.25">
      <c r="L3370" s="65">
        <v>717114</v>
      </c>
      <c r="M3370" t="s">
        <v>2416</v>
      </c>
    </row>
    <row r="3371" spans="12:13" x14ac:dyDescent="0.25">
      <c r="L3371" s="65">
        <v>717115</v>
      </c>
      <c r="M3371" t="s">
        <v>2417</v>
      </c>
    </row>
    <row r="3372" spans="12:13" x14ac:dyDescent="0.25">
      <c r="L3372" s="65">
        <v>717116</v>
      </c>
      <c r="M3372" t="s">
        <v>2418</v>
      </c>
    </row>
    <row r="3373" spans="12:13" x14ac:dyDescent="0.25">
      <c r="L3373" s="65">
        <v>717117</v>
      </c>
      <c r="M3373" t="s">
        <v>2419</v>
      </c>
    </row>
    <row r="3374" spans="12:13" x14ac:dyDescent="0.25">
      <c r="L3374" s="65">
        <v>717118</v>
      </c>
      <c r="M3374" t="s">
        <v>2420</v>
      </c>
    </row>
    <row r="3375" spans="12:13" x14ac:dyDescent="0.25">
      <c r="L3375" s="65">
        <v>717119</v>
      </c>
      <c r="M3375" t="s">
        <v>2421</v>
      </c>
    </row>
    <row r="3376" spans="12:13" x14ac:dyDescent="0.25">
      <c r="L3376" s="65">
        <v>717120</v>
      </c>
      <c r="M3376" t="s">
        <v>2422</v>
      </c>
    </row>
    <row r="3377" spans="12:13" x14ac:dyDescent="0.25">
      <c r="L3377" s="65">
        <v>717121</v>
      </c>
      <c r="M3377" t="s">
        <v>2423</v>
      </c>
    </row>
    <row r="3378" spans="12:13" x14ac:dyDescent="0.25">
      <c r="L3378" s="65">
        <v>717122</v>
      </c>
      <c r="M3378" t="s">
        <v>2424</v>
      </c>
    </row>
    <row r="3379" spans="12:13" x14ac:dyDescent="0.25">
      <c r="L3379" s="65">
        <v>717123</v>
      </c>
      <c r="M3379" t="s">
        <v>2425</v>
      </c>
    </row>
    <row r="3380" spans="12:13" x14ac:dyDescent="0.25">
      <c r="L3380" s="65">
        <v>717124</v>
      </c>
      <c r="M3380" t="s">
        <v>2426</v>
      </c>
    </row>
    <row r="3381" spans="12:13" x14ac:dyDescent="0.25">
      <c r="L3381" s="65">
        <v>717125</v>
      </c>
      <c r="M3381" t="s">
        <v>2427</v>
      </c>
    </row>
    <row r="3382" spans="12:13" x14ac:dyDescent="0.25">
      <c r="L3382" s="65">
        <v>717126</v>
      </c>
      <c r="M3382" t="s">
        <v>2428</v>
      </c>
    </row>
    <row r="3383" spans="12:13" x14ac:dyDescent="0.25">
      <c r="L3383" s="65">
        <v>717127</v>
      </c>
      <c r="M3383" t="s">
        <v>2429</v>
      </c>
    </row>
    <row r="3384" spans="12:13" x14ac:dyDescent="0.25">
      <c r="L3384" s="65">
        <v>717128</v>
      </c>
      <c r="M3384" t="s">
        <v>2430</v>
      </c>
    </row>
    <row r="3385" spans="12:13" x14ac:dyDescent="0.25">
      <c r="L3385" s="65">
        <v>717129</v>
      </c>
      <c r="M3385" t="s">
        <v>2431</v>
      </c>
    </row>
    <row r="3386" spans="12:13" x14ac:dyDescent="0.25">
      <c r="L3386" s="65">
        <v>717130</v>
      </c>
      <c r="M3386" t="s">
        <v>2432</v>
      </c>
    </row>
    <row r="3387" spans="12:13" x14ac:dyDescent="0.25">
      <c r="L3387" s="65">
        <v>717131</v>
      </c>
      <c r="M3387" t="s">
        <v>2433</v>
      </c>
    </row>
    <row r="3388" spans="12:13" x14ac:dyDescent="0.25">
      <c r="L3388" s="65">
        <v>717132</v>
      </c>
      <c r="M3388" t="s">
        <v>2434</v>
      </c>
    </row>
    <row r="3389" spans="12:13" x14ac:dyDescent="0.25">
      <c r="L3389" s="65">
        <v>717133</v>
      </c>
      <c r="M3389" t="s">
        <v>2435</v>
      </c>
    </row>
    <row r="3390" spans="12:13" x14ac:dyDescent="0.25">
      <c r="L3390" s="65">
        <v>717134</v>
      </c>
      <c r="M3390" t="s">
        <v>2436</v>
      </c>
    </row>
    <row r="3391" spans="12:13" x14ac:dyDescent="0.25">
      <c r="L3391" s="65">
        <v>717140</v>
      </c>
      <c r="M3391" t="s">
        <v>2437</v>
      </c>
    </row>
    <row r="3392" spans="12:13" x14ac:dyDescent="0.25">
      <c r="L3392" s="65">
        <v>717141</v>
      </c>
      <c r="M3392" t="s">
        <v>2438</v>
      </c>
    </row>
    <row r="3393" spans="12:13" x14ac:dyDescent="0.25">
      <c r="L3393" s="65">
        <v>717142</v>
      </c>
      <c r="M3393" t="s">
        <v>2439</v>
      </c>
    </row>
    <row r="3394" spans="12:13" x14ac:dyDescent="0.25">
      <c r="L3394" s="65">
        <v>717143</v>
      </c>
      <c r="M3394" t="s">
        <v>2440</v>
      </c>
    </row>
    <row r="3395" spans="12:13" x14ac:dyDescent="0.25">
      <c r="L3395" s="65">
        <v>717144</v>
      </c>
      <c r="M3395" t="s">
        <v>2441</v>
      </c>
    </row>
    <row r="3396" spans="12:13" x14ac:dyDescent="0.25">
      <c r="L3396" s="65">
        <v>717150</v>
      </c>
      <c r="M3396" t="s">
        <v>2442</v>
      </c>
    </row>
    <row r="3397" spans="12:13" x14ac:dyDescent="0.25">
      <c r="L3397" s="65">
        <v>717151</v>
      </c>
      <c r="M3397" t="s">
        <v>2443</v>
      </c>
    </row>
    <row r="3398" spans="12:13" x14ac:dyDescent="0.25">
      <c r="L3398" s="65">
        <v>717152</v>
      </c>
      <c r="M3398" t="s">
        <v>2444</v>
      </c>
    </row>
    <row r="3399" spans="12:13" x14ac:dyDescent="0.25">
      <c r="L3399" s="65">
        <v>717200</v>
      </c>
      <c r="M3399" t="s">
        <v>2445</v>
      </c>
    </row>
    <row r="3400" spans="12:13" x14ac:dyDescent="0.25">
      <c r="L3400" s="65">
        <v>717210</v>
      </c>
      <c r="M3400" t="s">
        <v>2446</v>
      </c>
    </row>
    <row r="3401" spans="12:13" x14ac:dyDescent="0.25">
      <c r="L3401" s="65">
        <v>717211</v>
      </c>
      <c r="M3401" t="s">
        <v>2447</v>
      </c>
    </row>
    <row r="3402" spans="12:13" x14ac:dyDescent="0.25">
      <c r="L3402" s="65">
        <v>717212</v>
      </c>
      <c r="M3402" t="s">
        <v>2448</v>
      </c>
    </row>
    <row r="3403" spans="12:13" x14ac:dyDescent="0.25">
      <c r="L3403" s="65">
        <v>717213</v>
      </c>
      <c r="M3403" t="s">
        <v>2449</v>
      </c>
    </row>
    <row r="3404" spans="12:13" x14ac:dyDescent="0.25">
      <c r="L3404" s="65">
        <v>717214</v>
      </c>
      <c r="M3404" t="s">
        <v>2450</v>
      </c>
    </row>
    <row r="3405" spans="12:13" x14ac:dyDescent="0.25">
      <c r="L3405" s="65">
        <v>717215</v>
      </c>
      <c r="M3405" t="s">
        <v>2451</v>
      </c>
    </row>
    <row r="3406" spans="12:13" x14ac:dyDescent="0.25">
      <c r="L3406" s="65">
        <v>717220</v>
      </c>
      <c r="M3406" t="s">
        <v>2452</v>
      </c>
    </row>
    <row r="3407" spans="12:13" x14ac:dyDescent="0.25">
      <c r="L3407" s="65">
        <v>717221</v>
      </c>
      <c r="M3407" t="s">
        <v>2453</v>
      </c>
    </row>
    <row r="3408" spans="12:13" x14ac:dyDescent="0.25">
      <c r="L3408" s="65">
        <v>717222</v>
      </c>
      <c r="M3408" t="s">
        <v>2454</v>
      </c>
    </row>
    <row r="3409" spans="12:13" x14ac:dyDescent="0.25">
      <c r="L3409" s="65">
        <v>717223</v>
      </c>
      <c r="M3409" t="s">
        <v>2455</v>
      </c>
    </row>
    <row r="3410" spans="12:13" x14ac:dyDescent="0.25">
      <c r="L3410" s="65">
        <v>717300</v>
      </c>
      <c r="M3410" t="s">
        <v>2456</v>
      </c>
    </row>
    <row r="3411" spans="12:13" x14ac:dyDescent="0.25">
      <c r="L3411" s="65">
        <v>717310</v>
      </c>
      <c r="M3411" t="s">
        <v>2457</v>
      </c>
    </row>
    <row r="3412" spans="12:13" x14ac:dyDescent="0.25">
      <c r="L3412" s="65">
        <v>717311</v>
      </c>
      <c r="M3412" t="s">
        <v>2458</v>
      </c>
    </row>
    <row r="3413" spans="12:13" x14ac:dyDescent="0.25">
      <c r="L3413" s="65">
        <v>717312</v>
      </c>
      <c r="M3413" t="s">
        <v>2459</v>
      </c>
    </row>
    <row r="3414" spans="12:13" x14ac:dyDescent="0.25">
      <c r="L3414" s="65">
        <v>717313</v>
      </c>
      <c r="M3414" t="s">
        <v>2460</v>
      </c>
    </row>
    <row r="3415" spans="12:13" x14ac:dyDescent="0.25">
      <c r="L3415" s="65">
        <v>717314</v>
      </c>
      <c r="M3415" t="s">
        <v>2461</v>
      </c>
    </row>
    <row r="3416" spans="12:13" x14ac:dyDescent="0.25">
      <c r="L3416" s="65">
        <v>717315</v>
      </c>
      <c r="M3416" t="s">
        <v>2462</v>
      </c>
    </row>
    <row r="3417" spans="12:13" x14ac:dyDescent="0.25">
      <c r="L3417" s="65">
        <v>717316</v>
      </c>
      <c r="M3417" t="s">
        <v>2463</v>
      </c>
    </row>
    <row r="3418" spans="12:13" x14ac:dyDescent="0.25">
      <c r="L3418" s="65">
        <v>717317</v>
      </c>
      <c r="M3418" t="s">
        <v>2464</v>
      </c>
    </row>
    <row r="3419" spans="12:13" x14ac:dyDescent="0.25">
      <c r="L3419" s="65">
        <v>717320</v>
      </c>
      <c r="M3419" t="s">
        <v>2465</v>
      </c>
    </row>
    <row r="3420" spans="12:13" x14ac:dyDescent="0.25">
      <c r="L3420" s="65">
        <v>717321</v>
      </c>
      <c r="M3420" t="s">
        <v>2466</v>
      </c>
    </row>
    <row r="3421" spans="12:13" x14ac:dyDescent="0.25">
      <c r="L3421" s="65">
        <v>717322</v>
      </c>
      <c r="M3421" t="s">
        <v>2467</v>
      </c>
    </row>
    <row r="3422" spans="12:13" x14ac:dyDescent="0.25">
      <c r="L3422" s="65">
        <v>717323</v>
      </c>
      <c r="M3422" t="s">
        <v>2468</v>
      </c>
    </row>
    <row r="3423" spans="12:13" x14ac:dyDescent="0.25">
      <c r="L3423" s="65">
        <v>717324</v>
      </c>
      <c r="M3423" t="s">
        <v>2469</v>
      </c>
    </row>
    <row r="3424" spans="12:13" x14ac:dyDescent="0.25">
      <c r="L3424" s="65">
        <v>717325</v>
      </c>
      <c r="M3424" t="s">
        <v>2470</v>
      </c>
    </row>
    <row r="3425" spans="12:13" x14ac:dyDescent="0.25">
      <c r="L3425" s="65">
        <v>717326</v>
      </c>
      <c r="M3425" t="s">
        <v>2471</v>
      </c>
    </row>
    <row r="3426" spans="12:13" x14ac:dyDescent="0.25">
      <c r="L3426" s="65">
        <v>717327</v>
      </c>
      <c r="M3426" t="s">
        <v>2472</v>
      </c>
    </row>
    <row r="3427" spans="12:13" x14ac:dyDescent="0.25">
      <c r="L3427" s="65">
        <v>717400</v>
      </c>
      <c r="M3427" t="s">
        <v>2473</v>
      </c>
    </row>
    <row r="3428" spans="12:13" x14ac:dyDescent="0.25">
      <c r="L3428" s="65">
        <v>717410</v>
      </c>
      <c r="M3428" t="s">
        <v>2474</v>
      </c>
    </row>
    <row r="3429" spans="12:13" x14ac:dyDescent="0.25">
      <c r="L3429" s="65">
        <v>717411</v>
      </c>
      <c r="M3429" t="s">
        <v>2474</v>
      </c>
    </row>
    <row r="3430" spans="12:13" x14ac:dyDescent="0.25">
      <c r="L3430" s="65">
        <v>717500</v>
      </c>
      <c r="M3430" t="s">
        <v>2475</v>
      </c>
    </row>
    <row r="3431" spans="12:13" x14ac:dyDescent="0.25">
      <c r="L3431" s="65">
        <v>717510</v>
      </c>
      <c r="M3431" t="s">
        <v>2476</v>
      </c>
    </row>
    <row r="3432" spans="12:13" x14ac:dyDescent="0.25">
      <c r="L3432" s="65">
        <v>717511</v>
      </c>
      <c r="M3432" t="s">
        <v>2477</v>
      </c>
    </row>
    <row r="3433" spans="12:13" x14ac:dyDescent="0.25">
      <c r="L3433" s="65">
        <v>717512</v>
      </c>
      <c r="M3433" t="s">
        <v>2478</v>
      </c>
    </row>
    <row r="3434" spans="12:13" x14ac:dyDescent="0.25">
      <c r="L3434" s="65">
        <v>717513</v>
      </c>
      <c r="M3434" t="s">
        <v>2479</v>
      </c>
    </row>
    <row r="3435" spans="12:13" x14ac:dyDescent="0.25">
      <c r="L3435" s="65">
        <v>717514</v>
      </c>
      <c r="M3435" t="s">
        <v>2480</v>
      </c>
    </row>
    <row r="3436" spans="12:13" x14ac:dyDescent="0.25">
      <c r="L3436" s="65">
        <v>717515</v>
      </c>
      <c r="M3436" t="s">
        <v>2481</v>
      </c>
    </row>
    <row r="3437" spans="12:13" x14ac:dyDescent="0.25">
      <c r="L3437" s="65">
        <v>717516</v>
      </c>
      <c r="M3437" t="s">
        <v>2482</v>
      </c>
    </row>
    <row r="3438" spans="12:13" x14ac:dyDescent="0.25">
      <c r="L3438" s="65">
        <v>717600</v>
      </c>
      <c r="M3438" t="s">
        <v>2483</v>
      </c>
    </row>
    <row r="3439" spans="12:13" x14ac:dyDescent="0.25">
      <c r="L3439" s="65">
        <v>717610</v>
      </c>
      <c r="M3439" t="s">
        <v>2483</v>
      </c>
    </row>
    <row r="3440" spans="12:13" x14ac:dyDescent="0.25">
      <c r="L3440" s="65">
        <v>717611</v>
      </c>
      <c r="M3440" t="s">
        <v>2484</v>
      </c>
    </row>
    <row r="3441" spans="12:13" x14ac:dyDescent="0.25">
      <c r="L3441" s="65">
        <v>717612</v>
      </c>
      <c r="M3441" t="s">
        <v>2485</v>
      </c>
    </row>
    <row r="3442" spans="12:13" x14ac:dyDescent="0.25">
      <c r="L3442" s="65">
        <v>719000</v>
      </c>
      <c r="M3442" t="s">
        <v>2486</v>
      </c>
    </row>
    <row r="3443" spans="12:13" x14ac:dyDescent="0.25">
      <c r="L3443" s="65">
        <v>719100</v>
      </c>
      <c r="M3443" t="s">
        <v>2487</v>
      </c>
    </row>
    <row r="3444" spans="12:13" x14ac:dyDescent="0.25">
      <c r="L3444" s="65">
        <v>719110</v>
      </c>
      <c r="M3444" t="s">
        <v>2488</v>
      </c>
    </row>
    <row r="3445" spans="12:13" x14ac:dyDescent="0.25">
      <c r="L3445" s="65">
        <v>719111</v>
      </c>
      <c r="M3445" t="s">
        <v>2489</v>
      </c>
    </row>
    <row r="3446" spans="12:13" x14ac:dyDescent="0.25">
      <c r="L3446" s="65">
        <v>719200</v>
      </c>
      <c r="M3446" t="s">
        <v>2490</v>
      </c>
    </row>
    <row r="3447" spans="12:13" x14ac:dyDescent="0.25">
      <c r="L3447" s="65">
        <v>719210</v>
      </c>
      <c r="M3447" t="s">
        <v>2491</v>
      </c>
    </row>
    <row r="3448" spans="12:13" x14ac:dyDescent="0.25">
      <c r="L3448" s="65">
        <v>719211</v>
      </c>
      <c r="M3448" t="s">
        <v>2492</v>
      </c>
    </row>
    <row r="3449" spans="12:13" x14ac:dyDescent="0.25">
      <c r="L3449" s="65">
        <v>719220</v>
      </c>
      <c r="M3449" t="s">
        <v>2493</v>
      </c>
    </row>
    <row r="3450" spans="12:13" x14ac:dyDescent="0.25">
      <c r="L3450" s="65">
        <v>719221</v>
      </c>
      <c r="M3450" t="s">
        <v>2494</v>
      </c>
    </row>
    <row r="3451" spans="12:13" x14ac:dyDescent="0.25">
      <c r="L3451" s="65">
        <v>719230</v>
      </c>
      <c r="M3451" t="s">
        <v>2495</v>
      </c>
    </row>
    <row r="3452" spans="12:13" x14ac:dyDescent="0.25">
      <c r="L3452" s="65">
        <v>719231</v>
      </c>
      <c r="M3452" t="s">
        <v>2496</v>
      </c>
    </row>
    <row r="3453" spans="12:13" x14ac:dyDescent="0.25">
      <c r="L3453" s="65">
        <v>719240</v>
      </c>
      <c r="M3453" t="s">
        <v>2497</v>
      </c>
    </row>
    <row r="3454" spans="12:13" x14ac:dyDescent="0.25">
      <c r="L3454" s="65">
        <v>719241</v>
      </c>
      <c r="M3454" t="s">
        <v>2498</v>
      </c>
    </row>
    <row r="3455" spans="12:13" x14ac:dyDescent="0.25">
      <c r="L3455" s="65">
        <v>719250</v>
      </c>
      <c r="M3455" t="s">
        <v>2499</v>
      </c>
    </row>
    <row r="3456" spans="12:13" x14ac:dyDescent="0.25">
      <c r="L3456" s="65">
        <v>719251</v>
      </c>
      <c r="M3456" t="s">
        <v>2500</v>
      </c>
    </row>
    <row r="3457" spans="12:13" x14ac:dyDescent="0.25">
      <c r="L3457" s="65">
        <v>719260</v>
      </c>
      <c r="M3457" t="s">
        <v>2501</v>
      </c>
    </row>
    <row r="3458" spans="12:13" x14ac:dyDescent="0.25">
      <c r="L3458" s="65">
        <v>719261</v>
      </c>
      <c r="M3458" t="s">
        <v>2502</v>
      </c>
    </row>
    <row r="3459" spans="12:13" x14ac:dyDescent="0.25">
      <c r="L3459" s="65">
        <v>719262</v>
      </c>
      <c r="M3459" t="s">
        <v>2503</v>
      </c>
    </row>
    <row r="3460" spans="12:13" x14ac:dyDescent="0.25">
      <c r="L3460" s="65">
        <v>719263</v>
      </c>
      <c r="M3460" t="s">
        <v>2504</v>
      </c>
    </row>
    <row r="3461" spans="12:13" x14ac:dyDescent="0.25">
      <c r="L3461" s="65">
        <v>719264</v>
      </c>
      <c r="M3461" t="s">
        <v>2505</v>
      </c>
    </row>
    <row r="3462" spans="12:13" x14ac:dyDescent="0.25">
      <c r="L3462" s="65">
        <v>719265</v>
      </c>
      <c r="M3462" t="s">
        <v>2506</v>
      </c>
    </row>
    <row r="3463" spans="12:13" x14ac:dyDescent="0.25">
      <c r="L3463" s="65">
        <v>719300</v>
      </c>
      <c r="M3463" t="s">
        <v>2507</v>
      </c>
    </row>
    <row r="3464" spans="12:13" x14ac:dyDescent="0.25">
      <c r="L3464" s="65">
        <v>719310</v>
      </c>
      <c r="M3464" t="s">
        <v>2508</v>
      </c>
    </row>
    <row r="3465" spans="12:13" x14ac:dyDescent="0.25">
      <c r="L3465" s="65">
        <v>719311</v>
      </c>
      <c r="M3465" t="s">
        <v>2509</v>
      </c>
    </row>
    <row r="3466" spans="12:13" x14ac:dyDescent="0.25">
      <c r="L3466" s="65">
        <v>719320</v>
      </c>
      <c r="M3466" t="s">
        <v>2510</v>
      </c>
    </row>
    <row r="3467" spans="12:13" x14ac:dyDescent="0.25">
      <c r="L3467" s="65">
        <v>719321</v>
      </c>
      <c r="M3467" t="s">
        <v>2511</v>
      </c>
    </row>
    <row r="3468" spans="12:13" x14ac:dyDescent="0.25">
      <c r="L3468" s="65">
        <v>719330</v>
      </c>
      <c r="M3468" t="s">
        <v>2512</v>
      </c>
    </row>
    <row r="3469" spans="12:13" x14ac:dyDescent="0.25">
      <c r="L3469" s="65">
        <v>719331</v>
      </c>
      <c r="M3469" t="s">
        <v>2513</v>
      </c>
    </row>
    <row r="3470" spans="12:13" x14ac:dyDescent="0.25">
      <c r="L3470" s="65">
        <v>719400</v>
      </c>
      <c r="M3470" t="s">
        <v>2514</v>
      </c>
    </row>
    <row r="3471" spans="12:13" x14ac:dyDescent="0.25">
      <c r="L3471" s="65">
        <v>719410</v>
      </c>
      <c r="M3471" t="s">
        <v>2515</v>
      </c>
    </row>
    <row r="3472" spans="12:13" x14ac:dyDescent="0.25">
      <c r="L3472" s="65">
        <v>719411</v>
      </c>
      <c r="M3472" t="s">
        <v>2516</v>
      </c>
    </row>
    <row r="3473" spans="12:13" x14ac:dyDescent="0.25">
      <c r="L3473" s="65">
        <v>719412</v>
      </c>
      <c r="M3473" t="s">
        <v>2517</v>
      </c>
    </row>
    <row r="3474" spans="12:13" x14ac:dyDescent="0.25">
      <c r="L3474" s="65">
        <v>719413</v>
      </c>
      <c r="M3474" t="s">
        <v>2518</v>
      </c>
    </row>
    <row r="3475" spans="12:13" x14ac:dyDescent="0.25">
      <c r="L3475" s="65">
        <v>719414</v>
      </c>
      <c r="M3475" t="s">
        <v>2519</v>
      </c>
    </row>
    <row r="3476" spans="12:13" x14ac:dyDescent="0.25">
      <c r="L3476" s="65">
        <v>719415</v>
      </c>
      <c r="M3476" t="s">
        <v>2520</v>
      </c>
    </row>
    <row r="3477" spans="12:13" x14ac:dyDescent="0.25">
      <c r="L3477" s="65">
        <v>719500</v>
      </c>
      <c r="M3477" t="s">
        <v>2521</v>
      </c>
    </row>
    <row r="3478" spans="12:13" x14ac:dyDescent="0.25">
      <c r="L3478" s="65">
        <v>719510</v>
      </c>
      <c r="M3478" t="s">
        <v>2522</v>
      </c>
    </row>
    <row r="3479" spans="12:13" x14ac:dyDescent="0.25">
      <c r="L3479" s="65">
        <v>719511</v>
      </c>
      <c r="M3479" t="s">
        <v>2523</v>
      </c>
    </row>
    <row r="3480" spans="12:13" x14ac:dyDescent="0.25">
      <c r="L3480" s="65">
        <v>719600</v>
      </c>
      <c r="M3480" t="s">
        <v>2524</v>
      </c>
    </row>
    <row r="3481" spans="12:13" x14ac:dyDescent="0.25">
      <c r="L3481" s="65">
        <v>719610</v>
      </c>
      <c r="M3481" t="s">
        <v>2525</v>
      </c>
    </row>
    <row r="3482" spans="12:13" x14ac:dyDescent="0.25">
      <c r="L3482" s="65">
        <v>719611</v>
      </c>
      <c r="M3482" t="s">
        <v>2526</v>
      </c>
    </row>
    <row r="3483" spans="12:13" x14ac:dyDescent="0.25">
      <c r="L3483" s="65">
        <v>720000</v>
      </c>
      <c r="M3483" t="s">
        <v>2527</v>
      </c>
    </row>
    <row r="3484" spans="12:13" x14ac:dyDescent="0.25">
      <c r="L3484" s="65">
        <v>721000</v>
      </c>
      <c r="M3484" t="s">
        <v>2528</v>
      </c>
    </row>
    <row r="3485" spans="12:13" x14ac:dyDescent="0.25">
      <c r="L3485" s="65">
        <v>721100</v>
      </c>
      <c r="M3485" t="s">
        <v>2529</v>
      </c>
    </row>
    <row r="3486" spans="12:13" x14ac:dyDescent="0.25">
      <c r="L3486" s="65">
        <v>721110</v>
      </c>
      <c r="M3486" t="s">
        <v>2530</v>
      </c>
    </row>
    <row r="3487" spans="12:13" x14ac:dyDescent="0.25">
      <c r="L3487" s="65">
        <v>721111</v>
      </c>
      <c r="M3487" t="s">
        <v>2531</v>
      </c>
    </row>
    <row r="3488" spans="12:13" x14ac:dyDescent="0.25">
      <c r="L3488" s="65">
        <v>721112</v>
      </c>
      <c r="M3488" t="s">
        <v>2532</v>
      </c>
    </row>
    <row r="3489" spans="12:13" x14ac:dyDescent="0.25">
      <c r="L3489" s="65">
        <v>721113</v>
      </c>
      <c r="M3489" t="s">
        <v>2533</v>
      </c>
    </row>
    <row r="3490" spans="12:13" x14ac:dyDescent="0.25">
      <c r="L3490" s="65">
        <v>721114</v>
      </c>
      <c r="M3490" t="s">
        <v>2534</v>
      </c>
    </row>
    <row r="3491" spans="12:13" x14ac:dyDescent="0.25">
      <c r="L3491" s="65">
        <v>721115</v>
      </c>
      <c r="M3491" t="s">
        <v>2535</v>
      </c>
    </row>
    <row r="3492" spans="12:13" x14ac:dyDescent="0.25">
      <c r="L3492" s="65">
        <v>721116</v>
      </c>
      <c r="M3492" t="s">
        <v>2536</v>
      </c>
    </row>
    <row r="3493" spans="12:13" x14ac:dyDescent="0.25">
      <c r="L3493" s="65">
        <v>721117</v>
      </c>
      <c r="M3493" t="s">
        <v>2537</v>
      </c>
    </row>
    <row r="3494" spans="12:13" x14ac:dyDescent="0.25">
      <c r="L3494" s="65">
        <v>721118</v>
      </c>
      <c r="M3494" t="s">
        <v>2538</v>
      </c>
    </row>
    <row r="3495" spans="12:13" x14ac:dyDescent="0.25">
      <c r="L3495" s="65">
        <v>721119</v>
      </c>
      <c r="M3495" t="s">
        <v>2539</v>
      </c>
    </row>
    <row r="3496" spans="12:13" x14ac:dyDescent="0.25">
      <c r="L3496" s="65">
        <v>721120</v>
      </c>
      <c r="M3496" t="s">
        <v>2540</v>
      </c>
    </row>
    <row r="3497" spans="12:13" x14ac:dyDescent="0.25">
      <c r="L3497" s="65">
        <v>721121</v>
      </c>
      <c r="M3497" t="s">
        <v>2541</v>
      </c>
    </row>
    <row r="3498" spans="12:13" x14ac:dyDescent="0.25">
      <c r="L3498" s="65">
        <v>721122</v>
      </c>
      <c r="M3498" t="s">
        <v>2542</v>
      </c>
    </row>
    <row r="3499" spans="12:13" x14ac:dyDescent="0.25">
      <c r="L3499" s="65">
        <v>721130</v>
      </c>
      <c r="M3499" t="s">
        <v>2543</v>
      </c>
    </row>
    <row r="3500" spans="12:13" x14ac:dyDescent="0.25">
      <c r="L3500" s="65">
        <v>721131</v>
      </c>
      <c r="M3500" t="s">
        <v>2544</v>
      </c>
    </row>
    <row r="3501" spans="12:13" x14ac:dyDescent="0.25">
      <c r="L3501" s="65">
        <v>721200</v>
      </c>
      <c r="M3501" t="s">
        <v>2545</v>
      </c>
    </row>
    <row r="3502" spans="12:13" x14ac:dyDescent="0.25">
      <c r="L3502" s="65">
        <v>721210</v>
      </c>
      <c r="M3502" t="s">
        <v>2530</v>
      </c>
    </row>
    <row r="3503" spans="12:13" x14ac:dyDescent="0.25">
      <c r="L3503" s="65">
        <v>721211</v>
      </c>
      <c r="M3503" t="s">
        <v>2546</v>
      </c>
    </row>
    <row r="3504" spans="12:13" x14ac:dyDescent="0.25">
      <c r="L3504" s="65">
        <v>721212</v>
      </c>
      <c r="M3504" t="s">
        <v>2547</v>
      </c>
    </row>
    <row r="3505" spans="12:13" x14ac:dyDescent="0.25">
      <c r="L3505" s="65">
        <v>721213</v>
      </c>
      <c r="M3505" t="s">
        <v>2548</v>
      </c>
    </row>
    <row r="3506" spans="12:13" x14ac:dyDescent="0.25">
      <c r="L3506" s="65">
        <v>721214</v>
      </c>
      <c r="M3506" t="s">
        <v>2549</v>
      </c>
    </row>
    <row r="3507" spans="12:13" x14ac:dyDescent="0.25">
      <c r="L3507" s="65">
        <v>721215</v>
      </c>
      <c r="M3507" t="s">
        <v>2550</v>
      </c>
    </row>
    <row r="3508" spans="12:13" x14ac:dyDescent="0.25">
      <c r="L3508" s="65">
        <v>721216</v>
      </c>
      <c r="M3508" t="s">
        <v>2551</v>
      </c>
    </row>
    <row r="3509" spans="12:13" x14ac:dyDescent="0.25">
      <c r="L3509" s="65">
        <v>721217</v>
      </c>
      <c r="M3509" t="s">
        <v>2552</v>
      </c>
    </row>
    <row r="3510" spans="12:13" x14ac:dyDescent="0.25">
      <c r="L3510" s="65">
        <v>721218</v>
      </c>
      <c r="M3510" t="s">
        <v>2553</v>
      </c>
    </row>
    <row r="3511" spans="12:13" x14ac:dyDescent="0.25">
      <c r="L3511" s="65">
        <v>721219</v>
      </c>
      <c r="M3511" t="s">
        <v>2554</v>
      </c>
    </row>
    <row r="3512" spans="12:13" x14ac:dyDescent="0.25">
      <c r="L3512" s="65">
        <v>721220</v>
      </c>
      <c r="M3512" t="s">
        <v>2540</v>
      </c>
    </row>
    <row r="3513" spans="12:13" x14ac:dyDescent="0.25">
      <c r="L3513" s="65">
        <v>721221</v>
      </c>
      <c r="M3513" t="s">
        <v>2555</v>
      </c>
    </row>
    <row r="3514" spans="12:13" x14ac:dyDescent="0.25">
      <c r="L3514" s="65">
        <v>721222</v>
      </c>
      <c r="M3514" t="s">
        <v>2556</v>
      </c>
    </row>
    <row r="3515" spans="12:13" x14ac:dyDescent="0.25">
      <c r="L3515" s="65">
        <v>721223</v>
      </c>
      <c r="M3515" t="s">
        <v>2557</v>
      </c>
    </row>
    <row r="3516" spans="12:13" x14ac:dyDescent="0.25">
      <c r="L3516" s="65">
        <v>721224</v>
      </c>
      <c r="M3516" t="s">
        <v>2558</v>
      </c>
    </row>
    <row r="3517" spans="12:13" x14ac:dyDescent="0.25">
      <c r="L3517" s="65">
        <v>721225</v>
      </c>
      <c r="M3517" t="s">
        <v>2559</v>
      </c>
    </row>
    <row r="3518" spans="12:13" x14ac:dyDescent="0.25">
      <c r="L3518" s="65">
        <v>721226</v>
      </c>
      <c r="M3518" t="s">
        <v>2560</v>
      </c>
    </row>
    <row r="3519" spans="12:13" x14ac:dyDescent="0.25">
      <c r="L3519" s="65">
        <v>721230</v>
      </c>
      <c r="M3519" t="s">
        <v>2543</v>
      </c>
    </row>
    <row r="3520" spans="12:13" x14ac:dyDescent="0.25">
      <c r="L3520" s="65">
        <v>721231</v>
      </c>
      <c r="M3520" t="s">
        <v>2561</v>
      </c>
    </row>
    <row r="3521" spans="12:13" x14ac:dyDescent="0.25">
      <c r="L3521" s="65">
        <v>721232</v>
      </c>
      <c r="M3521" t="s">
        <v>2562</v>
      </c>
    </row>
    <row r="3522" spans="12:13" x14ac:dyDescent="0.25">
      <c r="L3522" s="65">
        <v>721233</v>
      </c>
      <c r="M3522" t="s">
        <v>2563</v>
      </c>
    </row>
    <row r="3523" spans="12:13" x14ac:dyDescent="0.25">
      <c r="L3523" s="65">
        <v>721300</v>
      </c>
      <c r="M3523" t="s">
        <v>2564</v>
      </c>
    </row>
    <row r="3524" spans="12:13" x14ac:dyDescent="0.25">
      <c r="L3524" s="65">
        <v>721310</v>
      </c>
      <c r="M3524" t="s">
        <v>2530</v>
      </c>
    </row>
    <row r="3525" spans="12:13" x14ac:dyDescent="0.25">
      <c r="L3525" s="65">
        <v>721311</v>
      </c>
      <c r="M3525" t="s">
        <v>2565</v>
      </c>
    </row>
    <row r="3526" spans="12:13" x14ac:dyDescent="0.25">
      <c r="L3526" s="65">
        <v>721312</v>
      </c>
      <c r="M3526" t="s">
        <v>2566</v>
      </c>
    </row>
    <row r="3527" spans="12:13" x14ac:dyDescent="0.25">
      <c r="L3527" s="65">
        <v>721313</v>
      </c>
      <c r="M3527" t="s">
        <v>2567</v>
      </c>
    </row>
    <row r="3528" spans="12:13" x14ac:dyDescent="0.25">
      <c r="L3528" s="65">
        <v>721314</v>
      </c>
      <c r="M3528" t="s">
        <v>2568</v>
      </c>
    </row>
    <row r="3529" spans="12:13" x14ac:dyDescent="0.25">
      <c r="L3529" s="65">
        <v>721315</v>
      </c>
      <c r="M3529" t="s">
        <v>2569</v>
      </c>
    </row>
    <row r="3530" spans="12:13" x14ac:dyDescent="0.25">
      <c r="L3530" s="65">
        <v>721316</v>
      </c>
      <c r="M3530" t="s">
        <v>2570</v>
      </c>
    </row>
    <row r="3531" spans="12:13" x14ac:dyDescent="0.25">
      <c r="L3531" s="65">
        <v>721317</v>
      </c>
      <c r="M3531" t="s">
        <v>2571</v>
      </c>
    </row>
    <row r="3532" spans="12:13" x14ac:dyDescent="0.25">
      <c r="L3532" s="65">
        <v>721318</v>
      </c>
      <c r="M3532" t="s">
        <v>2572</v>
      </c>
    </row>
    <row r="3533" spans="12:13" x14ac:dyDescent="0.25">
      <c r="L3533" s="65">
        <v>721319</v>
      </c>
      <c r="M3533" t="s">
        <v>2573</v>
      </c>
    </row>
    <row r="3534" spans="12:13" x14ac:dyDescent="0.25">
      <c r="L3534" s="65">
        <v>721320</v>
      </c>
      <c r="M3534" t="s">
        <v>2540</v>
      </c>
    </row>
    <row r="3535" spans="12:13" x14ac:dyDescent="0.25">
      <c r="L3535" s="65">
        <v>721321</v>
      </c>
      <c r="M3535" t="s">
        <v>2574</v>
      </c>
    </row>
    <row r="3536" spans="12:13" x14ac:dyDescent="0.25">
      <c r="L3536" s="65">
        <v>721322</v>
      </c>
      <c r="M3536" t="s">
        <v>2575</v>
      </c>
    </row>
    <row r="3537" spans="12:13" x14ac:dyDescent="0.25">
      <c r="L3537" s="65">
        <v>721323</v>
      </c>
      <c r="M3537" t="s">
        <v>2576</v>
      </c>
    </row>
    <row r="3538" spans="12:13" x14ac:dyDescent="0.25">
      <c r="L3538" s="65">
        <v>721324</v>
      </c>
      <c r="M3538" t="s">
        <v>2577</v>
      </c>
    </row>
    <row r="3539" spans="12:13" x14ac:dyDescent="0.25">
      <c r="L3539" s="65">
        <v>721325</v>
      </c>
      <c r="M3539" t="s">
        <v>2578</v>
      </c>
    </row>
    <row r="3540" spans="12:13" x14ac:dyDescent="0.25">
      <c r="L3540" s="65">
        <v>721330</v>
      </c>
      <c r="M3540" t="s">
        <v>2543</v>
      </c>
    </row>
    <row r="3541" spans="12:13" x14ac:dyDescent="0.25">
      <c r="L3541" s="65">
        <v>721331</v>
      </c>
      <c r="M3541" t="s">
        <v>2579</v>
      </c>
    </row>
    <row r="3542" spans="12:13" x14ac:dyDescent="0.25">
      <c r="L3542" s="65">
        <v>721332</v>
      </c>
      <c r="M3542" t="s">
        <v>2580</v>
      </c>
    </row>
    <row r="3543" spans="12:13" x14ac:dyDescent="0.25">
      <c r="L3543" s="65">
        <v>721400</v>
      </c>
      <c r="M3543" t="s">
        <v>2581</v>
      </c>
    </row>
    <row r="3544" spans="12:13" x14ac:dyDescent="0.25">
      <c r="L3544" s="65">
        <v>721410</v>
      </c>
      <c r="M3544" t="s">
        <v>2530</v>
      </c>
    </row>
    <row r="3545" spans="12:13" x14ac:dyDescent="0.25">
      <c r="L3545" s="65">
        <v>721411</v>
      </c>
      <c r="M3545" t="s">
        <v>2582</v>
      </c>
    </row>
    <row r="3546" spans="12:13" x14ac:dyDescent="0.25">
      <c r="L3546" s="65">
        <v>721412</v>
      </c>
      <c r="M3546" t="s">
        <v>2583</v>
      </c>
    </row>
    <row r="3547" spans="12:13" x14ac:dyDescent="0.25">
      <c r="L3547" s="65">
        <v>721413</v>
      </c>
      <c r="M3547" t="s">
        <v>2584</v>
      </c>
    </row>
    <row r="3548" spans="12:13" x14ac:dyDescent="0.25">
      <c r="L3548" s="65">
        <v>721414</v>
      </c>
      <c r="M3548" t="s">
        <v>2585</v>
      </c>
    </row>
    <row r="3549" spans="12:13" x14ac:dyDescent="0.25">
      <c r="L3549" s="65">
        <v>721415</v>
      </c>
      <c r="M3549" t="s">
        <v>2586</v>
      </c>
    </row>
    <row r="3550" spans="12:13" x14ac:dyDescent="0.25">
      <c r="L3550" s="65">
        <v>721416</v>
      </c>
      <c r="M3550" t="s">
        <v>2587</v>
      </c>
    </row>
    <row r="3551" spans="12:13" x14ac:dyDescent="0.25">
      <c r="L3551" s="65">
        <v>721417</v>
      </c>
      <c r="M3551" t="s">
        <v>2588</v>
      </c>
    </row>
    <row r="3552" spans="12:13" x14ac:dyDescent="0.25">
      <c r="L3552" s="65">
        <v>721418</v>
      </c>
      <c r="M3552" t="s">
        <v>2589</v>
      </c>
    </row>
    <row r="3553" spans="12:13" x14ac:dyDescent="0.25">
      <c r="L3553" s="65">
        <v>721419</v>
      </c>
      <c r="M3553" t="s">
        <v>2590</v>
      </c>
    </row>
    <row r="3554" spans="12:13" x14ac:dyDescent="0.25">
      <c r="L3554" s="65">
        <v>721420</v>
      </c>
      <c r="M3554" t="s">
        <v>2591</v>
      </c>
    </row>
    <row r="3555" spans="12:13" x14ac:dyDescent="0.25">
      <c r="L3555" s="65">
        <v>721421</v>
      </c>
      <c r="M3555" t="s">
        <v>2591</v>
      </c>
    </row>
    <row r="3556" spans="12:13" x14ac:dyDescent="0.25">
      <c r="L3556" s="65">
        <v>721430</v>
      </c>
      <c r="M3556" t="s">
        <v>2592</v>
      </c>
    </row>
    <row r="3557" spans="12:13" x14ac:dyDescent="0.25">
      <c r="L3557" s="65">
        <v>721431</v>
      </c>
      <c r="M3557" t="s">
        <v>2592</v>
      </c>
    </row>
    <row r="3558" spans="12:13" x14ac:dyDescent="0.25">
      <c r="L3558" s="65">
        <v>721432</v>
      </c>
      <c r="M3558" t="s">
        <v>2593</v>
      </c>
    </row>
    <row r="3559" spans="12:13" x14ac:dyDescent="0.25">
      <c r="L3559" s="65">
        <v>722000</v>
      </c>
      <c r="M3559" t="s">
        <v>2594</v>
      </c>
    </row>
    <row r="3560" spans="12:13" x14ac:dyDescent="0.25">
      <c r="L3560" s="65">
        <v>722100</v>
      </c>
      <c r="M3560" t="s">
        <v>2595</v>
      </c>
    </row>
    <row r="3561" spans="12:13" x14ac:dyDescent="0.25">
      <c r="L3561" s="65">
        <v>722110</v>
      </c>
      <c r="M3561" t="s">
        <v>2595</v>
      </c>
    </row>
    <row r="3562" spans="12:13" x14ac:dyDescent="0.25">
      <c r="L3562" s="65">
        <v>722111</v>
      </c>
      <c r="M3562" t="s">
        <v>2595</v>
      </c>
    </row>
    <row r="3563" spans="12:13" x14ac:dyDescent="0.25">
      <c r="L3563" s="65">
        <v>722200</v>
      </c>
      <c r="M3563" t="s">
        <v>2596</v>
      </c>
    </row>
    <row r="3564" spans="12:13" x14ac:dyDescent="0.25">
      <c r="L3564" s="65">
        <v>722210</v>
      </c>
      <c r="M3564" t="s">
        <v>2596</v>
      </c>
    </row>
    <row r="3565" spans="12:13" x14ac:dyDescent="0.25">
      <c r="L3565" s="65">
        <v>722211</v>
      </c>
      <c r="M3565" t="s">
        <v>2596</v>
      </c>
    </row>
    <row r="3566" spans="12:13" x14ac:dyDescent="0.25">
      <c r="L3566" s="65">
        <v>722300</v>
      </c>
      <c r="M3566" t="s">
        <v>2597</v>
      </c>
    </row>
    <row r="3567" spans="12:13" x14ac:dyDescent="0.25">
      <c r="L3567" s="65">
        <v>722310</v>
      </c>
      <c r="M3567" t="s">
        <v>2597</v>
      </c>
    </row>
    <row r="3568" spans="12:13" x14ac:dyDescent="0.25">
      <c r="L3568" s="65">
        <v>722311</v>
      </c>
      <c r="M3568" t="s">
        <v>2597</v>
      </c>
    </row>
    <row r="3569" spans="12:13" x14ac:dyDescent="0.25">
      <c r="L3569" s="65">
        <v>730000</v>
      </c>
      <c r="M3569" t="s">
        <v>2599</v>
      </c>
    </row>
    <row r="3570" spans="12:13" x14ac:dyDescent="0.25">
      <c r="L3570" s="65">
        <v>731000</v>
      </c>
      <c r="M3570" t="s">
        <v>2600</v>
      </c>
    </row>
    <row r="3571" spans="12:13" x14ac:dyDescent="0.25">
      <c r="L3571" s="65">
        <v>731100</v>
      </c>
      <c r="M3571" t="s">
        <v>2601</v>
      </c>
    </row>
    <row r="3572" spans="12:13" x14ac:dyDescent="0.25">
      <c r="L3572" s="65">
        <v>731120</v>
      </c>
      <c r="M3572" t="s">
        <v>2602</v>
      </c>
    </row>
    <row r="3573" spans="12:13" x14ac:dyDescent="0.25">
      <c r="L3573" s="65">
        <v>731121</v>
      </c>
      <c r="M3573" t="s">
        <v>2602</v>
      </c>
    </row>
    <row r="3574" spans="12:13" x14ac:dyDescent="0.25">
      <c r="L3574" s="65">
        <v>731130</v>
      </c>
      <c r="M3574" t="s">
        <v>2603</v>
      </c>
    </row>
    <row r="3575" spans="12:13" x14ac:dyDescent="0.25">
      <c r="L3575" s="65">
        <v>731131</v>
      </c>
      <c r="M3575" t="s">
        <v>2604</v>
      </c>
    </row>
    <row r="3576" spans="12:13" x14ac:dyDescent="0.25">
      <c r="L3576" s="65">
        <v>731132</v>
      </c>
      <c r="M3576" t="s">
        <v>2605</v>
      </c>
    </row>
    <row r="3577" spans="12:13" x14ac:dyDescent="0.25">
      <c r="L3577" s="65">
        <v>731140</v>
      </c>
      <c r="M3577" t="s">
        <v>2606</v>
      </c>
    </row>
    <row r="3578" spans="12:13" x14ac:dyDescent="0.25">
      <c r="L3578" s="65">
        <v>731141</v>
      </c>
      <c r="M3578" t="s">
        <v>2606</v>
      </c>
    </row>
    <row r="3579" spans="12:13" x14ac:dyDescent="0.25">
      <c r="L3579" s="65">
        <v>731150</v>
      </c>
      <c r="M3579" t="s">
        <v>2607</v>
      </c>
    </row>
    <row r="3580" spans="12:13" x14ac:dyDescent="0.25">
      <c r="L3580" s="65">
        <v>731151</v>
      </c>
      <c r="M3580" t="s">
        <v>2607</v>
      </c>
    </row>
    <row r="3581" spans="12:13" x14ac:dyDescent="0.25">
      <c r="L3581" s="65">
        <v>731160</v>
      </c>
      <c r="M3581" t="s">
        <v>2608</v>
      </c>
    </row>
    <row r="3582" spans="12:13" x14ac:dyDescent="0.25">
      <c r="L3582" s="65">
        <v>731161</v>
      </c>
      <c r="M3582" t="s">
        <v>2609</v>
      </c>
    </row>
    <row r="3583" spans="12:13" x14ac:dyDescent="0.25">
      <c r="L3583" s="65">
        <v>731162</v>
      </c>
      <c r="M3583" t="s">
        <v>2610</v>
      </c>
    </row>
    <row r="3584" spans="12:13" x14ac:dyDescent="0.25">
      <c r="L3584" s="65">
        <v>731165</v>
      </c>
      <c r="M3584" t="s">
        <v>2611</v>
      </c>
    </row>
    <row r="3585" spans="12:13" x14ac:dyDescent="0.25">
      <c r="L3585" s="65">
        <v>731200</v>
      </c>
      <c r="M3585" t="s">
        <v>2612</v>
      </c>
    </row>
    <row r="3586" spans="12:13" x14ac:dyDescent="0.25">
      <c r="L3586" s="65">
        <v>731220</v>
      </c>
      <c r="M3586" t="s">
        <v>2613</v>
      </c>
    </row>
    <row r="3587" spans="12:13" x14ac:dyDescent="0.25">
      <c r="L3587" s="65">
        <v>731221</v>
      </c>
      <c r="M3587" t="s">
        <v>2613</v>
      </c>
    </row>
    <row r="3588" spans="12:13" x14ac:dyDescent="0.25">
      <c r="L3588" s="65">
        <v>731230</v>
      </c>
      <c r="M3588" t="s">
        <v>2614</v>
      </c>
    </row>
    <row r="3589" spans="12:13" x14ac:dyDescent="0.25">
      <c r="L3589" s="65">
        <v>731231</v>
      </c>
      <c r="M3589" t="s">
        <v>2615</v>
      </c>
    </row>
    <row r="3590" spans="12:13" x14ac:dyDescent="0.25">
      <c r="L3590" s="65">
        <v>731232</v>
      </c>
      <c r="M3590" t="s">
        <v>2616</v>
      </c>
    </row>
    <row r="3591" spans="12:13" x14ac:dyDescent="0.25">
      <c r="L3591" s="65">
        <v>731240</v>
      </c>
      <c r="M3591" t="s">
        <v>2617</v>
      </c>
    </row>
    <row r="3592" spans="12:13" x14ac:dyDescent="0.25">
      <c r="L3592" s="65">
        <v>731241</v>
      </c>
      <c r="M3592" t="s">
        <v>2617</v>
      </c>
    </row>
    <row r="3593" spans="12:13" x14ac:dyDescent="0.25">
      <c r="L3593" s="65">
        <v>731250</v>
      </c>
      <c r="M3593" t="s">
        <v>2618</v>
      </c>
    </row>
    <row r="3594" spans="12:13" x14ac:dyDescent="0.25">
      <c r="L3594" s="65">
        <v>731251</v>
      </c>
      <c r="M3594" t="s">
        <v>2618</v>
      </c>
    </row>
    <row r="3595" spans="12:13" x14ac:dyDescent="0.25">
      <c r="L3595" s="65">
        <v>731260</v>
      </c>
      <c r="M3595" t="s">
        <v>2619</v>
      </c>
    </row>
    <row r="3596" spans="12:13" x14ac:dyDescent="0.25">
      <c r="L3596" s="65">
        <v>731261</v>
      </c>
      <c r="M3596" t="s">
        <v>2620</v>
      </c>
    </row>
    <row r="3597" spans="12:13" x14ac:dyDescent="0.25">
      <c r="L3597" s="65">
        <v>731262</v>
      </c>
      <c r="M3597" t="s">
        <v>2621</v>
      </c>
    </row>
    <row r="3598" spans="12:13" x14ac:dyDescent="0.25">
      <c r="L3598" s="65">
        <v>731265</v>
      </c>
      <c r="M3598" t="s">
        <v>2622</v>
      </c>
    </row>
    <row r="3599" spans="12:13" x14ac:dyDescent="0.25">
      <c r="L3599" s="65">
        <v>732000</v>
      </c>
      <c r="M3599" t="s">
        <v>2624</v>
      </c>
    </row>
    <row r="3600" spans="12:13" x14ac:dyDescent="0.25">
      <c r="L3600" s="65">
        <v>732100</v>
      </c>
      <c r="M3600" t="s">
        <v>2625</v>
      </c>
    </row>
    <row r="3601" spans="12:13" x14ac:dyDescent="0.25">
      <c r="L3601" s="65">
        <v>732120</v>
      </c>
      <c r="M3601" t="s">
        <v>2626</v>
      </c>
    </row>
    <row r="3602" spans="12:13" x14ac:dyDescent="0.25">
      <c r="L3602" s="65">
        <v>732121</v>
      </c>
      <c r="M3602" t="s">
        <v>2626</v>
      </c>
    </row>
    <row r="3603" spans="12:13" x14ac:dyDescent="0.25">
      <c r="L3603" s="65">
        <v>732130</v>
      </c>
      <c r="M3603" t="s">
        <v>2627</v>
      </c>
    </row>
    <row r="3604" spans="12:13" x14ac:dyDescent="0.25">
      <c r="L3604" s="65">
        <v>732131</v>
      </c>
      <c r="M3604" t="s">
        <v>2628</v>
      </c>
    </row>
    <row r="3605" spans="12:13" x14ac:dyDescent="0.25">
      <c r="L3605" s="65">
        <v>732132</v>
      </c>
      <c r="M3605" t="s">
        <v>2629</v>
      </c>
    </row>
    <row r="3606" spans="12:13" x14ac:dyDescent="0.25">
      <c r="L3606" s="65">
        <v>732140</v>
      </c>
      <c r="M3606" t="s">
        <v>2631</v>
      </c>
    </row>
    <row r="3607" spans="12:13" x14ac:dyDescent="0.25">
      <c r="L3607" s="65">
        <v>732141</v>
      </c>
      <c r="M3607" t="s">
        <v>2631</v>
      </c>
    </row>
    <row r="3608" spans="12:13" x14ac:dyDescent="0.25">
      <c r="L3608" s="65">
        <v>732150</v>
      </c>
      <c r="M3608" t="s">
        <v>2632</v>
      </c>
    </row>
    <row r="3609" spans="12:13" x14ac:dyDescent="0.25">
      <c r="L3609" s="65">
        <v>732151</v>
      </c>
      <c r="M3609" t="s">
        <v>2632</v>
      </c>
    </row>
    <row r="3610" spans="12:13" x14ac:dyDescent="0.25">
      <c r="L3610" s="65">
        <v>732160</v>
      </c>
      <c r="M3610" t="s">
        <v>2633</v>
      </c>
    </row>
    <row r="3611" spans="12:13" x14ac:dyDescent="0.25">
      <c r="L3611" s="65">
        <v>732161</v>
      </c>
      <c r="M3611" t="s">
        <v>2634</v>
      </c>
    </row>
    <row r="3612" spans="12:13" x14ac:dyDescent="0.25">
      <c r="L3612" s="65">
        <v>732162</v>
      </c>
      <c r="M3612" t="s">
        <v>2635</v>
      </c>
    </row>
    <row r="3613" spans="12:13" x14ac:dyDescent="0.25">
      <c r="L3613" s="65">
        <v>732165</v>
      </c>
      <c r="M3613" t="s">
        <v>2636</v>
      </c>
    </row>
    <row r="3614" spans="12:13" x14ac:dyDescent="0.25">
      <c r="L3614" s="65">
        <v>732200</v>
      </c>
      <c r="M3614" t="s">
        <v>2637</v>
      </c>
    </row>
    <row r="3615" spans="12:13" x14ac:dyDescent="0.25">
      <c r="L3615" s="65">
        <v>732220</v>
      </c>
      <c r="M3615" t="s">
        <v>2638</v>
      </c>
    </row>
    <row r="3616" spans="12:13" x14ac:dyDescent="0.25">
      <c r="L3616" s="65">
        <v>732221</v>
      </c>
      <c r="M3616" t="s">
        <v>2638</v>
      </c>
    </row>
    <row r="3617" spans="12:13" x14ac:dyDescent="0.25">
      <c r="L3617" s="65">
        <v>732230</v>
      </c>
      <c r="M3617" t="s">
        <v>2639</v>
      </c>
    </row>
    <row r="3618" spans="12:13" x14ac:dyDescent="0.25">
      <c r="L3618" s="65">
        <v>732231</v>
      </c>
      <c r="M3618" t="s">
        <v>2640</v>
      </c>
    </row>
    <row r="3619" spans="12:13" x14ac:dyDescent="0.25">
      <c r="L3619" s="65">
        <v>732232</v>
      </c>
      <c r="M3619" t="s">
        <v>2641</v>
      </c>
    </row>
    <row r="3620" spans="12:13" x14ac:dyDescent="0.25">
      <c r="L3620" s="65">
        <v>732240</v>
      </c>
      <c r="M3620" t="s">
        <v>2642</v>
      </c>
    </row>
    <row r="3621" spans="12:13" x14ac:dyDescent="0.25">
      <c r="L3621" s="65">
        <v>732241</v>
      </c>
      <c r="M3621" t="s">
        <v>2642</v>
      </c>
    </row>
    <row r="3622" spans="12:13" x14ac:dyDescent="0.25">
      <c r="L3622" s="65">
        <v>732250</v>
      </c>
      <c r="M3622" t="s">
        <v>2643</v>
      </c>
    </row>
    <row r="3623" spans="12:13" x14ac:dyDescent="0.25">
      <c r="L3623" s="65">
        <v>732251</v>
      </c>
      <c r="M3623" t="s">
        <v>2643</v>
      </c>
    </row>
    <row r="3624" spans="12:13" x14ac:dyDescent="0.25">
      <c r="L3624" s="65">
        <v>732260</v>
      </c>
      <c r="M3624" t="s">
        <v>2644</v>
      </c>
    </row>
    <row r="3625" spans="12:13" x14ac:dyDescent="0.25">
      <c r="L3625" s="65">
        <v>732261</v>
      </c>
      <c r="M3625" t="s">
        <v>2645</v>
      </c>
    </row>
    <row r="3626" spans="12:13" x14ac:dyDescent="0.25">
      <c r="L3626" s="65">
        <v>732262</v>
      </c>
      <c r="M3626" t="s">
        <v>2646</v>
      </c>
    </row>
    <row r="3627" spans="12:13" x14ac:dyDescent="0.25">
      <c r="L3627" s="65">
        <v>732265</v>
      </c>
      <c r="M3627" t="s">
        <v>2647</v>
      </c>
    </row>
    <row r="3628" spans="12:13" x14ac:dyDescent="0.25">
      <c r="L3628" s="65">
        <v>733000</v>
      </c>
      <c r="M3628" t="s">
        <v>2649</v>
      </c>
    </row>
    <row r="3629" spans="12:13" x14ac:dyDescent="0.25">
      <c r="L3629" s="65">
        <v>733100</v>
      </c>
      <c r="M3629" t="s">
        <v>2650</v>
      </c>
    </row>
    <row r="3630" spans="12:13" x14ac:dyDescent="0.25">
      <c r="L3630" s="65">
        <v>733120</v>
      </c>
      <c r="M3630" t="s">
        <v>2651</v>
      </c>
    </row>
    <row r="3631" spans="12:13" x14ac:dyDescent="0.25">
      <c r="L3631" s="65">
        <v>733121</v>
      </c>
      <c r="M3631" t="s">
        <v>2651</v>
      </c>
    </row>
    <row r="3632" spans="12:13" x14ac:dyDescent="0.25">
      <c r="L3632" s="65">
        <v>733130</v>
      </c>
      <c r="M3632" t="s">
        <v>2652</v>
      </c>
    </row>
    <row r="3633" spans="12:13" x14ac:dyDescent="0.25">
      <c r="L3633" s="65">
        <v>733131</v>
      </c>
      <c r="M3633" t="s">
        <v>2653</v>
      </c>
    </row>
    <row r="3634" spans="12:13" x14ac:dyDescent="0.25">
      <c r="L3634" s="65">
        <v>733132</v>
      </c>
      <c r="M3634" t="s">
        <v>2654</v>
      </c>
    </row>
    <row r="3635" spans="12:13" x14ac:dyDescent="0.25">
      <c r="L3635" s="65">
        <v>733133</v>
      </c>
      <c r="M3635" t="s">
        <v>2655</v>
      </c>
    </row>
    <row r="3636" spans="12:13" x14ac:dyDescent="0.25">
      <c r="L3636" s="65">
        <v>733134</v>
      </c>
      <c r="M3636" t="s">
        <v>2656</v>
      </c>
    </row>
    <row r="3637" spans="12:13" x14ac:dyDescent="0.25">
      <c r="L3637" s="65">
        <v>733135</v>
      </c>
      <c r="M3637" t="s">
        <v>2657</v>
      </c>
    </row>
    <row r="3638" spans="12:13" x14ac:dyDescent="0.25">
      <c r="L3638" s="65">
        <v>733136</v>
      </c>
      <c r="M3638" t="s">
        <v>2658</v>
      </c>
    </row>
    <row r="3639" spans="12:13" x14ac:dyDescent="0.25">
      <c r="L3639" s="65">
        <v>733140</v>
      </c>
      <c r="M3639" t="s">
        <v>2659</v>
      </c>
    </row>
    <row r="3640" spans="12:13" x14ac:dyDescent="0.25">
      <c r="L3640" s="65">
        <v>733141</v>
      </c>
      <c r="M3640" t="s">
        <v>2660</v>
      </c>
    </row>
    <row r="3641" spans="12:13" x14ac:dyDescent="0.25">
      <c r="L3641" s="65">
        <v>733142</v>
      </c>
      <c r="M3641" t="s">
        <v>2661</v>
      </c>
    </row>
    <row r="3642" spans="12:13" x14ac:dyDescent="0.25">
      <c r="L3642" s="65">
        <v>733143</v>
      </c>
      <c r="M3642" t="s">
        <v>2662</v>
      </c>
    </row>
    <row r="3643" spans="12:13" x14ac:dyDescent="0.25">
      <c r="L3643" s="65">
        <v>733144</v>
      </c>
      <c r="M3643" t="s">
        <v>2663</v>
      </c>
    </row>
    <row r="3644" spans="12:13" x14ac:dyDescent="0.25">
      <c r="L3644" s="65">
        <v>733145</v>
      </c>
      <c r="M3644" t="s">
        <v>2664</v>
      </c>
    </row>
    <row r="3645" spans="12:13" x14ac:dyDescent="0.25">
      <c r="L3645" s="65">
        <v>733146</v>
      </c>
      <c r="M3645" t="s">
        <v>2665</v>
      </c>
    </row>
    <row r="3646" spans="12:13" x14ac:dyDescent="0.25">
      <c r="L3646" s="65">
        <v>733147</v>
      </c>
      <c r="M3646" t="s">
        <v>2666</v>
      </c>
    </row>
    <row r="3647" spans="12:13" x14ac:dyDescent="0.25">
      <c r="L3647" s="65">
        <v>733148</v>
      </c>
      <c r="M3647" t="s">
        <v>2667</v>
      </c>
    </row>
    <row r="3648" spans="12:13" x14ac:dyDescent="0.25">
      <c r="L3648" s="65">
        <v>733150</v>
      </c>
      <c r="M3648" t="s">
        <v>2668</v>
      </c>
    </row>
    <row r="3649" spans="12:13" x14ac:dyDescent="0.25">
      <c r="L3649" s="65">
        <v>733151</v>
      </c>
      <c r="M3649" t="s">
        <v>2669</v>
      </c>
    </row>
    <row r="3650" spans="12:13" x14ac:dyDescent="0.25">
      <c r="L3650" s="65">
        <v>733152</v>
      </c>
      <c r="M3650" t="s">
        <v>2670</v>
      </c>
    </row>
    <row r="3651" spans="12:13" x14ac:dyDescent="0.25">
      <c r="L3651" s="65">
        <v>733153</v>
      </c>
      <c r="M3651" t="s">
        <v>2671</v>
      </c>
    </row>
    <row r="3652" spans="12:13" x14ac:dyDescent="0.25">
      <c r="L3652" s="65">
        <v>733154</v>
      </c>
      <c r="M3652" t="s">
        <v>2672</v>
      </c>
    </row>
    <row r="3653" spans="12:13" x14ac:dyDescent="0.25">
      <c r="L3653" s="65">
        <v>733155</v>
      </c>
      <c r="M3653" t="s">
        <v>2673</v>
      </c>
    </row>
    <row r="3654" spans="12:13" x14ac:dyDescent="0.25">
      <c r="L3654" s="65">
        <v>733156</v>
      </c>
      <c r="M3654" t="s">
        <v>2674</v>
      </c>
    </row>
    <row r="3655" spans="12:13" x14ac:dyDescent="0.25">
      <c r="L3655" s="65">
        <v>733157</v>
      </c>
      <c r="M3655" t="s">
        <v>2675</v>
      </c>
    </row>
    <row r="3656" spans="12:13" x14ac:dyDescent="0.25">
      <c r="L3656" s="65">
        <v>733158</v>
      </c>
      <c r="M3656" t="s">
        <v>2667</v>
      </c>
    </row>
    <row r="3657" spans="12:13" x14ac:dyDescent="0.25">
      <c r="L3657" s="65">
        <v>733160</v>
      </c>
      <c r="M3657" t="s">
        <v>2676</v>
      </c>
    </row>
    <row r="3658" spans="12:13" x14ac:dyDescent="0.25">
      <c r="L3658" s="65">
        <v>733161</v>
      </c>
      <c r="M3658" t="s">
        <v>2677</v>
      </c>
    </row>
    <row r="3659" spans="12:13" x14ac:dyDescent="0.25">
      <c r="L3659" s="65">
        <v>733162</v>
      </c>
      <c r="M3659" t="s">
        <v>2678</v>
      </c>
    </row>
    <row r="3660" spans="12:13" x14ac:dyDescent="0.25">
      <c r="L3660" s="65">
        <v>733163</v>
      </c>
      <c r="M3660" t="s">
        <v>2679</v>
      </c>
    </row>
    <row r="3661" spans="12:13" x14ac:dyDescent="0.25">
      <c r="L3661" s="65">
        <v>733164</v>
      </c>
      <c r="M3661" t="s">
        <v>2680</v>
      </c>
    </row>
    <row r="3662" spans="12:13" x14ac:dyDescent="0.25">
      <c r="L3662" s="65">
        <v>733165</v>
      </c>
      <c r="M3662" t="s">
        <v>2681</v>
      </c>
    </row>
    <row r="3663" spans="12:13" x14ac:dyDescent="0.25">
      <c r="L3663" s="65">
        <v>733166</v>
      </c>
      <c r="M3663" t="s">
        <v>2682</v>
      </c>
    </row>
    <row r="3664" spans="12:13" x14ac:dyDescent="0.25">
      <c r="L3664" s="65">
        <v>733167</v>
      </c>
      <c r="M3664" t="s">
        <v>2683</v>
      </c>
    </row>
    <row r="3665" spans="12:13" x14ac:dyDescent="0.25">
      <c r="L3665" s="65">
        <v>733168</v>
      </c>
      <c r="M3665" t="s">
        <v>2684</v>
      </c>
    </row>
    <row r="3666" spans="12:13" x14ac:dyDescent="0.25">
      <c r="L3666" s="65">
        <v>733200</v>
      </c>
      <c r="M3666" t="s">
        <v>2685</v>
      </c>
    </row>
    <row r="3667" spans="12:13" x14ac:dyDescent="0.25">
      <c r="L3667" s="65">
        <v>733220</v>
      </c>
      <c r="M3667" t="s">
        <v>2686</v>
      </c>
    </row>
    <row r="3668" spans="12:13" x14ac:dyDescent="0.25">
      <c r="L3668" s="65">
        <v>733221</v>
      </c>
      <c r="M3668" t="s">
        <v>2686</v>
      </c>
    </row>
    <row r="3669" spans="12:13" x14ac:dyDescent="0.25">
      <c r="L3669" s="65">
        <v>733230</v>
      </c>
      <c r="M3669" t="s">
        <v>2687</v>
      </c>
    </row>
    <row r="3670" spans="12:13" x14ac:dyDescent="0.25">
      <c r="L3670" s="65">
        <v>733231</v>
      </c>
      <c r="M3670" t="s">
        <v>2688</v>
      </c>
    </row>
    <row r="3671" spans="12:13" x14ac:dyDescent="0.25">
      <c r="L3671" s="65">
        <v>733232</v>
      </c>
      <c r="M3671" t="s">
        <v>2689</v>
      </c>
    </row>
    <row r="3672" spans="12:13" x14ac:dyDescent="0.25">
      <c r="L3672" s="65">
        <v>733233</v>
      </c>
      <c r="M3672" t="s">
        <v>2690</v>
      </c>
    </row>
    <row r="3673" spans="12:13" x14ac:dyDescent="0.25">
      <c r="L3673" s="65">
        <v>733234</v>
      </c>
      <c r="M3673" t="s">
        <v>2691</v>
      </c>
    </row>
    <row r="3674" spans="12:13" x14ac:dyDescent="0.25">
      <c r="L3674" s="65">
        <v>733235</v>
      </c>
      <c r="M3674" t="s">
        <v>2692</v>
      </c>
    </row>
    <row r="3675" spans="12:13" x14ac:dyDescent="0.25">
      <c r="L3675" s="65">
        <v>733236</v>
      </c>
      <c r="M3675" t="s">
        <v>2693</v>
      </c>
    </row>
    <row r="3676" spans="12:13" x14ac:dyDescent="0.25">
      <c r="L3676" s="65">
        <v>733240</v>
      </c>
      <c r="M3676" t="s">
        <v>2694</v>
      </c>
    </row>
    <row r="3677" spans="12:13" x14ac:dyDescent="0.25">
      <c r="L3677" s="65">
        <v>733241</v>
      </c>
      <c r="M3677" t="s">
        <v>2695</v>
      </c>
    </row>
    <row r="3678" spans="12:13" x14ac:dyDescent="0.25">
      <c r="L3678" s="65">
        <v>733242</v>
      </c>
      <c r="M3678" t="s">
        <v>2696</v>
      </c>
    </row>
    <row r="3679" spans="12:13" x14ac:dyDescent="0.25">
      <c r="L3679" s="65">
        <v>733243</v>
      </c>
      <c r="M3679" t="s">
        <v>2698</v>
      </c>
    </row>
    <row r="3680" spans="12:13" x14ac:dyDescent="0.25">
      <c r="L3680" s="65">
        <v>733250</v>
      </c>
      <c r="M3680" t="s">
        <v>2699</v>
      </c>
    </row>
    <row r="3681" spans="12:13" x14ac:dyDescent="0.25">
      <c r="L3681" s="65">
        <v>733251</v>
      </c>
      <c r="M3681" t="s">
        <v>2700</v>
      </c>
    </row>
    <row r="3682" spans="12:13" x14ac:dyDescent="0.25">
      <c r="L3682" s="65">
        <v>733252</v>
      </c>
      <c r="M3682" t="s">
        <v>2701</v>
      </c>
    </row>
    <row r="3683" spans="12:13" x14ac:dyDescent="0.25">
      <c r="L3683" s="65">
        <v>733253</v>
      </c>
      <c r="M3683" t="s">
        <v>2702</v>
      </c>
    </row>
    <row r="3684" spans="12:13" x14ac:dyDescent="0.25">
      <c r="L3684" s="65">
        <v>733260</v>
      </c>
      <c r="M3684" t="s">
        <v>2703</v>
      </c>
    </row>
    <row r="3685" spans="12:13" x14ac:dyDescent="0.25">
      <c r="L3685" s="65">
        <v>733261</v>
      </c>
      <c r="M3685" t="s">
        <v>2704</v>
      </c>
    </row>
    <row r="3686" spans="12:13" x14ac:dyDescent="0.25">
      <c r="L3686" s="65">
        <v>733262</v>
      </c>
      <c r="M3686" t="s">
        <v>2705</v>
      </c>
    </row>
    <row r="3687" spans="12:13" x14ac:dyDescent="0.25">
      <c r="L3687" s="65">
        <v>733265</v>
      </c>
      <c r="M3687" t="s">
        <v>2706</v>
      </c>
    </row>
    <row r="3688" spans="12:13" x14ac:dyDescent="0.25">
      <c r="L3688" s="65">
        <v>740000</v>
      </c>
      <c r="M3688" t="s">
        <v>2708</v>
      </c>
    </row>
    <row r="3689" spans="12:13" x14ac:dyDescent="0.25">
      <c r="L3689" s="65">
        <v>741000</v>
      </c>
      <c r="M3689" t="s">
        <v>2710</v>
      </c>
    </row>
    <row r="3690" spans="12:13" x14ac:dyDescent="0.25">
      <c r="L3690" s="65">
        <v>741100</v>
      </c>
      <c r="M3690" t="s">
        <v>2711</v>
      </c>
    </row>
    <row r="3691" spans="12:13" x14ac:dyDescent="0.25">
      <c r="L3691" s="65">
        <v>741120</v>
      </c>
      <c r="M3691" t="s">
        <v>2712</v>
      </c>
    </row>
    <row r="3692" spans="12:13" x14ac:dyDescent="0.25">
      <c r="L3692" s="65">
        <v>741121</v>
      </c>
      <c r="M3692" t="s">
        <v>2713</v>
      </c>
    </row>
    <row r="3693" spans="12:13" x14ac:dyDescent="0.25">
      <c r="L3693" s="65">
        <v>741122</v>
      </c>
      <c r="M3693" t="s">
        <v>2714</v>
      </c>
    </row>
    <row r="3694" spans="12:13" x14ac:dyDescent="0.25">
      <c r="L3694" s="65">
        <v>741130</v>
      </c>
      <c r="M3694" t="s">
        <v>2715</v>
      </c>
    </row>
    <row r="3695" spans="12:13" x14ac:dyDescent="0.25">
      <c r="L3695" s="65">
        <v>741131</v>
      </c>
      <c r="M3695" t="s">
        <v>2716</v>
      </c>
    </row>
    <row r="3696" spans="12:13" x14ac:dyDescent="0.25">
      <c r="L3696" s="65">
        <v>741132</v>
      </c>
      <c r="M3696" t="s">
        <v>2717</v>
      </c>
    </row>
    <row r="3697" spans="12:13" x14ac:dyDescent="0.25">
      <c r="L3697" s="65">
        <v>741140</v>
      </c>
      <c r="M3697" t="s">
        <v>2718</v>
      </c>
    </row>
    <row r="3698" spans="12:13" x14ac:dyDescent="0.25">
      <c r="L3698" s="65">
        <v>741141</v>
      </c>
      <c r="M3698" t="s">
        <v>2720</v>
      </c>
    </row>
    <row r="3699" spans="12:13" x14ac:dyDescent="0.25">
      <c r="L3699" s="65">
        <v>741142</v>
      </c>
      <c r="M3699" t="s">
        <v>2721</v>
      </c>
    </row>
    <row r="3700" spans="12:13" x14ac:dyDescent="0.25">
      <c r="L3700" s="65">
        <v>741150</v>
      </c>
      <c r="M3700" t="s">
        <v>2722</v>
      </c>
    </row>
    <row r="3701" spans="12:13" x14ac:dyDescent="0.25">
      <c r="L3701" s="65">
        <v>741151</v>
      </c>
      <c r="M3701" t="s">
        <v>2723</v>
      </c>
    </row>
    <row r="3702" spans="12:13" x14ac:dyDescent="0.25">
      <c r="L3702" s="65">
        <v>741152</v>
      </c>
      <c r="M3702" t="s">
        <v>2724</v>
      </c>
    </row>
    <row r="3703" spans="12:13" x14ac:dyDescent="0.25">
      <c r="L3703" s="65">
        <v>741160</v>
      </c>
      <c r="M3703" t="s">
        <v>2725</v>
      </c>
    </row>
    <row r="3704" spans="12:13" x14ac:dyDescent="0.25">
      <c r="L3704" s="65">
        <v>741161</v>
      </c>
      <c r="M3704" t="s">
        <v>2726</v>
      </c>
    </row>
    <row r="3705" spans="12:13" x14ac:dyDescent="0.25">
      <c r="L3705" s="65">
        <v>741162</v>
      </c>
      <c r="M3705" t="s">
        <v>2727</v>
      </c>
    </row>
    <row r="3706" spans="12:13" x14ac:dyDescent="0.25">
      <c r="L3706" s="65">
        <v>741165</v>
      </c>
      <c r="M3706" t="s">
        <v>2728</v>
      </c>
    </row>
    <row r="3707" spans="12:13" x14ac:dyDescent="0.25">
      <c r="L3707" s="65">
        <v>741200</v>
      </c>
      <c r="M3707" t="s">
        <v>2729</v>
      </c>
    </row>
    <row r="3708" spans="12:13" x14ac:dyDescent="0.25">
      <c r="L3708" s="65">
        <v>741210</v>
      </c>
      <c r="M3708" t="s">
        <v>2730</v>
      </c>
    </row>
    <row r="3709" spans="12:13" x14ac:dyDescent="0.25">
      <c r="L3709" s="65">
        <v>741211</v>
      </c>
      <c r="M3709" t="s">
        <v>2731</v>
      </c>
    </row>
    <row r="3710" spans="12:13" x14ac:dyDescent="0.25">
      <c r="L3710" s="65">
        <v>741212</v>
      </c>
      <c r="M3710" t="s">
        <v>2732</v>
      </c>
    </row>
    <row r="3711" spans="12:13" x14ac:dyDescent="0.25">
      <c r="L3711" s="65">
        <v>741220</v>
      </c>
      <c r="M3711" t="s">
        <v>2733</v>
      </c>
    </row>
    <row r="3712" spans="12:13" x14ac:dyDescent="0.25">
      <c r="L3712" s="65">
        <v>741221</v>
      </c>
      <c r="M3712" t="s">
        <v>2733</v>
      </c>
    </row>
    <row r="3713" spans="12:13" x14ac:dyDescent="0.25">
      <c r="L3713" s="65">
        <v>741222</v>
      </c>
      <c r="M3713" t="s">
        <v>2734</v>
      </c>
    </row>
    <row r="3714" spans="12:13" x14ac:dyDescent="0.25">
      <c r="L3714" s="65">
        <v>741223</v>
      </c>
      <c r="M3714" t="s">
        <v>2735</v>
      </c>
    </row>
    <row r="3715" spans="12:13" x14ac:dyDescent="0.25">
      <c r="L3715" s="65">
        <v>741224</v>
      </c>
      <c r="M3715" t="s">
        <v>2736</v>
      </c>
    </row>
    <row r="3716" spans="12:13" x14ac:dyDescent="0.25">
      <c r="L3716" s="65">
        <v>741230</v>
      </c>
      <c r="M3716" t="s">
        <v>2737</v>
      </c>
    </row>
    <row r="3717" spans="12:13" x14ac:dyDescent="0.25">
      <c r="L3717" s="65">
        <v>741231</v>
      </c>
      <c r="M3717" t="s">
        <v>2738</v>
      </c>
    </row>
    <row r="3718" spans="12:13" x14ac:dyDescent="0.25">
      <c r="L3718" s="65">
        <v>741232</v>
      </c>
      <c r="M3718" t="s">
        <v>2739</v>
      </c>
    </row>
    <row r="3719" spans="12:13" x14ac:dyDescent="0.25">
      <c r="L3719" s="65">
        <v>741240</v>
      </c>
      <c r="M3719" t="s">
        <v>2740</v>
      </c>
    </row>
    <row r="3720" spans="12:13" x14ac:dyDescent="0.25">
      <c r="L3720" s="65">
        <v>741241</v>
      </c>
      <c r="M3720" t="s">
        <v>2740</v>
      </c>
    </row>
    <row r="3721" spans="12:13" x14ac:dyDescent="0.25">
      <c r="L3721" s="65">
        <v>741250</v>
      </c>
      <c r="M3721" t="s">
        <v>2741</v>
      </c>
    </row>
    <row r="3722" spans="12:13" x14ac:dyDescent="0.25">
      <c r="L3722" s="65">
        <v>741251</v>
      </c>
      <c r="M3722" t="s">
        <v>2741</v>
      </c>
    </row>
    <row r="3723" spans="12:13" x14ac:dyDescent="0.25">
      <c r="L3723" s="65">
        <v>741260</v>
      </c>
      <c r="M3723" t="s">
        <v>2742</v>
      </c>
    </row>
    <row r="3724" spans="12:13" x14ac:dyDescent="0.25">
      <c r="L3724" s="65">
        <v>741261</v>
      </c>
      <c r="M3724" t="s">
        <v>2743</v>
      </c>
    </row>
    <row r="3725" spans="12:13" x14ac:dyDescent="0.25">
      <c r="L3725" s="65">
        <v>741262</v>
      </c>
      <c r="M3725" t="s">
        <v>2744</v>
      </c>
    </row>
    <row r="3726" spans="12:13" x14ac:dyDescent="0.25">
      <c r="L3726" s="65">
        <v>741265</v>
      </c>
      <c r="M3726" t="s">
        <v>2745</v>
      </c>
    </row>
    <row r="3727" spans="12:13" x14ac:dyDescent="0.25">
      <c r="L3727" s="65">
        <v>741300</v>
      </c>
      <c r="M3727" t="s">
        <v>2746</v>
      </c>
    </row>
    <row r="3728" spans="12:13" x14ac:dyDescent="0.25">
      <c r="L3728" s="65">
        <v>741310</v>
      </c>
      <c r="M3728" t="s">
        <v>2746</v>
      </c>
    </row>
    <row r="3729" spans="12:13" x14ac:dyDescent="0.25">
      <c r="L3729" s="65">
        <v>741311</v>
      </c>
      <c r="M3729" t="s">
        <v>2746</v>
      </c>
    </row>
    <row r="3730" spans="12:13" x14ac:dyDescent="0.25">
      <c r="L3730" s="65">
        <v>741400</v>
      </c>
      <c r="M3730" t="s">
        <v>2747</v>
      </c>
    </row>
    <row r="3731" spans="12:13" x14ac:dyDescent="0.25">
      <c r="L3731" s="65">
        <v>741410</v>
      </c>
      <c r="M3731" t="s">
        <v>2747</v>
      </c>
    </row>
    <row r="3732" spans="12:13" x14ac:dyDescent="0.25">
      <c r="L3732" s="65">
        <v>741411</v>
      </c>
      <c r="M3732" t="s">
        <v>2749</v>
      </c>
    </row>
    <row r="3733" spans="12:13" x14ac:dyDescent="0.25">
      <c r="L3733" s="65">
        <v>741412</v>
      </c>
      <c r="M3733" t="s">
        <v>2750</v>
      </c>
    </row>
    <row r="3734" spans="12:13" x14ac:dyDescent="0.25">
      <c r="L3734" s="65">
        <v>741413</v>
      </c>
      <c r="M3734" t="s">
        <v>2751</v>
      </c>
    </row>
    <row r="3735" spans="12:13" x14ac:dyDescent="0.25">
      <c r="L3735" s="65">
        <v>741414</v>
      </c>
      <c r="M3735" t="s">
        <v>2752</v>
      </c>
    </row>
    <row r="3736" spans="12:13" x14ac:dyDescent="0.25">
      <c r="L3736" s="65">
        <v>741500</v>
      </c>
      <c r="M3736" t="s">
        <v>2753</v>
      </c>
    </row>
    <row r="3737" spans="12:13" x14ac:dyDescent="0.25">
      <c r="L3737" s="65">
        <v>741510</v>
      </c>
      <c r="M3737" t="s">
        <v>2755</v>
      </c>
    </row>
    <row r="3738" spans="12:13" x14ac:dyDescent="0.25">
      <c r="L3738" s="65">
        <v>741511</v>
      </c>
      <c r="M3738" t="s">
        <v>2756</v>
      </c>
    </row>
    <row r="3739" spans="12:13" x14ac:dyDescent="0.25">
      <c r="L3739" s="65">
        <v>741512</v>
      </c>
      <c r="M3739" t="s">
        <v>2757</v>
      </c>
    </row>
    <row r="3740" spans="12:13" x14ac:dyDescent="0.25">
      <c r="L3740" s="65">
        <v>741513</v>
      </c>
      <c r="M3740" t="s">
        <v>2758</v>
      </c>
    </row>
    <row r="3741" spans="12:13" x14ac:dyDescent="0.25">
      <c r="L3741" s="65">
        <v>741514</v>
      </c>
      <c r="M3741" t="s">
        <v>2759</v>
      </c>
    </row>
    <row r="3742" spans="12:13" x14ac:dyDescent="0.25">
      <c r="L3742" s="65">
        <v>741515</v>
      </c>
      <c r="M3742" t="s">
        <v>2760</v>
      </c>
    </row>
    <row r="3743" spans="12:13" x14ac:dyDescent="0.25">
      <c r="L3743" s="65">
        <v>741516</v>
      </c>
      <c r="M3743" t="s">
        <v>2761</v>
      </c>
    </row>
    <row r="3744" spans="12:13" x14ac:dyDescent="0.25">
      <c r="L3744" s="65">
        <v>741517</v>
      </c>
      <c r="M3744" t="s">
        <v>2762</v>
      </c>
    </row>
    <row r="3745" spans="12:13" x14ac:dyDescent="0.25">
      <c r="L3745" s="65">
        <v>741520</v>
      </c>
      <c r="M3745" t="s">
        <v>2764</v>
      </c>
    </row>
    <row r="3746" spans="12:13" x14ac:dyDescent="0.25">
      <c r="L3746" s="65">
        <v>741521</v>
      </c>
      <c r="M3746" t="s">
        <v>2765</v>
      </c>
    </row>
    <row r="3747" spans="12:13" x14ac:dyDescent="0.25">
      <c r="L3747" s="65">
        <v>741522</v>
      </c>
      <c r="M3747" t="s">
        <v>2766</v>
      </c>
    </row>
    <row r="3748" spans="12:13" x14ac:dyDescent="0.25">
      <c r="L3748" s="65">
        <v>741523</v>
      </c>
      <c r="M3748" t="s">
        <v>2767</v>
      </c>
    </row>
    <row r="3749" spans="12:13" x14ac:dyDescent="0.25">
      <c r="L3749" s="65">
        <v>741524</v>
      </c>
      <c r="M3749" t="s">
        <v>2768</v>
      </c>
    </row>
    <row r="3750" spans="12:13" x14ac:dyDescent="0.25">
      <c r="L3750" s="65">
        <v>741525</v>
      </c>
      <c r="M3750" t="s">
        <v>2769</v>
      </c>
    </row>
    <row r="3751" spans="12:13" x14ac:dyDescent="0.25">
      <c r="L3751" s="65">
        <v>741526</v>
      </c>
      <c r="M3751" t="s">
        <v>2770</v>
      </c>
    </row>
    <row r="3752" spans="12:13" x14ac:dyDescent="0.25">
      <c r="L3752" s="65">
        <v>741527</v>
      </c>
      <c r="M3752" t="s">
        <v>2771</v>
      </c>
    </row>
    <row r="3753" spans="12:13" x14ac:dyDescent="0.25">
      <c r="L3753" s="65">
        <v>741528</v>
      </c>
      <c r="M3753" t="s">
        <v>2772</v>
      </c>
    </row>
    <row r="3754" spans="12:13" x14ac:dyDescent="0.25">
      <c r="L3754" s="65">
        <v>741529</v>
      </c>
      <c r="M3754" t="s">
        <v>2773</v>
      </c>
    </row>
    <row r="3755" spans="12:13" x14ac:dyDescent="0.25">
      <c r="L3755" s="65">
        <v>741530</v>
      </c>
      <c r="M3755" t="s">
        <v>2774</v>
      </c>
    </row>
    <row r="3756" spans="12:13" x14ac:dyDescent="0.25">
      <c r="L3756" s="65">
        <v>741531</v>
      </c>
      <c r="M3756" t="s">
        <v>2776</v>
      </c>
    </row>
    <row r="3757" spans="12:13" x14ac:dyDescent="0.25">
      <c r="L3757" s="65">
        <v>741532</v>
      </c>
      <c r="M3757" t="s">
        <v>2778</v>
      </c>
    </row>
    <row r="3758" spans="12:13" x14ac:dyDescent="0.25">
      <c r="L3758" s="65">
        <v>741533</v>
      </c>
      <c r="M3758" t="s">
        <v>2780</v>
      </c>
    </row>
    <row r="3759" spans="12:13" x14ac:dyDescent="0.25">
      <c r="L3759" s="65">
        <v>741534</v>
      </c>
      <c r="M3759" t="s">
        <v>2782</v>
      </c>
    </row>
    <row r="3760" spans="12:13" x14ac:dyDescent="0.25">
      <c r="L3760" s="65">
        <v>741535</v>
      </c>
      <c r="M3760" t="s">
        <v>2784</v>
      </c>
    </row>
    <row r="3761" spans="12:13" x14ac:dyDescent="0.25">
      <c r="L3761" s="65">
        <v>741536</v>
      </c>
      <c r="M3761" t="s">
        <v>2785</v>
      </c>
    </row>
    <row r="3762" spans="12:13" x14ac:dyDescent="0.25">
      <c r="L3762" s="65">
        <v>741537</v>
      </c>
      <c r="M3762" t="s">
        <v>2786</v>
      </c>
    </row>
    <row r="3763" spans="12:13" x14ac:dyDescent="0.25">
      <c r="L3763" s="65">
        <v>741540</v>
      </c>
      <c r="M3763" t="s">
        <v>2787</v>
      </c>
    </row>
    <row r="3764" spans="12:13" x14ac:dyDescent="0.25">
      <c r="L3764" s="65">
        <v>741541</v>
      </c>
      <c r="M3764" t="s">
        <v>2788</v>
      </c>
    </row>
    <row r="3765" spans="12:13" x14ac:dyDescent="0.25">
      <c r="L3765" s="65">
        <v>741542</v>
      </c>
      <c r="M3765" t="s">
        <v>2790</v>
      </c>
    </row>
    <row r="3766" spans="12:13" x14ac:dyDescent="0.25">
      <c r="L3766" s="65">
        <v>741543</v>
      </c>
      <c r="M3766" t="s">
        <v>2791</v>
      </c>
    </row>
    <row r="3767" spans="12:13" x14ac:dyDescent="0.25">
      <c r="L3767" s="65">
        <v>741550</v>
      </c>
      <c r="M3767" t="s">
        <v>2792</v>
      </c>
    </row>
    <row r="3768" spans="12:13" x14ac:dyDescent="0.25">
      <c r="L3768" s="65">
        <v>741551</v>
      </c>
      <c r="M3768" t="s">
        <v>2792</v>
      </c>
    </row>
    <row r="3769" spans="12:13" x14ac:dyDescent="0.25">
      <c r="L3769" s="65">
        <v>741560</v>
      </c>
      <c r="M3769" t="s">
        <v>2794</v>
      </c>
    </row>
    <row r="3770" spans="12:13" x14ac:dyDescent="0.25">
      <c r="L3770" s="65">
        <v>741561</v>
      </c>
      <c r="M3770" t="s">
        <v>2795</v>
      </c>
    </row>
    <row r="3771" spans="12:13" x14ac:dyDescent="0.25">
      <c r="L3771" s="65">
        <v>741562</v>
      </c>
      <c r="M3771" t="s">
        <v>2796</v>
      </c>
    </row>
    <row r="3772" spans="12:13" x14ac:dyDescent="0.25">
      <c r="L3772" s="65">
        <v>741563</v>
      </c>
      <c r="M3772" t="s">
        <v>2797</v>
      </c>
    </row>
    <row r="3773" spans="12:13" x14ac:dyDescent="0.25">
      <c r="L3773" s="65">
        <v>741564</v>
      </c>
      <c r="M3773" t="s">
        <v>2798</v>
      </c>
    </row>
    <row r="3774" spans="12:13" x14ac:dyDescent="0.25">
      <c r="L3774" s="65">
        <v>741565</v>
      </c>
      <c r="M3774" t="s">
        <v>2799</v>
      </c>
    </row>
    <row r="3775" spans="12:13" x14ac:dyDescent="0.25">
      <c r="L3775" s="65">
        <v>741566</v>
      </c>
      <c r="M3775" t="s">
        <v>2800</v>
      </c>
    </row>
    <row r="3776" spans="12:13" x14ac:dyDescent="0.25">
      <c r="L3776" s="65">
        <v>741567</v>
      </c>
      <c r="M3776" t="s">
        <v>2801</v>
      </c>
    </row>
    <row r="3777" spans="12:13" x14ac:dyDescent="0.25">
      <c r="L3777" s="65">
        <v>741568</v>
      </c>
      <c r="M3777" t="s">
        <v>2802</v>
      </c>
    </row>
    <row r="3778" spans="12:13" x14ac:dyDescent="0.25">
      <c r="L3778" s="65">
        <v>741569</v>
      </c>
      <c r="M3778" t="s">
        <v>2803</v>
      </c>
    </row>
    <row r="3779" spans="12:13" x14ac:dyDescent="0.25">
      <c r="L3779" s="65">
        <v>741570</v>
      </c>
      <c r="M3779" t="s">
        <v>2804</v>
      </c>
    </row>
    <row r="3780" spans="12:13" x14ac:dyDescent="0.25">
      <c r="L3780" s="65">
        <v>741571</v>
      </c>
      <c r="M3780" t="s">
        <v>2804</v>
      </c>
    </row>
    <row r="3781" spans="12:13" x14ac:dyDescent="0.25">
      <c r="L3781" s="65">
        <v>741572</v>
      </c>
      <c r="M3781" t="s">
        <v>2805</v>
      </c>
    </row>
    <row r="3782" spans="12:13" x14ac:dyDescent="0.25">
      <c r="L3782" s="65">
        <v>741580</v>
      </c>
      <c r="M3782" t="s">
        <v>2806</v>
      </c>
    </row>
    <row r="3783" spans="12:13" x14ac:dyDescent="0.25">
      <c r="L3783" s="65">
        <v>741581</v>
      </c>
      <c r="M3783" t="s">
        <v>2807</v>
      </c>
    </row>
    <row r="3784" spans="12:13" x14ac:dyDescent="0.25">
      <c r="L3784" s="65">
        <v>741582</v>
      </c>
      <c r="M3784" t="s">
        <v>2808</v>
      </c>
    </row>
    <row r="3785" spans="12:13" x14ac:dyDescent="0.25">
      <c r="L3785" s="65">
        <v>741583</v>
      </c>
      <c r="M3785" t="s">
        <v>2809</v>
      </c>
    </row>
    <row r="3786" spans="12:13" x14ac:dyDescent="0.25">
      <c r="L3786" s="65">
        <v>741590</v>
      </c>
      <c r="M3786" t="s">
        <v>2810</v>
      </c>
    </row>
    <row r="3787" spans="12:13" x14ac:dyDescent="0.25">
      <c r="L3787" s="65">
        <v>741591</v>
      </c>
      <c r="M3787" t="s">
        <v>2811</v>
      </c>
    </row>
    <row r="3788" spans="12:13" x14ac:dyDescent="0.25">
      <c r="L3788" s="65">
        <v>741592</v>
      </c>
      <c r="M3788" t="s">
        <v>2812</v>
      </c>
    </row>
    <row r="3789" spans="12:13" x14ac:dyDescent="0.25">
      <c r="L3789" s="65">
        <v>741593</v>
      </c>
      <c r="M3789" t="s">
        <v>2813</v>
      </c>
    </row>
    <row r="3790" spans="12:13" x14ac:dyDescent="0.25">
      <c r="L3790" s="65">
        <v>741594</v>
      </c>
      <c r="M3790" t="s">
        <v>2814</v>
      </c>
    </row>
    <row r="3791" spans="12:13" x14ac:dyDescent="0.25">
      <c r="L3791" s="65">
        <v>741595</v>
      </c>
      <c r="M3791" t="s">
        <v>2815</v>
      </c>
    </row>
    <row r="3792" spans="12:13" x14ac:dyDescent="0.25">
      <c r="L3792" s="65">
        <v>741600</v>
      </c>
      <c r="M3792" t="s">
        <v>1660</v>
      </c>
    </row>
    <row r="3793" spans="12:13" x14ac:dyDescent="0.25">
      <c r="L3793" s="65">
        <v>741610</v>
      </c>
      <c r="M3793" t="s">
        <v>1660</v>
      </c>
    </row>
    <row r="3794" spans="12:13" x14ac:dyDescent="0.25">
      <c r="L3794" s="65">
        <v>741611</v>
      </c>
      <c r="M3794" t="s">
        <v>1660</v>
      </c>
    </row>
    <row r="3795" spans="12:13" x14ac:dyDescent="0.25">
      <c r="L3795" s="65">
        <v>742000</v>
      </c>
      <c r="M3795" t="s">
        <v>2817</v>
      </c>
    </row>
    <row r="3796" spans="12:13" x14ac:dyDescent="0.25">
      <c r="L3796" s="65">
        <v>742100</v>
      </c>
      <c r="M3796" t="s">
        <v>2818</v>
      </c>
    </row>
    <row r="3797" spans="12:13" x14ac:dyDescent="0.25">
      <c r="L3797" s="65">
        <v>742120</v>
      </c>
      <c r="M3797" t="s">
        <v>2819</v>
      </c>
    </row>
    <row r="3798" spans="12:13" x14ac:dyDescent="0.25">
      <c r="L3798" s="65">
        <v>742121</v>
      </c>
      <c r="M3798" t="s">
        <v>2820</v>
      </c>
    </row>
    <row r="3799" spans="12:13" x14ac:dyDescent="0.25">
      <c r="L3799" s="65">
        <v>742122</v>
      </c>
      <c r="M3799" t="s">
        <v>2821</v>
      </c>
    </row>
    <row r="3800" spans="12:13" x14ac:dyDescent="0.25">
      <c r="L3800" s="65">
        <v>742123</v>
      </c>
      <c r="M3800" t="s">
        <v>2822</v>
      </c>
    </row>
    <row r="3801" spans="12:13" x14ac:dyDescent="0.25">
      <c r="L3801" s="65">
        <v>742124</v>
      </c>
      <c r="M3801" t="s">
        <v>2823</v>
      </c>
    </row>
    <row r="3802" spans="12:13" x14ac:dyDescent="0.25">
      <c r="L3802" s="65">
        <v>742125</v>
      </c>
      <c r="M3802" t="s">
        <v>2824</v>
      </c>
    </row>
    <row r="3803" spans="12:13" x14ac:dyDescent="0.25">
      <c r="L3803" s="65">
        <v>742126</v>
      </c>
      <c r="M3803" t="s">
        <v>2825</v>
      </c>
    </row>
    <row r="3804" spans="12:13" x14ac:dyDescent="0.25">
      <c r="L3804" s="65">
        <v>742127</v>
      </c>
      <c r="M3804" t="s">
        <v>2826</v>
      </c>
    </row>
    <row r="3805" spans="12:13" x14ac:dyDescent="0.25">
      <c r="L3805" s="65">
        <v>742128</v>
      </c>
      <c r="M3805" t="s">
        <v>2827</v>
      </c>
    </row>
    <row r="3806" spans="12:13" x14ac:dyDescent="0.25">
      <c r="L3806" s="65">
        <v>742129</v>
      </c>
      <c r="M3806" t="s">
        <v>2828</v>
      </c>
    </row>
    <row r="3807" spans="12:13" x14ac:dyDescent="0.25">
      <c r="L3807" s="65">
        <v>742130</v>
      </c>
      <c r="M3807" t="s">
        <v>2829</v>
      </c>
    </row>
    <row r="3808" spans="12:13" x14ac:dyDescent="0.25">
      <c r="L3808" s="65">
        <v>742131</v>
      </c>
      <c r="M3808" t="s">
        <v>2830</v>
      </c>
    </row>
    <row r="3809" spans="12:13" x14ac:dyDescent="0.25">
      <c r="L3809" s="65">
        <v>742132</v>
      </c>
      <c r="M3809" t="s">
        <v>2831</v>
      </c>
    </row>
    <row r="3810" spans="12:13" x14ac:dyDescent="0.25">
      <c r="L3810" s="65">
        <v>742133</v>
      </c>
      <c r="M3810" t="s">
        <v>2832</v>
      </c>
    </row>
    <row r="3811" spans="12:13" x14ac:dyDescent="0.25">
      <c r="L3811" s="65">
        <v>742134</v>
      </c>
      <c r="M3811" t="s">
        <v>2833</v>
      </c>
    </row>
    <row r="3812" spans="12:13" x14ac:dyDescent="0.25">
      <c r="L3812" s="65">
        <v>742135</v>
      </c>
      <c r="M3812" t="s">
        <v>2834</v>
      </c>
    </row>
    <row r="3813" spans="12:13" x14ac:dyDescent="0.25">
      <c r="L3813" s="65">
        <v>742136</v>
      </c>
      <c r="M3813" t="s">
        <v>2835</v>
      </c>
    </row>
    <row r="3814" spans="12:13" x14ac:dyDescent="0.25">
      <c r="L3814" s="65">
        <v>742140</v>
      </c>
      <c r="M3814" t="s">
        <v>2836</v>
      </c>
    </row>
    <row r="3815" spans="12:13" x14ac:dyDescent="0.25">
      <c r="L3815" s="65">
        <v>742141</v>
      </c>
      <c r="M3815" t="s">
        <v>2836</v>
      </c>
    </row>
    <row r="3816" spans="12:13" x14ac:dyDescent="0.25">
      <c r="L3816" s="65">
        <v>742142</v>
      </c>
      <c r="M3816" t="s">
        <v>2838</v>
      </c>
    </row>
    <row r="3817" spans="12:13" x14ac:dyDescent="0.25">
      <c r="L3817" s="65">
        <v>742143</v>
      </c>
      <c r="M3817" t="s">
        <v>2840</v>
      </c>
    </row>
    <row r="3818" spans="12:13" x14ac:dyDescent="0.25">
      <c r="L3818" s="65">
        <v>742144</v>
      </c>
      <c r="M3818" t="s">
        <v>2841</v>
      </c>
    </row>
    <row r="3819" spans="12:13" x14ac:dyDescent="0.25">
      <c r="L3819" s="65">
        <v>742145</v>
      </c>
      <c r="M3819" t="s">
        <v>2842</v>
      </c>
    </row>
    <row r="3820" spans="12:13" x14ac:dyDescent="0.25">
      <c r="L3820" s="65">
        <v>742150</v>
      </c>
      <c r="M3820" t="s">
        <v>2843</v>
      </c>
    </row>
    <row r="3821" spans="12:13" x14ac:dyDescent="0.25">
      <c r="L3821" s="65">
        <v>742151</v>
      </c>
      <c r="M3821" t="s">
        <v>2844</v>
      </c>
    </row>
    <row r="3822" spans="12:13" x14ac:dyDescent="0.25">
      <c r="L3822" s="65">
        <v>742152</v>
      </c>
      <c r="M3822" t="s">
        <v>2845</v>
      </c>
    </row>
    <row r="3823" spans="12:13" x14ac:dyDescent="0.25">
      <c r="L3823" s="65">
        <v>742153</v>
      </c>
      <c r="M3823" t="s">
        <v>2846</v>
      </c>
    </row>
    <row r="3824" spans="12:13" x14ac:dyDescent="0.25">
      <c r="L3824" s="65">
        <v>742154</v>
      </c>
      <c r="M3824" t="s">
        <v>2847</v>
      </c>
    </row>
    <row r="3825" spans="12:13" x14ac:dyDescent="0.25">
      <c r="L3825" s="65">
        <v>742155</v>
      </c>
      <c r="M3825" t="s">
        <v>2848</v>
      </c>
    </row>
    <row r="3826" spans="12:13" x14ac:dyDescent="0.25">
      <c r="L3826" s="65">
        <v>742160</v>
      </c>
      <c r="M3826" t="s">
        <v>2849</v>
      </c>
    </row>
    <row r="3827" spans="12:13" x14ac:dyDescent="0.25">
      <c r="L3827" s="65">
        <v>742161</v>
      </c>
      <c r="M3827" t="s">
        <v>2850</v>
      </c>
    </row>
    <row r="3828" spans="12:13" x14ac:dyDescent="0.25">
      <c r="L3828" s="65">
        <v>742162</v>
      </c>
      <c r="M3828" t="s">
        <v>2851</v>
      </c>
    </row>
    <row r="3829" spans="12:13" x14ac:dyDescent="0.25">
      <c r="L3829" s="65">
        <v>742165</v>
      </c>
      <c r="M3829" t="s">
        <v>2852</v>
      </c>
    </row>
    <row r="3830" spans="12:13" x14ac:dyDescent="0.25">
      <c r="L3830" s="65">
        <v>742200</v>
      </c>
      <c r="M3830" t="s">
        <v>2853</v>
      </c>
    </row>
    <row r="3831" spans="12:13" x14ac:dyDescent="0.25">
      <c r="L3831" s="65">
        <v>742210</v>
      </c>
      <c r="M3831" t="s">
        <v>2854</v>
      </c>
    </row>
    <row r="3832" spans="12:13" x14ac:dyDescent="0.25">
      <c r="L3832" s="65">
        <v>742213</v>
      </c>
      <c r="M3832" t="s">
        <v>2854</v>
      </c>
    </row>
    <row r="3833" spans="12:13" x14ac:dyDescent="0.25">
      <c r="L3833" s="65">
        <v>742220</v>
      </c>
      <c r="M3833" t="s">
        <v>2855</v>
      </c>
    </row>
    <row r="3834" spans="12:13" x14ac:dyDescent="0.25">
      <c r="L3834" s="65">
        <v>742221</v>
      </c>
      <c r="M3834" t="s">
        <v>2856</v>
      </c>
    </row>
    <row r="3835" spans="12:13" x14ac:dyDescent="0.25">
      <c r="L3835" s="65">
        <v>742222</v>
      </c>
      <c r="M3835" t="s">
        <v>2857</v>
      </c>
    </row>
    <row r="3836" spans="12:13" x14ac:dyDescent="0.25">
      <c r="L3836" s="65">
        <v>742223</v>
      </c>
      <c r="M3836" t="s">
        <v>2858</v>
      </c>
    </row>
    <row r="3837" spans="12:13" x14ac:dyDescent="0.25">
      <c r="L3837" s="65">
        <v>742224</v>
      </c>
      <c r="M3837" t="s">
        <v>2859</v>
      </c>
    </row>
    <row r="3838" spans="12:13" x14ac:dyDescent="0.25">
      <c r="L3838" s="65">
        <v>742225</v>
      </c>
      <c r="M3838" t="s">
        <v>2860</v>
      </c>
    </row>
    <row r="3839" spans="12:13" x14ac:dyDescent="0.25">
      <c r="L3839" s="65">
        <v>742226</v>
      </c>
      <c r="M3839" t="s">
        <v>2861</v>
      </c>
    </row>
    <row r="3840" spans="12:13" x14ac:dyDescent="0.25">
      <c r="L3840" s="65">
        <v>742227</v>
      </c>
      <c r="M3840" t="s">
        <v>2862</v>
      </c>
    </row>
    <row r="3841" spans="12:13" x14ac:dyDescent="0.25">
      <c r="L3841" s="65">
        <v>742228</v>
      </c>
      <c r="M3841" t="s">
        <v>2863</v>
      </c>
    </row>
    <row r="3842" spans="12:13" x14ac:dyDescent="0.25">
      <c r="L3842" s="65">
        <v>742229</v>
      </c>
      <c r="M3842" t="s">
        <v>2864</v>
      </c>
    </row>
    <row r="3843" spans="12:13" x14ac:dyDescent="0.25">
      <c r="L3843" s="65">
        <v>742230</v>
      </c>
      <c r="M3843" t="s">
        <v>2865</v>
      </c>
    </row>
    <row r="3844" spans="12:13" x14ac:dyDescent="0.25">
      <c r="L3844" s="65">
        <v>742231</v>
      </c>
      <c r="M3844" t="s">
        <v>2866</v>
      </c>
    </row>
    <row r="3845" spans="12:13" x14ac:dyDescent="0.25">
      <c r="L3845" s="65">
        <v>742232</v>
      </c>
      <c r="M3845" t="s">
        <v>2867</v>
      </c>
    </row>
    <row r="3846" spans="12:13" x14ac:dyDescent="0.25">
      <c r="L3846" s="65">
        <v>742240</v>
      </c>
      <c r="M3846" t="s">
        <v>2868</v>
      </c>
    </row>
    <row r="3847" spans="12:13" x14ac:dyDescent="0.25">
      <c r="L3847" s="65">
        <v>742241</v>
      </c>
      <c r="M3847" t="s">
        <v>2869</v>
      </c>
    </row>
    <row r="3848" spans="12:13" x14ac:dyDescent="0.25">
      <c r="L3848" s="65">
        <v>742250</v>
      </c>
      <c r="M3848" t="s">
        <v>2870</v>
      </c>
    </row>
    <row r="3849" spans="12:13" x14ac:dyDescent="0.25">
      <c r="L3849" s="65">
        <v>742251</v>
      </c>
      <c r="M3849" t="s">
        <v>2871</v>
      </c>
    </row>
    <row r="3850" spans="12:13" x14ac:dyDescent="0.25">
      <c r="L3850" s="65">
        <v>742252</v>
      </c>
      <c r="M3850" t="s">
        <v>2872</v>
      </c>
    </row>
    <row r="3851" spans="12:13" x14ac:dyDescent="0.25">
      <c r="L3851" s="65">
        <v>742253</v>
      </c>
      <c r="M3851" t="s">
        <v>2873</v>
      </c>
    </row>
    <row r="3852" spans="12:13" x14ac:dyDescent="0.25">
      <c r="L3852" s="65">
        <v>742254</v>
      </c>
      <c r="M3852" t="s">
        <v>2874</v>
      </c>
    </row>
    <row r="3853" spans="12:13" x14ac:dyDescent="0.25">
      <c r="L3853" s="65">
        <v>742260</v>
      </c>
      <c r="M3853" t="s">
        <v>2875</v>
      </c>
    </row>
    <row r="3854" spans="12:13" x14ac:dyDescent="0.25">
      <c r="L3854" s="65">
        <v>742261</v>
      </c>
      <c r="M3854" t="s">
        <v>2876</v>
      </c>
    </row>
    <row r="3855" spans="12:13" x14ac:dyDescent="0.25">
      <c r="L3855" s="65">
        <v>742262</v>
      </c>
      <c r="M3855" t="s">
        <v>2877</v>
      </c>
    </row>
    <row r="3856" spans="12:13" x14ac:dyDescent="0.25">
      <c r="L3856" s="65">
        <v>742265</v>
      </c>
      <c r="M3856" t="s">
        <v>2878</v>
      </c>
    </row>
    <row r="3857" spans="12:13" x14ac:dyDescent="0.25">
      <c r="L3857" s="65">
        <v>742270</v>
      </c>
      <c r="M3857" t="s">
        <v>2879</v>
      </c>
    </row>
    <row r="3858" spans="12:13" x14ac:dyDescent="0.25">
      <c r="L3858" s="65">
        <v>742271</v>
      </c>
      <c r="M3858" t="s">
        <v>2880</v>
      </c>
    </row>
    <row r="3859" spans="12:13" x14ac:dyDescent="0.25">
      <c r="L3859" s="65">
        <v>742272</v>
      </c>
      <c r="M3859" t="s">
        <v>2881</v>
      </c>
    </row>
    <row r="3860" spans="12:13" x14ac:dyDescent="0.25">
      <c r="L3860" s="65">
        <v>742280</v>
      </c>
      <c r="M3860" t="s">
        <v>2882</v>
      </c>
    </row>
    <row r="3861" spans="12:13" x14ac:dyDescent="0.25">
      <c r="L3861" s="65">
        <v>742281</v>
      </c>
      <c r="M3861" t="s">
        <v>2883</v>
      </c>
    </row>
    <row r="3862" spans="12:13" x14ac:dyDescent="0.25">
      <c r="L3862" s="65">
        <v>742282</v>
      </c>
      <c r="M3862" t="s">
        <v>2884</v>
      </c>
    </row>
    <row r="3863" spans="12:13" x14ac:dyDescent="0.25">
      <c r="L3863" s="65">
        <v>742283</v>
      </c>
      <c r="M3863" t="s">
        <v>2885</v>
      </c>
    </row>
    <row r="3864" spans="12:13" x14ac:dyDescent="0.25">
      <c r="L3864" s="65">
        <v>742284</v>
      </c>
      <c r="M3864" t="s">
        <v>2886</v>
      </c>
    </row>
    <row r="3865" spans="12:13" x14ac:dyDescent="0.25">
      <c r="L3865" s="65">
        <v>742285</v>
      </c>
      <c r="M3865" t="s">
        <v>2887</v>
      </c>
    </row>
    <row r="3866" spans="12:13" x14ac:dyDescent="0.25">
      <c r="L3866" s="65">
        <v>742286</v>
      </c>
      <c r="M3866" t="s">
        <v>2888</v>
      </c>
    </row>
    <row r="3867" spans="12:13" x14ac:dyDescent="0.25">
      <c r="L3867" s="65">
        <v>742287</v>
      </c>
      <c r="M3867" t="s">
        <v>2889</v>
      </c>
    </row>
    <row r="3868" spans="12:13" x14ac:dyDescent="0.25">
      <c r="L3868" s="65">
        <v>742288</v>
      </c>
      <c r="M3868" t="s">
        <v>2890</v>
      </c>
    </row>
    <row r="3869" spans="12:13" x14ac:dyDescent="0.25">
      <c r="L3869" s="65">
        <v>742289</v>
      </c>
      <c r="M3869" t="s">
        <v>2891</v>
      </c>
    </row>
    <row r="3870" spans="12:13" x14ac:dyDescent="0.25">
      <c r="L3870" s="65">
        <v>742290</v>
      </c>
      <c r="M3870" t="s">
        <v>2892</v>
      </c>
    </row>
    <row r="3871" spans="12:13" x14ac:dyDescent="0.25">
      <c r="L3871" s="65">
        <v>742291</v>
      </c>
      <c r="M3871" t="s">
        <v>2893</v>
      </c>
    </row>
    <row r="3872" spans="12:13" x14ac:dyDescent="0.25">
      <c r="L3872" s="65">
        <v>742292</v>
      </c>
      <c r="M3872" t="s">
        <v>2894</v>
      </c>
    </row>
    <row r="3873" spans="12:13" x14ac:dyDescent="0.25">
      <c r="L3873" s="65">
        <v>742300</v>
      </c>
      <c r="M3873" t="s">
        <v>2895</v>
      </c>
    </row>
    <row r="3874" spans="12:13" x14ac:dyDescent="0.25">
      <c r="L3874" s="65">
        <v>742310</v>
      </c>
      <c r="M3874" t="s">
        <v>2896</v>
      </c>
    </row>
    <row r="3875" spans="12:13" x14ac:dyDescent="0.25">
      <c r="L3875" s="65">
        <v>742312</v>
      </c>
      <c r="M3875" t="s">
        <v>2897</v>
      </c>
    </row>
    <row r="3876" spans="12:13" x14ac:dyDescent="0.25">
      <c r="L3876" s="65">
        <v>742320</v>
      </c>
      <c r="M3876" t="s">
        <v>2898</v>
      </c>
    </row>
    <row r="3877" spans="12:13" x14ac:dyDescent="0.25">
      <c r="L3877" s="65">
        <v>742321</v>
      </c>
      <c r="M3877" t="s">
        <v>2899</v>
      </c>
    </row>
    <row r="3878" spans="12:13" x14ac:dyDescent="0.25">
      <c r="L3878" s="65">
        <v>742322</v>
      </c>
      <c r="M3878" t="s">
        <v>2900</v>
      </c>
    </row>
    <row r="3879" spans="12:13" x14ac:dyDescent="0.25">
      <c r="L3879" s="65">
        <v>742323</v>
      </c>
      <c r="M3879" t="s">
        <v>2901</v>
      </c>
    </row>
    <row r="3880" spans="12:13" x14ac:dyDescent="0.25">
      <c r="L3880" s="65">
        <v>742324</v>
      </c>
      <c r="M3880" t="s">
        <v>2902</v>
      </c>
    </row>
    <row r="3881" spans="12:13" x14ac:dyDescent="0.25">
      <c r="L3881" s="65">
        <v>742325</v>
      </c>
      <c r="M3881" t="s">
        <v>2903</v>
      </c>
    </row>
    <row r="3882" spans="12:13" x14ac:dyDescent="0.25">
      <c r="L3882" s="65">
        <v>742326</v>
      </c>
      <c r="M3882" t="s">
        <v>2904</v>
      </c>
    </row>
    <row r="3883" spans="12:13" x14ac:dyDescent="0.25">
      <c r="L3883" s="65">
        <v>742327</v>
      </c>
      <c r="M3883" t="s">
        <v>2905</v>
      </c>
    </row>
    <row r="3884" spans="12:13" x14ac:dyDescent="0.25">
      <c r="L3884" s="65">
        <v>742328</v>
      </c>
      <c r="M3884" t="s">
        <v>2906</v>
      </c>
    </row>
    <row r="3885" spans="12:13" x14ac:dyDescent="0.25">
      <c r="L3885" s="65">
        <v>742329</v>
      </c>
      <c r="M3885" t="s">
        <v>2907</v>
      </c>
    </row>
    <row r="3886" spans="12:13" x14ac:dyDescent="0.25">
      <c r="L3886" s="65">
        <v>742330</v>
      </c>
      <c r="M3886" t="s">
        <v>2908</v>
      </c>
    </row>
    <row r="3887" spans="12:13" x14ac:dyDescent="0.25">
      <c r="L3887" s="65">
        <v>742331</v>
      </c>
      <c r="M3887" t="s">
        <v>2909</v>
      </c>
    </row>
    <row r="3888" spans="12:13" x14ac:dyDescent="0.25">
      <c r="L3888" s="65">
        <v>742332</v>
      </c>
      <c r="M3888" t="s">
        <v>2910</v>
      </c>
    </row>
    <row r="3889" spans="12:13" x14ac:dyDescent="0.25">
      <c r="L3889" s="65">
        <v>742340</v>
      </c>
      <c r="M3889" t="s">
        <v>2911</v>
      </c>
    </row>
    <row r="3890" spans="12:13" x14ac:dyDescent="0.25">
      <c r="L3890" s="65">
        <v>742341</v>
      </c>
      <c r="M3890" t="s">
        <v>2912</v>
      </c>
    </row>
    <row r="3891" spans="12:13" x14ac:dyDescent="0.25">
      <c r="L3891" s="65">
        <v>742350</v>
      </c>
      <c r="M3891" t="s">
        <v>2913</v>
      </c>
    </row>
    <row r="3892" spans="12:13" x14ac:dyDescent="0.25">
      <c r="L3892" s="65">
        <v>742351</v>
      </c>
      <c r="M3892" t="s">
        <v>2914</v>
      </c>
    </row>
    <row r="3893" spans="12:13" x14ac:dyDescent="0.25">
      <c r="L3893" s="65">
        <v>742360</v>
      </c>
      <c r="M3893" t="s">
        <v>2915</v>
      </c>
    </row>
    <row r="3894" spans="12:13" x14ac:dyDescent="0.25">
      <c r="L3894" s="65">
        <v>742361</v>
      </c>
      <c r="M3894" t="s">
        <v>2915</v>
      </c>
    </row>
    <row r="3895" spans="12:13" x14ac:dyDescent="0.25">
      <c r="L3895" s="65">
        <v>742370</v>
      </c>
      <c r="M3895" t="s">
        <v>2916</v>
      </c>
    </row>
    <row r="3896" spans="12:13" x14ac:dyDescent="0.25">
      <c r="L3896" s="65">
        <v>742371</v>
      </c>
      <c r="M3896" t="s">
        <v>2917</v>
      </c>
    </row>
    <row r="3897" spans="12:13" x14ac:dyDescent="0.25">
      <c r="L3897" s="65">
        <v>742372</v>
      </c>
      <c r="M3897" t="s">
        <v>2918</v>
      </c>
    </row>
    <row r="3898" spans="12:13" x14ac:dyDescent="0.25">
      <c r="L3898" s="65">
        <v>742373</v>
      </c>
      <c r="M3898" t="s">
        <v>2919</v>
      </c>
    </row>
    <row r="3899" spans="12:13" x14ac:dyDescent="0.25">
      <c r="L3899" s="65">
        <v>742378</v>
      </c>
      <c r="M3899" t="s">
        <v>2920</v>
      </c>
    </row>
    <row r="3900" spans="12:13" x14ac:dyDescent="0.25">
      <c r="L3900" s="65">
        <v>742400</v>
      </c>
      <c r="M3900" t="s">
        <v>2921</v>
      </c>
    </row>
    <row r="3901" spans="12:13" x14ac:dyDescent="0.25">
      <c r="L3901" s="65">
        <v>742410</v>
      </c>
      <c r="M3901" t="s">
        <v>2921</v>
      </c>
    </row>
    <row r="3902" spans="12:13" x14ac:dyDescent="0.25">
      <c r="L3902" s="65">
        <v>742411</v>
      </c>
      <c r="M3902" t="s">
        <v>2921</v>
      </c>
    </row>
    <row r="3903" spans="12:13" x14ac:dyDescent="0.25">
      <c r="L3903" s="65">
        <v>743000</v>
      </c>
      <c r="M3903" t="s">
        <v>2923</v>
      </c>
    </row>
    <row r="3904" spans="12:13" x14ac:dyDescent="0.25">
      <c r="L3904" s="65">
        <v>743100</v>
      </c>
      <c r="M3904" t="s">
        <v>2924</v>
      </c>
    </row>
    <row r="3905" spans="12:13" x14ac:dyDescent="0.25">
      <c r="L3905" s="65">
        <v>743120</v>
      </c>
      <c r="M3905" t="s">
        <v>2925</v>
      </c>
    </row>
    <row r="3906" spans="12:13" x14ac:dyDescent="0.25">
      <c r="L3906" s="65">
        <v>743121</v>
      </c>
      <c r="M3906" t="s">
        <v>2924</v>
      </c>
    </row>
    <row r="3907" spans="12:13" x14ac:dyDescent="0.25">
      <c r="L3907" s="65">
        <v>743122</v>
      </c>
      <c r="M3907" t="s">
        <v>2926</v>
      </c>
    </row>
    <row r="3908" spans="12:13" x14ac:dyDescent="0.25">
      <c r="L3908" s="65">
        <v>743123</v>
      </c>
      <c r="M3908" t="s">
        <v>2927</v>
      </c>
    </row>
    <row r="3909" spans="12:13" x14ac:dyDescent="0.25">
      <c r="L3909" s="65">
        <v>743124</v>
      </c>
      <c r="M3909" t="s">
        <v>2928</v>
      </c>
    </row>
    <row r="3910" spans="12:13" x14ac:dyDescent="0.25">
      <c r="L3910" s="65">
        <v>743130</v>
      </c>
      <c r="M3910" t="s">
        <v>2929</v>
      </c>
    </row>
    <row r="3911" spans="12:13" x14ac:dyDescent="0.25">
      <c r="L3911" s="65">
        <v>743131</v>
      </c>
      <c r="M3911" t="s">
        <v>2929</v>
      </c>
    </row>
    <row r="3912" spans="12:13" x14ac:dyDescent="0.25">
      <c r="L3912" s="65">
        <v>743140</v>
      </c>
      <c r="M3912" t="s">
        <v>2930</v>
      </c>
    </row>
    <row r="3913" spans="12:13" x14ac:dyDescent="0.25">
      <c r="L3913" s="65">
        <v>743141</v>
      </c>
      <c r="M3913" t="s">
        <v>2930</v>
      </c>
    </row>
    <row r="3914" spans="12:13" x14ac:dyDescent="0.25">
      <c r="L3914" s="65">
        <v>743150</v>
      </c>
      <c r="M3914" t="s">
        <v>2931</v>
      </c>
    </row>
    <row r="3915" spans="12:13" x14ac:dyDescent="0.25">
      <c r="L3915" s="65">
        <v>743151</v>
      </c>
      <c r="M3915" t="s">
        <v>2931</v>
      </c>
    </row>
    <row r="3916" spans="12:13" x14ac:dyDescent="0.25">
      <c r="L3916" s="65">
        <v>743160</v>
      </c>
      <c r="M3916" t="s">
        <v>2932</v>
      </c>
    </row>
    <row r="3917" spans="12:13" x14ac:dyDescent="0.25">
      <c r="L3917" s="65">
        <v>743161</v>
      </c>
      <c r="M3917" t="s">
        <v>2932</v>
      </c>
    </row>
    <row r="3918" spans="12:13" x14ac:dyDescent="0.25">
      <c r="L3918" s="65">
        <v>743200</v>
      </c>
      <c r="M3918" t="s">
        <v>2933</v>
      </c>
    </row>
    <row r="3919" spans="12:13" x14ac:dyDescent="0.25">
      <c r="L3919" s="65">
        <v>743220</v>
      </c>
      <c r="M3919" t="s">
        <v>2934</v>
      </c>
    </row>
    <row r="3920" spans="12:13" x14ac:dyDescent="0.25">
      <c r="L3920" s="65">
        <v>743221</v>
      </c>
      <c r="M3920" t="s">
        <v>2933</v>
      </c>
    </row>
    <row r="3921" spans="12:13" x14ac:dyDescent="0.25">
      <c r="L3921" s="65">
        <v>743222</v>
      </c>
      <c r="M3921" t="s">
        <v>2935</v>
      </c>
    </row>
    <row r="3922" spans="12:13" x14ac:dyDescent="0.25">
      <c r="L3922" s="65">
        <v>743223</v>
      </c>
      <c r="M3922" t="s">
        <v>2936</v>
      </c>
    </row>
    <row r="3923" spans="12:13" x14ac:dyDescent="0.25">
      <c r="L3923" s="65">
        <v>743224</v>
      </c>
      <c r="M3923" t="s">
        <v>2937</v>
      </c>
    </row>
    <row r="3924" spans="12:13" x14ac:dyDescent="0.25">
      <c r="L3924" s="65">
        <v>743230</v>
      </c>
      <c r="M3924" t="s">
        <v>2938</v>
      </c>
    </row>
    <row r="3925" spans="12:13" x14ac:dyDescent="0.25">
      <c r="L3925" s="65">
        <v>743231</v>
      </c>
      <c r="M3925" t="s">
        <v>2938</v>
      </c>
    </row>
    <row r="3926" spans="12:13" x14ac:dyDescent="0.25">
      <c r="L3926" s="65">
        <v>743240</v>
      </c>
      <c r="M3926" t="s">
        <v>2939</v>
      </c>
    </row>
    <row r="3927" spans="12:13" x14ac:dyDescent="0.25">
      <c r="L3927" s="65">
        <v>743241</v>
      </c>
      <c r="M3927" t="s">
        <v>2939</v>
      </c>
    </row>
    <row r="3928" spans="12:13" x14ac:dyDescent="0.25">
      <c r="L3928" s="65">
        <v>743250</v>
      </c>
      <c r="M3928" t="s">
        <v>2940</v>
      </c>
    </row>
    <row r="3929" spans="12:13" x14ac:dyDescent="0.25">
      <c r="L3929" s="65">
        <v>743251</v>
      </c>
      <c r="M3929" t="s">
        <v>2940</v>
      </c>
    </row>
    <row r="3930" spans="12:13" x14ac:dyDescent="0.25">
      <c r="L3930" s="65">
        <v>743260</v>
      </c>
      <c r="M3930" t="s">
        <v>2941</v>
      </c>
    </row>
    <row r="3931" spans="12:13" x14ac:dyDescent="0.25">
      <c r="L3931" s="65">
        <v>743261</v>
      </c>
      <c r="M3931" t="s">
        <v>2941</v>
      </c>
    </row>
    <row r="3932" spans="12:13" x14ac:dyDescent="0.25">
      <c r="L3932" s="65">
        <v>743300</v>
      </c>
      <c r="M3932" t="s">
        <v>2942</v>
      </c>
    </row>
    <row r="3933" spans="12:13" x14ac:dyDescent="0.25">
      <c r="L3933" s="65">
        <v>743320</v>
      </c>
      <c r="M3933" t="s">
        <v>2943</v>
      </c>
    </row>
    <row r="3934" spans="12:13" x14ac:dyDescent="0.25">
      <c r="L3934" s="65">
        <v>743321</v>
      </c>
      <c r="M3934" t="s">
        <v>2942</v>
      </c>
    </row>
    <row r="3935" spans="12:13" x14ac:dyDescent="0.25">
      <c r="L3935" s="65">
        <v>743322</v>
      </c>
      <c r="M3935" t="s">
        <v>2944</v>
      </c>
    </row>
    <row r="3936" spans="12:13" x14ac:dyDescent="0.25">
      <c r="L3936" s="65">
        <v>743323</v>
      </c>
      <c r="M3936" t="s">
        <v>2945</v>
      </c>
    </row>
    <row r="3937" spans="12:13" x14ac:dyDescent="0.25">
      <c r="L3937" s="65">
        <v>743324</v>
      </c>
      <c r="M3937" t="s">
        <v>2947</v>
      </c>
    </row>
    <row r="3938" spans="12:13" x14ac:dyDescent="0.25">
      <c r="L3938" s="65">
        <v>743325</v>
      </c>
      <c r="M3938" t="s">
        <v>2948</v>
      </c>
    </row>
    <row r="3939" spans="12:13" x14ac:dyDescent="0.25">
      <c r="L3939" s="65">
        <v>743326</v>
      </c>
      <c r="M3939" t="s">
        <v>2949</v>
      </c>
    </row>
    <row r="3940" spans="12:13" x14ac:dyDescent="0.25">
      <c r="L3940" s="65">
        <v>743327</v>
      </c>
      <c r="M3940" t="s">
        <v>2950</v>
      </c>
    </row>
    <row r="3941" spans="12:13" x14ac:dyDescent="0.25">
      <c r="L3941" s="65">
        <v>743328</v>
      </c>
      <c r="M3941" t="s">
        <v>2951</v>
      </c>
    </row>
    <row r="3942" spans="12:13" x14ac:dyDescent="0.25">
      <c r="L3942" s="65">
        <v>743329</v>
      </c>
      <c r="M3942" t="s">
        <v>2952</v>
      </c>
    </row>
    <row r="3943" spans="12:13" x14ac:dyDescent="0.25">
      <c r="L3943" s="65">
        <v>743330</v>
      </c>
      <c r="M3943" t="s">
        <v>2953</v>
      </c>
    </row>
    <row r="3944" spans="12:13" x14ac:dyDescent="0.25">
      <c r="L3944" s="65">
        <v>743331</v>
      </c>
      <c r="M3944" t="s">
        <v>2954</v>
      </c>
    </row>
    <row r="3945" spans="12:13" x14ac:dyDescent="0.25">
      <c r="L3945" s="65">
        <v>743332</v>
      </c>
      <c r="M3945" t="s">
        <v>2955</v>
      </c>
    </row>
    <row r="3946" spans="12:13" x14ac:dyDescent="0.25">
      <c r="L3946" s="65">
        <v>743340</v>
      </c>
      <c r="M3946" t="s">
        <v>2957</v>
      </c>
    </row>
    <row r="3947" spans="12:13" x14ac:dyDescent="0.25">
      <c r="L3947" s="65">
        <v>743341</v>
      </c>
      <c r="M3947" t="s">
        <v>2958</v>
      </c>
    </row>
    <row r="3948" spans="12:13" x14ac:dyDescent="0.25">
      <c r="L3948" s="65">
        <v>743342</v>
      </c>
      <c r="M3948" t="s">
        <v>2959</v>
      </c>
    </row>
    <row r="3949" spans="12:13" x14ac:dyDescent="0.25">
      <c r="L3949" s="65">
        <v>743343</v>
      </c>
      <c r="M3949" t="s">
        <v>2960</v>
      </c>
    </row>
    <row r="3950" spans="12:13" x14ac:dyDescent="0.25">
      <c r="L3950" s="65">
        <v>743350</v>
      </c>
      <c r="M3950" t="s">
        <v>2961</v>
      </c>
    </row>
    <row r="3951" spans="12:13" x14ac:dyDescent="0.25">
      <c r="L3951" s="65">
        <v>743351</v>
      </c>
      <c r="M3951" t="s">
        <v>2962</v>
      </c>
    </row>
    <row r="3952" spans="12:13" x14ac:dyDescent="0.25">
      <c r="L3952" s="65">
        <v>743353</v>
      </c>
      <c r="M3952" t="s">
        <v>2963</v>
      </c>
    </row>
    <row r="3953" spans="12:13" x14ac:dyDescent="0.25">
      <c r="L3953" s="65">
        <v>743354</v>
      </c>
      <c r="M3953" t="s">
        <v>2964</v>
      </c>
    </row>
    <row r="3954" spans="12:13" x14ac:dyDescent="0.25">
      <c r="L3954" s="65">
        <v>743360</v>
      </c>
      <c r="M3954" t="s">
        <v>2965</v>
      </c>
    </row>
    <row r="3955" spans="12:13" x14ac:dyDescent="0.25">
      <c r="L3955" s="65">
        <v>743361</v>
      </c>
      <c r="M3955" t="s">
        <v>2965</v>
      </c>
    </row>
    <row r="3956" spans="12:13" x14ac:dyDescent="0.25">
      <c r="L3956" s="65">
        <v>743400</v>
      </c>
      <c r="M3956" t="s">
        <v>2966</v>
      </c>
    </row>
    <row r="3957" spans="12:13" x14ac:dyDescent="0.25">
      <c r="L3957" s="65">
        <v>743420</v>
      </c>
      <c r="M3957" t="s">
        <v>2967</v>
      </c>
    </row>
    <row r="3958" spans="12:13" x14ac:dyDescent="0.25">
      <c r="L3958" s="65">
        <v>743421</v>
      </c>
      <c r="M3958" t="s">
        <v>2967</v>
      </c>
    </row>
    <row r="3959" spans="12:13" x14ac:dyDescent="0.25">
      <c r="L3959" s="65">
        <v>743422</v>
      </c>
      <c r="M3959" t="s">
        <v>2968</v>
      </c>
    </row>
    <row r="3960" spans="12:13" x14ac:dyDescent="0.25">
      <c r="L3960" s="65">
        <v>743423</v>
      </c>
      <c r="M3960" t="s">
        <v>2969</v>
      </c>
    </row>
    <row r="3961" spans="12:13" x14ac:dyDescent="0.25">
      <c r="L3961" s="65">
        <v>743430</v>
      </c>
      <c r="M3961" t="s">
        <v>2970</v>
      </c>
    </row>
    <row r="3962" spans="12:13" x14ac:dyDescent="0.25">
      <c r="L3962" s="65">
        <v>743431</v>
      </c>
      <c r="M3962" t="s">
        <v>2970</v>
      </c>
    </row>
    <row r="3963" spans="12:13" x14ac:dyDescent="0.25">
      <c r="L3963" s="65">
        <v>743440</v>
      </c>
      <c r="M3963" t="s">
        <v>2971</v>
      </c>
    </row>
    <row r="3964" spans="12:13" x14ac:dyDescent="0.25">
      <c r="L3964" s="65">
        <v>743441</v>
      </c>
      <c r="M3964" t="s">
        <v>2971</v>
      </c>
    </row>
    <row r="3965" spans="12:13" x14ac:dyDescent="0.25">
      <c r="L3965" s="65">
        <v>743450</v>
      </c>
      <c r="M3965" t="s">
        <v>2972</v>
      </c>
    </row>
    <row r="3966" spans="12:13" x14ac:dyDescent="0.25">
      <c r="L3966" s="65">
        <v>743451</v>
      </c>
      <c r="M3966" t="s">
        <v>2972</v>
      </c>
    </row>
    <row r="3967" spans="12:13" x14ac:dyDescent="0.25">
      <c r="L3967" s="65">
        <v>743460</v>
      </c>
      <c r="M3967" t="s">
        <v>2973</v>
      </c>
    </row>
    <row r="3968" spans="12:13" x14ac:dyDescent="0.25">
      <c r="L3968" s="65">
        <v>743461</v>
      </c>
      <c r="M3968" t="s">
        <v>2973</v>
      </c>
    </row>
    <row r="3969" spans="12:13" x14ac:dyDescent="0.25">
      <c r="L3969" s="65">
        <v>743500</v>
      </c>
      <c r="M3969" t="s">
        <v>2974</v>
      </c>
    </row>
    <row r="3970" spans="12:13" x14ac:dyDescent="0.25">
      <c r="L3970" s="65">
        <v>743520</v>
      </c>
      <c r="M3970" t="s">
        <v>2975</v>
      </c>
    </row>
    <row r="3971" spans="12:13" x14ac:dyDescent="0.25">
      <c r="L3971" s="65">
        <v>743521</v>
      </c>
      <c r="M3971" t="s">
        <v>2976</v>
      </c>
    </row>
    <row r="3972" spans="12:13" x14ac:dyDescent="0.25">
      <c r="L3972" s="65">
        <v>743522</v>
      </c>
      <c r="M3972" t="s">
        <v>2977</v>
      </c>
    </row>
    <row r="3973" spans="12:13" x14ac:dyDescent="0.25">
      <c r="L3973" s="65">
        <v>743523</v>
      </c>
      <c r="M3973" t="s">
        <v>2978</v>
      </c>
    </row>
    <row r="3974" spans="12:13" x14ac:dyDescent="0.25">
      <c r="L3974" s="65">
        <v>743524</v>
      </c>
      <c r="M3974" t="s">
        <v>2979</v>
      </c>
    </row>
    <row r="3975" spans="12:13" x14ac:dyDescent="0.25">
      <c r="L3975" s="65">
        <v>743525</v>
      </c>
      <c r="M3975" t="s">
        <v>2980</v>
      </c>
    </row>
    <row r="3976" spans="12:13" x14ac:dyDescent="0.25">
      <c r="L3976" s="65">
        <v>743526</v>
      </c>
      <c r="M3976" t="s">
        <v>2981</v>
      </c>
    </row>
    <row r="3977" spans="12:13" x14ac:dyDescent="0.25">
      <c r="L3977" s="65">
        <v>743530</v>
      </c>
      <c r="M3977" t="s">
        <v>2982</v>
      </c>
    </row>
    <row r="3978" spans="12:13" x14ac:dyDescent="0.25">
      <c r="L3978" s="65">
        <v>743531</v>
      </c>
      <c r="M3978" t="s">
        <v>2982</v>
      </c>
    </row>
    <row r="3979" spans="12:13" x14ac:dyDescent="0.25">
      <c r="L3979" s="65">
        <v>743540</v>
      </c>
      <c r="M3979" t="s">
        <v>2983</v>
      </c>
    </row>
    <row r="3980" spans="12:13" x14ac:dyDescent="0.25">
      <c r="L3980" s="65">
        <v>743541</v>
      </c>
      <c r="M3980" t="s">
        <v>2983</v>
      </c>
    </row>
    <row r="3981" spans="12:13" x14ac:dyDescent="0.25">
      <c r="L3981" s="65">
        <v>743550</v>
      </c>
      <c r="M3981" t="s">
        <v>2984</v>
      </c>
    </row>
    <row r="3982" spans="12:13" x14ac:dyDescent="0.25">
      <c r="L3982" s="65">
        <v>743551</v>
      </c>
      <c r="M3982" t="s">
        <v>2984</v>
      </c>
    </row>
    <row r="3983" spans="12:13" x14ac:dyDescent="0.25">
      <c r="L3983" s="65">
        <v>743560</v>
      </c>
      <c r="M3983" t="s">
        <v>2985</v>
      </c>
    </row>
    <row r="3984" spans="12:13" x14ac:dyDescent="0.25">
      <c r="L3984" s="65">
        <v>743561</v>
      </c>
      <c r="M3984" t="s">
        <v>2985</v>
      </c>
    </row>
    <row r="3985" spans="12:13" x14ac:dyDescent="0.25">
      <c r="L3985" s="65">
        <v>743900</v>
      </c>
      <c r="M3985" t="s">
        <v>2986</v>
      </c>
    </row>
    <row r="3986" spans="12:13" x14ac:dyDescent="0.25">
      <c r="L3986" s="65">
        <v>743920</v>
      </c>
      <c r="M3986" t="s">
        <v>2987</v>
      </c>
    </row>
    <row r="3987" spans="12:13" x14ac:dyDescent="0.25">
      <c r="L3987" s="65">
        <v>743921</v>
      </c>
      <c r="M3987" t="s">
        <v>2988</v>
      </c>
    </row>
    <row r="3988" spans="12:13" x14ac:dyDescent="0.25">
      <c r="L3988" s="65">
        <v>743922</v>
      </c>
      <c r="M3988" t="s">
        <v>2989</v>
      </c>
    </row>
    <row r="3989" spans="12:13" x14ac:dyDescent="0.25">
      <c r="L3989" s="65">
        <v>743923</v>
      </c>
      <c r="M3989" t="s">
        <v>2990</v>
      </c>
    </row>
    <row r="3990" spans="12:13" x14ac:dyDescent="0.25">
      <c r="L3990" s="65">
        <v>743929</v>
      </c>
      <c r="M3990" t="s">
        <v>2987</v>
      </c>
    </row>
    <row r="3991" spans="12:13" x14ac:dyDescent="0.25">
      <c r="L3991" s="65">
        <v>743930</v>
      </c>
      <c r="M3991" t="s">
        <v>2991</v>
      </c>
    </row>
    <row r="3992" spans="12:13" x14ac:dyDescent="0.25">
      <c r="L3992" s="65">
        <v>743931</v>
      </c>
      <c r="M3992" t="s">
        <v>2991</v>
      </c>
    </row>
    <row r="3993" spans="12:13" x14ac:dyDescent="0.25">
      <c r="L3993" s="65">
        <v>743940</v>
      </c>
      <c r="M3993" t="s">
        <v>2992</v>
      </c>
    </row>
    <row r="3994" spans="12:13" x14ac:dyDescent="0.25">
      <c r="L3994" s="65">
        <v>743941</v>
      </c>
      <c r="M3994" t="s">
        <v>2992</v>
      </c>
    </row>
    <row r="3995" spans="12:13" x14ac:dyDescent="0.25">
      <c r="L3995" s="65">
        <v>743950</v>
      </c>
      <c r="M3995" t="s">
        <v>2993</v>
      </c>
    </row>
    <row r="3996" spans="12:13" x14ac:dyDescent="0.25">
      <c r="L3996" s="65">
        <v>743951</v>
      </c>
      <c r="M3996" t="s">
        <v>2994</v>
      </c>
    </row>
    <row r="3997" spans="12:13" x14ac:dyDescent="0.25">
      <c r="L3997" s="65">
        <v>743960</v>
      </c>
      <c r="M3997" t="s">
        <v>2995</v>
      </c>
    </row>
    <row r="3998" spans="12:13" x14ac:dyDescent="0.25">
      <c r="L3998" s="65">
        <v>743961</v>
      </c>
      <c r="M3998" t="s">
        <v>2995</v>
      </c>
    </row>
    <row r="3999" spans="12:13" x14ac:dyDescent="0.25">
      <c r="L3999" s="65">
        <v>744000</v>
      </c>
      <c r="M3999" t="s">
        <v>2997</v>
      </c>
    </row>
    <row r="4000" spans="12:13" x14ac:dyDescent="0.25">
      <c r="L4000" s="65">
        <v>744100</v>
      </c>
      <c r="M4000" t="s">
        <v>2998</v>
      </c>
    </row>
    <row r="4001" spans="12:13" x14ac:dyDescent="0.25">
      <c r="L4001" s="65">
        <v>744120</v>
      </c>
      <c r="M4001" t="s">
        <v>2999</v>
      </c>
    </row>
    <row r="4002" spans="12:13" x14ac:dyDescent="0.25">
      <c r="L4002" s="65">
        <v>744121</v>
      </c>
      <c r="M4002" t="s">
        <v>2999</v>
      </c>
    </row>
    <row r="4003" spans="12:13" x14ac:dyDescent="0.25">
      <c r="L4003" s="65">
        <v>744122</v>
      </c>
      <c r="M4003" t="s">
        <v>3000</v>
      </c>
    </row>
    <row r="4004" spans="12:13" x14ac:dyDescent="0.25">
      <c r="L4004" s="65">
        <v>744130</v>
      </c>
      <c r="M4004" t="s">
        <v>3001</v>
      </c>
    </row>
    <row r="4005" spans="12:13" x14ac:dyDescent="0.25">
      <c r="L4005" s="65">
        <v>744131</v>
      </c>
      <c r="M4005" t="s">
        <v>3002</v>
      </c>
    </row>
    <row r="4006" spans="12:13" x14ac:dyDescent="0.25">
      <c r="L4006" s="65">
        <v>744132</v>
      </c>
      <c r="M4006" t="s">
        <v>3003</v>
      </c>
    </row>
    <row r="4007" spans="12:13" x14ac:dyDescent="0.25">
      <c r="L4007" s="65">
        <v>744140</v>
      </c>
      <c r="M4007" t="s">
        <v>3004</v>
      </c>
    </row>
    <row r="4008" spans="12:13" x14ac:dyDescent="0.25">
      <c r="L4008" s="65">
        <v>744141</v>
      </c>
      <c r="M4008" t="s">
        <v>3004</v>
      </c>
    </row>
    <row r="4009" spans="12:13" x14ac:dyDescent="0.25">
      <c r="L4009" s="65">
        <v>744142</v>
      </c>
      <c r="M4009" t="s">
        <v>3006</v>
      </c>
    </row>
    <row r="4010" spans="12:13" x14ac:dyDescent="0.25">
      <c r="L4010" s="65">
        <v>744150</v>
      </c>
      <c r="M4010" t="s">
        <v>3007</v>
      </c>
    </row>
    <row r="4011" spans="12:13" x14ac:dyDescent="0.25">
      <c r="L4011" s="65">
        <v>744151</v>
      </c>
      <c r="M4011" t="s">
        <v>3007</v>
      </c>
    </row>
    <row r="4012" spans="12:13" x14ac:dyDescent="0.25">
      <c r="L4012" s="65">
        <v>744160</v>
      </c>
      <c r="M4012" t="s">
        <v>3008</v>
      </c>
    </row>
    <row r="4013" spans="12:13" x14ac:dyDescent="0.25">
      <c r="L4013" s="65">
        <v>744161</v>
      </c>
      <c r="M4013" t="s">
        <v>3009</v>
      </c>
    </row>
    <row r="4014" spans="12:13" x14ac:dyDescent="0.25">
      <c r="L4014" s="65">
        <v>744162</v>
      </c>
      <c r="M4014" t="s">
        <v>3010</v>
      </c>
    </row>
    <row r="4015" spans="12:13" x14ac:dyDescent="0.25">
      <c r="L4015" s="65">
        <v>744165</v>
      </c>
      <c r="M4015" t="s">
        <v>3011</v>
      </c>
    </row>
    <row r="4016" spans="12:13" x14ac:dyDescent="0.25">
      <c r="L4016" s="65">
        <v>744200</v>
      </c>
      <c r="M4016" t="s">
        <v>3012</v>
      </c>
    </row>
    <row r="4017" spans="12:13" x14ac:dyDescent="0.25">
      <c r="L4017" s="65">
        <v>744220</v>
      </c>
      <c r="M4017" t="s">
        <v>3013</v>
      </c>
    </row>
    <row r="4018" spans="12:13" x14ac:dyDescent="0.25">
      <c r="L4018" s="65">
        <v>744221</v>
      </c>
      <c r="M4018" t="s">
        <v>3013</v>
      </c>
    </row>
    <row r="4019" spans="12:13" x14ac:dyDescent="0.25">
      <c r="L4019" s="65">
        <v>744230</v>
      </c>
      <c r="M4019" t="s">
        <v>3014</v>
      </c>
    </row>
    <row r="4020" spans="12:13" x14ac:dyDescent="0.25">
      <c r="L4020" s="65">
        <v>744231</v>
      </c>
      <c r="M4020" t="s">
        <v>3015</v>
      </c>
    </row>
    <row r="4021" spans="12:13" x14ac:dyDescent="0.25">
      <c r="L4021" s="65">
        <v>744232</v>
      </c>
      <c r="M4021" t="s">
        <v>3016</v>
      </c>
    </row>
    <row r="4022" spans="12:13" x14ac:dyDescent="0.25">
      <c r="L4022" s="65">
        <v>744240</v>
      </c>
      <c r="M4022" t="s">
        <v>3017</v>
      </c>
    </row>
    <row r="4023" spans="12:13" x14ac:dyDescent="0.25">
      <c r="L4023" s="65">
        <v>744241</v>
      </c>
      <c r="M4023" t="s">
        <v>3017</v>
      </c>
    </row>
    <row r="4024" spans="12:13" x14ac:dyDescent="0.25">
      <c r="L4024" s="65">
        <v>744250</v>
      </c>
      <c r="M4024" t="s">
        <v>3019</v>
      </c>
    </row>
    <row r="4025" spans="12:13" x14ac:dyDescent="0.25">
      <c r="L4025" s="65">
        <v>744251</v>
      </c>
      <c r="M4025" t="s">
        <v>3019</v>
      </c>
    </row>
    <row r="4026" spans="12:13" x14ac:dyDescent="0.25">
      <c r="L4026" s="65">
        <v>744260</v>
      </c>
      <c r="M4026" t="s">
        <v>3020</v>
      </c>
    </row>
    <row r="4027" spans="12:13" x14ac:dyDescent="0.25">
      <c r="L4027" s="65">
        <v>744261</v>
      </c>
      <c r="M4027" t="s">
        <v>3021</v>
      </c>
    </row>
    <row r="4028" spans="12:13" x14ac:dyDescent="0.25">
      <c r="L4028" s="65">
        <v>744262</v>
      </c>
      <c r="M4028" t="s">
        <v>3022</v>
      </c>
    </row>
    <row r="4029" spans="12:13" x14ac:dyDescent="0.25">
      <c r="L4029" s="65">
        <v>744265</v>
      </c>
      <c r="M4029" t="s">
        <v>3023</v>
      </c>
    </row>
    <row r="4030" spans="12:13" x14ac:dyDescent="0.25">
      <c r="L4030" s="65">
        <v>745000</v>
      </c>
      <c r="M4030" t="s">
        <v>3025</v>
      </c>
    </row>
    <row r="4031" spans="12:13" x14ac:dyDescent="0.25">
      <c r="L4031" s="65">
        <v>745100</v>
      </c>
      <c r="M4031" t="s">
        <v>3025</v>
      </c>
    </row>
    <row r="4032" spans="12:13" x14ac:dyDescent="0.25">
      <c r="L4032" s="65">
        <v>745120</v>
      </c>
      <c r="M4032" t="s">
        <v>3026</v>
      </c>
    </row>
    <row r="4033" spans="12:13" x14ac:dyDescent="0.25">
      <c r="L4033" s="65">
        <v>745121</v>
      </c>
      <c r="M4033" t="s">
        <v>3027</v>
      </c>
    </row>
    <row r="4034" spans="12:13" x14ac:dyDescent="0.25">
      <c r="L4034" s="65">
        <v>745122</v>
      </c>
      <c r="M4034" t="s">
        <v>3028</v>
      </c>
    </row>
    <row r="4035" spans="12:13" x14ac:dyDescent="0.25">
      <c r="L4035" s="65">
        <v>745123</v>
      </c>
      <c r="M4035" t="s">
        <v>3029</v>
      </c>
    </row>
    <row r="4036" spans="12:13" x14ac:dyDescent="0.25">
      <c r="L4036" s="65">
        <v>745124</v>
      </c>
      <c r="M4036" t="s">
        <v>3030</v>
      </c>
    </row>
    <row r="4037" spans="12:13" x14ac:dyDescent="0.25">
      <c r="L4037" s="65">
        <v>745125</v>
      </c>
      <c r="M4037" t="s">
        <v>3031</v>
      </c>
    </row>
    <row r="4038" spans="12:13" x14ac:dyDescent="0.25">
      <c r="L4038" s="65">
        <v>745126</v>
      </c>
      <c r="M4038" t="s">
        <v>3032</v>
      </c>
    </row>
    <row r="4039" spans="12:13" x14ac:dyDescent="0.25">
      <c r="L4039" s="65">
        <v>745127</v>
      </c>
      <c r="M4039" t="s">
        <v>3033</v>
      </c>
    </row>
    <row r="4040" spans="12:13" x14ac:dyDescent="0.25">
      <c r="L4040" s="65">
        <v>745128</v>
      </c>
      <c r="M4040" t="s">
        <v>3034</v>
      </c>
    </row>
    <row r="4041" spans="12:13" x14ac:dyDescent="0.25">
      <c r="L4041" s="65">
        <v>745130</v>
      </c>
      <c r="M4041" t="s">
        <v>3035</v>
      </c>
    </row>
    <row r="4042" spans="12:13" x14ac:dyDescent="0.25">
      <c r="L4042" s="65">
        <v>745131</v>
      </c>
      <c r="M4042" t="s">
        <v>3036</v>
      </c>
    </row>
    <row r="4043" spans="12:13" x14ac:dyDescent="0.25">
      <c r="L4043" s="65">
        <v>745132</v>
      </c>
      <c r="M4043" t="s">
        <v>3037</v>
      </c>
    </row>
    <row r="4044" spans="12:13" x14ac:dyDescent="0.25">
      <c r="L4044" s="65">
        <v>745133</v>
      </c>
      <c r="M4044" t="s">
        <v>3038</v>
      </c>
    </row>
    <row r="4045" spans="12:13" x14ac:dyDescent="0.25">
      <c r="L4045" s="65">
        <v>745134</v>
      </c>
      <c r="M4045" t="s">
        <v>3039</v>
      </c>
    </row>
    <row r="4046" spans="12:13" x14ac:dyDescent="0.25">
      <c r="L4046" s="65">
        <v>745135</v>
      </c>
      <c r="M4046" t="s">
        <v>3040</v>
      </c>
    </row>
    <row r="4047" spans="12:13" x14ac:dyDescent="0.25">
      <c r="L4047" s="65">
        <v>745136</v>
      </c>
      <c r="M4047" t="s">
        <v>3041</v>
      </c>
    </row>
    <row r="4048" spans="12:13" x14ac:dyDescent="0.25">
      <c r="L4048" s="65">
        <v>745137</v>
      </c>
      <c r="M4048" t="s">
        <v>3042</v>
      </c>
    </row>
    <row r="4049" spans="12:13" x14ac:dyDescent="0.25">
      <c r="L4049" s="65">
        <v>745138</v>
      </c>
      <c r="M4049" t="s">
        <v>3043</v>
      </c>
    </row>
    <row r="4050" spans="12:13" x14ac:dyDescent="0.25">
      <c r="L4050" s="65">
        <v>745139</v>
      </c>
      <c r="M4050" t="s">
        <v>3044</v>
      </c>
    </row>
    <row r="4051" spans="12:13" x14ac:dyDescent="0.25">
      <c r="L4051" s="65">
        <v>745140</v>
      </c>
      <c r="M4051" t="s">
        <v>3045</v>
      </c>
    </row>
    <row r="4052" spans="12:13" x14ac:dyDescent="0.25">
      <c r="L4052" s="65">
        <v>745141</v>
      </c>
      <c r="M4052" t="s">
        <v>3047</v>
      </c>
    </row>
    <row r="4053" spans="12:13" x14ac:dyDescent="0.25">
      <c r="L4053" s="65">
        <v>745142</v>
      </c>
      <c r="M4053" t="s">
        <v>3049</v>
      </c>
    </row>
    <row r="4054" spans="12:13" x14ac:dyDescent="0.25">
      <c r="L4054" s="65">
        <v>745143</v>
      </c>
      <c r="M4054" t="s">
        <v>3050</v>
      </c>
    </row>
    <row r="4055" spans="12:13" x14ac:dyDescent="0.25">
      <c r="L4055" s="65">
        <v>745144</v>
      </c>
      <c r="M4055" t="s">
        <v>3051</v>
      </c>
    </row>
    <row r="4056" spans="12:13" x14ac:dyDescent="0.25">
      <c r="L4056" s="65">
        <v>745145</v>
      </c>
      <c r="M4056" t="s">
        <v>3052</v>
      </c>
    </row>
    <row r="4057" spans="12:13" x14ac:dyDescent="0.25">
      <c r="L4057" s="65">
        <v>745150</v>
      </c>
      <c r="M4057" t="s">
        <v>3053</v>
      </c>
    </row>
    <row r="4058" spans="12:13" x14ac:dyDescent="0.25">
      <c r="L4058" s="65">
        <v>745151</v>
      </c>
      <c r="M4058" t="s">
        <v>3054</v>
      </c>
    </row>
    <row r="4059" spans="12:13" x14ac:dyDescent="0.25">
      <c r="L4059" s="65">
        <v>745152</v>
      </c>
      <c r="M4059" t="s">
        <v>3055</v>
      </c>
    </row>
    <row r="4060" spans="12:13" x14ac:dyDescent="0.25">
      <c r="L4060" s="65">
        <v>745153</v>
      </c>
      <c r="M4060" t="s">
        <v>3056</v>
      </c>
    </row>
    <row r="4061" spans="12:13" x14ac:dyDescent="0.25">
      <c r="L4061" s="65">
        <v>745154</v>
      </c>
      <c r="M4061" t="s">
        <v>3057</v>
      </c>
    </row>
    <row r="4062" spans="12:13" x14ac:dyDescent="0.25">
      <c r="L4062" s="65">
        <v>745155</v>
      </c>
      <c r="M4062" t="s">
        <v>3052</v>
      </c>
    </row>
    <row r="4063" spans="12:13" x14ac:dyDescent="0.25">
      <c r="L4063" s="65">
        <v>745160</v>
      </c>
      <c r="M4063" t="s">
        <v>3058</v>
      </c>
    </row>
    <row r="4064" spans="12:13" x14ac:dyDescent="0.25">
      <c r="L4064" s="65">
        <v>745161</v>
      </c>
      <c r="M4064" t="s">
        <v>3059</v>
      </c>
    </row>
    <row r="4065" spans="12:13" x14ac:dyDescent="0.25">
      <c r="L4065" s="65">
        <v>745162</v>
      </c>
      <c r="M4065" t="s">
        <v>3060</v>
      </c>
    </row>
    <row r="4066" spans="12:13" x14ac:dyDescent="0.25">
      <c r="L4066" s="65">
        <v>745165</v>
      </c>
      <c r="M4066" t="s">
        <v>3061</v>
      </c>
    </row>
    <row r="4067" spans="12:13" x14ac:dyDescent="0.25">
      <c r="L4067" s="65">
        <v>745166</v>
      </c>
      <c r="M4067" t="s">
        <v>3062</v>
      </c>
    </row>
    <row r="4068" spans="12:13" x14ac:dyDescent="0.25">
      <c r="L4068" s="65">
        <v>770000</v>
      </c>
      <c r="M4068" t="s">
        <v>3064</v>
      </c>
    </row>
    <row r="4069" spans="12:13" x14ac:dyDescent="0.25">
      <c r="L4069" s="65">
        <v>771000</v>
      </c>
      <c r="M4069" t="s">
        <v>3064</v>
      </c>
    </row>
    <row r="4070" spans="12:13" x14ac:dyDescent="0.25">
      <c r="L4070" s="65">
        <v>771100</v>
      </c>
      <c r="M4070" t="s">
        <v>3064</v>
      </c>
    </row>
    <row r="4071" spans="12:13" x14ac:dyDescent="0.25">
      <c r="L4071" s="65">
        <v>771110</v>
      </c>
      <c r="M4071" t="s">
        <v>3064</v>
      </c>
    </row>
    <row r="4072" spans="12:13" x14ac:dyDescent="0.25">
      <c r="L4072" s="65">
        <v>771111</v>
      </c>
      <c r="M4072" t="s">
        <v>3064</v>
      </c>
    </row>
    <row r="4073" spans="12:13" x14ac:dyDescent="0.25">
      <c r="L4073" s="65">
        <v>772000</v>
      </c>
      <c r="M4073" t="s">
        <v>3066</v>
      </c>
    </row>
    <row r="4074" spans="12:13" x14ac:dyDescent="0.25">
      <c r="L4074" s="65">
        <v>772100</v>
      </c>
      <c r="M4074" t="s">
        <v>3066</v>
      </c>
    </row>
    <row r="4075" spans="12:13" x14ac:dyDescent="0.25">
      <c r="L4075" s="65">
        <v>772110</v>
      </c>
      <c r="M4075" t="s">
        <v>3066</v>
      </c>
    </row>
    <row r="4076" spans="12:13" x14ac:dyDescent="0.25">
      <c r="L4076" s="65">
        <v>772111</v>
      </c>
      <c r="M4076" t="s">
        <v>3067</v>
      </c>
    </row>
    <row r="4077" spans="12:13" x14ac:dyDescent="0.25">
      <c r="L4077" s="65">
        <v>772112</v>
      </c>
      <c r="M4077" t="s">
        <v>3068</v>
      </c>
    </row>
    <row r="4078" spans="12:13" x14ac:dyDescent="0.25">
      <c r="L4078" s="65">
        <v>772113</v>
      </c>
      <c r="M4078" t="s">
        <v>3069</v>
      </c>
    </row>
    <row r="4079" spans="12:13" x14ac:dyDescent="0.25">
      <c r="L4079" s="65">
        <v>772114</v>
      </c>
      <c r="M4079" t="s">
        <v>3070</v>
      </c>
    </row>
    <row r="4080" spans="12:13" x14ac:dyDescent="0.25">
      <c r="L4080" s="65">
        <v>780000</v>
      </c>
      <c r="M4080" t="s">
        <v>3071</v>
      </c>
    </row>
    <row r="4081" spans="12:13" x14ac:dyDescent="0.25">
      <c r="L4081" s="65">
        <v>781000</v>
      </c>
      <c r="M4081" t="s">
        <v>3071</v>
      </c>
    </row>
    <row r="4082" spans="12:13" x14ac:dyDescent="0.25">
      <c r="L4082" s="65">
        <v>781100</v>
      </c>
      <c r="M4082" t="s">
        <v>3071</v>
      </c>
    </row>
    <row r="4083" spans="12:13" x14ac:dyDescent="0.25">
      <c r="L4083" s="65">
        <v>781110</v>
      </c>
      <c r="M4083" t="s">
        <v>3071</v>
      </c>
    </row>
    <row r="4084" spans="12:13" x14ac:dyDescent="0.25">
      <c r="L4084" s="65">
        <v>781111</v>
      </c>
      <c r="M4084" t="s">
        <v>3071</v>
      </c>
    </row>
    <row r="4085" spans="12:13" x14ac:dyDescent="0.25">
      <c r="L4085" s="65">
        <v>781112</v>
      </c>
      <c r="M4085" t="s">
        <v>3072</v>
      </c>
    </row>
    <row r="4086" spans="12:13" x14ac:dyDescent="0.25">
      <c r="L4086" s="65">
        <v>781300</v>
      </c>
      <c r="M4086" t="s">
        <v>3073</v>
      </c>
    </row>
    <row r="4087" spans="12:13" x14ac:dyDescent="0.25">
      <c r="L4087" s="65">
        <v>781310</v>
      </c>
      <c r="M4087" t="s">
        <v>3074</v>
      </c>
    </row>
    <row r="4088" spans="12:13" x14ac:dyDescent="0.25">
      <c r="L4088" s="65">
        <v>781311</v>
      </c>
      <c r="M4088" t="s">
        <v>3075</v>
      </c>
    </row>
    <row r="4089" spans="12:13" x14ac:dyDescent="0.25">
      <c r="L4089" s="65">
        <v>781312</v>
      </c>
      <c r="M4089" t="s">
        <v>3076</v>
      </c>
    </row>
    <row r="4090" spans="12:13" x14ac:dyDescent="0.25">
      <c r="L4090" s="65">
        <v>781313</v>
      </c>
      <c r="M4090" t="s">
        <v>3077</v>
      </c>
    </row>
    <row r="4091" spans="12:13" x14ac:dyDescent="0.25">
      <c r="L4091" s="65">
        <v>781314</v>
      </c>
      <c r="M4091" t="s">
        <v>3078</v>
      </c>
    </row>
    <row r="4092" spans="12:13" x14ac:dyDescent="0.25">
      <c r="L4092" s="65">
        <v>781315</v>
      </c>
      <c r="M4092" t="s">
        <v>3079</v>
      </c>
    </row>
    <row r="4093" spans="12:13" x14ac:dyDescent="0.25">
      <c r="L4093" s="65">
        <v>781316</v>
      </c>
      <c r="M4093" t="s">
        <v>3080</v>
      </c>
    </row>
    <row r="4094" spans="12:13" x14ac:dyDescent="0.25">
      <c r="L4094" s="65">
        <v>781317</v>
      </c>
      <c r="M4094" t="s">
        <v>3081</v>
      </c>
    </row>
    <row r="4095" spans="12:13" x14ac:dyDescent="0.25">
      <c r="L4095" s="65">
        <v>781318</v>
      </c>
      <c r="M4095" t="s">
        <v>3082</v>
      </c>
    </row>
    <row r="4096" spans="12:13" x14ac:dyDescent="0.25">
      <c r="L4096" s="65">
        <v>781320</v>
      </c>
      <c r="M4096" t="s">
        <v>3083</v>
      </c>
    </row>
    <row r="4097" spans="12:13" x14ac:dyDescent="0.25">
      <c r="L4097" s="65">
        <v>781321</v>
      </c>
      <c r="M4097" t="s">
        <v>3084</v>
      </c>
    </row>
    <row r="4098" spans="12:13" x14ac:dyDescent="0.25">
      <c r="L4098" s="65">
        <v>781322</v>
      </c>
      <c r="M4098" t="s">
        <v>3085</v>
      </c>
    </row>
    <row r="4099" spans="12:13" x14ac:dyDescent="0.25">
      <c r="L4099" s="65">
        <v>781323</v>
      </c>
      <c r="M4099" t="s">
        <v>3086</v>
      </c>
    </row>
    <row r="4100" spans="12:13" x14ac:dyDescent="0.25">
      <c r="L4100" s="65">
        <v>781324</v>
      </c>
      <c r="M4100" t="s">
        <v>3087</v>
      </c>
    </row>
    <row r="4101" spans="12:13" x14ac:dyDescent="0.25">
      <c r="L4101" s="65">
        <v>781330</v>
      </c>
      <c r="M4101" t="s">
        <v>3088</v>
      </c>
    </row>
    <row r="4102" spans="12:13" x14ac:dyDescent="0.25">
      <c r="L4102" s="65">
        <v>781331</v>
      </c>
      <c r="M4102" t="s">
        <v>3089</v>
      </c>
    </row>
    <row r="4103" spans="12:13" x14ac:dyDescent="0.25">
      <c r="L4103" s="65">
        <v>781340</v>
      </c>
      <c r="M4103" t="s">
        <v>3090</v>
      </c>
    </row>
    <row r="4104" spans="12:13" x14ac:dyDescent="0.25">
      <c r="L4104" s="65">
        <v>781341</v>
      </c>
      <c r="M4104" t="s">
        <v>3091</v>
      </c>
    </row>
    <row r="4105" spans="12:13" x14ac:dyDescent="0.25">
      <c r="L4105" s="65">
        <v>781342</v>
      </c>
      <c r="M4105" t="s">
        <v>3092</v>
      </c>
    </row>
    <row r="4106" spans="12:13" x14ac:dyDescent="0.25">
      <c r="L4106" s="65">
        <v>781350</v>
      </c>
      <c r="M4106" t="s">
        <v>3093</v>
      </c>
    </row>
    <row r="4107" spans="12:13" x14ac:dyDescent="0.25">
      <c r="L4107" s="65">
        <v>781351</v>
      </c>
      <c r="M4107" t="s">
        <v>3093</v>
      </c>
    </row>
    <row r="4108" spans="12:13" x14ac:dyDescent="0.25">
      <c r="L4108" s="65">
        <v>781352</v>
      </c>
      <c r="M4108" t="s">
        <v>3094</v>
      </c>
    </row>
    <row r="4109" spans="12:13" x14ac:dyDescent="0.25">
      <c r="L4109" s="65">
        <v>790000</v>
      </c>
      <c r="M4109" t="s">
        <v>3096</v>
      </c>
    </row>
    <row r="4110" spans="12:13" x14ac:dyDescent="0.25">
      <c r="L4110" s="65">
        <v>791000</v>
      </c>
      <c r="M4110" t="s">
        <v>3096</v>
      </c>
    </row>
    <row r="4111" spans="12:13" x14ac:dyDescent="0.25">
      <c r="L4111" s="65">
        <v>791100</v>
      </c>
      <c r="M4111" t="s">
        <v>3096</v>
      </c>
    </row>
    <row r="4112" spans="12:13" x14ac:dyDescent="0.25">
      <c r="L4112" s="65">
        <v>791110</v>
      </c>
      <c r="M4112" t="s">
        <v>3096</v>
      </c>
    </row>
    <row r="4113" spans="12:13" x14ac:dyDescent="0.25">
      <c r="L4113" s="65">
        <v>791111</v>
      </c>
      <c r="M4113" t="s">
        <v>3096</v>
      </c>
    </row>
    <row r="4114" spans="12:13" x14ac:dyDescent="0.25">
      <c r="L4114" s="65">
        <v>800000</v>
      </c>
      <c r="M4114" t="s">
        <v>3099</v>
      </c>
    </row>
    <row r="4115" spans="12:13" x14ac:dyDescent="0.25">
      <c r="L4115" s="65">
        <v>810000</v>
      </c>
      <c r="M4115" t="s">
        <v>3100</v>
      </c>
    </row>
    <row r="4116" spans="12:13" x14ac:dyDescent="0.25">
      <c r="L4116" s="65">
        <v>811000</v>
      </c>
      <c r="M4116" t="s">
        <v>3101</v>
      </c>
    </row>
    <row r="4117" spans="12:13" x14ac:dyDescent="0.25">
      <c r="L4117" s="65">
        <v>811100</v>
      </c>
      <c r="M4117" t="s">
        <v>3101</v>
      </c>
    </row>
    <row r="4118" spans="12:13" x14ac:dyDescent="0.25">
      <c r="L4118" s="65">
        <v>811120</v>
      </c>
      <c r="M4118" t="s">
        <v>3102</v>
      </c>
    </row>
    <row r="4119" spans="12:13" x14ac:dyDescent="0.25">
      <c r="L4119" s="65">
        <v>811121</v>
      </c>
      <c r="M4119" t="s">
        <v>3103</v>
      </c>
    </row>
    <row r="4120" spans="12:13" x14ac:dyDescent="0.25">
      <c r="L4120" s="65">
        <v>811122</v>
      </c>
      <c r="M4120" t="s">
        <v>3104</v>
      </c>
    </row>
    <row r="4121" spans="12:13" x14ac:dyDescent="0.25">
      <c r="L4121" s="65">
        <v>811123</v>
      </c>
      <c r="M4121" t="s">
        <v>3105</v>
      </c>
    </row>
    <row r="4122" spans="12:13" x14ac:dyDescent="0.25">
      <c r="L4122" s="65">
        <v>811124</v>
      </c>
      <c r="M4122" t="s">
        <v>3106</v>
      </c>
    </row>
    <row r="4123" spans="12:13" x14ac:dyDescent="0.25">
      <c r="L4123" s="65">
        <v>811125</v>
      </c>
      <c r="M4123" t="s">
        <v>3107</v>
      </c>
    </row>
    <row r="4124" spans="12:13" x14ac:dyDescent="0.25">
      <c r="L4124" s="65">
        <v>811130</v>
      </c>
      <c r="M4124" t="s">
        <v>3108</v>
      </c>
    </row>
    <row r="4125" spans="12:13" x14ac:dyDescent="0.25">
      <c r="L4125" s="65">
        <v>811131</v>
      </c>
      <c r="M4125" t="s">
        <v>3109</v>
      </c>
    </row>
    <row r="4126" spans="12:13" x14ac:dyDescent="0.25">
      <c r="L4126" s="65">
        <v>811132</v>
      </c>
      <c r="M4126" t="s">
        <v>3110</v>
      </c>
    </row>
    <row r="4127" spans="12:13" x14ac:dyDescent="0.25">
      <c r="L4127" s="65">
        <v>811133</v>
      </c>
      <c r="M4127" t="s">
        <v>3111</v>
      </c>
    </row>
    <row r="4128" spans="12:13" x14ac:dyDescent="0.25">
      <c r="L4128" s="65">
        <v>811134</v>
      </c>
      <c r="M4128" t="s">
        <v>3112</v>
      </c>
    </row>
    <row r="4129" spans="12:13" x14ac:dyDescent="0.25">
      <c r="L4129" s="65">
        <v>811135</v>
      </c>
      <c r="M4129" t="s">
        <v>3113</v>
      </c>
    </row>
    <row r="4130" spans="12:13" x14ac:dyDescent="0.25">
      <c r="L4130" s="65">
        <v>811140</v>
      </c>
      <c r="M4130" t="s">
        <v>3114</v>
      </c>
    </row>
    <row r="4131" spans="12:13" x14ac:dyDescent="0.25">
      <c r="L4131" s="65">
        <v>811141</v>
      </c>
      <c r="M4131" t="s">
        <v>3114</v>
      </c>
    </row>
    <row r="4132" spans="12:13" x14ac:dyDescent="0.25">
      <c r="L4132" s="65">
        <v>811142</v>
      </c>
      <c r="M4132" t="s">
        <v>3115</v>
      </c>
    </row>
    <row r="4133" spans="12:13" x14ac:dyDescent="0.25">
      <c r="L4133" s="65">
        <v>811143</v>
      </c>
      <c r="M4133" t="s">
        <v>3116</v>
      </c>
    </row>
    <row r="4134" spans="12:13" x14ac:dyDescent="0.25">
      <c r="L4134" s="65">
        <v>811144</v>
      </c>
      <c r="M4134" t="s">
        <v>3117</v>
      </c>
    </row>
    <row r="4135" spans="12:13" x14ac:dyDescent="0.25">
      <c r="L4135" s="65">
        <v>811150</v>
      </c>
      <c r="M4135" t="s">
        <v>3118</v>
      </c>
    </row>
    <row r="4136" spans="12:13" x14ac:dyDescent="0.25">
      <c r="L4136" s="65">
        <v>811151</v>
      </c>
      <c r="M4136" t="s">
        <v>3118</v>
      </c>
    </row>
    <row r="4137" spans="12:13" x14ac:dyDescent="0.25">
      <c r="L4137" s="65">
        <v>811152</v>
      </c>
      <c r="M4137" t="s">
        <v>3119</v>
      </c>
    </row>
    <row r="4138" spans="12:13" x14ac:dyDescent="0.25">
      <c r="L4138" s="65">
        <v>811153</v>
      </c>
      <c r="M4138" t="s">
        <v>3120</v>
      </c>
    </row>
    <row r="4139" spans="12:13" x14ac:dyDescent="0.25">
      <c r="L4139" s="65">
        <v>811154</v>
      </c>
      <c r="M4139" t="s">
        <v>3121</v>
      </c>
    </row>
    <row r="4140" spans="12:13" x14ac:dyDescent="0.25">
      <c r="L4140" s="65">
        <v>811160</v>
      </c>
      <c r="M4140" t="s">
        <v>3122</v>
      </c>
    </row>
    <row r="4141" spans="12:13" x14ac:dyDescent="0.25">
      <c r="L4141" s="65">
        <v>811161</v>
      </c>
      <c r="M4141" t="s">
        <v>3123</v>
      </c>
    </row>
    <row r="4142" spans="12:13" x14ac:dyDescent="0.25">
      <c r="L4142" s="65">
        <v>811162</v>
      </c>
      <c r="M4142" t="s">
        <v>3124</v>
      </c>
    </row>
    <row r="4143" spans="12:13" x14ac:dyDescent="0.25">
      <c r="L4143" s="65">
        <v>811165</v>
      </c>
      <c r="M4143" t="s">
        <v>3125</v>
      </c>
    </row>
    <row r="4144" spans="12:13" x14ac:dyDescent="0.25">
      <c r="L4144" s="65">
        <v>811170</v>
      </c>
      <c r="M4144" t="s">
        <v>3126</v>
      </c>
    </row>
    <row r="4145" spans="12:13" x14ac:dyDescent="0.25">
      <c r="L4145" s="65">
        <v>811171</v>
      </c>
      <c r="M4145" t="s">
        <v>3127</v>
      </c>
    </row>
    <row r="4146" spans="12:13" x14ac:dyDescent="0.25">
      <c r="L4146" s="65">
        <v>811172</v>
      </c>
      <c r="M4146" t="s">
        <v>3128</v>
      </c>
    </row>
    <row r="4147" spans="12:13" x14ac:dyDescent="0.25">
      <c r="L4147" s="65">
        <v>812000</v>
      </c>
      <c r="M4147" t="s">
        <v>3129</v>
      </c>
    </row>
    <row r="4148" spans="12:13" x14ac:dyDescent="0.25">
      <c r="L4148" s="65">
        <v>812100</v>
      </c>
      <c r="M4148" t="s">
        <v>3129</v>
      </c>
    </row>
    <row r="4149" spans="12:13" x14ac:dyDescent="0.25">
      <c r="L4149" s="65">
        <v>812120</v>
      </c>
      <c r="M4149" t="s">
        <v>3130</v>
      </c>
    </row>
    <row r="4150" spans="12:13" x14ac:dyDescent="0.25">
      <c r="L4150" s="65">
        <v>812121</v>
      </c>
      <c r="M4150" t="s">
        <v>3130</v>
      </c>
    </row>
    <row r="4151" spans="12:13" x14ac:dyDescent="0.25">
      <c r="L4151" s="65">
        <v>812130</v>
      </c>
      <c r="M4151" t="s">
        <v>3131</v>
      </c>
    </row>
    <row r="4152" spans="12:13" x14ac:dyDescent="0.25">
      <c r="L4152" s="65">
        <v>812131</v>
      </c>
      <c r="M4152" t="s">
        <v>3132</v>
      </c>
    </row>
    <row r="4153" spans="12:13" x14ac:dyDescent="0.25">
      <c r="L4153" s="65">
        <v>812132</v>
      </c>
      <c r="M4153" t="s">
        <v>3133</v>
      </c>
    </row>
    <row r="4154" spans="12:13" x14ac:dyDescent="0.25">
      <c r="L4154" s="65">
        <v>812140</v>
      </c>
      <c r="M4154" t="s">
        <v>3134</v>
      </c>
    </row>
    <row r="4155" spans="12:13" x14ac:dyDescent="0.25">
      <c r="L4155" s="65">
        <v>812141</v>
      </c>
      <c r="M4155" t="s">
        <v>3134</v>
      </c>
    </row>
    <row r="4156" spans="12:13" x14ac:dyDescent="0.25">
      <c r="L4156" s="65">
        <v>812150</v>
      </c>
      <c r="M4156" t="s">
        <v>3135</v>
      </c>
    </row>
    <row r="4157" spans="12:13" x14ac:dyDescent="0.25">
      <c r="L4157" s="65">
        <v>812151</v>
      </c>
      <c r="M4157" t="s">
        <v>3135</v>
      </c>
    </row>
    <row r="4158" spans="12:13" x14ac:dyDescent="0.25">
      <c r="L4158" s="65">
        <v>812160</v>
      </c>
      <c r="M4158" t="s">
        <v>3136</v>
      </c>
    </row>
    <row r="4159" spans="12:13" x14ac:dyDescent="0.25">
      <c r="L4159" s="65">
        <v>812161</v>
      </c>
      <c r="M4159" t="s">
        <v>3137</v>
      </c>
    </row>
    <row r="4160" spans="12:13" x14ac:dyDescent="0.25">
      <c r="L4160" s="65">
        <v>812162</v>
      </c>
      <c r="M4160" t="s">
        <v>3138</v>
      </c>
    </row>
    <row r="4161" spans="12:13" x14ac:dyDescent="0.25">
      <c r="L4161" s="65">
        <v>812165</v>
      </c>
      <c r="M4161" t="s">
        <v>3139</v>
      </c>
    </row>
    <row r="4162" spans="12:13" x14ac:dyDescent="0.25">
      <c r="L4162" s="65">
        <v>813000</v>
      </c>
      <c r="M4162" t="s">
        <v>3140</v>
      </c>
    </row>
    <row r="4163" spans="12:13" x14ac:dyDescent="0.25">
      <c r="L4163" s="65">
        <v>813100</v>
      </c>
      <c r="M4163" t="s">
        <v>3140</v>
      </c>
    </row>
    <row r="4164" spans="12:13" x14ac:dyDescent="0.25">
      <c r="L4164" s="65">
        <v>813120</v>
      </c>
      <c r="M4164" t="s">
        <v>3141</v>
      </c>
    </row>
    <row r="4165" spans="12:13" x14ac:dyDescent="0.25">
      <c r="L4165" s="65">
        <v>813121</v>
      </c>
      <c r="M4165" t="s">
        <v>3141</v>
      </c>
    </row>
    <row r="4166" spans="12:13" x14ac:dyDescent="0.25">
      <c r="L4166" s="65">
        <v>813130</v>
      </c>
      <c r="M4166" t="s">
        <v>3142</v>
      </c>
    </row>
    <row r="4167" spans="12:13" x14ac:dyDescent="0.25">
      <c r="L4167" s="65">
        <v>813131</v>
      </c>
      <c r="M4167" t="s">
        <v>3143</v>
      </c>
    </row>
    <row r="4168" spans="12:13" x14ac:dyDescent="0.25">
      <c r="L4168" s="65">
        <v>813132</v>
      </c>
      <c r="M4168" t="s">
        <v>3144</v>
      </c>
    </row>
    <row r="4169" spans="12:13" x14ac:dyDescent="0.25">
      <c r="L4169" s="65">
        <v>813140</v>
      </c>
      <c r="M4169" t="s">
        <v>3145</v>
      </c>
    </row>
    <row r="4170" spans="12:13" x14ac:dyDescent="0.25">
      <c r="L4170" s="65">
        <v>813141</v>
      </c>
      <c r="M4170" t="s">
        <v>3145</v>
      </c>
    </row>
    <row r="4171" spans="12:13" x14ac:dyDescent="0.25">
      <c r="L4171" s="65">
        <v>813150</v>
      </c>
      <c r="M4171" t="s">
        <v>3146</v>
      </c>
    </row>
    <row r="4172" spans="12:13" x14ac:dyDescent="0.25">
      <c r="L4172" s="65">
        <v>813151</v>
      </c>
      <c r="M4172" t="s">
        <v>3146</v>
      </c>
    </row>
    <row r="4173" spans="12:13" x14ac:dyDescent="0.25">
      <c r="L4173" s="65">
        <v>813160</v>
      </c>
      <c r="M4173" t="s">
        <v>3147</v>
      </c>
    </row>
    <row r="4174" spans="12:13" x14ac:dyDescent="0.25">
      <c r="L4174" s="65">
        <v>813161</v>
      </c>
      <c r="M4174" t="s">
        <v>3148</v>
      </c>
    </row>
    <row r="4175" spans="12:13" x14ac:dyDescent="0.25">
      <c r="L4175" s="65">
        <v>813162</v>
      </c>
      <c r="M4175" t="s">
        <v>3149</v>
      </c>
    </row>
    <row r="4176" spans="12:13" x14ac:dyDescent="0.25">
      <c r="L4176" s="65">
        <v>813165</v>
      </c>
      <c r="M4176" t="s">
        <v>3150</v>
      </c>
    </row>
    <row r="4177" spans="12:13" x14ac:dyDescent="0.25">
      <c r="L4177" s="65">
        <v>820000</v>
      </c>
      <c r="M4177" t="s">
        <v>3151</v>
      </c>
    </row>
    <row r="4178" spans="12:13" x14ac:dyDescent="0.25">
      <c r="L4178" s="65">
        <v>821000</v>
      </c>
      <c r="M4178" t="s">
        <v>3152</v>
      </c>
    </row>
    <row r="4179" spans="12:13" x14ac:dyDescent="0.25">
      <c r="L4179" s="65">
        <v>821100</v>
      </c>
      <c r="M4179" t="s">
        <v>3152</v>
      </c>
    </row>
    <row r="4180" spans="12:13" x14ac:dyDescent="0.25">
      <c r="L4180" s="65">
        <v>821120</v>
      </c>
      <c r="M4180" t="s">
        <v>3153</v>
      </c>
    </row>
    <row r="4181" spans="12:13" x14ac:dyDescent="0.25">
      <c r="L4181" s="65">
        <v>821121</v>
      </c>
      <c r="M4181" t="s">
        <v>3153</v>
      </c>
    </row>
    <row r="4182" spans="12:13" x14ac:dyDescent="0.25">
      <c r="L4182" s="65">
        <v>821130</v>
      </c>
      <c r="M4182" t="s">
        <v>3154</v>
      </c>
    </row>
    <row r="4183" spans="12:13" x14ac:dyDescent="0.25">
      <c r="L4183" s="65">
        <v>821131</v>
      </c>
      <c r="M4183" t="s">
        <v>3155</v>
      </c>
    </row>
    <row r="4184" spans="12:13" x14ac:dyDescent="0.25">
      <c r="L4184" s="65">
        <v>821132</v>
      </c>
      <c r="M4184" t="s">
        <v>3156</v>
      </c>
    </row>
    <row r="4185" spans="12:13" x14ac:dyDescent="0.25">
      <c r="L4185" s="65">
        <v>821140</v>
      </c>
      <c r="M4185" t="s">
        <v>3157</v>
      </c>
    </row>
    <row r="4186" spans="12:13" x14ac:dyDescent="0.25">
      <c r="L4186" s="65">
        <v>821141</v>
      </c>
      <c r="M4186" t="s">
        <v>3157</v>
      </c>
    </row>
    <row r="4187" spans="12:13" x14ac:dyDescent="0.25">
      <c r="L4187" s="65">
        <v>821150</v>
      </c>
      <c r="M4187" t="s">
        <v>3158</v>
      </c>
    </row>
    <row r="4188" spans="12:13" x14ac:dyDescent="0.25">
      <c r="L4188" s="65">
        <v>821151</v>
      </c>
      <c r="M4188" t="s">
        <v>3158</v>
      </c>
    </row>
    <row r="4189" spans="12:13" x14ac:dyDescent="0.25">
      <c r="L4189" s="65">
        <v>821160</v>
      </c>
      <c r="M4189" t="s">
        <v>3159</v>
      </c>
    </row>
    <row r="4190" spans="12:13" x14ac:dyDescent="0.25">
      <c r="L4190" s="65">
        <v>821161</v>
      </c>
      <c r="M4190" t="s">
        <v>3160</v>
      </c>
    </row>
    <row r="4191" spans="12:13" x14ac:dyDescent="0.25">
      <c r="L4191" s="65">
        <v>821162</v>
      </c>
      <c r="M4191" t="s">
        <v>3161</v>
      </c>
    </row>
    <row r="4192" spans="12:13" x14ac:dyDescent="0.25">
      <c r="L4192" s="65">
        <v>821165</v>
      </c>
      <c r="M4192" t="s">
        <v>3162</v>
      </c>
    </row>
    <row r="4193" spans="12:13" x14ac:dyDescent="0.25">
      <c r="L4193" s="65">
        <v>822000</v>
      </c>
      <c r="M4193" t="s">
        <v>3163</v>
      </c>
    </row>
    <row r="4194" spans="12:13" x14ac:dyDescent="0.25">
      <c r="L4194" s="65">
        <v>822100</v>
      </c>
      <c r="M4194" t="s">
        <v>3163</v>
      </c>
    </row>
    <row r="4195" spans="12:13" x14ac:dyDescent="0.25">
      <c r="L4195" s="65">
        <v>822120</v>
      </c>
      <c r="M4195" t="s">
        <v>3164</v>
      </c>
    </row>
    <row r="4196" spans="12:13" x14ac:dyDescent="0.25">
      <c r="L4196" s="65">
        <v>822121</v>
      </c>
      <c r="M4196" t="s">
        <v>3164</v>
      </c>
    </row>
    <row r="4197" spans="12:13" x14ac:dyDescent="0.25">
      <c r="L4197" s="65">
        <v>822130</v>
      </c>
      <c r="M4197" t="s">
        <v>3165</v>
      </c>
    </row>
    <row r="4198" spans="12:13" x14ac:dyDescent="0.25">
      <c r="L4198" s="65">
        <v>822131</v>
      </c>
      <c r="M4198" t="s">
        <v>3166</v>
      </c>
    </row>
    <row r="4199" spans="12:13" x14ac:dyDescent="0.25">
      <c r="L4199" s="65">
        <v>822132</v>
      </c>
      <c r="M4199" t="s">
        <v>3167</v>
      </c>
    </row>
    <row r="4200" spans="12:13" x14ac:dyDescent="0.25">
      <c r="L4200" s="65">
        <v>822140</v>
      </c>
      <c r="M4200" t="s">
        <v>3168</v>
      </c>
    </row>
    <row r="4201" spans="12:13" x14ac:dyDescent="0.25">
      <c r="L4201" s="65">
        <v>822141</v>
      </c>
      <c r="M4201" t="s">
        <v>3168</v>
      </c>
    </row>
    <row r="4202" spans="12:13" x14ac:dyDescent="0.25">
      <c r="L4202" s="65">
        <v>822150</v>
      </c>
      <c r="M4202" t="s">
        <v>3169</v>
      </c>
    </row>
    <row r="4203" spans="12:13" x14ac:dyDescent="0.25">
      <c r="L4203" s="65">
        <v>822151</v>
      </c>
      <c r="M4203" t="s">
        <v>3169</v>
      </c>
    </row>
    <row r="4204" spans="12:13" x14ac:dyDescent="0.25">
      <c r="L4204" s="65">
        <v>822160</v>
      </c>
      <c r="M4204" t="s">
        <v>3170</v>
      </c>
    </row>
    <row r="4205" spans="12:13" x14ac:dyDescent="0.25">
      <c r="L4205" s="65">
        <v>822161</v>
      </c>
      <c r="M4205" t="s">
        <v>3171</v>
      </c>
    </row>
    <row r="4206" spans="12:13" x14ac:dyDescent="0.25">
      <c r="L4206" s="65">
        <v>822162</v>
      </c>
      <c r="M4206" t="s">
        <v>3172</v>
      </c>
    </row>
    <row r="4207" spans="12:13" x14ac:dyDescent="0.25">
      <c r="L4207" s="65">
        <v>822165</v>
      </c>
      <c r="M4207" t="s">
        <v>3173</v>
      </c>
    </row>
    <row r="4208" spans="12:13" x14ac:dyDescent="0.25">
      <c r="L4208" s="65">
        <v>823000</v>
      </c>
      <c r="M4208" t="s">
        <v>3174</v>
      </c>
    </row>
    <row r="4209" spans="12:13" x14ac:dyDescent="0.25">
      <c r="L4209" s="65">
        <v>823100</v>
      </c>
      <c r="M4209" t="s">
        <v>3174</v>
      </c>
    </row>
    <row r="4210" spans="12:13" x14ac:dyDescent="0.25">
      <c r="L4210" s="65">
        <v>823120</v>
      </c>
      <c r="M4210" t="s">
        <v>3175</v>
      </c>
    </row>
    <row r="4211" spans="12:13" x14ac:dyDescent="0.25">
      <c r="L4211" s="65">
        <v>823121</v>
      </c>
      <c r="M4211" t="s">
        <v>3175</v>
      </c>
    </row>
    <row r="4212" spans="12:13" x14ac:dyDescent="0.25">
      <c r="L4212" s="65">
        <v>823130</v>
      </c>
      <c r="M4212" t="s">
        <v>3176</v>
      </c>
    </row>
    <row r="4213" spans="12:13" x14ac:dyDescent="0.25">
      <c r="L4213" s="65">
        <v>823131</v>
      </c>
      <c r="M4213" t="s">
        <v>3177</v>
      </c>
    </row>
    <row r="4214" spans="12:13" x14ac:dyDescent="0.25">
      <c r="L4214" s="65">
        <v>823132</v>
      </c>
      <c r="M4214" t="s">
        <v>3178</v>
      </c>
    </row>
    <row r="4215" spans="12:13" x14ac:dyDescent="0.25">
      <c r="L4215" s="65">
        <v>823140</v>
      </c>
      <c r="M4215" t="s">
        <v>3179</v>
      </c>
    </row>
    <row r="4216" spans="12:13" x14ac:dyDescent="0.25">
      <c r="L4216" s="65">
        <v>823141</v>
      </c>
      <c r="M4216" t="s">
        <v>3179</v>
      </c>
    </row>
    <row r="4217" spans="12:13" x14ac:dyDescent="0.25">
      <c r="L4217" s="65">
        <v>823150</v>
      </c>
      <c r="M4217" t="s">
        <v>3180</v>
      </c>
    </row>
    <row r="4218" spans="12:13" x14ac:dyDescent="0.25">
      <c r="L4218" s="65">
        <v>823151</v>
      </c>
      <c r="M4218" t="s">
        <v>3180</v>
      </c>
    </row>
    <row r="4219" spans="12:13" x14ac:dyDescent="0.25">
      <c r="L4219" s="65">
        <v>823160</v>
      </c>
      <c r="M4219" t="s">
        <v>3181</v>
      </c>
    </row>
    <row r="4220" spans="12:13" x14ac:dyDescent="0.25">
      <c r="L4220" s="65">
        <v>823161</v>
      </c>
      <c r="M4220" t="s">
        <v>3182</v>
      </c>
    </row>
    <row r="4221" spans="12:13" x14ac:dyDescent="0.25">
      <c r="L4221" s="65">
        <v>823162</v>
      </c>
      <c r="M4221" t="s">
        <v>3183</v>
      </c>
    </row>
    <row r="4222" spans="12:13" x14ac:dyDescent="0.25">
      <c r="L4222" s="65">
        <v>823165</v>
      </c>
      <c r="M4222" t="s">
        <v>3184</v>
      </c>
    </row>
    <row r="4223" spans="12:13" x14ac:dyDescent="0.25">
      <c r="L4223" s="65">
        <v>830000</v>
      </c>
      <c r="M4223" t="s">
        <v>3185</v>
      </c>
    </row>
    <row r="4224" spans="12:13" x14ac:dyDescent="0.25">
      <c r="L4224" s="65">
        <v>831000</v>
      </c>
      <c r="M4224" t="s">
        <v>3185</v>
      </c>
    </row>
    <row r="4225" spans="12:13" x14ac:dyDescent="0.25">
      <c r="L4225" s="65">
        <v>831100</v>
      </c>
      <c r="M4225" t="s">
        <v>3185</v>
      </c>
    </row>
    <row r="4226" spans="12:13" x14ac:dyDescent="0.25">
      <c r="L4226" s="65">
        <v>831120</v>
      </c>
      <c r="M4226" t="s">
        <v>3186</v>
      </c>
    </row>
    <row r="4227" spans="12:13" x14ac:dyDescent="0.25">
      <c r="L4227" s="65">
        <v>831121</v>
      </c>
      <c r="M4227" t="s">
        <v>3186</v>
      </c>
    </row>
    <row r="4228" spans="12:13" x14ac:dyDescent="0.25">
      <c r="L4228" s="65">
        <v>831130</v>
      </c>
      <c r="M4228" t="s">
        <v>3187</v>
      </c>
    </row>
    <row r="4229" spans="12:13" x14ac:dyDescent="0.25">
      <c r="L4229" s="65">
        <v>831131</v>
      </c>
      <c r="M4229" t="s">
        <v>3188</v>
      </c>
    </row>
    <row r="4230" spans="12:13" x14ac:dyDescent="0.25">
      <c r="L4230" s="65">
        <v>831132</v>
      </c>
      <c r="M4230" t="s">
        <v>3189</v>
      </c>
    </row>
    <row r="4231" spans="12:13" x14ac:dyDescent="0.25">
      <c r="L4231" s="65">
        <v>831140</v>
      </c>
      <c r="M4231" t="s">
        <v>3190</v>
      </c>
    </row>
    <row r="4232" spans="12:13" x14ac:dyDescent="0.25">
      <c r="L4232" s="65">
        <v>831141</v>
      </c>
      <c r="M4232" t="s">
        <v>3190</v>
      </c>
    </row>
    <row r="4233" spans="12:13" x14ac:dyDescent="0.25">
      <c r="L4233" s="65">
        <v>831150</v>
      </c>
      <c r="M4233" t="s">
        <v>3191</v>
      </c>
    </row>
    <row r="4234" spans="12:13" x14ac:dyDescent="0.25">
      <c r="L4234" s="65">
        <v>831151</v>
      </c>
      <c r="M4234" t="s">
        <v>3191</v>
      </c>
    </row>
    <row r="4235" spans="12:13" x14ac:dyDescent="0.25">
      <c r="L4235" s="65">
        <v>831160</v>
      </c>
      <c r="M4235" t="s">
        <v>3192</v>
      </c>
    </row>
    <row r="4236" spans="12:13" x14ac:dyDescent="0.25">
      <c r="L4236" s="65">
        <v>831161</v>
      </c>
      <c r="M4236" t="s">
        <v>3193</v>
      </c>
    </row>
    <row r="4237" spans="12:13" x14ac:dyDescent="0.25">
      <c r="L4237" s="65">
        <v>831162</v>
      </c>
      <c r="M4237" t="s">
        <v>3194</v>
      </c>
    </row>
    <row r="4238" spans="12:13" x14ac:dyDescent="0.25">
      <c r="L4238" s="65">
        <v>831165</v>
      </c>
      <c r="M4238" t="s">
        <v>3195</v>
      </c>
    </row>
    <row r="4239" spans="12:13" x14ac:dyDescent="0.25">
      <c r="L4239" s="65">
        <v>840000</v>
      </c>
      <c r="M4239" t="s">
        <v>3196</v>
      </c>
    </row>
    <row r="4240" spans="12:13" x14ac:dyDescent="0.25">
      <c r="L4240" s="65">
        <v>841000</v>
      </c>
      <c r="M4240" t="s">
        <v>3197</v>
      </c>
    </row>
    <row r="4241" spans="12:13" x14ac:dyDescent="0.25">
      <c r="L4241" s="65">
        <v>841100</v>
      </c>
      <c r="M4241" t="s">
        <v>3197</v>
      </c>
    </row>
    <row r="4242" spans="12:13" x14ac:dyDescent="0.25">
      <c r="L4242" s="65">
        <v>841120</v>
      </c>
      <c r="M4242" t="s">
        <v>3198</v>
      </c>
    </row>
    <row r="4243" spans="12:13" x14ac:dyDescent="0.25">
      <c r="L4243" s="65">
        <v>841121</v>
      </c>
      <c r="M4243" t="s">
        <v>3198</v>
      </c>
    </row>
    <row r="4244" spans="12:13" x14ac:dyDescent="0.25">
      <c r="L4244" s="65">
        <v>841130</v>
      </c>
      <c r="M4244" t="s">
        <v>3199</v>
      </c>
    </row>
    <row r="4245" spans="12:13" x14ac:dyDescent="0.25">
      <c r="L4245" s="65">
        <v>841131</v>
      </c>
      <c r="M4245" t="s">
        <v>3199</v>
      </c>
    </row>
    <row r="4246" spans="12:13" x14ac:dyDescent="0.25">
      <c r="L4246" s="65">
        <v>841140</v>
      </c>
      <c r="M4246" t="s">
        <v>3200</v>
      </c>
    </row>
    <row r="4247" spans="12:13" x14ac:dyDescent="0.25">
      <c r="L4247" s="65">
        <v>841141</v>
      </c>
      <c r="M4247" t="s">
        <v>3200</v>
      </c>
    </row>
    <row r="4248" spans="12:13" x14ac:dyDescent="0.25">
      <c r="L4248" s="65">
        <v>841150</v>
      </c>
      <c r="M4248" t="s">
        <v>3201</v>
      </c>
    </row>
    <row r="4249" spans="12:13" x14ac:dyDescent="0.25">
      <c r="L4249" s="65">
        <v>841151</v>
      </c>
      <c r="M4249" t="s">
        <v>3201</v>
      </c>
    </row>
    <row r="4250" spans="12:13" x14ac:dyDescent="0.25">
      <c r="L4250" s="65">
        <v>841160</v>
      </c>
      <c r="M4250" t="s">
        <v>3202</v>
      </c>
    </row>
    <row r="4251" spans="12:13" x14ac:dyDescent="0.25">
      <c r="L4251" s="65">
        <v>841161</v>
      </c>
      <c r="M4251" t="s">
        <v>3203</v>
      </c>
    </row>
    <row r="4252" spans="12:13" x14ac:dyDescent="0.25">
      <c r="L4252" s="65">
        <v>841162</v>
      </c>
      <c r="M4252" t="s">
        <v>3204</v>
      </c>
    </row>
    <row r="4253" spans="12:13" x14ac:dyDescent="0.25">
      <c r="L4253" s="65">
        <v>841165</v>
      </c>
      <c r="M4253" t="s">
        <v>3205</v>
      </c>
    </row>
    <row r="4254" spans="12:13" x14ac:dyDescent="0.25">
      <c r="L4254" s="65">
        <v>842000</v>
      </c>
      <c r="M4254" t="s">
        <v>3206</v>
      </c>
    </row>
    <row r="4255" spans="12:13" x14ac:dyDescent="0.25">
      <c r="L4255" s="65">
        <v>842100</v>
      </c>
      <c r="M4255" t="s">
        <v>3206</v>
      </c>
    </row>
    <row r="4256" spans="12:13" x14ac:dyDescent="0.25">
      <c r="L4256" s="65">
        <v>842120</v>
      </c>
      <c r="M4256" t="s">
        <v>3207</v>
      </c>
    </row>
    <row r="4257" spans="12:13" x14ac:dyDescent="0.25">
      <c r="L4257" s="65">
        <v>842121</v>
      </c>
      <c r="M4257" t="s">
        <v>3207</v>
      </c>
    </row>
    <row r="4258" spans="12:13" x14ac:dyDescent="0.25">
      <c r="L4258" s="65">
        <v>842130</v>
      </c>
      <c r="M4258" t="s">
        <v>3208</v>
      </c>
    </row>
    <row r="4259" spans="12:13" x14ac:dyDescent="0.25">
      <c r="L4259" s="65">
        <v>842131</v>
      </c>
      <c r="M4259" t="s">
        <v>3208</v>
      </c>
    </row>
    <row r="4260" spans="12:13" x14ac:dyDescent="0.25">
      <c r="L4260" s="65">
        <v>842140</v>
      </c>
      <c r="M4260" t="s">
        <v>3209</v>
      </c>
    </row>
    <row r="4261" spans="12:13" x14ac:dyDescent="0.25">
      <c r="L4261" s="65">
        <v>842141</v>
      </c>
      <c r="M4261" t="s">
        <v>3209</v>
      </c>
    </row>
    <row r="4262" spans="12:13" x14ac:dyDescent="0.25">
      <c r="L4262" s="65">
        <v>842150</v>
      </c>
      <c r="M4262" t="s">
        <v>3210</v>
      </c>
    </row>
    <row r="4263" spans="12:13" x14ac:dyDescent="0.25">
      <c r="L4263" s="65">
        <v>842151</v>
      </c>
      <c r="M4263" t="s">
        <v>3210</v>
      </c>
    </row>
    <row r="4264" spans="12:13" x14ac:dyDescent="0.25">
      <c r="L4264" s="65">
        <v>842160</v>
      </c>
      <c r="M4264" t="s">
        <v>3211</v>
      </c>
    </row>
    <row r="4265" spans="12:13" x14ac:dyDescent="0.25">
      <c r="L4265" s="65">
        <v>842161</v>
      </c>
      <c r="M4265" t="s">
        <v>3212</v>
      </c>
    </row>
    <row r="4266" spans="12:13" x14ac:dyDescent="0.25">
      <c r="L4266" s="65">
        <v>842162</v>
      </c>
      <c r="M4266" t="s">
        <v>3213</v>
      </c>
    </row>
    <row r="4267" spans="12:13" x14ac:dyDescent="0.25">
      <c r="L4267" s="65">
        <v>842165</v>
      </c>
      <c r="M4267" t="s">
        <v>3214</v>
      </c>
    </row>
    <row r="4268" spans="12:13" x14ac:dyDescent="0.25">
      <c r="L4268" s="65">
        <v>843000</v>
      </c>
      <c r="M4268" t="s">
        <v>3215</v>
      </c>
    </row>
    <row r="4269" spans="12:13" x14ac:dyDescent="0.25">
      <c r="L4269" s="65">
        <v>843100</v>
      </c>
      <c r="M4269" t="s">
        <v>3215</v>
      </c>
    </row>
    <row r="4270" spans="12:13" x14ac:dyDescent="0.25">
      <c r="L4270" s="65">
        <v>843120</v>
      </c>
      <c r="M4270" t="s">
        <v>3216</v>
      </c>
    </row>
    <row r="4271" spans="12:13" x14ac:dyDescent="0.25">
      <c r="L4271" s="65">
        <v>843121</v>
      </c>
      <c r="M4271" t="s">
        <v>3216</v>
      </c>
    </row>
    <row r="4272" spans="12:13" x14ac:dyDescent="0.25">
      <c r="L4272" s="65">
        <v>843130</v>
      </c>
      <c r="M4272" t="s">
        <v>3217</v>
      </c>
    </row>
    <row r="4273" spans="12:13" x14ac:dyDescent="0.25">
      <c r="L4273" s="65">
        <v>843131</v>
      </c>
      <c r="M4273" t="s">
        <v>3217</v>
      </c>
    </row>
    <row r="4274" spans="12:13" x14ac:dyDescent="0.25">
      <c r="L4274" s="65">
        <v>843140</v>
      </c>
      <c r="M4274" t="s">
        <v>3218</v>
      </c>
    </row>
    <row r="4275" spans="12:13" x14ac:dyDescent="0.25">
      <c r="L4275" s="65">
        <v>843141</v>
      </c>
      <c r="M4275" t="s">
        <v>3218</v>
      </c>
    </row>
    <row r="4276" spans="12:13" x14ac:dyDescent="0.25">
      <c r="L4276" s="65">
        <v>843150</v>
      </c>
      <c r="M4276" t="s">
        <v>3219</v>
      </c>
    </row>
    <row r="4277" spans="12:13" x14ac:dyDescent="0.25">
      <c r="L4277" s="65">
        <v>843151</v>
      </c>
      <c r="M4277" t="s">
        <v>3219</v>
      </c>
    </row>
    <row r="4278" spans="12:13" x14ac:dyDescent="0.25">
      <c r="L4278" s="65">
        <v>843160</v>
      </c>
      <c r="M4278" t="s">
        <v>3220</v>
      </c>
    </row>
    <row r="4279" spans="12:13" x14ac:dyDescent="0.25">
      <c r="L4279" s="65">
        <v>843161</v>
      </c>
      <c r="M4279" t="s">
        <v>3221</v>
      </c>
    </row>
    <row r="4280" spans="12:13" x14ac:dyDescent="0.25">
      <c r="L4280" s="65">
        <v>843162</v>
      </c>
      <c r="M4280" t="s">
        <v>3222</v>
      </c>
    </row>
    <row r="4281" spans="12:13" x14ac:dyDescent="0.25">
      <c r="L4281" s="65">
        <v>843165</v>
      </c>
      <c r="M4281" t="s">
        <v>3223</v>
      </c>
    </row>
    <row r="4282" spans="12:13" x14ac:dyDescent="0.25">
      <c r="L4282" s="65">
        <v>900000</v>
      </c>
      <c r="M4282" t="s">
        <v>3225</v>
      </c>
    </row>
    <row r="4283" spans="12:13" x14ac:dyDescent="0.25">
      <c r="L4283" s="65">
        <v>910000</v>
      </c>
      <c r="M4283" t="s">
        <v>3227</v>
      </c>
    </row>
    <row r="4284" spans="12:13" x14ac:dyDescent="0.25">
      <c r="L4284" s="65">
        <v>911000</v>
      </c>
      <c r="M4284" t="s">
        <v>3228</v>
      </c>
    </row>
    <row r="4285" spans="12:13" x14ac:dyDescent="0.25">
      <c r="L4285" s="65">
        <v>911100</v>
      </c>
      <c r="M4285" t="s">
        <v>3229</v>
      </c>
    </row>
    <row r="4286" spans="12:13" x14ac:dyDescent="0.25">
      <c r="L4286" s="65">
        <v>911120</v>
      </c>
      <c r="M4286" t="s">
        <v>3230</v>
      </c>
    </row>
    <row r="4287" spans="12:13" x14ac:dyDescent="0.25">
      <c r="L4287" s="65">
        <v>911121</v>
      </c>
      <c r="M4287" t="s">
        <v>3230</v>
      </c>
    </row>
    <row r="4288" spans="12:13" x14ac:dyDescent="0.25">
      <c r="L4288" s="65">
        <v>911130</v>
      </c>
      <c r="M4288" t="s">
        <v>3231</v>
      </c>
    </row>
    <row r="4289" spans="12:13" x14ac:dyDescent="0.25">
      <c r="L4289" s="65">
        <v>911131</v>
      </c>
      <c r="M4289" t="s">
        <v>3232</v>
      </c>
    </row>
    <row r="4290" spans="12:13" x14ac:dyDescent="0.25">
      <c r="L4290" s="65">
        <v>911132</v>
      </c>
      <c r="M4290" t="s">
        <v>3233</v>
      </c>
    </row>
    <row r="4291" spans="12:13" x14ac:dyDescent="0.25">
      <c r="L4291" s="65">
        <v>911140</v>
      </c>
      <c r="M4291" t="s">
        <v>3234</v>
      </c>
    </row>
    <row r="4292" spans="12:13" x14ac:dyDescent="0.25">
      <c r="L4292" s="65">
        <v>911141</v>
      </c>
      <c r="M4292" t="s">
        <v>3234</v>
      </c>
    </row>
    <row r="4293" spans="12:13" x14ac:dyDescent="0.25">
      <c r="L4293" s="65">
        <v>911150</v>
      </c>
      <c r="M4293" t="s">
        <v>3235</v>
      </c>
    </row>
    <row r="4294" spans="12:13" x14ac:dyDescent="0.25">
      <c r="L4294" s="65">
        <v>911151</v>
      </c>
      <c r="M4294" t="s">
        <v>3235</v>
      </c>
    </row>
    <row r="4295" spans="12:13" x14ac:dyDescent="0.25">
      <c r="L4295" s="65">
        <v>911160</v>
      </c>
      <c r="M4295" t="s">
        <v>3236</v>
      </c>
    </row>
    <row r="4296" spans="12:13" x14ac:dyDescent="0.25">
      <c r="L4296" s="65">
        <v>911161</v>
      </c>
      <c r="M4296" t="s">
        <v>3237</v>
      </c>
    </row>
    <row r="4297" spans="12:13" x14ac:dyDescent="0.25">
      <c r="L4297" s="65">
        <v>911162</v>
      </c>
      <c r="M4297" t="s">
        <v>3238</v>
      </c>
    </row>
    <row r="4298" spans="12:13" x14ac:dyDescent="0.25">
      <c r="L4298" s="65">
        <v>911165</v>
      </c>
      <c r="M4298" t="s">
        <v>3239</v>
      </c>
    </row>
    <row r="4299" spans="12:13" x14ac:dyDescent="0.25">
      <c r="L4299" s="65">
        <v>911200</v>
      </c>
      <c r="M4299" t="s">
        <v>3240</v>
      </c>
    </row>
    <row r="4300" spans="12:13" x14ac:dyDescent="0.25">
      <c r="L4300" s="65">
        <v>911220</v>
      </c>
      <c r="M4300" t="s">
        <v>3241</v>
      </c>
    </row>
    <row r="4301" spans="12:13" x14ac:dyDescent="0.25">
      <c r="L4301" s="65">
        <v>911221</v>
      </c>
      <c r="M4301" t="s">
        <v>3241</v>
      </c>
    </row>
    <row r="4302" spans="12:13" x14ac:dyDescent="0.25">
      <c r="L4302" s="65">
        <v>911230</v>
      </c>
      <c r="M4302" t="s">
        <v>3242</v>
      </c>
    </row>
    <row r="4303" spans="12:13" x14ac:dyDescent="0.25">
      <c r="L4303" s="65">
        <v>911231</v>
      </c>
      <c r="M4303" t="s">
        <v>3243</v>
      </c>
    </row>
    <row r="4304" spans="12:13" x14ac:dyDescent="0.25">
      <c r="L4304" s="65">
        <v>911232</v>
      </c>
      <c r="M4304" t="s">
        <v>3244</v>
      </c>
    </row>
    <row r="4305" spans="12:13" x14ac:dyDescent="0.25">
      <c r="L4305" s="65">
        <v>911240</v>
      </c>
      <c r="M4305" t="s">
        <v>3245</v>
      </c>
    </row>
    <row r="4306" spans="12:13" x14ac:dyDescent="0.25">
      <c r="L4306" s="65">
        <v>911241</v>
      </c>
      <c r="M4306" t="s">
        <v>3245</v>
      </c>
    </row>
    <row r="4307" spans="12:13" x14ac:dyDescent="0.25">
      <c r="L4307" s="65">
        <v>911250</v>
      </c>
      <c r="M4307" t="s">
        <v>3246</v>
      </c>
    </row>
    <row r="4308" spans="12:13" x14ac:dyDescent="0.25">
      <c r="L4308" s="65">
        <v>911251</v>
      </c>
      <c r="M4308" t="s">
        <v>3246</v>
      </c>
    </row>
    <row r="4309" spans="12:13" x14ac:dyDescent="0.25">
      <c r="L4309" s="65">
        <v>911260</v>
      </c>
      <c r="M4309" t="s">
        <v>3247</v>
      </c>
    </row>
    <row r="4310" spans="12:13" x14ac:dyDescent="0.25">
      <c r="L4310" s="65">
        <v>911261</v>
      </c>
      <c r="M4310" t="s">
        <v>3248</v>
      </c>
    </row>
    <row r="4311" spans="12:13" x14ac:dyDescent="0.25">
      <c r="L4311" s="65">
        <v>911262</v>
      </c>
      <c r="M4311" t="s">
        <v>3249</v>
      </c>
    </row>
    <row r="4312" spans="12:13" x14ac:dyDescent="0.25">
      <c r="L4312" s="65">
        <v>911265</v>
      </c>
      <c r="M4312" t="s">
        <v>3250</v>
      </c>
    </row>
    <row r="4313" spans="12:13" x14ac:dyDescent="0.25">
      <c r="L4313" s="65">
        <v>911300</v>
      </c>
      <c r="M4313" t="s">
        <v>3251</v>
      </c>
    </row>
    <row r="4314" spans="12:13" x14ac:dyDescent="0.25">
      <c r="L4314" s="65">
        <v>911320</v>
      </c>
      <c r="M4314" t="s">
        <v>3252</v>
      </c>
    </row>
    <row r="4315" spans="12:13" x14ac:dyDescent="0.25">
      <c r="L4315" s="65">
        <v>911321</v>
      </c>
      <c r="M4315" t="s">
        <v>3252</v>
      </c>
    </row>
    <row r="4316" spans="12:13" x14ac:dyDescent="0.25">
      <c r="L4316" s="65">
        <v>911330</v>
      </c>
      <c r="M4316" t="s">
        <v>3253</v>
      </c>
    </row>
    <row r="4317" spans="12:13" x14ac:dyDescent="0.25">
      <c r="L4317" s="65">
        <v>911331</v>
      </c>
      <c r="M4317" t="s">
        <v>3253</v>
      </c>
    </row>
    <row r="4318" spans="12:13" x14ac:dyDescent="0.25">
      <c r="L4318" s="65">
        <v>911340</v>
      </c>
      <c r="M4318" t="s">
        <v>3254</v>
      </c>
    </row>
    <row r="4319" spans="12:13" x14ac:dyDescent="0.25">
      <c r="L4319" s="65">
        <v>911341</v>
      </c>
      <c r="M4319" t="s">
        <v>3254</v>
      </c>
    </row>
    <row r="4320" spans="12:13" x14ac:dyDescent="0.25">
      <c r="L4320" s="65">
        <v>911350</v>
      </c>
      <c r="M4320" t="s">
        <v>3255</v>
      </c>
    </row>
    <row r="4321" spans="12:13" x14ac:dyDescent="0.25">
      <c r="L4321" s="65">
        <v>911351</v>
      </c>
      <c r="M4321" t="s">
        <v>3255</v>
      </c>
    </row>
    <row r="4322" spans="12:13" x14ac:dyDescent="0.25">
      <c r="L4322" s="65">
        <v>911360</v>
      </c>
      <c r="M4322" t="s">
        <v>3256</v>
      </c>
    </row>
    <row r="4323" spans="12:13" x14ac:dyDescent="0.25">
      <c r="L4323" s="65">
        <v>911361</v>
      </c>
      <c r="M4323" t="s">
        <v>3257</v>
      </c>
    </row>
    <row r="4324" spans="12:13" x14ac:dyDescent="0.25">
      <c r="L4324" s="65">
        <v>911362</v>
      </c>
      <c r="M4324" t="s">
        <v>3258</v>
      </c>
    </row>
    <row r="4325" spans="12:13" x14ac:dyDescent="0.25">
      <c r="L4325" s="65">
        <v>911365</v>
      </c>
      <c r="M4325" t="s">
        <v>3259</v>
      </c>
    </row>
    <row r="4326" spans="12:13" x14ac:dyDescent="0.25">
      <c r="L4326" s="65">
        <v>911400</v>
      </c>
      <c r="M4326" t="s">
        <v>3260</v>
      </c>
    </row>
    <row r="4327" spans="12:13" x14ac:dyDescent="0.25">
      <c r="L4327" s="65">
        <v>911420</v>
      </c>
      <c r="M4327" t="s">
        <v>3261</v>
      </c>
    </row>
    <row r="4328" spans="12:13" x14ac:dyDescent="0.25">
      <c r="L4328" s="65">
        <v>911421</v>
      </c>
      <c r="M4328" t="s">
        <v>3261</v>
      </c>
    </row>
    <row r="4329" spans="12:13" x14ac:dyDescent="0.25">
      <c r="L4329" s="65">
        <v>911430</v>
      </c>
      <c r="M4329" t="s">
        <v>3262</v>
      </c>
    </row>
    <row r="4330" spans="12:13" x14ac:dyDescent="0.25">
      <c r="L4330" s="65">
        <v>911431</v>
      </c>
      <c r="M4330" t="s">
        <v>3263</v>
      </c>
    </row>
    <row r="4331" spans="12:13" x14ac:dyDescent="0.25">
      <c r="L4331" s="65">
        <v>911432</v>
      </c>
      <c r="M4331" t="s">
        <v>3264</v>
      </c>
    </row>
    <row r="4332" spans="12:13" x14ac:dyDescent="0.25">
      <c r="L4332" s="65">
        <v>911440</v>
      </c>
      <c r="M4332" t="s">
        <v>3265</v>
      </c>
    </row>
    <row r="4333" spans="12:13" x14ac:dyDescent="0.25">
      <c r="L4333" s="65">
        <v>911441</v>
      </c>
      <c r="M4333" t="s">
        <v>3265</v>
      </c>
    </row>
    <row r="4334" spans="12:13" x14ac:dyDescent="0.25">
      <c r="L4334" s="65">
        <v>911450</v>
      </c>
      <c r="M4334" t="s">
        <v>3267</v>
      </c>
    </row>
    <row r="4335" spans="12:13" x14ac:dyDescent="0.25">
      <c r="L4335" s="65">
        <v>911451</v>
      </c>
      <c r="M4335" t="s">
        <v>3267</v>
      </c>
    </row>
    <row r="4336" spans="12:13" x14ac:dyDescent="0.25">
      <c r="L4336" s="65">
        <v>911460</v>
      </c>
      <c r="M4336" t="s">
        <v>3268</v>
      </c>
    </row>
    <row r="4337" spans="12:13" x14ac:dyDescent="0.25">
      <c r="L4337" s="65">
        <v>911461</v>
      </c>
      <c r="M4337" t="s">
        <v>3269</v>
      </c>
    </row>
    <row r="4338" spans="12:13" x14ac:dyDescent="0.25">
      <c r="L4338" s="65">
        <v>911462</v>
      </c>
      <c r="M4338" t="s">
        <v>3270</v>
      </c>
    </row>
    <row r="4339" spans="12:13" x14ac:dyDescent="0.25">
      <c r="L4339" s="65">
        <v>911465</v>
      </c>
      <c r="M4339" t="s">
        <v>3271</v>
      </c>
    </row>
    <row r="4340" spans="12:13" x14ac:dyDescent="0.25">
      <c r="L4340" s="65">
        <v>911500</v>
      </c>
      <c r="M4340" t="s">
        <v>3272</v>
      </c>
    </row>
    <row r="4341" spans="12:13" x14ac:dyDescent="0.25">
      <c r="L4341" s="65">
        <v>911520</v>
      </c>
      <c r="M4341" t="s">
        <v>3273</v>
      </c>
    </row>
    <row r="4342" spans="12:13" x14ac:dyDescent="0.25">
      <c r="L4342" s="65">
        <v>911521</v>
      </c>
      <c r="M4342" t="s">
        <v>3273</v>
      </c>
    </row>
    <row r="4343" spans="12:13" x14ac:dyDescent="0.25">
      <c r="L4343" s="65">
        <v>911530</v>
      </c>
      <c r="M4343" t="s">
        <v>3274</v>
      </c>
    </row>
    <row r="4344" spans="12:13" x14ac:dyDescent="0.25">
      <c r="L4344" s="65">
        <v>911531</v>
      </c>
      <c r="M4344" t="s">
        <v>3275</v>
      </c>
    </row>
    <row r="4345" spans="12:13" x14ac:dyDescent="0.25">
      <c r="L4345" s="65">
        <v>911532</v>
      </c>
      <c r="M4345" t="s">
        <v>3276</v>
      </c>
    </row>
    <row r="4346" spans="12:13" x14ac:dyDescent="0.25">
      <c r="L4346" s="65">
        <v>911540</v>
      </c>
      <c r="M4346" t="s">
        <v>3277</v>
      </c>
    </row>
    <row r="4347" spans="12:13" x14ac:dyDescent="0.25">
      <c r="L4347" s="65">
        <v>911541</v>
      </c>
      <c r="M4347" t="s">
        <v>3277</v>
      </c>
    </row>
    <row r="4348" spans="12:13" x14ac:dyDescent="0.25">
      <c r="L4348" s="65">
        <v>911550</v>
      </c>
      <c r="M4348" t="s">
        <v>3278</v>
      </c>
    </row>
    <row r="4349" spans="12:13" x14ac:dyDescent="0.25">
      <c r="L4349" s="65">
        <v>911551</v>
      </c>
      <c r="M4349" t="s">
        <v>3278</v>
      </c>
    </row>
    <row r="4350" spans="12:13" x14ac:dyDescent="0.25">
      <c r="L4350" s="65">
        <v>911560</v>
      </c>
      <c r="M4350" t="s">
        <v>3279</v>
      </c>
    </row>
    <row r="4351" spans="12:13" x14ac:dyDescent="0.25">
      <c r="L4351" s="65">
        <v>911561</v>
      </c>
      <c r="M4351" t="s">
        <v>3280</v>
      </c>
    </row>
    <row r="4352" spans="12:13" x14ac:dyDescent="0.25">
      <c r="L4352" s="65">
        <v>911562</v>
      </c>
      <c r="M4352" t="s">
        <v>3281</v>
      </c>
    </row>
    <row r="4353" spans="12:13" x14ac:dyDescent="0.25">
      <c r="L4353" s="65">
        <v>911565</v>
      </c>
      <c r="M4353" t="s">
        <v>3282</v>
      </c>
    </row>
    <row r="4354" spans="12:13" x14ac:dyDescent="0.25">
      <c r="L4354" s="65">
        <v>911600</v>
      </c>
      <c r="M4354" t="s">
        <v>3283</v>
      </c>
    </row>
    <row r="4355" spans="12:13" x14ac:dyDescent="0.25">
      <c r="L4355" s="65">
        <v>911620</v>
      </c>
      <c r="M4355" t="s">
        <v>3284</v>
      </c>
    </row>
    <row r="4356" spans="12:13" x14ac:dyDescent="0.25">
      <c r="L4356" s="65">
        <v>911621</v>
      </c>
      <c r="M4356" t="s">
        <v>3284</v>
      </c>
    </row>
    <row r="4357" spans="12:13" x14ac:dyDescent="0.25">
      <c r="L4357" s="65">
        <v>911630</v>
      </c>
      <c r="M4357" t="s">
        <v>3285</v>
      </c>
    </row>
    <row r="4358" spans="12:13" x14ac:dyDescent="0.25">
      <c r="L4358" s="65">
        <v>911631</v>
      </c>
      <c r="M4358" t="s">
        <v>3285</v>
      </c>
    </row>
    <row r="4359" spans="12:13" x14ac:dyDescent="0.25">
      <c r="L4359" s="65">
        <v>911640</v>
      </c>
      <c r="M4359" t="s">
        <v>3286</v>
      </c>
    </row>
    <row r="4360" spans="12:13" x14ac:dyDescent="0.25">
      <c r="L4360" s="65">
        <v>911641</v>
      </c>
      <c r="M4360" t="s">
        <v>3286</v>
      </c>
    </row>
    <row r="4361" spans="12:13" x14ac:dyDescent="0.25">
      <c r="L4361" s="65">
        <v>911650</v>
      </c>
      <c r="M4361" t="s">
        <v>3287</v>
      </c>
    </row>
    <row r="4362" spans="12:13" x14ac:dyDescent="0.25">
      <c r="L4362" s="65">
        <v>911651</v>
      </c>
      <c r="M4362" t="s">
        <v>3287</v>
      </c>
    </row>
    <row r="4363" spans="12:13" x14ac:dyDescent="0.25">
      <c r="L4363" s="65">
        <v>911660</v>
      </c>
      <c r="M4363" t="s">
        <v>3288</v>
      </c>
    </row>
    <row r="4364" spans="12:13" x14ac:dyDescent="0.25">
      <c r="L4364" s="65">
        <v>911661</v>
      </c>
      <c r="M4364" t="s">
        <v>3289</v>
      </c>
    </row>
    <row r="4365" spans="12:13" x14ac:dyDescent="0.25">
      <c r="L4365" s="65">
        <v>911662</v>
      </c>
      <c r="M4365" t="s">
        <v>3290</v>
      </c>
    </row>
    <row r="4366" spans="12:13" x14ac:dyDescent="0.25">
      <c r="L4366" s="65">
        <v>911665</v>
      </c>
      <c r="M4366" t="s">
        <v>3291</v>
      </c>
    </row>
    <row r="4367" spans="12:13" x14ac:dyDescent="0.25">
      <c r="L4367" s="65">
        <v>911700</v>
      </c>
      <c r="M4367" t="s">
        <v>3292</v>
      </c>
    </row>
    <row r="4368" spans="12:13" x14ac:dyDescent="0.25">
      <c r="L4368" s="65">
        <v>911720</v>
      </c>
      <c r="M4368" t="s">
        <v>3293</v>
      </c>
    </row>
    <row r="4369" spans="12:13" x14ac:dyDescent="0.25">
      <c r="L4369" s="65">
        <v>911721</v>
      </c>
      <c r="M4369" t="s">
        <v>3293</v>
      </c>
    </row>
    <row r="4370" spans="12:13" x14ac:dyDescent="0.25">
      <c r="L4370" s="65">
        <v>911730</v>
      </c>
      <c r="M4370" t="s">
        <v>3294</v>
      </c>
    </row>
    <row r="4371" spans="12:13" x14ac:dyDescent="0.25">
      <c r="L4371" s="65">
        <v>911731</v>
      </c>
      <c r="M4371" t="s">
        <v>3294</v>
      </c>
    </row>
    <row r="4372" spans="12:13" x14ac:dyDescent="0.25">
      <c r="L4372" s="65">
        <v>911740</v>
      </c>
      <c r="M4372" t="s">
        <v>3295</v>
      </c>
    </row>
    <row r="4373" spans="12:13" x14ac:dyDescent="0.25">
      <c r="L4373" s="65">
        <v>911741</v>
      </c>
      <c r="M4373" t="s">
        <v>3295</v>
      </c>
    </row>
    <row r="4374" spans="12:13" x14ac:dyDescent="0.25">
      <c r="L4374" s="65">
        <v>911750</v>
      </c>
      <c r="M4374" t="s">
        <v>3296</v>
      </c>
    </row>
    <row r="4375" spans="12:13" x14ac:dyDescent="0.25">
      <c r="L4375" s="65">
        <v>911751</v>
      </c>
      <c r="M4375" t="s">
        <v>3296</v>
      </c>
    </row>
    <row r="4376" spans="12:13" x14ac:dyDescent="0.25">
      <c r="L4376" s="65">
        <v>911760</v>
      </c>
      <c r="M4376" t="s">
        <v>3297</v>
      </c>
    </row>
    <row r="4377" spans="12:13" x14ac:dyDescent="0.25">
      <c r="L4377" s="65">
        <v>911761</v>
      </c>
      <c r="M4377" t="s">
        <v>3298</v>
      </c>
    </row>
    <row r="4378" spans="12:13" x14ac:dyDescent="0.25">
      <c r="L4378" s="65">
        <v>911762</v>
      </c>
      <c r="M4378" t="s">
        <v>3299</v>
      </c>
    </row>
    <row r="4379" spans="12:13" x14ac:dyDescent="0.25">
      <c r="L4379" s="65">
        <v>911765</v>
      </c>
      <c r="M4379" t="s">
        <v>3300</v>
      </c>
    </row>
    <row r="4380" spans="12:13" x14ac:dyDescent="0.25">
      <c r="L4380" s="65">
        <v>911800</v>
      </c>
      <c r="M4380" t="s">
        <v>3301</v>
      </c>
    </row>
    <row r="4381" spans="12:13" x14ac:dyDescent="0.25">
      <c r="L4381" s="65">
        <v>911820</v>
      </c>
      <c r="M4381" t="s">
        <v>3302</v>
      </c>
    </row>
    <row r="4382" spans="12:13" x14ac:dyDescent="0.25">
      <c r="L4382" s="65">
        <v>911821</v>
      </c>
      <c r="M4382" t="s">
        <v>3302</v>
      </c>
    </row>
    <row r="4383" spans="12:13" x14ac:dyDescent="0.25">
      <c r="L4383" s="65">
        <v>911830</v>
      </c>
      <c r="M4383" t="s">
        <v>3303</v>
      </c>
    </row>
    <row r="4384" spans="12:13" x14ac:dyDescent="0.25">
      <c r="L4384" s="65">
        <v>911831</v>
      </c>
      <c r="M4384" t="s">
        <v>3304</v>
      </c>
    </row>
    <row r="4385" spans="12:13" x14ac:dyDescent="0.25">
      <c r="L4385" s="65">
        <v>911832</v>
      </c>
      <c r="M4385" t="s">
        <v>3305</v>
      </c>
    </row>
    <row r="4386" spans="12:13" x14ac:dyDescent="0.25">
      <c r="L4386" s="65">
        <v>911840</v>
      </c>
      <c r="M4386" t="s">
        <v>3306</v>
      </c>
    </row>
    <row r="4387" spans="12:13" x14ac:dyDescent="0.25">
      <c r="L4387" s="65">
        <v>911841</v>
      </c>
      <c r="M4387" t="s">
        <v>3306</v>
      </c>
    </row>
    <row r="4388" spans="12:13" x14ac:dyDescent="0.25">
      <c r="L4388" s="65">
        <v>911850</v>
      </c>
      <c r="M4388" t="s">
        <v>3307</v>
      </c>
    </row>
    <row r="4389" spans="12:13" x14ac:dyDescent="0.25">
      <c r="L4389" s="65">
        <v>911851</v>
      </c>
      <c r="M4389" t="s">
        <v>3307</v>
      </c>
    </row>
    <row r="4390" spans="12:13" x14ac:dyDescent="0.25">
      <c r="L4390" s="65">
        <v>911860</v>
      </c>
      <c r="M4390" t="s">
        <v>3308</v>
      </c>
    </row>
    <row r="4391" spans="12:13" x14ac:dyDescent="0.25">
      <c r="L4391" s="65">
        <v>911861</v>
      </c>
      <c r="M4391" t="s">
        <v>3309</v>
      </c>
    </row>
    <row r="4392" spans="12:13" x14ac:dyDescent="0.25">
      <c r="L4392" s="65">
        <v>911862</v>
      </c>
      <c r="M4392" t="s">
        <v>3310</v>
      </c>
    </row>
    <row r="4393" spans="12:13" x14ac:dyDescent="0.25">
      <c r="L4393" s="65">
        <v>911865</v>
      </c>
      <c r="M4393" t="s">
        <v>3311</v>
      </c>
    </row>
    <row r="4394" spans="12:13" x14ac:dyDescent="0.25">
      <c r="L4394" s="65">
        <v>911900</v>
      </c>
      <c r="M4394" t="s">
        <v>1987</v>
      </c>
    </row>
    <row r="4395" spans="12:13" x14ac:dyDescent="0.25">
      <c r="L4395" s="65">
        <v>911920</v>
      </c>
      <c r="M4395" t="s">
        <v>3312</v>
      </c>
    </row>
    <row r="4396" spans="12:13" x14ac:dyDescent="0.25">
      <c r="L4396" s="65">
        <v>911921</v>
      </c>
      <c r="M4396" t="s">
        <v>3312</v>
      </c>
    </row>
    <row r="4397" spans="12:13" x14ac:dyDescent="0.25">
      <c r="L4397" s="65">
        <v>911930</v>
      </c>
      <c r="M4397" t="s">
        <v>3313</v>
      </c>
    </row>
    <row r="4398" spans="12:13" x14ac:dyDescent="0.25">
      <c r="L4398" s="65">
        <v>911931</v>
      </c>
      <c r="M4398" t="s">
        <v>3314</v>
      </c>
    </row>
    <row r="4399" spans="12:13" x14ac:dyDescent="0.25">
      <c r="L4399" s="65">
        <v>911932</v>
      </c>
      <c r="M4399" t="s">
        <v>3315</v>
      </c>
    </row>
    <row r="4400" spans="12:13" x14ac:dyDescent="0.25">
      <c r="L4400" s="65">
        <v>911940</v>
      </c>
      <c r="M4400" t="s">
        <v>3316</v>
      </c>
    </row>
    <row r="4401" spans="12:13" x14ac:dyDescent="0.25">
      <c r="L4401" s="65">
        <v>911941</v>
      </c>
      <c r="M4401" t="s">
        <v>3316</v>
      </c>
    </row>
    <row r="4402" spans="12:13" x14ac:dyDescent="0.25">
      <c r="L4402" s="65">
        <v>911950</v>
      </c>
      <c r="M4402" t="s">
        <v>3317</v>
      </c>
    </row>
    <row r="4403" spans="12:13" x14ac:dyDescent="0.25">
      <c r="L4403" s="65">
        <v>911951</v>
      </c>
      <c r="M4403" t="s">
        <v>3317</v>
      </c>
    </row>
    <row r="4404" spans="12:13" x14ac:dyDescent="0.25">
      <c r="L4404" s="65">
        <v>911960</v>
      </c>
      <c r="M4404" t="s">
        <v>3318</v>
      </c>
    </row>
    <row r="4405" spans="12:13" x14ac:dyDescent="0.25">
      <c r="L4405" s="65">
        <v>911961</v>
      </c>
      <c r="M4405" t="s">
        <v>3319</v>
      </c>
    </row>
    <row r="4406" spans="12:13" x14ac:dyDescent="0.25">
      <c r="L4406" s="65">
        <v>911962</v>
      </c>
      <c r="M4406" t="s">
        <v>3320</v>
      </c>
    </row>
    <row r="4407" spans="12:13" x14ac:dyDescent="0.25">
      <c r="L4407" s="65">
        <v>911965</v>
      </c>
      <c r="M4407" t="s">
        <v>3321</v>
      </c>
    </row>
    <row r="4408" spans="12:13" x14ac:dyDescent="0.25">
      <c r="L4408" s="65">
        <v>912000</v>
      </c>
      <c r="M4408" t="s">
        <v>3322</v>
      </c>
    </row>
    <row r="4409" spans="12:13" x14ac:dyDescent="0.25">
      <c r="L4409" s="65">
        <v>912100</v>
      </c>
      <c r="M4409" t="s">
        <v>3323</v>
      </c>
    </row>
    <row r="4410" spans="12:13" x14ac:dyDescent="0.25">
      <c r="L4410" s="65">
        <v>912120</v>
      </c>
      <c r="M4410" t="s">
        <v>3324</v>
      </c>
    </row>
    <row r="4411" spans="12:13" x14ac:dyDescent="0.25">
      <c r="L4411" s="65">
        <v>912121</v>
      </c>
      <c r="M4411" t="s">
        <v>3324</v>
      </c>
    </row>
    <row r="4412" spans="12:13" x14ac:dyDescent="0.25">
      <c r="L4412" s="65">
        <v>912130</v>
      </c>
      <c r="M4412" t="s">
        <v>3325</v>
      </c>
    </row>
    <row r="4413" spans="12:13" x14ac:dyDescent="0.25">
      <c r="L4413" s="65">
        <v>912131</v>
      </c>
      <c r="M4413" t="s">
        <v>3325</v>
      </c>
    </row>
    <row r="4414" spans="12:13" x14ac:dyDescent="0.25">
      <c r="L4414" s="65">
        <v>912140</v>
      </c>
      <c r="M4414" t="s">
        <v>3326</v>
      </c>
    </row>
    <row r="4415" spans="12:13" x14ac:dyDescent="0.25">
      <c r="L4415" s="65">
        <v>912141</v>
      </c>
      <c r="M4415" t="s">
        <v>3327</v>
      </c>
    </row>
    <row r="4416" spans="12:13" x14ac:dyDescent="0.25">
      <c r="L4416" s="65">
        <v>912150</v>
      </c>
      <c r="M4416" t="s">
        <v>3328</v>
      </c>
    </row>
    <row r="4417" spans="12:13" x14ac:dyDescent="0.25">
      <c r="L4417" s="65">
        <v>912151</v>
      </c>
      <c r="M4417" t="s">
        <v>3328</v>
      </c>
    </row>
    <row r="4418" spans="12:13" x14ac:dyDescent="0.25">
      <c r="L4418" s="65">
        <v>912160</v>
      </c>
      <c r="M4418" t="s">
        <v>3329</v>
      </c>
    </row>
    <row r="4419" spans="12:13" x14ac:dyDescent="0.25">
      <c r="L4419" s="65">
        <v>912161</v>
      </c>
      <c r="M4419" t="s">
        <v>3330</v>
      </c>
    </row>
    <row r="4420" spans="12:13" x14ac:dyDescent="0.25">
      <c r="L4420" s="65">
        <v>912162</v>
      </c>
      <c r="M4420" t="s">
        <v>3331</v>
      </c>
    </row>
    <row r="4421" spans="12:13" x14ac:dyDescent="0.25">
      <c r="L4421" s="65">
        <v>912165</v>
      </c>
      <c r="M4421" t="s">
        <v>3332</v>
      </c>
    </row>
    <row r="4422" spans="12:13" x14ac:dyDescent="0.25">
      <c r="L4422" s="65">
        <v>912200</v>
      </c>
      <c r="M4422" t="s">
        <v>3333</v>
      </c>
    </row>
    <row r="4423" spans="12:13" x14ac:dyDescent="0.25">
      <c r="L4423" s="65">
        <v>912220</v>
      </c>
      <c r="M4423" t="s">
        <v>3334</v>
      </c>
    </row>
    <row r="4424" spans="12:13" x14ac:dyDescent="0.25">
      <c r="L4424" s="65">
        <v>912221</v>
      </c>
      <c r="M4424" t="s">
        <v>3334</v>
      </c>
    </row>
    <row r="4425" spans="12:13" x14ac:dyDescent="0.25">
      <c r="L4425" s="65">
        <v>912230</v>
      </c>
      <c r="M4425" t="s">
        <v>3335</v>
      </c>
    </row>
    <row r="4426" spans="12:13" x14ac:dyDescent="0.25">
      <c r="L4426" s="65">
        <v>912231</v>
      </c>
      <c r="M4426" t="s">
        <v>3336</v>
      </c>
    </row>
    <row r="4427" spans="12:13" x14ac:dyDescent="0.25">
      <c r="L4427" s="65">
        <v>912232</v>
      </c>
      <c r="M4427" t="s">
        <v>3337</v>
      </c>
    </row>
    <row r="4428" spans="12:13" x14ac:dyDescent="0.25">
      <c r="L4428" s="65">
        <v>912240</v>
      </c>
      <c r="M4428" t="s">
        <v>3338</v>
      </c>
    </row>
    <row r="4429" spans="12:13" x14ac:dyDescent="0.25">
      <c r="L4429" s="65">
        <v>912241</v>
      </c>
      <c r="M4429" t="s">
        <v>3338</v>
      </c>
    </row>
    <row r="4430" spans="12:13" x14ac:dyDescent="0.25">
      <c r="L4430" s="65">
        <v>912250</v>
      </c>
      <c r="M4430" t="s">
        <v>3339</v>
      </c>
    </row>
    <row r="4431" spans="12:13" x14ac:dyDescent="0.25">
      <c r="L4431" s="65">
        <v>912251</v>
      </c>
      <c r="M4431" t="s">
        <v>3339</v>
      </c>
    </row>
    <row r="4432" spans="12:13" x14ac:dyDescent="0.25">
      <c r="L4432" s="65">
        <v>912260</v>
      </c>
      <c r="M4432" t="s">
        <v>3340</v>
      </c>
    </row>
    <row r="4433" spans="12:13" x14ac:dyDescent="0.25">
      <c r="L4433" s="65">
        <v>912261</v>
      </c>
      <c r="M4433" t="s">
        <v>3341</v>
      </c>
    </row>
    <row r="4434" spans="12:13" x14ac:dyDescent="0.25">
      <c r="L4434" s="65">
        <v>912262</v>
      </c>
      <c r="M4434" t="s">
        <v>3342</v>
      </c>
    </row>
    <row r="4435" spans="12:13" x14ac:dyDescent="0.25">
      <c r="L4435" s="65">
        <v>912265</v>
      </c>
      <c r="M4435" t="s">
        <v>3343</v>
      </c>
    </row>
    <row r="4436" spans="12:13" x14ac:dyDescent="0.25">
      <c r="L4436" s="65">
        <v>912300</v>
      </c>
      <c r="M4436" t="s">
        <v>3344</v>
      </c>
    </row>
    <row r="4437" spans="12:13" x14ac:dyDescent="0.25">
      <c r="L4437" s="65">
        <v>912320</v>
      </c>
      <c r="M4437" t="s">
        <v>3345</v>
      </c>
    </row>
    <row r="4438" spans="12:13" x14ac:dyDescent="0.25">
      <c r="L4438" s="65">
        <v>912321</v>
      </c>
      <c r="M4438" t="s">
        <v>3345</v>
      </c>
    </row>
    <row r="4439" spans="12:13" x14ac:dyDescent="0.25">
      <c r="L4439" s="65">
        <v>912330</v>
      </c>
      <c r="M4439" t="s">
        <v>3346</v>
      </c>
    </row>
    <row r="4440" spans="12:13" x14ac:dyDescent="0.25">
      <c r="L4440" s="65">
        <v>912331</v>
      </c>
      <c r="M4440" t="s">
        <v>3347</v>
      </c>
    </row>
    <row r="4441" spans="12:13" x14ac:dyDescent="0.25">
      <c r="L4441" s="65">
        <v>912332</v>
      </c>
      <c r="M4441" t="s">
        <v>3348</v>
      </c>
    </row>
    <row r="4442" spans="12:13" x14ac:dyDescent="0.25">
      <c r="L4442" s="65">
        <v>912340</v>
      </c>
      <c r="M4442" t="s">
        <v>3349</v>
      </c>
    </row>
    <row r="4443" spans="12:13" x14ac:dyDescent="0.25">
      <c r="L4443" s="65">
        <v>912341</v>
      </c>
      <c r="M4443" t="s">
        <v>3349</v>
      </c>
    </row>
    <row r="4444" spans="12:13" x14ac:dyDescent="0.25">
      <c r="L4444" s="65">
        <v>912350</v>
      </c>
      <c r="M4444" t="s">
        <v>3350</v>
      </c>
    </row>
    <row r="4445" spans="12:13" x14ac:dyDescent="0.25">
      <c r="L4445" s="65">
        <v>912351</v>
      </c>
      <c r="M4445" t="s">
        <v>3350</v>
      </c>
    </row>
    <row r="4446" spans="12:13" x14ac:dyDescent="0.25">
      <c r="L4446" s="65">
        <v>912360</v>
      </c>
      <c r="M4446" t="s">
        <v>3351</v>
      </c>
    </row>
    <row r="4447" spans="12:13" x14ac:dyDescent="0.25">
      <c r="L4447" s="65">
        <v>912361</v>
      </c>
      <c r="M4447" t="s">
        <v>3352</v>
      </c>
    </row>
    <row r="4448" spans="12:13" x14ac:dyDescent="0.25">
      <c r="L4448" s="65">
        <v>912362</v>
      </c>
      <c r="M4448" t="s">
        <v>3353</v>
      </c>
    </row>
    <row r="4449" spans="12:13" x14ac:dyDescent="0.25">
      <c r="L4449" s="65">
        <v>912365</v>
      </c>
      <c r="M4449" t="s">
        <v>3354</v>
      </c>
    </row>
    <row r="4450" spans="12:13" x14ac:dyDescent="0.25">
      <c r="L4450" s="65">
        <v>912400</v>
      </c>
      <c r="M4450" t="s">
        <v>3355</v>
      </c>
    </row>
    <row r="4451" spans="12:13" x14ac:dyDescent="0.25">
      <c r="L4451" s="65">
        <v>912420</v>
      </c>
      <c r="M4451" t="s">
        <v>3356</v>
      </c>
    </row>
    <row r="4452" spans="12:13" x14ac:dyDescent="0.25">
      <c r="L4452" s="65">
        <v>912421</v>
      </c>
      <c r="M4452" t="s">
        <v>3356</v>
      </c>
    </row>
    <row r="4453" spans="12:13" x14ac:dyDescent="0.25">
      <c r="L4453" s="65">
        <v>912430</v>
      </c>
      <c r="M4453" t="s">
        <v>3357</v>
      </c>
    </row>
    <row r="4454" spans="12:13" x14ac:dyDescent="0.25">
      <c r="L4454" s="65">
        <v>912431</v>
      </c>
      <c r="M4454" t="s">
        <v>3358</v>
      </c>
    </row>
    <row r="4455" spans="12:13" x14ac:dyDescent="0.25">
      <c r="L4455" s="65">
        <v>912432</v>
      </c>
      <c r="M4455" t="s">
        <v>3359</v>
      </c>
    </row>
    <row r="4456" spans="12:13" x14ac:dyDescent="0.25">
      <c r="L4456" s="65">
        <v>912440</v>
      </c>
      <c r="M4456" t="s">
        <v>3360</v>
      </c>
    </row>
    <row r="4457" spans="12:13" x14ac:dyDescent="0.25">
      <c r="L4457" s="65">
        <v>912441</v>
      </c>
      <c r="M4457" t="s">
        <v>3360</v>
      </c>
    </row>
    <row r="4458" spans="12:13" x14ac:dyDescent="0.25">
      <c r="L4458" s="65">
        <v>912450</v>
      </c>
      <c r="M4458" t="s">
        <v>3361</v>
      </c>
    </row>
    <row r="4459" spans="12:13" x14ac:dyDescent="0.25">
      <c r="L4459" s="65">
        <v>912451</v>
      </c>
      <c r="M4459" t="s">
        <v>3361</v>
      </c>
    </row>
    <row r="4460" spans="12:13" x14ac:dyDescent="0.25">
      <c r="L4460" s="65">
        <v>912460</v>
      </c>
      <c r="M4460" t="s">
        <v>3362</v>
      </c>
    </row>
    <row r="4461" spans="12:13" x14ac:dyDescent="0.25">
      <c r="L4461" s="65">
        <v>912461</v>
      </c>
      <c r="M4461" t="s">
        <v>3363</v>
      </c>
    </row>
    <row r="4462" spans="12:13" x14ac:dyDescent="0.25">
      <c r="L4462" s="65">
        <v>912462</v>
      </c>
      <c r="M4462" t="s">
        <v>3364</v>
      </c>
    </row>
    <row r="4463" spans="12:13" x14ac:dyDescent="0.25">
      <c r="L4463" s="65">
        <v>912465</v>
      </c>
      <c r="M4463" t="s">
        <v>3365</v>
      </c>
    </row>
    <row r="4464" spans="12:13" x14ac:dyDescent="0.25">
      <c r="L4464" s="65">
        <v>912500</v>
      </c>
      <c r="M4464" t="s">
        <v>3366</v>
      </c>
    </row>
    <row r="4465" spans="12:13" x14ac:dyDescent="0.25">
      <c r="L4465" s="65">
        <v>912520</v>
      </c>
      <c r="M4465" t="s">
        <v>3367</v>
      </c>
    </row>
    <row r="4466" spans="12:13" x14ac:dyDescent="0.25">
      <c r="L4466" s="65">
        <v>912521</v>
      </c>
      <c r="M4466" t="s">
        <v>3367</v>
      </c>
    </row>
    <row r="4467" spans="12:13" x14ac:dyDescent="0.25">
      <c r="L4467" s="65">
        <v>912530</v>
      </c>
      <c r="M4467" t="s">
        <v>3368</v>
      </c>
    </row>
    <row r="4468" spans="12:13" x14ac:dyDescent="0.25">
      <c r="L4468" s="65">
        <v>912531</v>
      </c>
      <c r="M4468" t="s">
        <v>3369</v>
      </c>
    </row>
    <row r="4469" spans="12:13" x14ac:dyDescent="0.25">
      <c r="L4469" s="65">
        <v>912532</v>
      </c>
      <c r="M4469" t="s">
        <v>3370</v>
      </c>
    </row>
    <row r="4470" spans="12:13" x14ac:dyDescent="0.25">
      <c r="L4470" s="65">
        <v>912540</v>
      </c>
      <c r="M4470" t="s">
        <v>3371</v>
      </c>
    </row>
    <row r="4471" spans="12:13" x14ac:dyDescent="0.25">
      <c r="L4471" s="65">
        <v>912541</v>
      </c>
      <c r="M4471" t="s">
        <v>3371</v>
      </c>
    </row>
    <row r="4472" spans="12:13" x14ac:dyDescent="0.25">
      <c r="L4472" s="65">
        <v>912550</v>
      </c>
      <c r="M4472" t="s">
        <v>3372</v>
      </c>
    </row>
    <row r="4473" spans="12:13" x14ac:dyDescent="0.25">
      <c r="L4473" s="65">
        <v>912551</v>
      </c>
      <c r="M4473" t="s">
        <v>3372</v>
      </c>
    </row>
    <row r="4474" spans="12:13" x14ac:dyDescent="0.25">
      <c r="L4474" s="65">
        <v>912560</v>
      </c>
      <c r="M4474" t="s">
        <v>3373</v>
      </c>
    </row>
    <row r="4475" spans="12:13" x14ac:dyDescent="0.25">
      <c r="L4475" s="65">
        <v>912561</v>
      </c>
      <c r="M4475" t="s">
        <v>3374</v>
      </c>
    </row>
    <row r="4476" spans="12:13" x14ac:dyDescent="0.25">
      <c r="L4476" s="65">
        <v>912562</v>
      </c>
      <c r="M4476" t="s">
        <v>3375</v>
      </c>
    </row>
    <row r="4477" spans="12:13" x14ac:dyDescent="0.25">
      <c r="L4477" s="65">
        <v>912565</v>
      </c>
      <c r="M4477" t="s">
        <v>3376</v>
      </c>
    </row>
    <row r="4478" spans="12:13" x14ac:dyDescent="0.25">
      <c r="L4478" s="65">
        <v>912600</v>
      </c>
      <c r="M4478" t="s">
        <v>3377</v>
      </c>
    </row>
    <row r="4479" spans="12:13" x14ac:dyDescent="0.25">
      <c r="L4479" s="65">
        <v>912620</v>
      </c>
      <c r="M4479" t="s">
        <v>3378</v>
      </c>
    </row>
    <row r="4480" spans="12:13" x14ac:dyDescent="0.25">
      <c r="L4480" s="65">
        <v>912621</v>
      </c>
      <c r="M4480" t="s">
        <v>3378</v>
      </c>
    </row>
    <row r="4481" spans="12:13" x14ac:dyDescent="0.25">
      <c r="L4481" s="65">
        <v>912630</v>
      </c>
      <c r="M4481" t="s">
        <v>3379</v>
      </c>
    </row>
    <row r="4482" spans="12:13" x14ac:dyDescent="0.25">
      <c r="L4482" s="65">
        <v>912631</v>
      </c>
      <c r="M4482" t="s">
        <v>3379</v>
      </c>
    </row>
    <row r="4483" spans="12:13" x14ac:dyDescent="0.25">
      <c r="L4483" s="65">
        <v>912640</v>
      </c>
      <c r="M4483" t="s">
        <v>3380</v>
      </c>
    </row>
    <row r="4484" spans="12:13" x14ac:dyDescent="0.25">
      <c r="L4484" s="65">
        <v>912641</v>
      </c>
      <c r="M4484" t="s">
        <v>3380</v>
      </c>
    </row>
    <row r="4485" spans="12:13" x14ac:dyDescent="0.25">
      <c r="L4485" s="65">
        <v>912650</v>
      </c>
      <c r="M4485" t="s">
        <v>3381</v>
      </c>
    </row>
    <row r="4486" spans="12:13" x14ac:dyDescent="0.25">
      <c r="L4486" s="65">
        <v>912651</v>
      </c>
      <c r="M4486" t="s">
        <v>3381</v>
      </c>
    </row>
    <row r="4487" spans="12:13" x14ac:dyDescent="0.25">
      <c r="L4487" s="65">
        <v>912660</v>
      </c>
      <c r="M4487" t="s">
        <v>3382</v>
      </c>
    </row>
    <row r="4488" spans="12:13" x14ac:dyDescent="0.25">
      <c r="L4488" s="65">
        <v>912661</v>
      </c>
      <c r="M4488" t="s">
        <v>3383</v>
      </c>
    </row>
    <row r="4489" spans="12:13" x14ac:dyDescent="0.25">
      <c r="L4489" s="65">
        <v>912662</v>
      </c>
      <c r="M4489" t="s">
        <v>3384</v>
      </c>
    </row>
    <row r="4490" spans="12:13" x14ac:dyDescent="0.25">
      <c r="L4490" s="65">
        <v>912665</v>
      </c>
      <c r="M4490" t="s">
        <v>3385</v>
      </c>
    </row>
    <row r="4491" spans="12:13" x14ac:dyDescent="0.25">
      <c r="L4491" s="65">
        <v>912900</v>
      </c>
      <c r="M4491" t="s">
        <v>1995</v>
      </c>
    </row>
    <row r="4492" spans="12:13" x14ac:dyDescent="0.25">
      <c r="L4492" s="65">
        <v>912920</v>
      </c>
      <c r="M4492" t="s">
        <v>3386</v>
      </c>
    </row>
    <row r="4493" spans="12:13" x14ac:dyDescent="0.25">
      <c r="L4493" s="65">
        <v>912921</v>
      </c>
      <c r="M4493" t="s">
        <v>3386</v>
      </c>
    </row>
    <row r="4494" spans="12:13" x14ac:dyDescent="0.25">
      <c r="L4494" s="65">
        <v>912930</v>
      </c>
      <c r="M4494" t="s">
        <v>3387</v>
      </c>
    </row>
    <row r="4495" spans="12:13" x14ac:dyDescent="0.25">
      <c r="L4495" s="65">
        <v>912931</v>
      </c>
      <c r="M4495" t="s">
        <v>3388</v>
      </c>
    </row>
    <row r="4496" spans="12:13" x14ac:dyDescent="0.25">
      <c r="L4496" s="65">
        <v>912932</v>
      </c>
      <c r="M4496" t="s">
        <v>3389</v>
      </c>
    </row>
    <row r="4497" spans="12:13" x14ac:dyDescent="0.25">
      <c r="L4497" s="65">
        <v>912940</v>
      </c>
      <c r="M4497" t="s">
        <v>3390</v>
      </c>
    </row>
    <row r="4498" spans="12:13" x14ac:dyDescent="0.25">
      <c r="L4498" s="65">
        <v>912941</v>
      </c>
      <c r="M4498" t="s">
        <v>3390</v>
      </c>
    </row>
    <row r="4499" spans="12:13" x14ac:dyDescent="0.25">
      <c r="L4499" s="65">
        <v>912950</v>
      </c>
      <c r="M4499" t="s">
        <v>3391</v>
      </c>
    </row>
    <row r="4500" spans="12:13" x14ac:dyDescent="0.25">
      <c r="L4500" s="65">
        <v>912951</v>
      </c>
      <c r="M4500" t="s">
        <v>3391</v>
      </c>
    </row>
    <row r="4501" spans="12:13" x14ac:dyDescent="0.25">
      <c r="L4501" s="65">
        <v>912960</v>
      </c>
      <c r="M4501" t="s">
        <v>3392</v>
      </c>
    </row>
    <row r="4502" spans="12:13" x14ac:dyDescent="0.25">
      <c r="L4502" s="65">
        <v>912961</v>
      </c>
      <c r="M4502" t="s">
        <v>3393</v>
      </c>
    </row>
    <row r="4503" spans="12:13" x14ac:dyDescent="0.25">
      <c r="L4503" s="65">
        <v>912962</v>
      </c>
      <c r="M4503" t="s">
        <v>3394</v>
      </c>
    </row>
    <row r="4504" spans="12:13" x14ac:dyDescent="0.25">
      <c r="L4504" s="65">
        <v>912965</v>
      </c>
      <c r="M4504" t="s">
        <v>3395</v>
      </c>
    </row>
    <row r="4505" spans="12:13" x14ac:dyDescent="0.25">
      <c r="L4505" s="65">
        <v>920000</v>
      </c>
      <c r="M4505" t="s">
        <v>1213</v>
      </c>
    </row>
    <row r="4506" spans="12:13" x14ac:dyDescent="0.25">
      <c r="L4506" s="65">
        <v>921000</v>
      </c>
      <c r="M4506" t="s">
        <v>3397</v>
      </c>
    </row>
    <row r="4507" spans="12:13" x14ac:dyDescent="0.25">
      <c r="L4507" s="65">
        <v>921100</v>
      </c>
      <c r="M4507" t="s">
        <v>3398</v>
      </c>
    </row>
    <row r="4508" spans="12:13" x14ac:dyDescent="0.25">
      <c r="L4508" s="65">
        <v>921120</v>
      </c>
      <c r="M4508" t="s">
        <v>3399</v>
      </c>
    </row>
    <row r="4509" spans="12:13" x14ac:dyDescent="0.25">
      <c r="L4509" s="65">
        <v>921121</v>
      </c>
      <c r="M4509" t="s">
        <v>3399</v>
      </c>
    </row>
    <row r="4510" spans="12:13" x14ac:dyDescent="0.25">
      <c r="L4510" s="65">
        <v>921130</v>
      </c>
      <c r="M4510" t="s">
        <v>3400</v>
      </c>
    </row>
    <row r="4511" spans="12:13" x14ac:dyDescent="0.25">
      <c r="L4511" s="65">
        <v>921131</v>
      </c>
      <c r="M4511" t="s">
        <v>3401</v>
      </c>
    </row>
    <row r="4512" spans="12:13" x14ac:dyDescent="0.25">
      <c r="L4512" s="65">
        <v>921132</v>
      </c>
      <c r="M4512" t="s">
        <v>3402</v>
      </c>
    </row>
    <row r="4513" spans="12:13" x14ac:dyDescent="0.25">
      <c r="L4513" s="65">
        <v>921140</v>
      </c>
      <c r="M4513" t="s">
        <v>3403</v>
      </c>
    </row>
    <row r="4514" spans="12:13" x14ac:dyDescent="0.25">
      <c r="L4514" s="65">
        <v>921141</v>
      </c>
      <c r="M4514" t="s">
        <v>3403</v>
      </c>
    </row>
    <row r="4515" spans="12:13" x14ac:dyDescent="0.25">
      <c r="L4515" s="65">
        <v>921150</v>
      </c>
      <c r="M4515" t="s">
        <v>3404</v>
      </c>
    </row>
    <row r="4516" spans="12:13" x14ac:dyDescent="0.25">
      <c r="L4516" s="65">
        <v>921151</v>
      </c>
      <c r="M4516" t="s">
        <v>3404</v>
      </c>
    </row>
    <row r="4517" spans="12:13" x14ac:dyDescent="0.25">
      <c r="L4517" s="65">
        <v>921160</v>
      </c>
      <c r="M4517" t="s">
        <v>3405</v>
      </c>
    </row>
    <row r="4518" spans="12:13" x14ac:dyDescent="0.25">
      <c r="L4518" s="65">
        <v>921161</v>
      </c>
      <c r="M4518" t="s">
        <v>3406</v>
      </c>
    </row>
    <row r="4519" spans="12:13" x14ac:dyDescent="0.25">
      <c r="L4519" s="65">
        <v>921162</v>
      </c>
      <c r="M4519" t="s">
        <v>3407</v>
      </c>
    </row>
    <row r="4520" spans="12:13" x14ac:dyDescent="0.25">
      <c r="L4520" s="65">
        <v>921165</v>
      </c>
      <c r="M4520" t="s">
        <v>3408</v>
      </c>
    </row>
    <row r="4521" spans="12:13" x14ac:dyDescent="0.25">
      <c r="L4521" s="65">
        <v>921220</v>
      </c>
      <c r="M4521" t="s">
        <v>3409</v>
      </c>
    </row>
    <row r="4522" spans="12:13" x14ac:dyDescent="0.25">
      <c r="L4522" s="65">
        <v>921221</v>
      </c>
      <c r="M4522" t="s">
        <v>3409</v>
      </c>
    </row>
    <row r="4523" spans="12:13" x14ac:dyDescent="0.25">
      <c r="L4523" s="65">
        <v>921230</v>
      </c>
      <c r="M4523" t="s">
        <v>3410</v>
      </c>
    </row>
    <row r="4524" spans="12:13" x14ac:dyDescent="0.25">
      <c r="L4524" s="65">
        <v>921231</v>
      </c>
      <c r="M4524" t="s">
        <v>3411</v>
      </c>
    </row>
    <row r="4525" spans="12:13" x14ac:dyDescent="0.25">
      <c r="L4525" s="65">
        <v>921232</v>
      </c>
      <c r="M4525" t="s">
        <v>3412</v>
      </c>
    </row>
    <row r="4526" spans="12:13" x14ac:dyDescent="0.25">
      <c r="L4526" s="65">
        <v>921240</v>
      </c>
      <c r="M4526" t="s">
        <v>3413</v>
      </c>
    </row>
    <row r="4527" spans="12:13" x14ac:dyDescent="0.25">
      <c r="L4527" s="65">
        <v>921241</v>
      </c>
      <c r="M4527" t="s">
        <v>3413</v>
      </c>
    </row>
    <row r="4528" spans="12:13" x14ac:dyDescent="0.25">
      <c r="L4528" s="65">
        <v>921250</v>
      </c>
      <c r="M4528" t="s">
        <v>3414</v>
      </c>
    </row>
    <row r="4529" spans="12:13" x14ac:dyDescent="0.25">
      <c r="L4529" s="65">
        <v>921251</v>
      </c>
      <c r="M4529" t="s">
        <v>3414</v>
      </c>
    </row>
    <row r="4530" spans="12:13" x14ac:dyDescent="0.25">
      <c r="L4530" s="65">
        <v>921260</v>
      </c>
      <c r="M4530" t="s">
        <v>3415</v>
      </c>
    </row>
    <row r="4531" spans="12:13" x14ac:dyDescent="0.25">
      <c r="L4531" s="65">
        <v>921261</v>
      </c>
      <c r="M4531" t="s">
        <v>3416</v>
      </c>
    </row>
    <row r="4532" spans="12:13" x14ac:dyDescent="0.25">
      <c r="L4532" s="65">
        <v>921262</v>
      </c>
      <c r="M4532" t="s">
        <v>3417</v>
      </c>
    </row>
    <row r="4533" spans="12:13" x14ac:dyDescent="0.25">
      <c r="L4533" s="65">
        <v>921265</v>
      </c>
      <c r="M4533" t="s">
        <v>3418</v>
      </c>
    </row>
    <row r="4534" spans="12:13" x14ac:dyDescent="0.25">
      <c r="L4534" s="65">
        <v>921300</v>
      </c>
      <c r="M4534" t="s">
        <v>3419</v>
      </c>
    </row>
    <row r="4535" spans="12:13" x14ac:dyDescent="0.25">
      <c r="L4535" s="65">
        <v>921320</v>
      </c>
      <c r="M4535" t="s">
        <v>3420</v>
      </c>
    </row>
    <row r="4536" spans="12:13" x14ac:dyDescent="0.25">
      <c r="L4536" s="65">
        <v>921321</v>
      </c>
      <c r="M4536" t="s">
        <v>3420</v>
      </c>
    </row>
    <row r="4537" spans="12:13" x14ac:dyDescent="0.25">
      <c r="L4537" s="65">
        <v>921330</v>
      </c>
      <c r="M4537" t="s">
        <v>3421</v>
      </c>
    </row>
    <row r="4538" spans="12:13" x14ac:dyDescent="0.25">
      <c r="L4538" s="65">
        <v>921331</v>
      </c>
      <c r="M4538" t="s">
        <v>3421</v>
      </c>
    </row>
    <row r="4539" spans="12:13" x14ac:dyDescent="0.25">
      <c r="L4539" s="65">
        <v>921340</v>
      </c>
      <c r="M4539" t="s">
        <v>3422</v>
      </c>
    </row>
    <row r="4540" spans="12:13" x14ac:dyDescent="0.25">
      <c r="L4540" s="65">
        <v>921341</v>
      </c>
      <c r="M4540" t="s">
        <v>3422</v>
      </c>
    </row>
    <row r="4541" spans="12:13" x14ac:dyDescent="0.25">
      <c r="L4541" s="65">
        <v>921350</v>
      </c>
      <c r="M4541" t="s">
        <v>3423</v>
      </c>
    </row>
    <row r="4542" spans="12:13" x14ac:dyDescent="0.25">
      <c r="L4542" s="65">
        <v>921351</v>
      </c>
      <c r="M4542" t="s">
        <v>3423</v>
      </c>
    </row>
    <row r="4543" spans="12:13" x14ac:dyDescent="0.25">
      <c r="L4543" s="65">
        <v>921360</v>
      </c>
      <c r="M4543" t="s">
        <v>3424</v>
      </c>
    </row>
    <row r="4544" spans="12:13" x14ac:dyDescent="0.25">
      <c r="L4544" s="65">
        <v>921361</v>
      </c>
      <c r="M4544" t="s">
        <v>3425</v>
      </c>
    </row>
    <row r="4545" spans="12:13" x14ac:dyDescent="0.25">
      <c r="L4545" s="65">
        <v>921362</v>
      </c>
      <c r="M4545" t="s">
        <v>3426</v>
      </c>
    </row>
    <row r="4546" spans="12:13" x14ac:dyDescent="0.25">
      <c r="L4546" s="65">
        <v>921365</v>
      </c>
      <c r="M4546" t="s">
        <v>3427</v>
      </c>
    </row>
    <row r="4547" spans="12:13" x14ac:dyDescent="0.25">
      <c r="L4547" s="65">
        <v>921400</v>
      </c>
      <c r="M4547" t="s">
        <v>3428</v>
      </c>
    </row>
    <row r="4548" spans="12:13" x14ac:dyDescent="0.25">
      <c r="L4548" s="65">
        <v>921420</v>
      </c>
      <c r="M4548" t="s">
        <v>3429</v>
      </c>
    </row>
    <row r="4549" spans="12:13" x14ac:dyDescent="0.25">
      <c r="L4549" s="65">
        <v>921421</v>
      </c>
      <c r="M4549" t="s">
        <v>3429</v>
      </c>
    </row>
    <row r="4550" spans="12:13" x14ac:dyDescent="0.25">
      <c r="L4550" s="65">
        <v>921430</v>
      </c>
      <c r="M4550" t="s">
        <v>3430</v>
      </c>
    </row>
    <row r="4551" spans="12:13" x14ac:dyDescent="0.25">
      <c r="L4551" s="65">
        <v>921431</v>
      </c>
      <c r="M4551" t="s">
        <v>3430</v>
      </c>
    </row>
    <row r="4552" spans="12:13" x14ac:dyDescent="0.25">
      <c r="L4552" s="65">
        <v>921440</v>
      </c>
      <c r="M4552" t="s">
        <v>3431</v>
      </c>
    </row>
    <row r="4553" spans="12:13" x14ac:dyDescent="0.25">
      <c r="L4553" s="65">
        <v>921441</v>
      </c>
      <c r="M4553" t="s">
        <v>3431</v>
      </c>
    </row>
    <row r="4554" spans="12:13" x14ac:dyDescent="0.25">
      <c r="L4554" s="65">
        <v>921450</v>
      </c>
      <c r="M4554" t="s">
        <v>3432</v>
      </c>
    </row>
    <row r="4555" spans="12:13" x14ac:dyDescent="0.25">
      <c r="L4555" s="65">
        <v>921451</v>
      </c>
      <c r="M4555" t="s">
        <v>3432</v>
      </c>
    </row>
    <row r="4556" spans="12:13" x14ac:dyDescent="0.25">
      <c r="L4556" s="65">
        <v>921460</v>
      </c>
      <c r="M4556" t="s">
        <v>3433</v>
      </c>
    </row>
    <row r="4557" spans="12:13" x14ac:dyDescent="0.25">
      <c r="L4557" s="65">
        <v>921461</v>
      </c>
      <c r="M4557" t="s">
        <v>3434</v>
      </c>
    </row>
    <row r="4558" spans="12:13" x14ac:dyDescent="0.25">
      <c r="L4558" s="65">
        <v>921462</v>
      </c>
      <c r="M4558" t="s">
        <v>3435</v>
      </c>
    </row>
    <row r="4559" spans="12:13" x14ac:dyDescent="0.25">
      <c r="L4559" s="65">
        <v>921465</v>
      </c>
      <c r="M4559" t="s">
        <v>3436</v>
      </c>
    </row>
    <row r="4560" spans="12:13" x14ac:dyDescent="0.25">
      <c r="L4560" s="65">
        <v>921500</v>
      </c>
      <c r="M4560" t="s">
        <v>3437</v>
      </c>
    </row>
    <row r="4561" spans="12:13" x14ac:dyDescent="0.25">
      <c r="L4561" s="65">
        <v>921520</v>
      </c>
      <c r="M4561" t="s">
        <v>3438</v>
      </c>
    </row>
    <row r="4562" spans="12:13" x14ac:dyDescent="0.25">
      <c r="L4562" s="65">
        <v>921521</v>
      </c>
      <c r="M4562" t="s">
        <v>3438</v>
      </c>
    </row>
    <row r="4563" spans="12:13" x14ac:dyDescent="0.25">
      <c r="L4563" s="65">
        <v>921530</v>
      </c>
      <c r="M4563" t="s">
        <v>3439</v>
      </c>
    </row>
    <row r="4564" spans="12:13" x14ac:dyDescent="0.25">
      <c r="L4564" s="65">
        <v>921531</v>
      </c>
      <c r="M4564" t="s">
        <v>3440</v>
      </c>
    </row>
    <row r="4565" spans="12:13" x14ac:dyDescent="0.25">
      <c r="L4565" s="65">
        <v>921532</v>
      </c>
      <c r="M4565" t="s">
        <v>3441</v>
      </c>
    </row>
    <row r="4566" spans="12:13" x14ac:dyDescent="0.25">
      <c r="L4566" s="65">
        <v>921540</v>
      </c>
      <c r="M4566" t="s">
        <v>3442</v>
      </c>
    </row>
    <row r="4567" spans="12:13" x14ac:dyDescent="0.25">
      <c r="L4567" s="65">
        <v>921541</v>
      </c>
      <c r="M4567" t="s">
        <v>3442</v>
      </c>
    </row>
    <row r="4568" spans="12:13" x14ac:dyDescent="0.25">
      <c r="L4568" s="65">
        <v>921550</v>
      </c>
      <c r="M4568" t="s">
        <v>3443</v>
      </c>
    </row>
    <row r="4569" spans="12:13" x14ac:dyDescent="0.25">
      <c r="L4569" s="65">
        <v>921551</v>
      </c>
      <c r="M4569" t="s">
        <v>3443</v>
      </c>
    </row>
    <row r="4570" spans="12:13" x14ac:dyDescent="0.25">
      <c r="L4570" s="65">
        <v>921560</v>
      </c>
      <c r="M4570" t="s">
        <v>3444</v>
      </c>
    </row>
    <row r="4571" spans="12:13" x14ac:dyDescent="0.25">
      <c r="L4571" s="65">
        <v>921561</v>
      </c>
      <c r="M4571" t="s">
        <v>3445</v>
      </c>
    </row>
    <row r="4572" spans="12:13" x14ac:dyDescent="0.25">
      <c r="L4572" s="65">
        <v>921562</v>
      </c>
      <c r="M4572" t="s">
        <v>3446</v>
      </c>
    </row>
    <row r="4573" spans="12:13" x14ac:dyDescent="0.25">
      <c r="L4573" s="65">
        <v>921565</v>
      </c>
      <c r="M4573" t="s">
        <v>3447</v>
      </c>
    </row>
    <row r="4574" spans="12:13" x14ac:dyDescent="0.25">
      <c r="L4574" s="65">
        <v>921600</v>
      </c>
      <c r="M4574" t="s">
        <v>3448</v>
      </c>
    </row>
    <row r="4575" spans="12:13" x14ac:dyDescent="0.25">
      <c r="L4575" s="65">
        <v>921620</v>
      </c>
      <c r="M4575" t="s">
        <v>3449</v>
      </c>
    </row>
    <row r="4576" spans="12:13" x14ac:dyDescent="0.25">
      <c r="L4576" s="65">
        <v>921621</v>
      </c>
      <c r="M4576" t="s">
        <v>3449</v>
      </c>
    </row>
    <row r="4577" spans="12:13" x14ac:dyDescent="0.25">
      <c r="L4577" s="65">
        <v>921630</v>
      </c>
      <c r="M4577" t="s">
        <v>3450</v>
      </c>
    </row>
    <row r="4578" spans="12:13" x14ac:dyDescent="0.25">
      <c r="L4578" s="65">
        <v>921631</v>
      </c>
      <c r="M4578" t="s">
        <v>3451</v>
      </c>
    </row>
    <row r="4579" spans="12:13" x14ac:dyDescent="0.25">
      <c r="L4579" s="65">
        <v>921632</v>
      </c>
      <c r="M4579" t="s">
        <v>3452</v>
      </c>
    </row>
    <row r="4580" spans="12:13" x14ac:dyDescent="0.25">
      <c r="L4580" s="65">
        <v>921640</v>
      </c>
      <c r="M4580" t="s">
        <v>3453</v>
      </c>
    </row>
    <row r="4581" spans="12:13" x14ac:dyDescent="0.25">
      <c r="L4581" s="65">
        <v>921641</v>
      </c>
      <c r="M4581" t="s">
        <v>3453</v>
      </c>
    </row>
    <row r="4582" spans="12:13" x14ac:dyDescent="0.25">
      <c r="L4582" s="65">
        <v>921650</v>
      </c>
      <c r="M4582" t="s">
        <v>3454</v>
      </c>
    </row>
    <row r="4583" spans="12:13" x14ac:dyDescent="0.25">
      <c r="L4583" s="65">
        <v>921651</v>
      </c>
      <c r="M4583" t="s">
        <v>3454</v>
      </c>
    </row>
    <row r="4584" spans="12:13" x14ac:dyDescent="0.25">
      <c r="L4584" s="65">
        <v>921660</v>
      </c>
      <c r="M4584" t="s">
        <v>3455</v>
      </c>
    </row>
    <row r="4585" spans="12:13" x14ac:dyDescent="0.25">
      <c r="L4585" s="65">
        <v>921661</v>
      </c>
      <c r="M4585" t="s">
        <v>3456</v>
      </c>
    </row>
    <row r="4586" spans="12:13" x14ac:dyDescent="0.25">
      <c r="L4586" s="65">
        <v>921662</v>
      </c>
      <c r="M4586" t="s">
        <v>3457</v>
      </c>
    </row>
    <row r="4587" spans="12:13" x14ac:dyDescent="0.25">
      <c r="L4587" s="65">
        <v>921665</v>
      </c>
      <c r="M4587" t="s">
        <v>3458</v>
      </c>
    </row>
    <row r="4588" spans="12:13" x14ac:dyDescent="0.25">
      <c r="L4588" s="65">
        <v>921700</v>
      </c>
      <c r="M4588" t="s">
        <v>3459</v>
      </c>
    </row>
    <row r="4589" spans="12:13" x14ac:dyDescent="0.25">
      <c r="L4589" s="65">
        <v>921720</v>
      </c>
      <c r="M4589" t="s">
        <v>3460</v>
      </c>
    </row>
    <row r="4590" spans="12:13" x14ac:dyDescent="0.25">
      <c r="L4590" s="65">
        <v>921721</v>
      </c>
      <c r="M4590" t="s">
        <v>3460</v>
      </c>
    </row>
    <row r="4591" spans="12:13" x14ac:dyDescent="0.25">
      <c r="L4591" s="65">
        <v>921730</v>
      </c>
      <c r="M4591" t="s">
        <v>3461</v>
      </c>
    </row>
    <row r="4592" spans="12:13" x14ac:dyDescent="0.25">
      <c r="L4592" s="65">
        <v>921731</v>
      </c>
      <c r="M4592" t="s">
        <v>3462</v>
      </c>
    </row>
    <row r="4593" spans="12:13" x14ac:dyDescent="0.25">
      <c r="L4593" s="65">
        <v>921732</v>
      </c>
      <c r="M4593" t="s">
        <v>3463</v>
      </c>
    </row>
    <row r="4594" spans="12:13" x14ac:dyDescent="0.25">
      <c r="L4594" s="65">
        <v>921740</v>
      </c>
      <c r="M4594" t="s">
        <v>3464</v>
      </c>
    </row>
    <row r="4595" spans="12:13" x14ac:dyDescent="0.25">
      <c r="L4595" s="65">
        <v>921741</v>
      </c>
      <c r="M4595" t="s">
        <v>3464</v>
      </c>
    </row>
    <row r="4596" spans="12:13" x14ac:dyDescent="0.25">
      <c r="L4596" s="65">
        <v>921750</v>
      </c>
      <c r="M4596" t="s">
        <v>3465</v>
      </c>
    </row>
    <row r="4597" spans="12:13" x14ac:dyDescent="0.25">
      <c r="L4597" s="65">
        <v>921751</v>
      </c>
      <c r="M4597" t="s">
        <v>3465</v>
      </c>
    </row>
    <row r="4598" spans="12:13" x14ac:dyDescent="0.25">
      <c r="L4598" s="65">
        <v>921760</v>
      </c>
      <c r="M4598" t="s">
        <v>3466</v>
      </c>
    </row>
    <row r="4599" spans="12:13" x14ac:dyDescent="0.25">
      <c r="L4599" s="65">
        <v>921761</v>
      </c>
      <c r="M4599" t="s">
        <v>3467</v>
      </c>
    </row>
    <row r="4600" spans="12:13" x14ac:dyDescent="0.25">
      <c r="L4600" s="65">
        <v>921762</v>
      </c>
      <c r="M4600" t="s">
        <v>3468</v>
      </c>
    </row>
    <row r="4601" spans="12:13" x14ac:dyDescent="0.25">
      <c r="L4601" s="65">
        <v>921765</v>
      </c>
      <c r="M4601" t="s">
        <v>3469</v>
      </c>
    </row>
    <row r="4602" spans="12:13" x14ac:dyDescent="0.25">
      <c r="L4602" s="65">
        <v>921800</v>
      </c>
      <c r="M4602" t="s">
        <v>3470</v>
      </c>
    </row>
    <row r="4603" spans="12:13" x14ac:dyDescent="0.25">
      <c r="L4603" s="65">
        <v>921820</v>
      </c>
      <c r="M4603" t="s">
        <v>3471</v>
      </c>
    </row>
    <row r="4604" spans="12:13" x14ac:dyDescent="0.25">
      <c r="L4604" s="65">
        <v>921821</v>
      </c>
      <c r="M4604" t="s">
        <v>3471</v>
      </c>
    </row>
    <row r="4605" spans="12:13" x14ac:dyDescent="0.25">
      <c r="L4605" s="65">
        <v>921830</v>
      </c>
      <c r="M4605" t="s">
        <v>3472</v>
      </c>
    </row>
    <row r="4606" spans="12:13" x14ac:dyDescent="0.25">
      <c r="L4606" s="65">
        <v>921831</v>
      </c>
      <c r="M4606" t="s">
        <v>3472</v>
      </c>
    </row>
    <row r="4607" spans="12:13" x14ac:dyDescent="0.25">
      <c r="L4607" s="65">
        <v>921840</v>
      </c>
      <c r="M4607" t="s">
        <v>3473</v>
      </c>
    </row>
    <row r="4608" spans="12:13" x14ac:dyDescent="0.25">
      <c r="L4608" s="65">
        <v>921841</v>
      </c>
      <c r="M4608" t="s">
        <v>3473</v>
      </c>
    </row>
    <row r="4609" spans="12:13" x14ac:dyDescent="0.25">
      <c r="L4609" s="65">
        <v>921850</v>
      </c>
      <c r="M4609" t="s">
        <v>3474</v>
      </c>
    </row>
    <row r="4610" spans="12:13" x14ac:dyDescent="0.25">
      <c r="L4610" s="65">
        <v>921851</v>
      </c>
      <c r="M4610" t="s">
        <v>3474</v>
      </c>
    </row>
    <row r="4611" spans="12:13" x14ac:dyDescent="0.25">
      <c r="L4611" s="65">
        <v>921860</v>
      </c>
      <c r="M4611" t="s">
        <v>3475</v>
      </c>
    </row>
    <row r="4612" spans="12:13" x14ac:dyDescent="0.25">
      <c r="L4612" s="65">
        <v>921861</v>
      </c>
      <c r="M4612" t="s">
        <v>3476</v>
      </c>
    </row>
    <row r="4613" spans="12:13" x14ac:dyDescent="0.25">
      <c r="L4613" s="65">
        <v>921862</v>
      </c>
      <c r="M4613" t="s">
        <v>3477</v>
      </c>
    </row>
    <row r="4614" spans="12:13" x14ac:dyDescent="0.25">
      <c r="L4614" s="65">
        <v>921865</v>
      </c>
      <c r="M4614" t="s">
        <v>3478</v>
      </c>
    </row>
    <row r="4615" spans="12:13" x14ac:dyDescent="0.25">
      <c r="L4615" s="65">
        <v>921900</v>
      </c>
      <c r="M4615" t="s">
        <v>3479</v>
      </c>
    </row>
    <row r="4616" spans="12:13" x14ac:dyDescent="0.25">
      <c r="L4616" s="65">
        <v>921920</v>
      </c>
      <c r="M4616" t="s">
        <v>3480</v>
      </c>
    </row>
    <row r="4617" spans="12:13" x14ac:dyDescent="0.25">
      <c r="L4617" s="65">
        <v>921921</v>
      </c>
      <c r="M4617" t="s">
        <v>3481</v>
      </c>
    </row>
    <row r="4618" spans="12:13" x14ac:dyDescent="0.25">
      <c r="L4618" s="65">
        <v>921922</v>
      </c>
      <c r="M4618" t="s">
        <v>3482</v>
      </c>
    </row>
    <row r="4619" spans="12:13" x14ac:dyDescent="0.25">
      <c r="L4619" s="65">
        <v>921923</v>
      </c>
      <c r="M4619" t="s">
        <v>3483</v>
      </c>
    </row>
    <row r="4620" spans="12:13" x14ac:dyDescent="0.25">
      <c r="L4620" s="65">
        <v>921930</v>
      </c>
      <c r="M4620" t="s">
        <v>3484</v>
      </c>
    </row>
    <row r="4621" spans="12:13" x14ac:dyDescent="0.25">
      <c r="L4621" s="65">
        <v>921931</v>
      </c>
      <c r="M4621" t="s">
        <v>3485</v>
      </c>
    </row>
    <row r="4622" spans="12:13" x14ac:dyDescent="0.25">
      <c r="L4622" s="65">
        <v>921932</v>
      </c>
      <c r="M4622" t="s">
        <v>3486</v>
      </c>
    </row>
    <row r="4623" spans="12:13" x14ac:dyDescent="0.25">
      <c r="L4623" s="65">
        <v>921940</v>
      </c>
      <c r="M4623" t="s">
        <v>3487</v>
      </c>
    </row>
    <row r="4624" spans="12:13" x14ac:dyDescent="0.25">
      <c r="L4624" s="65">
        <v>921941</v>
      </c>
      <c r="M4624" t="s">
        <v>3487</v>
      </c>
    </row>
    <row r="4625" spans="12:13" x14ac:dyDescent="0.25">
      <c r="L4625" s="65">
        <v>921950</v>
      </c>
      <c r="M4625" t="s">
        <v>3489</v>
      </c>
    </row>
    <row r="4626" spans="12:13" x14ac:dyDescent="0.25">
      <c r="L4626" s="65">
        <v>921951</v>
      </c>
      <c r="M4626" t="s">
        <v>3489</v>
      </c>
    </row>
    <row r="4627" spans="12:13" x14ac:dyDescent="0.25">
      <c r="L4627" s="65">
        <v>921960</v>
      </c>
      <c r="M4627" t="s">
        <v>3490</v>
      </c>
    </row>
    <row r="4628" spans="12:13" x14ac:dyDescent="0.25">
      <c r="L4628" s="65">
        <v>921961</v>
      </c>
      <c r="M4628" t="s">
        <v>3491</v>
      </c>
    </row>
    <row r="4629" spans="12:13" x14ac:dyDescent="0.25">
      <c r="L4629" s="65">
        <v>921962</v>
      </c>
      <c r="M4629" t="s">
        <v>3492</v>
      </c>
    </row>
    <row r="4630" spans="12:13" x14ac:dyDescent="0.25">
      <c r="L4630" s="65">
        <v>921965</v>
      </c>
      <c r="M4630" t="s">
        <v>3493</v>
      </c>
    </row>
    <row r="4631" spans="12:13" x14ac:dyDescent="0.25">
      <c r="L4631" s="65">
        <v>922000</v>
      </c>
      <c r="M4631" t="s">
        <v>3494</v>
      </c>
    </row>
    <row r="4632" spans="12:13" x14ac:dyDescent="0.25">
      <c r="L4632" s="65">
        <v>922100</v>
      </c>
      <c r="M4632" t="s">
        <v>3495</v>
      </c>
    </row>
    <row r="4633" spans="12:13" x14ac:dyDescent="0.25">
      <c r="L4633" s="65">
        <v>922120</v>
      </c>
      <c r="M4633" t="s">
        <v>3496</v>
      </c>
    </row>
    <row r="4634" spans="12:13" x14ac:dyDescent="0.25">
      <c r="L4634" s="65">
        <v>922121</v>
      </c>
      <c r="M4634" t="s">
        <v>3496</v>
      </c>
    </row>
    <row r="4635" spans="12:13" x14ac:dyDescent="0.25">
      <c r="L4635" s="65">
        <v>922130</v>
      </c>
      <c r="M4635" t="s">
        <v>3497</v>
      </c>
    </row>
    <row r="4636" spans="12:13" x14ac:dyDescent="0.25">
      <c r="L4636" s="65">
        <v>922131</v>
      </c>
      <c r="M4636" t="s">
        <v>3498</v>
      </c>
    </row>
    <row r="4637" spans="12:13" x14ac:dyDescent="0.25">
      <c r="L4637" s="65">
        <v>922132</v>
      </c>
      <c r="M4637" t="s">
        <v>3499</v>
      </c>
    </row>
    <row r="4638" spans="12:13" x14ac:dyDescent="0.25">
      <c r="L4638" s="65">
        <v>922140</v>
      </c>
      <c r="M4638" t="s">
        <v>3500</v>
      </c>
    </row>
    <row r="4639" spans="12:13" x14ac:dyDescent="0.25">
      <c r="L4639" s="65">
        <v>922141</v>
      </c>
      <c r="M4639" t="s">
        <v>3500</v>
      </c>
    </row>
    <row r="4640" spans="12:13" x14ac:dyDescent="0.25">
      <c r="L4640" s="65">
        <v>922150</v>
      </c>
      <c r="M4640" t="s">
        <v>3501</v>
      </c>
    </row>
    <row r="4641" spans="12:13" x14ac:dyDescent="0.25">
      <c r="L4641" s="65">
        <v>922151</v>
      </c>
      <c r="M4641" t="s">
        <v>3501</v>
      </c>
    </row>
    <row r="4642" spans="12:13" x14ac:dyDescent="0.25">
      <c r="L4642" s="65">
        <v>922160</v>
      </c>
      <c r="M4642" t="s">
        <v>3502</v>
      </c>
    </row>
    <row r="4643" spans="12:13" x14ac:dyDescent="0.25">
      <c r="L4643" s="65">
        <v>922161</v>
      </c>
      <c r="M4643" t="s">
        <v>3503</v>
      </c>
    </row>
    <row r="4644" spans="12:13" x14ac:dyDescent="0.25">
      <c r="L4644" s="65">
        <v>922162</v>
      </c>
      <c r="M4644" t="s">
        <v>3504</v>
      </c>
    </row>
    <row r="4645" spans="12:13" x14ac:dyDescent="0.25">
      <c r="L4645" s="65">
        <v>922165</v>
      </c>
      <c r="M4645" t="s">
        <v>3505</v>
      </c>
    </row>
    <row r="4646" spans="12:13" x14ac:dyDescent="0.25">
      <c r="L4646" s="65">
        <v>922200</v>
      </c>
      <c r="M4646" t="s">
        <v>3506</v>
      </c>
    </row>
    <row r="4647" spans="12:13" x14ac:dyDescent="0.25">
      <c r="L4647" s="65">
        <v>922220</v>
      </c>
      <c r="M4647" t="s">
        <v>3507</v>
      </c>
    </row>
    <row r="4648" spans="12:13" x14ac:dyDescent="0.25">
      <c r="L4648" s="65">
        <v>922221</v>
      </c>
      <c r="M4648" t="s">
        <v>3507</v>
      </c>
    </row>
    <row r="4649" spans="12:13" x14ac:dyDescent="0.25">
      <c r="L4649" s="65">
        <v>922230</v>
      </c>
      <c r="M4649" t="s">
        <v>3508</v>
      </c>
    </row>
    <row r="4650" spans="12:13" x14ac:dyDescent="0.25">
      <c r="L4650" s="65">
        <v>922231</v>
      </c>
      <c r="M4650" t="s">
        <v>3508</v>
      </c>
    </row>
    <row r="4651" spans="12:13" x14ac:dyDescent="0.25">
      <c r="L4651" s="65">
        <v>922240</v>
      </c>
      <c r="M4651" t="s">
        <v>3509</v>
      </c>
    </row>
    <row r="4652" spans="12:13" x14ac:dyDescent="0.25">
      <c r="L4652" s="65">
        <v>922241</v>
      </c>
      <c r="M4652" t="s">
        <v>3509</v>
      </c>
    </row>
    <row r="4653" spans="12:13" x14ac:dyDescent="0.25">
      <c r="L4653" s="65">
        <v>922250</v>
      </c>
      <c r="M4653" t="s">
        <v>3510</v>
      </c>
    </row>
    <row r="4654" spans="12:13" x14ac:dyDescent="0.25">
      <c r="L4654" s="65">
        <v>922251</v>
      </c>
      <c r="M4654" t="s">
        <v>3510</v>
      </c>
    </row>
    <row r="4655" spans="12:13" x14ac:dyDescent="0.25">
      <c r="L4655" s="65">
        <v>922260</v>
      </c>
      <c r="M4655" t="s">
        <v>3511</v>
      </c>
    </row>
    <row r="4656" spans="12:13" x14ac:dyDescent="0.25">
      <c r="L4656" s="65">
        <v>922261</v>
      </c>
      <c r="M4656" t="s">
        <v>3512</v>
      </c>
    </row>
    <row r="4657" spans="12:13" x14ac:dyDescent="0.25">
      <c r="L4657" s="65">
        <v>922262</v>
      </c>
      <c r="M4657" t="s">
        <v>3513</v>
      </c>
    </row>
    <row r="4658" spans="12:13" x14ac:dyDescent="0.25">
      <c r="L4658" s="65">
        <v>922265</v>
      </c>
      <c r="M4658" t="s">
        <v>3514</v>
      </c>
    </row>
    <row r="4659" spans="12:13" x14ac:dyDescent="0.25">
      <c r="L4659" s="65">
        <v>922300</v>
      </c>
      <c r="M4659" t="s">
        <v>3515</v>
      </c>
    </row>
    <row r="4660" spans="12:13" x14ac:dyDescent="0.25">
      <c r="L4660" s="65">
        <v>922320</v>
      </c>
      <c r="M4660" t="s">
        <v>3516</v>
      </c>
    </row>
    <row r="4661" spans="12:13" x14ac:dyDescent="0.25">
      <c r="L4661" s="65">
        <v>922321</v>
      </c>
      <c r="M4661" t="s">
        <v>3516</v>
      </c>
    </row>
    <row r="4662" spans="12:13" x14ac:dyDescent="0.25">
      <c r="L4662" s="65">
        <v>922330</v>
      </c>
      <c r="M4662" t="s">
        <v>3517</v>
      </c>
    </row>
    <row r="4663" spans="12:13" x14ac:dyDescent="0.25">
      <c r="L4663" s="65">
        <v>922331</v>
      </c>
      <c r="M4663" t="s">
        <v>3517</v>
      </c>
    </row>
    <row r="4664" spans="12:13" x14ac:dyDescent="0.25">
      <c r="L4664" s="65">
        <v>922340</v>
      </c>
      <c r="M4664" t="s">
        <v>3518</v>
      </c>
    </row>
    <row r="4665" spans="12:13" x14ac:dyDescent="0.25">
      <c r="L4665" s="65">
        <v>922341</v>
      </c>
      <c r="M4665" t="s">
        <v>3518</v>
      </c>
    </row>
    <row r="4666" spans="12:13" x14ac:dyDescent="0.25">
      <c r="L4666" s="65">
        <v>922350</v>
      </c>
      <c r="M4666" t="s">
        <v>3519</v>
      </c>
    </row>
    <row r="4667" spans="12:13" x14ac:dyDescent="0.25">
      <c r="L4667" s="65">
        <v>922351</v>
      </c>
      <c r="M4667" t="s">
        <v>3519</v>
      </c>
    </row>
    <row r="4668" spans="12:13" x14ac:dyDescent="0.25">
      <c r="L4668" s="65">
        <v>922360</v>
      </c>
      <c r="M4668" t="s">
        <v>3520</v>
      </c>
    </row>
    <row r="4669" spans="12:13" x14ac:dyDescent="0.25">
      <c r="L4669" s="65">
        <v>922361</v>
      </c>
      <c r="M4669" t="s">
        <v>3521</v>
      </c>
    </row>
    <row r="4670" spans="12:13" x14ac:dyDescent="0.25">
      <c r="L4670" s="65">
        <v>922362</v>
      </c>
      <c r="M4670" t="s">
        <v>3522</v>
      </c>
    </row>
    <row r="4671" spans="12:13" x14ac:dyDescent="0.25">
      <c r="L4671" s="65">
        <v>922365</v>
      </c>
      <c r="M4671" t="s">
        <v>3523</v>
      </c>
    </row>
    <row r="4672" spans="12:13" x14ac:dyDescent="0.25">
      <c r="L4672" s="65">
        <v>922400</v>
      </c>
      <c r="M4672" t="s">
        <v>3524</v>
      </c>
    </row>
    <row r="4673" spans="12:13" x14ac:dyDescent="0.25">
      <c r="L4673" s="65">
        <v>922420</v>
      </c>
      <c r="M4673" t="s">
        <v>3525</v>
      </c>
    </row>
    <row r="4674" spans="12:13" x14ac:dyDescent="0.25">
      <c r="L4674" s="65">
        <v>922421</v>
      </c>
      <c r="M4674" t="s">
        <v>3525</v>
      </c>
    </row>
    <row r="4675" spans="12:13" x14ac:dyDescent="0.25">
      <c r="L4675" s="65">
        <v>922430</v>
      </c>
      <c r="M4675" t="s">
        <v>3526</v>
      </c>
    </row>
    <row r="4676" spans="12:13" x14ac:dyDescent="0.25">
      <c r="L4676" s="65">
        <v>922431</v>
      </c>
      <c r="M4676" t="s">
        <v>3526</v>
      </c>
    </row>
    <row r="4677" spans="12:13" x14ac:dyDescent="0.25">
      <c r="L4677" s="65">
        <v>922440</v>
      </c>
      <c r="M4677" t="s">
        <v>3527</v>
      </c>
    </row>
    <row r="4678" spans="12:13" x14ac:dyDescent="0.25">
      <c r="L4678" s="65">
        <v>922441</v>
      </c>
      <c r="M4678" t="s">
        <v>3527</v>
      </c>
    </row>
    <row r="4679" spans="12:13" x14ac:dyDescent="0.25">
      <c r="L4679" s="65">
        <v>922450</v>
      </c>
      <c r="M4679" t="s">
        <v>3528</v>
      </c>
    </row>
    <row r="4680" spans="12:13" x14ac:dyDescent="0.25">
      <c r="L4680" s="65">
        <v>922451</v>
      </c>
      <c r="M4680" t="s">
        <v>3528</v>
      </c>
    </row>
    <row r="4681" spans="12:13" x14ac:dyDescent="0.25">
      <c r="L4681" s="65">
        <v>922460</v>
      </c>
      <c r="M4681" t="s">
        <v>3529</v>
      </c>
    </row>
    <row r="4682" spans="12:13" x14ac:dyDescent="0.25">
      <c r="L4682" s="65">
        <v>922461</v>
      </c>
      <c r="M4682" t="s">
        <v>3530</v>
      </c>
    </row>
    <row r="4683" spans="12:13" x14ac:dyDescent="0.25">
      <c r="L4683" s="65">
        <v>922462</v>
      </c>
      <c r="M4683" t="s">
        <v>3531</v>
      </c>
    </row>
    <row r="4684" spans="12:13" x14ac:dyDescent="0.25">
      <c r="L4684" s="65">
        <v>922465</v>
      </c>
      <c r="M4684" t="s">
        <v>3532</v>
      </c>
    </row>
    <row r="4685" spans="12:13" x14ac:dyDescent="0.25">
      <c r="L4685" s="65">
        <v>922500</v>
      </c>
      <c r="M4685" t="s">
        <v>3533</v>
      </c>
    </row>
    <row r="4686" spans="12:13" x14ac:dyDescent="0.25">
      <c r="L4686" s="65">
        <v>922520</v>
      </c>
      <c r="M4686" t="s">
        <v>3534</v>
      </c>
    </row>
    <row r="4687" spans="12:13" x14ac:dyDescent="0.25">
      <c r="L4687" s="65">
        <v>922521</v>
      </c>
      <c r="M4687" t="s">
        <v>3534</v>
      </c>
    </row>
    <row r="4688" spans="12:13" x14ac:dyDescent="0.25">
      <c r="L4688" s="65">
        <v>922530</v>
      </c>
      <c r="M4688" t="s">
        <v>3535</v>
      </c>
    </row>
    <row r="4689" spans="12:13" x14ac:dyDescent="0.25">
      <c r="L4689" s="65">
        <v>922531</v>
      </c>
      <c r="M4689" t="s">
        <v>3535</v>
      </c>
    </row>
    <row r="4690" spans="12:13" x14ac:dyDescent="0.25">
      <c r="L4690" s="65">
        <v>922540</v>
      </c>
      <c r="M4690" t="s">
        <v>3536</v>
      </c>
    </row>
    <row r="4691" spans="12:13" x14ac:dyDescent="0.25">
      <c r="L4691" s="65">
        <v>922541</v>
      </c>
      <c r="M4691" t="s">
        <v>3536</v>
      </c>
    </row>
    <row r="4692" spans="12:13" x14ac:dyDescent="0.25">
      <c r="L4692" s="65">
        <v>922550</v>
      </c>
      <c r="M4692" t="s">
        <v>3537</v>
      </c>
    </row>
    <row r="4693" spans="12:13" x14ac:dyDescent="0.25">
      <c r="L4693" s="65">
        <v>922551</v>
      </c>
      <c r="M4693" t="s">
        <v>3537</v>
      </c>
    </row>
    <row r="4694" spans="12:13" x14ac:dyDescent="0.25">
      <c r="L4694" s="65">
        <v>922560</v>
      </c>
      <c r="M4694" t="s">
        <v>3538</v>
      </c>
    </row>
    <row r="4695" spans="12:13" x14ac:dyDescent="0.25">
      <c r="L4695" s="65">
        <v>922561</v>
      </c>
      <c r="M4695" t="s">
        <v>3539</v>
      </c>
    </row>
    <row r="4696" spans="12:13" x14ac:dyDescent="0.25">
      <c r="L4696" s="65">
        <v>922562</v>
      </c>
      <c r="M4696" t="s">
        <v>3540</v>
      </c>
    </row>
    <row r="4697" spans="12:13" x14ac:dyDescent="0.25">
      <c r="L4697" s="65">
        <v>922565</v>
      </c>
      <c r="M4697" t="s">
        <v>3541</v>
      </c>
    </row>
    <row r="4698" spans="12:13" x14ac:dyDescent="0.25">
      <c r="L4698" s="65">
        <v>922600</v>
      </c>
      <c r="M4698" t="s">
        <v>3542</v>
      </c>
    </row>
    <row r="4699" spans="12:13" x14ac:dyDescent="0.25">
      <c r="L4699" s="65">
        <v>922620</v>
      </c>
      <c r="M4699" t="s">
        <v>3543</v>
      </c>
    </row>
    <row r="4700" spans="12:13" x14ac:dyDescent="0.25">
      <c r="L4700" s="65">
        <v>922621</v>
      </c>
      <c r="M4700" t="s">
        <v>3543</v>
      </c>
    </row>
    <row r="4701" spans="12:13" x14ac:dyDescent="0.25">
      <c r="L4701" s="65">
        <v>922630</v>
      </c>
      <c r="M4701" t="s">
        <v>3544</v>
      </c>
    </row>
    <row r="4702" spans="12:13" x14ac:dyDescent="0.25">
      <c r="L4702" s="65">
        <v>922631</v>
      </c>
      <c r="M4702" t="s">
        <v>3544</v>
      </c>
    </row>
    <row r="4703" spans="12:13" x14ac:dyDescent="0.25">
      <c r="L4703" s="65">
        <v>922640</v>
      </c>
      <c r="M4703" t="s">
        <v>3545</v>
      </c>
    </row>
    <row r="4704" spans="12:13" x14ac:dyDescent="0.25">
      <c r="L4704" s="65">
        <v>922641</v>
      </c>
      <c r="M4704" t="s">
        <v>3545</v>
      </c>
    </row>
    <row r="4705" spans="12:13" x14ac:dyDescent="0.25">
      <c r="L4705" s="65">
        <v>922650</v>
      </c>
      <c r="M4705" t="s">
        <v>3546</v>
      </c>
    </row>
    <row r="4706" spans="12:13" x14ac:dyDescent="0.25">
      <c r="L4706" s="65">
        <v>922651</v>
      </c>
      <c r="M4706" t="s">
        <v>3546</v>
      </c>
    </row>
    <row r="4707" spans="12:13" x14ac:dyDescent="0.25">
      <c r="L4707" s="65">
        <v>922660</v>
      </c>
      <c r="M4707" t="s">
        <v>3547</v>
      </c>
    </row>
    <row r="4708" spans="12:13" x14ac:dyDescent="0.25">
      <c r="L4708" s="65">
        <v>922661</v>
      </c>
      <c r="M4708" t="s">
        <v>3548</v>
      </c>
    </row>
    <row r="4709" spans="12:13" x14ac:dyDescent="0.25">
      <c r="L4709" s="65">
        <v>922662</v>
      </c>
      <c r="M4709" t="s">
        <v>3549</v>
      </c>
    </row>
    <row r="4710" spans="12:13" x14ac:dyDescent="0.25">
      <c r="L4710" s="65">
        <v>922665</v>
      </c>
      <c r="M4710" t="s">
        <v>3550</v>
      </c>
    </row>
    <row r="4711" spans="12:13" x14ac:dyDescent="0.25">
      <c r="L4711" s="65">
        <v>922700</v>
      </c>
      <c r="M4711" t="s">
        <v>3551</v>
      </c>
    </row>
    <row r="4712" spans="12:13" x14ac:dyDescent="0.25">
      <c r="L4712" s="65">
        <v>922720</v>
      </c>
      <c r="M4712" t="s">
        <v>3552</v>
      </c>
    </row>
    <row r="4713" spans="12:13" x14ac:dyDescent="0.25">
      <c r="L4713" s="65">
        <v>922721</v>
      </c>
      <c r="M4713" t="s">
        <v>3552</v>
      </c>
    </row>
    <row r="4714" spans="12:13" x14ac:dyDescent="0.25">
      <c r="L4714" s="65">
        <v>922730</v>
      </c>
      <c r="M4714" t="s">
        <v>3553</v>
      </c>
    </row>
    <row r="4715" spans="12:13" x14ac:dyDescent="0.25">
      <c r="L4715" s="65">
        <v>922731</v>
      </c>
      <c r="M4715" t="s">
        <v>3554</v>
      </c>
    </row>
    <row r="4716" spans="12:13" x14ac:dyDescent="0.25">
      <c r="L4716" s="65">
        <v>922732</v>
      </c>
      <c r="M4716" t="s">
        <v>3555</v>
      </c>
    </row>
    <row r="4717" spans="12:13" x14ac:dyDescent="0.25">
      <c r="L4717" s="65">
        <v>922740</v>
      </c>
      <c r="M4717" t="s">
        <v>3556</v>
      </c>
    </row>
    <row r="4718" spans="12:13" x14ac:dyDescent="0.25">
      <c r="L4718" s="65">
        <v>922741</v>
      </c>
      <c r="M4718" t="s">
        <v>3556</v>
      </c>
    </row>
    <row r="4719" spans="12:13" x14ac:dyDescent="0.25">
      <c r="L4719" s="65">
        <v>922750</v>
      </c>
      <c r="M4719" t="s">
        <v>3557</v>
      </c>
    </row>
    <row r="4720" spans="12:13" x14ac:dyDescent="0.25">
      <c r="L4720" s="65">
        <v>922751</v>
      </c>
      <c r="M4720" t="s">
        <v>3557</v>
      </c>
    </row>
    <row r="4721" spans="12:13" x14ac:dyDescent="0.25">
      <c r="L4721" s="65">
        <v>922760</v>
      </c>
      <c r="M4721" t="s">
        <v>3558</v>
      </c>
    </row>
    <row r="4722" spans="12:13" x14ac:dyDescent="0.25">
      <c r="L4722" s="65">
        <v>922761</v>
      </c>
      <c r="M4722" t="s">
        <v>3559</v>
      </c>
    </row>
    <row r="4723" spans="12:13" x14ac:dyDescent="0.25">
      <c r="L4723" s="65">
        <v>922762</v>
      </c>
      <c r="M4723" t="s">
        <v>3560</v>
      </c>
    </row>
    <row r="4724" spans="12:13" x14ac:dyDescent="0.25">
      <c r="L4724" s="65">
        <v>922765</v>
      </c>
      <c r="M4724" t="s">
        <v>3561</v>
      </c>
    </row>
    <row r="4725" spans="12:13" x14ac:dyDescent="0.25">
      <c r="L4725" s="65">
        <v>922800</v>
      </c>
      <c r="M4725" t="s">
        <v>1215</v>
      </c>
    </row>
    <row r="4726" spans="12:13" x14ac:dyDescent="0.25">
      <c r="L4726" s="65">
        <v>922810</v>
      </c>
      <c r="M4726" t="s">
        <v>1215</v>
      </c>
    </row>
    <row r="4727" spans="12:13" x14ac:dyDescent="0.25">
      <c r="L4727" s="65">
        <v>922811</v>
      </c>
      <c r="M4727" t="s">
        <v>1215</v>
      </c>
    </row>
    <row r="4728" spans="12:13" x14ac:dyDescent="0.25">
      <c r="L4728" s="65">
        <v>990000</v>
      </c>
      <c r="M4728" t="s">
        <v>3562</v>
      </c>
    </row>
    <row r="4729" spans="12:13" x14ac:dyDescent="0.25">
      <c r="L4729" s="65">
        <v>999000</v>
      </c>
      <c r="M4729" t="s">
        <v>3562</v>
      </c>
    </row>
    <row r="4730" spans="12:13" x14ac:dyDescent="0.25">
      <c r="L4730" s="65">
        <v>999900</v>
      </c>
      <c r="M4730" t="s">
        <v>3562</v>
      </c>
    </row>
    <row r="4731" spans="12:13" x14ac:dyDescent="0.25">
      <c r="L4731" s="65">
        <v>999990</v>
      </c>
      <c r="M4731" t="s">
        <v>3562</v>
      </c>
    </row>
    <row r="4732" spans="12:13" x14ac:dyDescent="0.25">
      <c r="L4732" s="65">
        <v>999999</v>
      </c>
      <c r="M4732" t="s">
        <v>3562</v>
      </c>
    </row>
  </sheetData>
  <autoFilter ref="L2:M4732"/>
  <mergeCells count="3">
    <mergeCell ref="A1:B1"/>
    <mergeCell ref="G1:H1"/>
    <mergeCell ref="L1:M1"/>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4</vt:i4>
      </vt:variant>
    </vt:vector>
  </HeadingPairs>
  <TitlesOfParts>
    <vt:vector size="13" baseType="lpstr">
      <vt:lpstr>Рачун финансирања</vt:lpstr>
      <vt:lpstr>Приџ,прим vs Расх,изд</vt:lpstr>
      <vt:lpstr>Оптшти део - (6)</vt:lpstr>
      <vt:lpstr>Капитални расходи</vt:lpstr>
      <vt:lpstr>По основ. нам.</vt:lpstr>
      <vt:lpstr>Програмска</vt:lpstr>
      <vt:lpstr>Расх по функц. </vt:lpstr>
      <vt:lpstr>ПО КОРИСНИЦИМА</vt:lpstr>
      <vt:lpstr>Klasifikacije</vt:lpstr>
      <vt:lpstr>ljkl</vt:lpstr>
      <vt:lpstr>'ПО КОРИСНИЦИМА'!Print_Area</vt:lpstr>
      <vt:lpstr>Ukupno_funkcionalna</vt:lpstr>
      <vt:lpstr>Ukupno_izdaci</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LPA</dc:creator>
  <cp:lastModifiedBy>Peric</cp:lastModifiedBy>
  <cp:lastPrinted>2014-12-03T07:40:55Z</cp:lastPrinted>
  <dcterms:created xsi:type="dcterms:W3CDTF">2014-09-23T08:37:30Z</dcterms:created>
  <dcterms:modified xsi:type="dcterms:W3CDTF">2015-05-27T07:55:56Z</dcterms:modified>
</cp:coreProperties>
</file>